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D6667B24-7361-4F75-B6E5-0E28A1F16E66}" xr6:coauthVersionLast="47" xr6:coauthVersionMax="47" xr10:uidLastSave="{00000000-0000-0000-0000-000000000000}"/>
  <bookViews>
    <workbookView xWindow="25490" yWindow="-110" windowWidth="29020" windowHeight="157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57" l="1" a="1"/>
  <c r="G14" i="57" a="1"/>
  <c r="D13" i="57" a="1"/>
  <c r="G13" i="57" a="1"/>
  <c r="D12" i="57" a="1"/>
  <c r="D11" i="57" a="1"/>
  <c r="G11" i="57" a="1"/>
  <c r="G10" i="57" a="1"/>
  <c r="D8" i="57" a="1"/>
  <c r="G8" i="57" a="1"/>
  <c r="G7" i="57" a="1"/>
  <c r="G6" i="57" a="1"/>
  <c r="G5" i="57" a="1"/>
  <c r="D4" i="57" a="1"/>
  <c r="G4" i="57" a="1"/>
  <c r="G3" i="57" a="1"/>
  <c r="G2" i="57" a="1"/>
  <c r="E17" i="57" a="1"/>
  <c r="G17" i="57" a="1"/>
  <c r="G12" i="57" a="1"/>
  <c r="D10" i="57" a="1"/>
  <c r="D9" i="57" a="1"/>
  <c r="G9" i="57" a="1"/>
  <c r="D7" i="57" a="1"/>
  <c r="D6" i="57" a="1"/>
  <c r="D5" i="57" a="1"/>
  <c r="D3" i="57" a="1"/>
  <c r="D2" i="57" a="1"/>
  <c r="B17" i="57" a="1"/>
  <c r="D17" i="57" a="1"/>
  <c r="D17" i="57" l="1"/>
  <c r="B17" i="57"/>
  <c r="D2" i="57"/>
  <c r="D3" i="57"/>
  <c r="D5" i="57"/>
  <c r="D6" i="57"/>
  <c r="D7" i="57"/>
  <c r="G9" i="57"/>
  <c r="D9" i="57"/>
  <c r="D10" i="57"/>
  <c r="G12" i="57"/>
  <c r="G17" i="57"/>
  <c r="E17" i="57"/>
  <c r="G2" i="57"/>
  <c r="G3" i="57"/>
  <c r="G4" i="57"/>
  <c r="D4" i="57"/>
  <c r="G5" i="57"/>
  <c r="G6" i="57"/>
  <c r="G7" i="57"/>
  <c r="G8" i="57"/>
  <c r="D8" i="57"/>
  <c r="G10" i="57"/>
  <c r="G11" i="57"/>
  <c r="D11" i="57"/>
  <c r="D12" i="57"/>
  <c r="G13" i="57"/>
  <c r="D13" i="57"/>
  <c r="G14" i="57"/>
  <c r="D14" i="57"/>
  <c r="M16" i="48" a="1"/>
  <c r="M14" i="48" a="1"/>
  <c r="M13" i="48" a="1"/>
  <c r="M11" i="48" a="1"/>
  <c r="M10" i="48" a="1"/>
  <c r="M8" i="48" a="1"/>
  <c r="M12" i="48" a="1"/>
  <c r="M7" i="48" a="1"/>
  <c r="M4" i="48" a="1"/>
  <c r="M6" i="48" a="1"/>
  <c r="M5" i="48" a="1"/>
  <c r="M9" i="48" a="1"/>
  <c r="M9" i="48" l="1"/>
  <c r="M5" i="48"/>
  <c r="M6" i="48"/>
  <c r="M4" i="48"/>
  <c r="M7" i="48"/>
  <c r="M12" i="48"/>
  <c r="M8" i="48"/>
  <c r="M10" i="48"/>
  <c r="M11" i="48"/>
  <c r="M13" i="48"/>
  <c r="M14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J20" i="48" a="1"/>
  <c r="M2" i="38" a="1"/>
  <c r="AK4" i="9" a="1"/>
  <c r="U4" i="9" a="1"/>
  <c r="E4" i="9" a="1"/>
  <c r="H4" i="28" a="1"/>
  <c r="E10" i="28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9" i="52" a="1"/>
  <c r="J7" i="52" a="1"/>
  <c r="J5" i="52" a="1"/>
  <c r="J3" i="52" a="1"/>
  <c r="V15" i="56" a="1"/>
  <c r="V11" i="56" a="1"/>
  <c r="V7" i="56" a="1"/>
  <c r="J16" i="56" a="1"/>
  <c r="J12" i="56" a="1"/>
  <c r="J8" i="56" a="1"/>
  <c r="C26" i="56" a="1"/>
  <c r="B5" i="56" a="1"/>
  <c r="Q23" i="12" a="1"/>
  <c r="S21" i="12" a="1"/>
  <c r="L20" i="12" a="1"/>
  <c r="N18" i="12" a="1"/>
  <c r="P14" i="12" a="1"/>
  <c r="R12" i="12" a="1"/>
  <c r="K11" i="12" a="1"/>
  <c r="M9" i="12" a="1"/>
  <c r="O7" i="12" a="1"/>
  <c r="Q5" i="12" a="1"/>
  <c r="S3" i="12" a="1"/>
  <c r="F21" i="12" a="1"/>
  <c r="E14" i="12" a="1"/>
  <c r="G8" i="12" a="1"/>
  <c r="F3" i="12" a="1"/>
  <c r="J13" i="39" a="1"/>
  <c r="H10" i="39" a="1"/>
  <c r="F7" i="39" a="1"/>
  <c r="C4" i="39" a="1"/>
  <c r="L11" i="28" a="1"/>
  <c r="K6" i="28" a="1"/>
  <c r="H12" i="28" a="1"/>
  <c r="J19" i="48" a="1"/>
  <c r="L2" i="38" a="1"/>
  <c r="AJ4" i="9" a="1"/>
  <c r="T4" i="9" a="1"/>
  <c r="D4" i="9" a="1"/>
  <c r="N7" i="12" a="1"/>
  <c r="R3" i="12" a="1"/>
  <c r="G13" i="12" a="1"/>
  <c r="F8" i="12" a="1"/>
  <c r="J12" i="39" a="1"/>
  <c r="M5" i="28" a="1"/>
  <c r="G12" i="28" a="1"/>
  <c r="G4" i="28" a="1"/>
  <c r="H20" i="1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U15" i="56" a="1"/>
  <c r="U11" i="56" a="1"/>
  <c r="U7" i="56" a="1"/>
  <c r="I16" i="56" a="1"/>
  <c r="I12" i="56" a="1"/>
  <c r="I8" i="56" a="1"/>
  <c r="C25" i="56" a="1"/>
  <c r="C16" i="13" a="1"/>
  <c r="P23" i="12" a="1"/>
  <c r="R21" i="12" a="1"/>
  <c r="K20" i="12" a="1"/>
  <c r="M18" i="12" a="1"/>
  <c r="O14" i="12" a="1"/>
  <c r="Q12" i="12" a="1"/>
  <c r="S10" i="12" a="1"/>
  <c r="L9" i="12" a="1"/>
  <c r="P5" i="12" a="1"/>
  <c r="E21" i="12" a="1"/>
  <c r="E3" i="12" a="1"/>
  <c r="H9" i="39" a="1"/>
  <c r="F6" i="39" a="1"/>
  <c r="C3" i="39" a="1"/>
  <c r="K11" i="28" a="1"/>
  <c r="D10" i="28" a="1"/>
  <c r="O14" i="1" a="1"/>
  <c r="F15" i="1" a="1"/>
  <c r="K12" i="1" a="1"/>
  <c r="I10" i="1" a="1"/>
  <c r="J16" i="48" a="1"/>
  <c r="K2" i="38" a="1"/>
  <c r="AI4" i="9" a="1"/>
  <c r="S4" i="9" a="1"/>
  <c r="C4" i="9" a="1"/>
  <c r="P12" i="12" a="1"/>
  <c r="R10" i="12" a="1"/>
  <c r="K9" i="12" a="1"/>
  <c r="O5" i="12" a="1"/>
  <c r="Q3" i="12" a="1"/>
  <c r="G20" i="12" a="1"/>
  <c r="F13" i="12" a="1"/>
  <c r="B15" i="12" a="1"/>
  <c r="J11" i="39" a="1"/>
  <c r="H8" i="39" a="1"/>
  <c r="F5" i="39" a="1"/>
  <c r="C2" i="39" a="1"/>
  <c r="M10" i="28" a="1"/>
  <c r="L5" i="28" a="1"/>
  <c r="H11" i="28" a="1"/>
  <c r="H3" i="28" a="1"/>
  <c r="E9" i="28" a="1"/>
  <c r="O13" i="1" a="1"/>
  <c r="G20" i="1" a="1"/>
  <c r="L14" i="1" a="1"/>
  <c r="J12" i="1" a="1"/>
  <c r="H10" i="1" a="1"/>
  <c r="F8" i="1" a="1"/>
  <c r="K5" i="1" a="1"/>
  <c r="I3" i="1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H3" i="52" a="1"/>
  <c r="T15" i="56" a="1"/>
  <c r="T11" i="56" a="1"/>
  <c r="T7" i="56" a="1"/>
  <c r="H16" i="56" a="1"/>
  <c r="H12" i="56" a="1"/>
  <c r="H8" i="56" a="1"/>
  <c r="C24" i="56" a="1"/>
  <c r="C15" i="13" a="1"/>
  <c r="O23" i="12" a="1"/>
  <c r="Q21" i="12" a="1"/>
  <c r="S19" i="12" a="1"/>
  <c r="L18" i="12" a="1"/>
  <c r="N14" i="12" a="1"/>
  <c r="M7" i="12" a="1"/>
  <c r="E8" i="12" a="1"/>
  <c r="C4" i="1" a="1"/>
  <c r="J15" i="48" a="1"/>
  <c r="J2" i="38" a="1"/>
  <c r="AH4" i="9" a="1"/>
  <c r="R4" i="9" a="1"/>
  <c r="B4" i="9" a="1"/>
  <c r="E2" i="46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I2" i="7" a="1"/>
  <c r="G2" i="47" a="1"/>
  <c r="J14" i="48" a="1"/>
  <c r="I2" i="38" a="1"/>
  <c r="AG4" i="9" a="1"/>
  <c r="Q4" i="9" a="1"/>
  <c r="G10" i="43" a="1"/>
  <c r="C10" i="43" a="1"/>
  <c r="J14" i="42" a="1"/>
  <c r="J13" i="48" a="1"/>
  <c r="H2" i="38" a="1"/>
  <c r="AF4" i="9" a="1"/>
  <c r="P4" i="9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C2" i="46" a="1"/>
  <c r="E11" i="52" a="1"/>
  <c r="E9" i="52" a="1"/>
  <c r="E7" i="52" a="1"/>
  <c r="E5" i="52" a="1"/>
  <c r="E3" i="52" a="1"/>
  <c r="U14" i="56" a="1"/>
  <c r="U10" i="56" a="1"/>
  <c r="U6" i="56" a="1"/>
  <c r="J12" i="48" a="1"/>
  <c r="G2" i="38" a="1"/>
  <c r="AE4" i="9" a="1"/>
  <c r="O4" i="9" a="1"/>
  <c r="G9" i="43" a="1"/>
  <c r="C8" i="43" a="1"/>
  <c r="H10" i="42" a="1"/>
  <c r="H14" i="42" a="1"/>
  <c r="H12" i="42" a="1"/>
  <c r="J11" i="48" a="1"/>
  <c r="F2" i="38" a="1"/>
  <c r="AD4" i="9" a="1"/>
  <c r="N4" i="9" a="1"/>
  <c r="G15" i="56" a="1"/>
  <c r="G11" i="56" a="1"/>
  <c r="G7" i="56" a="1"/>
  <c r="B14" i="56" a="1"/>
  <c r="C10" i="13" a="1"/>
  <c r="S22" i="12" a="1"/>
  <c r="O8" i="12" a="1"/>
  <c r="Q6" i="12" a="1"/>
  <c r="H8" i="43" a="1"/>
  <c r="C7" i="43" a="1"/>
  <c r="G14" i="42" a="1"/>
  <c r="G12" i="42" a="1"/>
  <c r="G10" i="42" a="1"/>
  <c r="G8" i="42" a="1"/>
  <c r="G6" i="42" a="1"/>
  <c r="G4" i="42" a="1"/>
  <c r="K2" i="18" a="1"/>
  <c r="I2" i="15" a="1"/>
  <c r="G2" i="5" a="1"/>
  <c r="E2" i="7" a="1"/>
  <c r="C2" i="47" a="1"/>
  <c r="A2" i="46" a="1"/>
  <c r="C11" i="52" a="1"/>
  <c r="C9" i="52" a="1"/>
  <c r="C7" i="52" a="1"/>
  <c r="C5" i="52" a="1"/>
  <c r="C3" i="52" a="1"/>
  <c r="S14" i="56" a="1"/>
  <c r="S10" i="56" a="1"/>
  <c r="S6" i="56" a="1"/>
  <c r="L21" i="12" a="1"/>
  <c r="N19" i="12" a="1"/>
  <c r="P15" i="12" a="1"/>
  <c r="R13" i="12" a="1"/>
  <c r="K12" i="12" a="1"/>
  <c r="M10" i="12" a="1"/>
  <c r="J10" i="48" a="1"/>
  <c r="E2" i="38" a="1"/>
  <c r="AC4" i="9" a="1"/>
  <c r="M4" i="9" a="1"/>
  <c r="A4" i="9" a="1"/>
  <c r="C6" i="43" a="1"/>
  <c r="J4" i="52" a="1"/>
  <c r="V17" i="56" a="1"/>
  <c r="V13" i="56" a="1"/>
  <c r="G8" i="43" a="1"/>
  <c r="F14" i="42" a="1"/>
  <c r="F12" i="42" a="1"/>
  <c r="F10" i="42" a="1"/>
  <c r="F8" i="42" a="1"/>
  <c r="F6" i="42" a="1"/>
  <c r="F4" i="42" a="1"/>
  <c r="J2" i="18" a="1"/>
  <c r="H2" i="15" a="1"/>
  <c r="F2" i="5" a="1"/>
  <c r="D2" i="7" a="1"/>
  <c r="B2" i="47" a="1"/>
  <c r="J12" i="52" a="1"/>
  <c r="J10" i="52" a="1"/>
  <c r="J8" i="52" a="1"/>
  <c r="J6" i="52" a="1"/>
  <c r="J9" i="48" a="1"/>
  <c r="D2" i="38" a="1"/>
  <c r="AB4" i="9" a="1"/>
  <c r="L4" i="9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Q22" i="12" a="1"/>
  <c r="S20" i="12" a="1"/>
  <c r="L19" i="12" a="1"/>
  <c r="N15" i="12" a="1"/>
  <c r="P13" i="12" a="1"/>
  <c r="R11" i="12" a="1"/>
  <c r="K10" i="12" a="1"/>
  <c r="M8" i="12" a="1"/>
  <c r="O6" i="12" a="1"/>
  <c r="Q4" i="12" a="1"/>
  <c r="G23" i="12" a="1"/>
  <c r="F18" i="12" a="1"/>
  <c r="E11" i="12" a="1"/>
  <c r="G5" i="12" a="1"/>
  <c r="B8" i="12" a="1"/>
  <c r="J4" i="39" a="1"/>
  <c r="F14" i="39" a="1"/>
  <c r="C11" i="39" a="1"/>
  <c r="M13" i="28" a="1"/>
  <c r="L8" i="28" a="1"/>
  <c r="K3" i="28" a="1"/>
  <c r="G8" i="28" a="1"/>
  <c r="D14" i="28" a="1"/>
  <c r="D6" i="28" a="1"/>
  <c r="O6" i="1" a="1"/>
  <c r="G19" i="1" a="1"/>
  <c r="L13" i="1" a="1"/>
  <c r="J11" i="1" a="1"/>
  <c r="H9" i="1" a="1"/>
  <c r="F7" i="1" a="1"/>
  <c r="K4" i="1" a="1"/>
  <c r="J8" i="48" a="1"/>
  <c r="C2" i="38" a="1"/>
  <c r="AA4" i="9" a="1"/>
  <c r="K4" i="9" a="1"/>
  <c r="H12" i="52" a="1"/>
  <c r="H8" i="52" a="1"/>
  <c r="H6" i="52" a="1"/>
  <c r="H4" i="52" a="1"/>
  <c r="T17" i="56" a="1"/>
  <c r="T13" i="56" a="1"/>
  <c r="T9" i="56" a="1"/>
  <c r="P22" i="12" a="1"/>
  <c r="R20" i="12" a="1"/>
  <c r="M15" i="12" a="1"/>
  <c r="O13" i="12" a="1"/>
  <c r="Q11" i="12" a="1"/>
  <c r="S9" i="12" a="1"/>
  <c r="L8" i="12" a="1"/>
  <c r="N6" i="12" a="1"/>
  <c r="G15" i="43" a="1"/>
  <c r="G7" i="43" a="1"/>
  <c r="C4" i="43" a="1"/>
  <c r="D14" i="42" a="1"/>
  <c r="D12" i="42" a="1"/>
  <c r="D10" i="42" a="1"/>
  <c r="D8" i="42" a="1"/>
  <c r="D6" i="42" a="1"/>
  <c r="D4" i="42" a="1"/>
  <c r="H2" i="18" a="1"/>
  <c r="F2" i="15" a="1"/>
  <c r="D2" i="5" a="1"/>
  <c r="B2" i="7" a="1"/>
  <c r="N2" i="46" a="1"/>
  <c r="H10" i="52" a="1"/>
  <c r="T5" i="56" a="1"/>
  <c r="H14" i="56" a="1"/>
  <c r="H10" i="56" a="1"/>
  <c r="H6" i="56" a="1"/>
  <c r="B11" i="56" a="1"/>
  <c r="C7" i="13" a="1"/>
  <c r="K19" i="12" a="1"/>
  <c r="P4" i="12" a="1"/>
  <c r="J7" i="48" a="1"/>
  <c r="B2" i="38" a="1"/>
  <c r="Z4" i="9" a="1"/>
  <c r="J4" i="9" a="1"/>
  <c r="H14" i="43" a="1"/>
  <c r="H6" i="43" a="1"/>
  <c r="C3" i="43" a="1"/>
  <c r="J6" i="48" a="1"/>
  <c r="A2" i="38" a="1"/>
  <c r="Y4" i="9" a="1"/>
  <c r="I4" i="9" a="1"/>
  <c r="L2" i="46" a="1"/>
  <c r="F10" i="52" a="1"/>
  <c r="F4" i="52" a="1"/>
  <c r="G14" i="43" a="1"/>
  <c r="G6" i="43" a="1"/>
  <c r="J15" i="42" a="1"/>
  <c r="J13" i="42" a="1"/>
  <c r="J11" i="42" a="1"/>
  <c r="J9" i="42" a="1"/>
  <c r="J7" i="42" a="1"/>
  <c r="J5" i="42" a="1"/>
  <c r="J3" i="42" a="1"/>
  <c r="F2" i="18" a="1"/>
  <c r="D2" i="15" a="1"/>
  <c r="B2" i="5" a="1"/>
  <c r="N2" i="47" a="1"/>
  <c r="F12" i="52" a="1"/>
  <c r="F8" i="52" a="1"/>
  <c r="F6" i="52" a="1"/>
  <c r="V16" i="56" a="1"/>
  <c r="J5" i="48" a="1"/>
  <c r="H13" i="43" a="1"/>
  <c r="H5" i="43" a="1"/>
  <c r="I15" i="42" a="1"/>
  <c r="I13" i="42" a="1"/>
  <c r="I11" i="42" a="1"/>
  <c r="I9" i="42" a="1"/>
  <c r="I7" i="42" a="1"/>
  <c r="I5" i="42" a="1"/>
  <c r="I3" i="42" a="1"/>
  <c r="E2" i="18" a="1"/>
  <c r="J4" i="48" a="1"/>
  <c r="AM4" i="9" a="1"/>
  <c r="W4" i="9" a="1"/>
  <c r="G4" i="9" a="1"/>
  <c r="H5" i="42" a="1"/>
  <c r="N2" i="7" a="1"/>
  <c r="J2" i="46" a="1"/>
  <c r="G13" i="43" a="1"/>
  <c r="G5" i="43" a="1"/>
  <c r="H15" i="42" a="1"/>
  <c r="H13" i="42" a="1"/>
  <c r="H11" i="42" a="1"/>
  <c r="H9" i="42" a="1"/>
  <c r="H7" i="42" a="1"/>
  <c r="H3" i="42" a="1"/>
  <c r="D2" i="18" a="1"/>
  <c r="B2" i="15" a="1"/>
  <c r="L2" i="47" a="1"/>
  <c r="D12" i="52" a="1"/>
  <c r="N2" i="38" a="1"/>
  <c r="AL4" i="9" a="1"/>
  <c r="V4" i="9" a="1"/>
  <c r="F4" i="9" a="1"/>
  <c r="AN4" i="9" a="1"/>
  <c r="C4" i="42" a="1"/>
  <c r="B2" i="46" a="1"/>
  <c r="T8" i="56" a="1"/>
  <c r="J9" i="56" a="1"/>
  <c r="C11" i="13" a="1"/>
  <c r="N20" i="12" a="1"/>
  <c r="S13" i="12" a="1"/>
  <c r="P9" i="12" a="1"/>
  <c r="L5" i="12" a="1"/>
  <c r="G18" i="12" a="1"/>
  <c r="H14" i="39" a="1"/>
  <c r="C7" i="39" a="1"/>
  <c r="M6" i="28" a="1"/>
  <c r="H5" i="28" a="1"/>
  <c r="E3" i="28" a="1"/>
  <c r="H11" i="1" a="1"/>
  <c r="G7" i="1" a="1"/>
  <c r="G3" i="1" a="1"/>
  <c r="X4" i="9" a="1"/>
  <c r="G4" i="52" a="1"/>
  <c r="S8" i="56" a="1"/>
  <c r="C9" i="13" a="1"/>
  <c r="Q13" i="12" a="1"/>
  <c r="O9" i="12" a="1"/>
  <c r="K5" i="12" a="1"/>
  <c r="E18" i="12" a="1"/>
  <c r="E5" i="12" a="1"/>
  <c r="C6" i="39" a="1"/>
  <c r="J15" i="1" a="1"/>
  <c r="G11" i="1" a="1"/>
  <c r="L6" i="1" a="1"/>
  <c r="F3" i="1" a="1"/>
  <c r="D5" i="49" a="1"/>
  <c r="C7" i="40" a="1"/>
  <c r="F7" i="60" a="1"/>
  <c r="I14" i="1" a="1"/>
  <c r="C16" i="55" a="1"/>
  <c r="H15" i="28" a="1"/>
  <c r="H4" i="9" a="1"/>
  <c r="N2" i="18" a="1"/>
  <c r="G12" i="52" a="1"/>
  <c r="S7" i="56" a="1"/>
  <c r="I9" i="56" a="1"/>
  <c r="M20" i="12" a="1"/>
  <c r="S4" i="12" a="1"/>
  <c r="G4" i="12" a="1"/>
  <c r="H13" i="39" a="1"/>
  <c r="L6" i="28" a="1"/>
  <c r="G5" i="28" a="1"/>
  <c r="D3" i="28" a="1"/>
  <c r="I15" i="1" a="1"/>
  <c r="D23" i="1" a="1"/>
  <c r="D4" i="49" a="1"/>
  <c r="C6" i="40" a="1"/>
  <c r="E7" i="60" a="1"/>
  <c r="C15" i="1" a="1"/>
  <c r="H6" i="60" a="1"/>
  <c r="C14" i="1" a="1"/>
  <c r="H11" i="39" a="1"/>
  <c r="M4" i="28" a="1"/>
  <c r="E18" i="28" a="1"/>
  <c r="G15" i="1" a="1"/>
  <c r="C13" i="1" a="1"/>
  <c r="C19" i="55" a="1"/>
  <c r="G12" i="60" a="1"/>
  <c r="G6" i="60" a="1"/>
  <c r="F6" i="60" a="1"/>
  <c r="H5" i="39" a="1"/>
  <c r="L14" i="28" a="1"/>
  <c r="O9" i="1" a="1"/>
  <c r="G10" i="1" a="1"/>
  <c r="C17" i="55" a="1"/>
  <c r="E14" i="28" a="1"/>
  <c r="O8" i="1" a="1"/>
  <c r="G6" i="1" a="1"/>
  <c r="C10" i="1" a="1"/>
  <c r="O3" i="12" a="1"/>
  <c r="M12" i="28" a="1"/>
  <c r="O4" i="1" a="1"/>
  <c r="L11" i="1" a="1"/>
  <c r="K3" i="1" a="1"/>
  <c r="L2" i="18" a="1"/>
  <c r="E4" i="52" a="1"/>
  <c r="V6" i="56" a="1"/>
  <c r="H9" i="56" a="1"/>
  <c r="C6" i="13" a="1"/>
  <c r="R19" i="12" a="1"/>
  <c r="N13" i="12" a="1"/>
  <c r="N9" i="12" a="1"/>
  <c r="R4" i="12" a="1"/>
  <c r="G15" i="12" a="1"/>
  <c r="H12" i="39" a="1"/>
  <c r="C5" i="39" a="1"/>
  <c r="K5" i="28" a="1"/>
  <c r="G3" i="28" a="1"/>
  <c r="O15" i="1" a="1"/>
  <c r="F11" i="1" a="1"/>
  <c r="K6" i="1" a="1"/>
  <c r="C21" i="55" a="1"/>
  <c r="C20" i="55" a="1"/>
  <c r="H12" i="60" a="1"/>
  <c r="E12" i="52" a="1"/>
  <c r="D4" i="52" a="1"/>
  <c r="T6" i="56" a="1"/>
  <c r="G9" i="56" a="1"/>
  <c r="C5" i="13" a="1"/>
  <c r="Q19" i="12" a="1"/>
  <c r="M13" i="12" a="1"/>
  <c r="S8" i="12" a="1"/>
  <c r="F15" i="12" a="1"/>
  <c r="F4" i="12" a="1"/>
  <c r="M15" i="28" a="1"/>
  <c r="O12" i="1" a="1"/>
  <c r="H15" i="1" a="1"/>
  <c r="L10" i="1" a="1"/>
  <c r="J6" i="1" a="1"/>
  <c r="L15" i="28" a="1"/>
  <c r="M3" i="28" a="1"/>
  <c r="D15" i="28" a="1"/>
  <c r="E12" i="60" a="1"/>
  <c r="E6" i="60" a="1"/>
  <c r="O7" i="1" a="1"/>
  <c r="G15" i="28" a="1"/>
  <c r="J5" i="1" a="1"/>
  <c r="J9" i="1" a="1"/>
  <c r="C12" i="55" a="1"/>
  <c r="F4" i="60" a="1"/>
  <c r="K7" i="1" a="1"/>
  <c r="G2" i="18" a="1"/>
  <c r="G11" i="52" a="1"/>
  <c r="G3" i="52" a="1"/>
  <c r="V5" i="56" a="1"/>
  <c r="G8" i="56" a="1"/>
  <c r="P19" i="12" a="1"/>
  <c r="R8" i="12" a="1"/>
  <c r="O4" i="12" a="1"/>
  <c r="E4" i="12" a="1"/>
  <c r="F6" i="1" a="1"/>
  <c r="C15" i="55" a="1"/>
  <c r="G5" i="60" a="1"/>
  <c r="E11" i="60" a="1"/>
  <c r="F11" i="52" a="1"/>
  <c r="F3" i="52" a="1"/>
  <c r="J7" i="56" a="1"/>
  <c r="C4" i="13" a="1"/>
  <c r="O19" i="12" a="1"/>
  <c r="L13" i="12" a="1"/>
  <c r="Q8" i="12" a="1"/>
  <c r="N4" i="12" a="1"/>
  <c r="E15" i="12" a="1"/>
  <c r="H7" i="39" a="1"/>
  <c r="K15" i="28" a="1"/>
  <c r="L4" i="28" a="1"/>
  <c r="D18" i="28" a="1"/>
  <c r="O11" i="1" a="1"/>
  <c r="K14" i="1" a="1"/>
  <c r="K10" i="1" a="1"/>
  <c r="I6" i="1" a="1"/>
  <c r="C12" i="1" a="1"/>
  <c r="L2" i="15" a="1"/>
  <c r="D3" i="52" a="1"/>
  <c r="S23" i="12" a="1"/>
  <c r="M19" i="12" a="1"/>
  <c r="K13" i="12" a="1"/>
  <c r="P8" i="12" a="1"/>
  <c r="G14" i="12" a="1"/>
  <c r="G3" i="12" a="1"/>
  <c r="H6" i="39" a="1"/>
  <c r="M14" i="28" a="1"/>
  <c r="K4" i="28" a="1"/>
  <c r="E15" i="28" a="1"/>
  <c r="O10" i="1" a="1"/>
  <c r="J10" i="1" a="1"/>
  <c r="H6" i="1" a="1"/>
  <c r="C18" i="55" a="1"/>
  <c r="F12" i="60" a="1"/>
  <c r="J14" i="1" a="1"/>
  <c r="C11" i="1" a="1"/>
  <c r="L3" i="28" a="1"/>
  <c r="H5" i="60" a="1"/>
  <c r="H14" i="1" a="1"/>
  <c r="F5" i="60" a="1"/>
  <c r="C16" i="40" a="1"/>
  <c r="D11" i="52" a="1"/>
  <c r="S5" i="56" a="1"/>
  <c r="I7" i="56" a="1"/>
  <c r="L13" i="28" a="1"/>
  <c r="E13" i="28" a="1"/>
  <c r="F10" i="1" a="1"/>
  <c r="H11" i="60" a="1"/>
  <c r="J2" i="15" a="1"/>
  <c r="J17" i="56" a="1"/>
  <c r="H7" i="56" a="1"/>
  <c r="R23" i="12" a="1"/>
  <c r="N8" i="12" a="1"/>
  <c r="M4" i="12" a="1"/>
  <c r="B14" i="12" a="1"/>
  <c r="F11" i="60" a="1"/>
  <c r="C14" i="42" a="1"/>
  <c r="G10" i="52" a="1"/>
  <c r="S17" i="56" a="1"/>
  <c r="J6" i="56" a="1"/>
  <c r="N23" i="12" a="1"/>
  <c r="S18" i="12" a="1"/>
  <c r="S12" i="12" a="1"/>
  <c r="L4" i="12" a="1"/>
  <c r="F14" i="12" a="1"/>
  <c r="B13" i="12" a="1"/>
  <c r="H4" i="39" a="1"/>
  <c r="K14" i="28" a="1"/>
  <c r="E5" i="60" a="1"/>
  <c r="F9" i="60" a="1"/>
  <c r="E2" i="15" a="1"/>
  <c r="I17" i="56" a="1"/>
  <c r="M23" i="12" a="1"/>
  <c r="R18" i="12" a="1"/>
  <c r="O12" i="12" a="1"/>
  <c r="K8" i="12" a="1"/>
  <c r="E13" i="12" a="1"/>
  <c r="B12" i="12" a="1"/>
  <c r="H3" i="39" a="1"/>
  <c r="D13" i="28" a="1"/>
  <c r="C13" i="55" a="1"/>
  <c r="E12" i="12" a="1"/>
  <c r="H14" i="28" a="1"/>
  <c r="J12" i="42" a="1"/>
  <c r="E10" i="52" a="1"/>
  <c r="U16" i="56" a="1"/>
  <c r="H17" i="56" a="1"/>
  <c r="G6" i="56" a="1"/>
  <c r="L23" i="12" a="1"/>
  <c r="N12" i="12" a="1"/>
  <c r="S7" i="12" a="1"/>
  <c r="K4" i="12" a="1"/>
  <c r="G12" i="12" a="1"/>
  <c r="B11" i="12" a="1"/>
  <c r="H2" i="39" a="1"/>
  <c r="O5" i="1" a="1"/>
  <c r="G14" i="1" a="1"/>
  <c r="L9" i="1" a="1"/>
  <c r="L5" i="1" a="1"/>
  <c r="C9" i="1" a="1"/>
  <c r="C14" i="55" a="1"/>
  <c r="G11" i="60" a="1"/>
  <c r="F14" i="1" a="1"/>
  <c r="K9" i="1" a="1"/>
  <c r="C8" i="1" a="1"/>
  <c r="B9" i="12" a="1"/>
  <c r="C2" i="15" a="1"/>
  <c r="D10" i="52" a="1"/>
  <c r="T16" i="56" a="1"/>
  <c r="G17" i="56" a="1"/>
  <c r="J5" i="56" a="1"/>
  <c r="K23" i="12" a="1"/>
  <c r="Q18" i="12" a="1"/>
  <c r="M12" i="12" a="1"/>
  <c r="P3" i="12" a="1"/>
  <c r="F12" i="12" a="1"/>
  <c r="B10" i="12" a="1"/>
  <c r="F13" i="39" a="1"/>
  <c r="K13" i="28" a="1"/>
  <c r="C9" i="40" a="1"/>
  <c r="C12" i="42" a="1"/>
  <c r="J2" i="5" a="1"/>
  <c r="G9" i="52" a="1"/>
  <c r="S15" i="56" a="1"/>
  <c r="G16" i="56" a="1"/>
  <c r="R22" i="12" a="1"/>
  <c r="P18" i="12" a="1"/>
  <c r="L12" i="12" a="1"/>
  <c r="R7" i="12" a="1"/>
  <c r="H2" i="5" a="1"/>
  <c r="F9" i="52" a="1"/>
  <c r="V14" i="56" a="1"/>
  <c r="J15" i="56" a="1"/>
  <c r="I5" i="56" a="1"/>
  <c r="S11" i="12" a="1"/>
  <c r="Q7" i="12" a="1"/>
  <c r="N3" i="12" a="1"/>
  <c r="G11" i="12" a="1"/>
  <c r="B7" i="12" a="1"/>
  <c r="F12" i="39" a="1"/>
  <c r="O3" i="1" a="1"/>
  <c r="I9" i="1" a="1"/>
  <c r="I5" i="1" a="1"/>
  <c r="C7" i="1" a="1"/>
  <c r="H10" i="60" a="1"/>
  <c r="C3" i="1" a="1"/>
  <c r="H13" i="1" a="1"/>
  <c r="D5" i="28" a="1"/>
  <c r="J10" i="42" a="1"/>
  <c r="D9" i="52" a="1"/>
  <c r="T14" i="56" a="1"/>
  <c r="I15" i="56" a="1"/>
  <c r="H5" i="56" a="1"/>
  <c r="O22" i="12" a="1"/>
  <c r="O18" i="12" a="1"/>
  <c r="M3" i="12" a="1"/>
  <c r="F11" i="12" a="1"/>
  <c r="F11" i="39" a="1"/>
  <c r="L12" i="28" a="1"/>
  <c r="G14" i="28" a="1"/>
  <c r="D12" i="28" a="1"/>
  <c r="J13" i="1" a="1"/>
  <c r="G9" i="1" a="1"/>
  <c r="H5" i="1" a="1"/>
  <c r="C6" i="1" a="1"/>
  <c r="C11" i="55" a="1"/>
  <c r="H4" i="60" a="1"/>
  <c r="G10" i="60" a="1"/>
  <c r="G4" i="60" a="1"/>
  <c r="J14" i="56" a="1"/>
  <c r="K3" i="12" a="1"/>
  <c r="B5" i="12" a="1"/>
  <c r="F10" i="39" a="1"/>
  <c r="C2" i="5" a="1"/>
  <c r="H15" i="56" a="1"/>
  <c r="G5" i="56" a="1"/>
  <c r="N22" i="12" a="1"/>
  <c r="K18" i="12" a="1"/>
  <c r="P11" i="12" a="1"/>
  <c r="P7" i="12" a="1"/>
  <c r="L3" i="12" a="1"/>
  <c r="G10" i="12" a="1"/>
  <c r="B6" i="12" a="1"/>
  <c r="K12" i="28" a="1"/>
  <c r="H13" i="28" a="1"/>
  <c r="E11" i="28" a="1"/>
  <c r="L20" i="1" a="1"/>
  <c r="I13" i="1" a="1"/>
  <c r="G5" i="1" a="1"/>
  <c r="C5" i="1" a="1"/>
  <c r="C10" i="55" a="1"/>
  <c r="C23" i="56" a="1"/>
  <c r="S15" i="12" a="1"/>
  <c r="F9" i="1" a="1"/>
  <c r="F5" i="1" a="1"/>
  <c r="C10" i="42" a="1"/>
  <c r="G8" i="52" a="1"/>
  <c r="S13" i="56" a="1"/>
  <c r="O11" i="12" a="1"/>
  <c r="L7" i="12" a="1"/>
  <c r="K20" i="1" a="1"/>
  <c r="F10" i="60" a="1"/>
  <c r="D11" i="28" a="1"/>
  <c r="L4" i="1" a="1"/>
  <c r="C9" i="55" a="1"/>
  <c r="A2" i="5" a="1"/>
  <c r="V12" i="56" a="1"/>
  <c r="B17" i="56" a="1"/>
  <c r="M22" i="12" a="1"/>
  <c r="R15" i="12" a="1"/>
  <c r="K7" i="12" a="1"/>
  <c r="F23" i="12" a="1"/>
  <c r="F10" i="12" a="1"/>
  <c r="F9" i="39" a="1"/>
  <c r="M11" i="28" a="1"/>
  <c r="G13" i="28" a="1"/>
  <c r="L8" i="1" a="1"/>
  <c r="E10" i="60" a="1"/>
  <c r="H3" i="1" a="1"/>
  <c r="J8" i="42" a="1"/>
  <c r="H2" i="7" a="1"/>
  <c r="E8" i="52" a="1"/>
  <c r="G14" i="56" a="1"/>
  <c r="B16" i="56" a="1"/>
  <c r="L22" i="12" a="1"/>
  <c r="Q15" i="12" a="1"/>
  <c r="N11" i="12" a="1"/>
  <c r="S6" i="12" a="1"/>
  <c r="E10" i="12" a="1"/>
  <c r="B4" i="12" a="1"/>
  <c r="L10" i="28" a="1"/>
  <c r="G11" i="28" a="1"/>
  <c r="D9" i="28" a="1"/>
  <c r="J20" i="1" a="1"/>
  <c r="G13" i="1" a="1"/>
  <c r="J4" i="1" a="1"/>
  <c r="D16" i="49" a="1"/>
  <c r="C18" i="40" a="1"/>
  <c r="H9" i="60" a="1"/>
  <c r="E4" i="60" a="1"/>
  <c r="F9" i="12" a="1"/>
  <c r="J14" i="39" a="1"/>
  <c r="F3" i="39" a="1"/>
  <c r="G10" i="28" a="1"/>
  <c r="D13" i="49" a="1"/>
  <c r="G7" i="28" a="1"/>
  <c r="H8" i="42" a="1"/>
  <c r="F2" i="7" a="1"/>
  <c r="D8" i="52" a="1"/>
  <c r="U12" i="56" a="1"/>
  <c r="J13" i="56" a="1"/>
  <c r="B15" i="56" a="1"/>
  <c r="O15" i="12" a="1"/>
  <c r="M11" i="12" a="1"/>
  <c r="R6" i="12" a="1"/>
  <c r="E23" i="12" a="1"/>
  <c r="B3" i="12" a="1"/>
  <c r="F8" i="39" a="1"/>
  <c r="I20" i="1" a="1"/>
  <c r="K8" i="1" a="1"/>
  <c r="D15" i="49" a="1"/>
  <c r="G9" i="60" a="1"/>
  <c r="J8" i="1" a="1"/>
  <c r="I4" i="1" a="1"/>
  <c r="D14" i="49" a="1"/>
  <c r="C17" i="40" a="1"/>
  <c r="H3" i="60" a="1"/>
  <c r="G7" i="52" a="1"/>
  <c r="T12" i="56" a="1"/>
  <c r="B13" i="56" a="1"/>
  <c r="K22" i="12" a="1"/>
  <c r="P6" i="12" a="1"/>
  <c r="G22" i="12" a="1"/>
  <c r="G9" i="12" a="1"/>
  <c r="F4" i="39" a="1"/>
  <c r="K10" i="28" a="1"/>
  <c r="H10" i="28" a="1"/>
  <c r="E8" i="28" a="1"/>
  <c r="F20" i="1" a="1"/>
  <c r="F13" i="1" a="1"/>
  <c r="C8" i="42" a="1"/>
  <c r="A2" i="7" a="1"/>
  <c r="F7" i="52" a="1"/>
  <c r="S12" i="56" a="1"/>
  <c r="I13" i="56" a="1"/>
  <c r="P21" i="12" a="1"/>
  <c r="L15" i="12" a="1"/>
  <c r="L11" i="12" a="1"/>
  <c r="M9" i="28" a="1"/>
  <c r="D8" i="28" a="1"/>
  <c r="L12" i="1" a="1"/>
  <c r="H4" i="1" a="1"/>
  <c r="G3" i="60" a="1"/>
  <c r="F19" i="1" a="1"/>
  <c r="D7" i="49" a="1"/>
  <c r="D7" i="52" a="1"/>
  <c r="S11" i="56" a="1"/>
  <c r="H13" i="56" a="1"/>
  <c r="B10" i="56" a="1"/>
  <c r="O21" i="12" a="1"/>
  <c r="K15" i="12" a="1"/>
  <c r="Q10" i="12" a="1"/>
  <c r="M6" i="12" a="1"/>
  <c r="F22" i="12" a="1"/>
  <c r="J10" i="39" a="1"/>
  <c r="F2" i="39" a="1"/>
  <c r="L9" i="28" a="1"/>
  <c r="H9" i="28" a="1"/>
  <c r="E7" i="28" a="1"/>
  <c r="L19" i="1" a="1"/>
  <c r="I12" i="1" a="1"/>
  <c r="I8" i="1" a="1"/>
  <c r="D12" i="49" a="1"/>
  <c r="C15" i="40" a="1"/>
  <c r="E9" i="60" a="1"/>
  <c r="F3" i="60" a="1"/>
  <c r="C14" i="39" a="1"/>
  <c r="K9" i="28" a="1"/>
  <c r="D7" i="28" a="1"/>
  <c r="G4" i="1" a="1"/>
  <c r="C14" i="40" a="1"/>
  <c r="E3" i="60" a="1"/>
  <c r="M8" i="28" a="1"/>
  <c r="G8" i="1" a="1"/>
  <c r="D10" i="49" a="1"/>
  <c r="J6" i="42" a="1"/>
  <c r="M2" i="47" a="1"/>
  <c r="V10" i="56" a="1"/>
  <c r="G13" i="56" a="1"/>
  <c r="B9" i="56" a="1"/>
  <c r="N21" i="12" a="1"/>
  <c r="P10" i="12" a="1"/>
  <c r="L6" i="12" a="1"/>
  <c r="E22" i="12" a="1"/>
  <c r="E9" i="12" a="1"/>
  <c r="J9" i="39" a="1"/>
  <c r="G9" i="28" a="1"/>
  <c r="K19" i="1" a="1"/>
  <c r="H8" i="1" a="1"/>
  <c r="D11" i="49" a="1"/>
  <c r="H8" i="28" a="1"/>
  <c r="E6" i="28" a="1"/>
  <c r="J19" i="1" a="1"/>
  <c r="H12" i="1" a="1"/>
  <c r="F4" i="1" a="1"/>
  <c r="H8" i="60" a="1"/>
  <c r="N10" i="12" a="1"/>
  <c r="J7" i="39" a="1"/>
  <c r="K8" i="28" a="1"/>
  <c r="G12" i="1" a="1"/>
  <c r="G8" i="60" a="1"/>
  <c r="B7" i="56" a="1"/>
  <c r="L10" i="12" a="1"/>
  <c r="F20" i="12" a="1"/>
  <c r="J6" i="39" a="1"/>
  <c r="F12" i="1" a="1"/>
  <c r="L3" i="1" a="1"/>
  <c r="D9" i="49" a="1"/>
  <c r="H6" i="42" a="1"/>
  <c r="F2" i="47" a="1"/>
  <c r="G6" i="52" a="1"/>
  <c r="T10" i="56" a="1"/>
  <c r="G12" i="56" a="1"/>
  <c r="M21" i="12" a="1"/>
  <c r="S14" i="12" a="1"/>
  <c r="O10" i="12" a="1"/>
  <c r="G7" i="12" a="1"/>
  <c r="J8" i="39" a="1"/>
  <c r="C13" i="39" a="1"/>
  <c r="C13" i="40" a="1"/>
  <c r="C12" i="39" a="1"/>
  <c r="E5" i="28" a="1"/>
  <c r="L7" i="1" a="1"/>
  <c r="E6" i="52" a="1"/>
  <c r="C10" i="39" a="1"/>
  <c r="C11" i="40" a="1"/>
  <c r="D2" i="47" a="1"/>
  <c r="V9" i="56" a="1"/>
  <c r="J11" i="56" a="1"/>
  <c r="B8" i="56" a="1"/>
  <c r="K21" i="12" a="1"/>
  <c r="R14" i="12" a="1"/>
  <c r="K6" i="12" a="1"/>
  <c r="G21" i="12" a="1"/>
  <c r="F7" i="12" a="1"/>
  <c r="H7" i="28" a="1"/>
  <c r="I19" i="1" a="1"/>
  <c r="S5" i="12" a="1"/>
  <c r="C12" i="40" a="1"/>
  <c r="C6" i="42" a="1"/>
  <c r="I11" i="56" a="1"/>
  <c r="E7" i="12" a="1"/>
  <c r="H19" i="1" a="1"/>
  <c r="F8" i="60" a="1"/>
  <c r="M2" i="46" a="1"/>
  <c r="D6" i="52" a="1"/>
  <c r="S9" i="56" a="1"/>
  <c r="H11" i="56" a="1"/>
  <c r="B6" i="56" a="1"/>
  <c r="Q20" i="12" a="1"/>
  <c r="Q14" i="12" a="1"/>
  <c r="E20" i="12" a="1"/>
  <c r="G6" i="12" a="1"/>
  <c r="J5" i="39" a="1"/>
  <c r="M7" i="28" a="1"/>
  <c r="J4" i="42" a="1"/>
  <c r="G5" i="52" a="1"/>
  <c r="V8" i="56" a="1"/>
  <c r="J10" i="56" a="1"/>
  <c r="C14" i="13" a="1"/>
  <c r="P20" i="12" a="1"/>
  <c r="M14" i="12" a="1"/>
  <c r="R9" i="12" a="1"/>
  <c r="R5" i="12" a="1"/>
  <c r="G19" i="12" a="1"/>
  <c r="F6" i="12" a="1"/>
  <c r="J3" i="39" a="1"/>
  <c r="C9" i="39" a="1"/>
  <c r="L7" i="28" a="1"/>
  <c r="H6" i="28" a="1"/>
  <c r="E4" i="28" a="1"/>
  <c r="K11" i="1" a="1"/>
  <c r="J7" i="1" a="1"/>
  <c r="J3" i="1" a="1"/>
  <c r="C10" i="40" a="1"/>
  <c r="E8" i="60" a="1"/>
  <c r="C13" i="13" a="1"/>
  <c r="L14" i="12" a="1"/>
  <c r="Q9" i="12" a="1"/>
  <c r="N5" i="12" a="1"/>
  <c r="F19" i="12" a="1"/>
  <c r="E6" i="12" a="1"/>
  <c r="C8" i="39" a="1"/>
  <c r="L15" i="1" a="1"/>
  <c r="H4" i="42" a="1"/>
  <c r="K2" i="46" a="1"/>
  <c r="F5" i="52" a="1"/>
  <c r="I11" i="1" a="1"/>
  <c r="I7" i="1" a="1"/>
  <c r="D2" i="46" a="1"/>
  <c r="D5" i="52" a="1"/>
  <c r="U8" i="56" a="1"/>
  <c r="G10" i="56" a="1"/>
  <c r="C12" i="13" a="1"/>
  <c r="O20" i="12" a="1"/>
  <c r="K14" i="12" a="1"/>
  <c r="M5" i="12" a="1"/>
  <c r="E19" i="12" a="1"/>
  <c r="F5" i="12" a="1"/>
  <c r="J2" i="39" a="1"/>
  <c r="K7" i="28" a="1"/>
  <c r="G6" i="28" a="1"/>
  <c r="D4" i="28" a="1"/>
  <c r="K15" i="1" a="1"/>
  <c r="H7" i="1" a="1"/>
  <c r="D6" i="49" a="1"/>
  <c r="C8" i="40" a="1"/>
  <c r="H7" i="60" a="1"/>
  <c r="G7" i="60" a="1"/>
  <c r="E12" i="28" a="1"/>
  <c r="K13" i="1" a="1"/>
  <c r="D8" i="49" a="1"/>
  <c r="D8" i="49" l="1"/>
  <c r="K13" i="1"/>
  <c r="E12" i="28"/>
  <c r="G7" i="60"/>
  <c r="H7" i="60"/>
  <c r="C8" i="40"/>
  <c r="D6" i="49"/>
  <c r="H7" i="1"/>
  <c r="K15" i="1"/>
  <c r="D4" i="28"/>
  <c r="G6" i="28"/>
  <c r="K7" i="28"/>
  <c r="J2" i="39"/>
  <c r="F5" i="12"/>
  <c r="E19" i="12"/>
  <c r="M5" i="12"/>
  <c r="K14" i="12"/>
  <c r="O20" i="12"/>
  <c r="C12" i="13"/>
  <c r="G10" i="56"/>
  <c r="U8" i="56"/>
  <c r="D5" i="52"/>
  <c r="D2" i="46"/>
  <c r="I7" i="1"/>
  <c r="I11" i="1"/>
  <c r="F5" i="52"/>
  <c r="K2" i="46"/>
  <c r="H4" i="42"/>
  <c r="L15" i="1"/>
  <c r="C8" i="39"/>
  <c r="E6" i="12"/>
  <c r="F19" i="12"/>
  <c r="N5" i="12"/>
  <c r="Q9" i="12"/>
  <c r="L14" i="12"/>
  <c r="C13" i="13"/>
  <c r="E8" i="60"/>
  <c r="C10" i="40"/>
  <c r="J3" i="1"/>
  <c r="J7" i="1"/>
  <c r="K11" i="1"/>
  <c r="E4" i="28"/>
  <c r="H6" i="28"/>
  <c r="L7" i="28"/>
  <c r="C9" i="39"/>
  <c r="J3" i="39"/>
  <c r="F6" i="12"/>
  <c r="G19" i="12"/>
  <c r="R5" i="12"/>
  <c r="R9" i="12"/>
  <c r="M14" i="12"/>
  <c r="P20" i="12"/>
  <c r="C14" i="13"/>
  <c r="J10" i="56"/>
  <c r="V8" i="56"/>
  <c r="G5" i="52"/>
  <c r="J4" i="42"/>
  <c r="M7" i="28"/>
  <c r="J5" i="39"/>
  <c r="G6" i="12"/>
  <c r="E20" i="12"/>
  <c r="Q14" i="12"/>
  <c r="Q20" i="12"/>
  <c r="B6" i="56"/>
  <c r="H11" i="56"/>
  <c r="S9" i="56"/>
  <c r="D6" i="52"/>
  <c r="M2" i="46"/>
  <c r="F8" i="60"/>
  <c r="H19" i="1"/>
  <c r="E7" i="12"/>
  <c r="I11" i="56"/>
  <c r="C6" i="42"/>
  <c r="C12" i="40"/>
  <c r="S5" i="12"/>
  <c r="I19" i="1"/>
  <c r="H7" i="28"/>
  <c r="F7" i="12"/>
  <c r="G21" i="12"/>
  <c r="K6" i="12"/>
  <c r="R14" i="12"/>
  <c r="K21" i="12"/>
  <c r="B8" i="56"/>
  <c r="J11" i="56"/>
  <c r="V9" i="56"/>
  <c r="D2" i="47"/>
  <c r="C11" i="40"/>
  <c r="C10" i="39"/>
  <c r="E6" i="52"/>
  <c r="L7" i="1"/>
  <c r="E5" i="28"/>
  <c r="C12" i="39"/>
  <c r="C13" i="40"/>
  <c r="C13" i="39"/>
  <c r="J8" i="39"/>
  <c r="G7" i="12"/>
  <c r="O10" i="12"/>
  <c r="S14" i="12"/>
  <c r="M21" i="12"/>
  <c r="G12" i="56"/>
  <c r="T10" i="56"/>
  <c r="G6" i="52"/>
  <c r="F2" i="47"/>
  <c r="H6" i="42"/>
  <c r="D9" i="49"/>
  <c r="L3" i="1"/>
  <c r="F12" i="1"/>
  <c r="J6" i="39"/>
  <c r="F20" i="12"/>
  <c r="L10" i="12"/>
  <c r="B7" i="56"/>
  <c r="G8" i="60"/>
  <c r="G12" i="1"/>
  <c r="K8" i="28"/>
  <c r="J7" i="39"/>
  <c r="N10" i="12"/>
  <c r="H8" i="60"/>
  <c r="F4" i="1"/>
  <c r="H12" i="1"/>
  <c r="J19" i="1"/>
  <c r="E6" i="28"/>
  <c r="H8" i="28"/>
  <c r="D11" i="49"/>
  <c r="H8" i="1"/>
  <c r="K19" i="1"/>
  <c r="G9" i="28"/>
  <c r="J9" i="39"/>
  <c r="E9" i="12"/>
  <c r="E22" i="12"/>
  <c r="L6" i="12"/>
  <c r="P10" i="12"/>
  <c r="N21" i="12"/>
  <c r="B9" i="56"/>
  <c r="G13" i="56"/>
  <c r="V10" i="56"/>
  <c r="M2" i="47"/>
  <c r="J6" i="42"/>
  <c r="D10" i="49"/>
  <c r="G8" i="1"/>
  <c r="M8" i="28"/>
  <c r="E3" i="60"/>
  <c r="C14" i="40"/>
  <c r="G4" i="1"/>
  <c r="D7" i="28"/>
  <c r="K9" i="28"/>
  <c r="C14" i="39"/>
  <c r="F3" i="60"/>
  <c r="E9" i="60"/>
  <c r="C15" i="40"/>
  <c r="D12" i="49"/>
  <c r="I8" i="1"/>
  <c r="I12" i="1"/>
  <c r="L19" i="1"/>
  <c r="E7" i="28"/>
  <c r="H9" i="28"/>
  <c r="L9" i="28"/>
  <c r="F2" i="39"/>
  <c r="J10" i="39"/>
  <c r="F22" i="12"/>
  <c r="M6" i="12"/>
  <c r="Q10" i="12"/>
  <c r="K15" i="12"/>
  <c r="O21" i="12"/>
  <c r="B10" i="56"/>
  <c r="H13" i="56"/>
  <c r="S11" i="56"/>
  <c r="D7" i="52"/>
  <c r="D7" i="49"/>
  <c r="F19" i="1"/>
  <c r="G3" i="60"/>
  <c r="H4" i="1"/>
  <c r="L12" i="1"/>
  <c r="D8" i="28"/>
  <c r="M9" i="28"/>
  <c r="L11" i="12"/>
  <c r="L15" i="12"/>
  <c r="P21" i="12"/>
  <c r="I13" i="56"/>
  <c r="S12" i="56"/>
  <c r="F7" i="52"/>
  <c r="A2" i="7"/>
  <c r="C8" i="42"/>
  <c r="F13" i="1"/>
  <c r="F20" i="1"/>
  <c r="E8" i="28"/>
  <c r="H10" i="28"/>
  <c r="K10" i="28"/>
  <c r="F4" i="39"/>
  <c r="G9" i="12"/>
  <c r="G22" i="12"/>
  <c r="P6" i="12"/>
  <c r="K22" i="12"/>
  <c r="B13" i="56"/>
  <c r="T12" i="56"/>
  <c r="G7" i="52"/>
  <c r="H3" i="60"/>
  <c r="C17" i="40"/>
  <c r="D14" i="49"/>
  <c r="I4" i="1"/>
  <c r="J8" i="1"/>
  <c r="G9" i="60"/>
  <c r="D15" i="49"/>
  <c r="K8" i="1"/>
  <c r="I20" i="1"/>
  <c r="F8" i="39"/>
  <c r="B3" i="12"/>
  <c r="E23" i="12"/>
  <c r="R6" i="12"/>
  <c r="M11" i="12"/>
  <c r="O15" i="12"/>
  <c r="B15" i="56"/>
  <c r="J13" i="56"/>
  <c r="U12" i="56"/>
  <c r="D8" i="52"/>
  <c r="F2" i="7"/>
  <c r="H8" i="42"/>
  <c r="G7" i="28"/>
  <c r="D13" i="49"/>
  <c r="G10" i="28"/>
  <c r="F3" i="39"/>
  <c r="J14" i="39"/>
  <c r="F9" i="12"/>
  <c r="E4" i="60"/>
  <c r="H9" i="60"/>
  <c r="C18" i="40"/>
  <c r="D16" i="49"/>
  <c r="J4" i="1"/>
  <c r="G13" i="1"/>
  <c r="J20" i="1"/>
  <c r="D9" i="28"/>
  <c r="G11" i="28"/>
  <c r="L10" i="28"/>
  <c r="B4" i="12"/>
  <c r="E10" i="12"/>
  <c r="S6" i="12"/>
  <c r="N11" i="12"/>
  <c r="Q15" i="12"/>
  <c r="L22" i="12"/>
  <c r="B16" i="56"/>
  <c r="G14" i="56"/>
  <c r="E8" i="52"/>
  <c r="H2" i="7"/>
  <c r="J8" i="42"/>
  <c r="H3" i="1"/>
  <c r="E10" i="60"/>
  <c r="L8" i="1"/>
  <c r="G13" i="28"/>
  <c r="M11" i="28"/>
  <c r="F9" i="39"/>
  <c r="F10" i="12"/>
  <c r="F23" i="12"/>
  <c r="K7" i="12"/>
  <c r="R15" i="12"/>
  <c r="M22" i="12"/>
  <c r="B17" i="56"/>
  <c r="V12" i="56"/>
  <c r="A2" i="5"/>
  <c r="C9" i="55"/>
  <c r="L4" i="1"/>
  <c r="D11" i="28"/>
  <c r="F10" i="60"/>
  <c r="K20" i="1"/>
  <c r="L7" i="12"/>
  <c r="O11" i="12"/>
  <c r="S13" i="56"/>
  <c r="G8" i="52"/>
  <c r="C10" i="42"/>
  <c r="F5" i="1"/>
  <c r="F9" i="1"/>
  <c r="S15" i="12"/>
  <c r="C23" i="56"/>
  <c r="C10" i="55"/>
  <c r="C5" i="1"/>
  <c r="G5" i="1"/>
  <c r="I13" i="1"/>
  <c r="L20" i="1"/>
  <c r="E11" i="28"/>
  <c r="H13" i="28"/>
  <c r="K12" i="28"/>
  <c r="B6" i="12"/>
  <c r="G10" i="12"/>
  <c r="L3" i="12"/>
  <c r="P7" i="12"/>
  <c r="P11" i="12"/>
  <c r="K18" i="12"/>
  <c r="N22" i="12"/>
  <c r="G5" i="56"/>
  <c r="H15" i="56"/>
  <c r="C2" i="5"/>
  <c r="F10" i="39"/>
  <c r="B5" i="12"/>
  <c r="K3" i="12"/>
  <c r="J14" i="56"/>
  <c r="G4" i="60"/>
  <c r="G10" i="60"/>
  <c r="H4" i="60"/>
  <c r="C11" i="55"/>
  <c r="C6" i="1"/>
  <c r="H5" i="1"/>
  <c r="G9" i="1"/>
  <c r="J13" i="1"/>
  <c r="D12" i="28"/>
  <c r="G14" i="28"/>
  <c r="L12" i="28"/>
  <c r="F11" i="39"/>
  <c r="F11" i="12"/>
  <c r="M3" i="12"/>
  <c r="O18" i="12"/>
  <c r="O22" i="12"/>
  <c r="H5" i="56"/>
  <c r="I15" i="56"/>
  <c r="T14" i="56"/>
  <c r="D9" i="52"/>
  <c r="J10" i="42"/>
  <c r="D5" i="28"/>
  <c r="H13" i="1"/>
  <c r="C3" i="1"/>
  <c r="H10" i="60"/>
  <c r="C7" i="1"/>
  <c r="I5" i="1"/>
  <c r="I9" i="1"/>
  <c r="O3" i="1"/>
  <c r="F12" i="39"/>
  <c r="B7" i="12"/>
  <c r="G11" i="12"/>
  <c r="N3" i="12"/>
  <c r="Q7" i="12"/>
  <c r="S11" i="12"/>
  <c r="I5" i="56"/>
  <c r="J15" i="56"/>
  <c r="V14" i="56"/>
  <c r="F9" i="52"/>
  <c r="H2" i="5"/>
  <c r="R7" i="12"/>
  <c r="L12" i="12"/>
  <c r="P18" i="12"/>
  <c r="R22" i="12"/>
  <c r="G16" i="56"/>
  <c r="S15" i="56"/>
  <c r="G9" i="52"/>
  <c r="J2" i="5"/>
  <c r="C12" i="42"/>
  <c r="C9" i="40"/>
  <c r="K13" i="28"/>
  <c r="F13" i="39"/>
  <c r="B10" i="12"/>
  <c r="F12" i="12"/>
  <c r="P3" i="12"/>
  <c r="M12" i="12"/>
  <c r="Q18" i="12"/>
  <c r="K23" i="12"/>
  <c r="J5" i="56"/>
  <c r="G17" i="56"/>
  <c r="T16" i="56"/>
  <c r="D10" i="52"/>
  <c r="C2" i="15"/>
  <c r="B9" i="12"/>
  <c r="C8" i="1"/>
  <c r="K9" i="1"/>
  <c r="F14" i="1"/>
  <c r="G11" i="60"/>
  <c r="C14" i="55"/>
  <c r="C9" i="1"/>
  <c r="L5" i="1"/>
  <c r="L9" i="1"/>
  <c r="G14" i="1"/>
  <c r="O5" i="1"/>
  <c r="H2" i="39"/>
  <c r="B11" i="12"/>
  <c r="G12" i="12"/>
  <c r="K4" i="12"/>
  <c r="S7" i="12"/>
  <c r="N12" i="12"/>
  <c r="L23" i="12"/>
  <c r="G6" i="56"/>
  <c r="H17" i="56"/>
  <c r="U16" i="56"/>
  <c r="E10" i="52"/>
  <c r="J12" i="42"/>
  <c r="H14" i="28"/>
  <c r="E12" i="12"/>
  <c r="C13" i="55"/>
  <c r="D13" i="28"/>
  <c r="H3" i="39"/>
  <c r="B12" i="12"/>
  <c r="E13" i="12"/>
  <c r="K8" i="12"/>
  <c r="O12" i="12"/>
  <c r="R18" i="12"/>
  <c r="M23" i="12"/>
  <c r="I17" i="56"/>
  <c r="E2" i="15"/>
  <c r="F9" i="60"/>
  <c r="E5" i="60"/>
  <c r="K14" i="28"/>
  <c r="H4" i="39"/>
  <c r="B13" i="12"/>
  <c r="F14" i="12"/>
  <c r="L4" i="12"/>
  <c r="S12" i="12"/>
  <c r="S18" i="12"/>
  <c r="N23" i="12"/>
  <c r="J6" i="56"/>
  <c r="S17" i="56"/>
  <c r="G10" i="52"/>
  <c r="C14" i="42"/>
  <c r="F11" i="60"/>
  <c r="B14" i="12"/>
  <c r="M4" i="12"/>
  <c r="N8" i="12"/>
  <c r="R23" i="12"/>
  <c r="H7" i="56"/>
  <c r="J17" i="56"/>
  <c r="J2" i="15"/>
  <c r="H11" i="60"/>
  <c r="F10" i="1"/>
  <c r="E13" i="28"/>
  <c r="L13" i="28"/>
  <c r="I7" i="56"/>
  <c r="S5" i="56"/>
  <c r="D11" i="52"/>
  <c r="C16" i="40"/>
  <c r="F5" i="60"/>
  <c r="H14" i="1"/>
  <c r="H5" i="60"/>
  <c r="L3" i="28"/>
  <c r="C11" i="1"/>
  <c r="J14" i="1"/>
  <c r="F12" i="60"/>
  <c r="C18" i="55"/>
  <c r="H6" i="1"/>
  <c r="J10" i="1"/>
  <c r="O10" i="1"/>
  <c r="E15" i="28"/>
  <c r="K4" i="28"/>
  <c r="M14" i="28"/>
  <c r="H6" i="39"/>
  <c r="G3" i="12"/>
  <c r="G14" i="12"/>
  <c r="P8" i="12"/>
  <c r="K13" i="12"/>
  <c r="M19" i="12"/>
  <c r="S23" i="12"/>
  <c r="D3" i="52"/>
  <c r="L2" i="15"/>
  <c r="C12" i="1"/>
  <c r="I6" i="1"/>
  <c r="K10" i="1"/>
  <c r="K14" i="1"/>
  <c r="O11" i="1"/>
  <c r="D18" i="28"/>
  <c r="L4" i="28"/>
  <c r="K15" i="28"/>
  <c r="H7" i="39"/>
  <c r="E15" i="12"/>
  <c r="N4" i="12"/>
  <c r="Q8" i="12"/>
  <c r="L13" i="12"/>
  <c r="O19" i="12"/>
  <c r="C4" i="13"/>
  <c r="J7" i="56"/>
  <c r="F3" i="52"/>
  <c r="F11" i="52"/>
  <c r="E11" i="60"/>
  <c r="G5" i="60"/>
  <c r="C15" i="55"/>
  <c r="F6" i="1"/>
  <c r="E4" i="12"/>
  <c r="O4" i="12"/>
  <c r="R8" i="12"/>
  <c r="P19" i="12"/>
  <c r="G8" i="56"/>
  <c r="V5" i="56"/>
  <c r="G3" i="52"/>
  <c r="G11" i="52"/>
  <c r="G2" i="18"/>
  <c r="K7" i="1"/>
  <c r="F4" i="60"/>
  <c r="C12" i="55"/>
  <c r="J9" i="1"/>
  <c r="J5" i="1"/>
  <c r="G15" i="28"/>
  <c r="O7" i="1"/>
  <c r="E6" i="60"/>
  <c r="E12" i="60"/>
  <c r="D15" i="28"/>
  <c r="M3" i="28"/>
  <c r="L15" i="28"/>
  <c r="J6" i="1"/>
  <c r="L10" i="1"/>
  <c r="H15" i="1"/>
  <c r="O12" i="1"/>
  <c r="M15" i="28"/>
  <c r="F4" i="12"/>
  <c r="F15" i="12"/>
  <c r="S8" i="12"/>
  <c r="M13" i="12"/>
  <c r="Q19" i="12"/>
  <c r="C5" i="13"/>
  <c r="G9" i="56"/>
  <c r="T6" i="56"/>
  <c r="D4" i="52"/>
  <c r="E12" i="52"/>
  <c r="H12" i="60"/>
  <c r="C20" i="55"/>
  <c r="C21" i="55"/>
  <c r="K6" i="1"/>
  <c r="F11" i="1"/>
  <c r="O15" i="1"/>
  <c r="G3" i="28"/>
  <c r="K5" i="28"/>
  <c r="C5" i="39"/>
  <c r="H12" i="39"/>
  <c r="G15" i="12"/>
  <c r="R4" i="12"/>
  <c r="N9" i="12"/>
  <c r="N13" i="12"/>
  <c r="R19" i="12"/>
  <c r="C6" i="13"/>
  <c r="H9" i="56"/>
  <c r="V6" i="56"/>
  <c r="E4" i="52"/>
  <c r="L2" i="18"/>
  <c r="K3" i="1"/>
  <c r="L11" i="1"/>
  <c r="O4" i="1"/>
  <c r="M12" i="28"/>
  <c r="O3" i="12"/>
  <c r="C10" i="1"/>
  <c r="G6" i="1"/>
  <c r="O8" i="1"/>
  <c r="E14" i="28"/>
  <c r="C17" i="55"/>
  <c r="G10" i="1"/>
  <c r="O9" i="1"/>
  <c r="L14" i="28"/>
  <c r="H5" i="39"/>
  <c r="F6" i="60"/>
  <c r="G6" i="60"/>
  <c r="G12" i="60"/>
  <c r="C19" i="55"/>
  <c r="C13" i="1"/>
  <c r="G15" i="1"/>
  <c r="E18" i="28"/>
  <c r="M4" i="28"/>
  <c r="H11" i="39"/>
  <c r="C14" i="1"/>
  <c r="H6" i="60"/>
  <c r="C15" i="1"/>
  <c r="E7" i="60"/>
  <c r="C6" i="40"/>
  <c r="D4" i="49"/>
  <c r="D23" i="1"/>
  <c r="I15" i="1"/>
  <c r="D3" i="28"/>
  <c r="G5" i="28"/>
  <c r="L6" i="28"/>
  <c r="H13" i="39"/>
  <c r="G4" i="12"/>
  <c r="S4" i="12"/>
  <c r="Y13" i="12" s="1" a="1"/>
  <c r="Y13" i="12" s="1"/>
  <c r="M20" i="12"/>
  <c r="I9" i="56"/>
  <c r="S7" i="56"/>
  <c r="G12" i="52"/>
  <c r="N2" i="18"/>
  <c r="H4" i="9"/>
  <c r="H15" i="28"/>
  <c r="C16" i="55"/>
  <c r="I14" i="1"/>
  <c r="F7" i="60"/>
  <c r="C7" i="40"/>
  <c r="D5" i="49"/>
  <c r="F3" i="1"/>
  <c r="L6" i="1"/>
  <c r="G11" i="1"/>
  <c r="J15" i="1"/>
  <c r="C6" i="39"/>
  <c r="E5" i="12"/>
  <c r="E18" i="12"/>
  <c r="K5" i="12"/>
  <c r="O9" i="12"/>
  <c r="Q13" i="12"/>
  <c r="C9" i="13"/>
  <c r="S8" i="56"/>
  <c r="G4" i="52"/>
  <c r="X4" i="9"/>
  <c r="G3" i="1"/>
  <c r="G7" i="1"/>
  <c r="H11" i="1"/>
  <c r="E3" i="28"/>
  <c r="H5" i="28"/>
  <c r="M6" i="28"/>
  <c r="C7" i="39"/>
  <c r="H14" i="39"/>
  <c r="G18" i="12"/>
  <c r="L5" i="12"/>
  <c r="P9" i="12"/>
  <c r="S13" i="12"/>
  <c r="N20" i="12"/>
  <c r="C11" i="13"/>
  <c r="J9" i="56"/>
  <c r="T8" i="56"/>
  <c r="B2" i="46"/>
  <c r="C4" i="42"/>
  <c r="AN4" i="9"/>
  <c r="F4" i="9"/>
  <c r="V4" i="9"/>
  <c r="AL4" i="9"/>
  <c r="N2" i="38"/>
  <c r="D12" i="52"/>
  <c r="L2" i="47"/>
  <c r="B2" i="15"/>
  <c r="D2" i="18"/>
  <c r="H3" i="42"/>
  <c r="H7" i="42"/>
  <c r="H9" i="42"/>
  <c r="H11" i="42"/>
  <c r="H13" i="42"/>
  <c r="H15" i="42"/>
  <c r="G5" i="43"/>
  <c r="G13" i="43"/>
  <c r="J2" i="46"/>
  <c r="N2" i="7"/>
  <c r="H5" i="42"/>
  <c r="G4" i="9"/>
  <c r="W4" i="9"/>
  <c r="AM4" i="9"/>
  <c r="J4" i="48"/>
  <c r="E2" i="18"/>
  <c r="I3" i="42"/>
  <c r="I5" i="42"/>
  <c r="I7" i="42"/>
  <c r="I9" i="42"/>
  <c r="I11" i="42"/>
  <c r="I13" i="42"/>
  <c r="I15" i="42"/>
  <c r="H5" i="43"/>
  <c r="H13" i="43"/>
  <c r="J5" i="48"/>
  <c r="V16" i="56"/>
  <c r="F6" i="52"/>
  <c r="F8" i="52"/>
  <c r="F12" i="52"/>
  <c r="N2" i="47"/>
  <c r="B2" i="5"/>
  <c r="D2" i="15"/>
  <c r="F2" i="18"/>
  <c r="J3" i="42"/>
  <c r="J5" i="42"/>
  <c r="J7" i="42"/>
  <c r="J9" i="42"/>
  <c r="J11" i="42"/>
  <c r="J13" i="42"/>
  <c r="J15" i="42"/>
  <c r="G6" i="43"/>
  <c r="G14" i="43"/>
  <c r="F4" i="52"/>
  <c r="F10" i="52"/>
  <c r="L2" i="46"/>
  <c r="I4" i="9"/>
  <c r="Y4" i="9"/>
  <c r="A2" i="38"/>
  <c r="J6" i="48"/>
  <c r="C3" i="43"/>
  <c r="H6" i="43"/>
  <c r="H14" i="43"/>
  <c r="J4" i="9"/>
  <c r="Z4" i="9"/>
  <c r="B2" i="38"/>
  <c r="J7" i="48"/>
  <c r="P4" i="12"/>
  <c r="K19" i="12"/>
  <c r="C7" i="13"/>
  <c r="B11" i="56"/>
  <c r="H6" i="56"/>
  <c r="H10" i="56"/>
  <c r="H14" i="56"/>
  <c r="T5" i="56"/>
  <c r="H10" i="52"/>
  <c r="N2" i="46"/>
  <c r="B2" i="7"/>
  <c r="D2" i="5"/>
  <c r="F2" i="15"/>
  <c r="H2" i="18"/>
  <c r="D4" i="42"/>
  <c r="D6" i="42"/>
  <c r="D8" i="42"/>
  <c r="D10" i="42"/>
  <c r="D12" i="42"/>
  <c r="D14" i="42"/>
  <c r="C4" i="43"/>
  <c r="G7" i="43"/>
  <c r="G15" i="43"/>
  <c r="N6" i="12"/>
  <c r="L8" i="12"/>
  <c r="S9" i="12"/>
  <c r="Q11" i="12"/>
  <c r="O13" i="12"/>
  <c r="M15" i="12"/>
  <c r="R20" i="12"/>
  <c r="P22" i="12"/>
  <c r="T9" i="56"/>
  <c r="T13" i="56"/>
  <c r="T17" i="56"/>
  <c r="H4" i="52"/>
  <c r="H6" i="52"/>
  <c r="H8" i="52"/>
  <c r="H12" i="52"/>
  <c r="K4" i="9"/>
  <c r="AA4" i="9"/>
  <c r="C2" i="38"/>
  <c r="J8" i="48"/>
  <c r="K4" i="1"/>
  <c r="F7" i="1"/>
  <c r="H9" i="1"/>
  <c r="J11" i="1"/>
  <c r="L13" i="1"/>
  <c r="G19" i="1"/>
  <c r="O6" i="1"/>
  <c r="D6" i="28"/>
  <c r="D14" i="28"/>
  <c r="G8" i="28"/>
  <c r="K3" i="28"/>
  <c r="L8" i="28"/>
  <c r="M13" i="28"/>
  <c r="C11" i="39"/>
  <c r="F14" i="39"/>
  <c r="J4" i="39"/>
  <c r="B8" i="12"/>
  <c r="G5" i="12"/>
  <c r="E11" i="12"/>
  <c r="F18" i="12"/>
  <c r="G23" i="12"/>
  <c r="Q4" i="12"/>
  <c r="O6" i="12"/>
  <c r="M8" i="12"/>
  <c r="K10" i="12"/>
  <c r="R11" i="12"/>
  <c r="P13" i="12"/>
  <c r="N15" i="12"/>
  <c r="L19" i="12"/>
  <c r="S20" i="12"/>
  <c r="Q22" i="12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L4" i="9"/>
  <c r="AB4" i="9"/>
  <c r="D2" i="38"/>
  <c r="J9" i="48"/>
  <c r="J6" i="52"/>
  <c r="J8" i="52"/>
  <c r="J10" i="52"/>
  <c r="J12" i="52"/>
  <c r="B2" i="47"/>
  <c r="D2" i="7"/>
  <c r="F2" i="5"/>
  <c r="H2" i="15"/>
  <c r="J2" i="18"/>
  <c r="F4" i="42"/>
  <c r="F6" i="42"/>
  <c r="F8" i="42"/>
  <c r="F10" i="42"/>
  <c r="F12" i="42"/>
  <c r="F14" i="42"/>
  <c r="G8" i="43"/>
  <c r="V13" i="56"/>
  <c r="V17" i="56"/>
  <c r="J4" i="52"/>
  <c r="C6" i="43"/>
  <c r="A13" i="9"/>
  <c r="A12" i="9"/>
  <c r="A11" i="9"/>
  <c r="A10" i="9"/>
  <c r="A9" i="9"/>
  <c r="A8" i="9"/>
  <c r="A7" i="9"/>
  <c r="A6" i="9"/>
  <c r="A5" i="9"/>
  <c r="A4" i="9"/>
  <c r="M4" i="9"/>
  <c r="AC4" i="9"/>
  <c r="E2" i="38"/>
  <c r="J10" i="48"/>
  <c r="M10" i="12"/>
  <c r="K12" i="12"/>
  <c r="R13" i="12"/>
  <c r="P15" i="12"/>
  <c r="N19" i="12"/>
  <c r="L21" i="12"/>
  <c r="S6" i="56"/>
  <c r="S10" i="56"/>
  <c r="S14" i="56"/>
  <c r="C3" i="52"/>
  <c r="C5" i="52"/>
  <c r="C7" i="52"/>
  <c r="C9" i="52"/>
  <c r="C11" i="52"/>
  <c r="A2" i="46"/>
  <c r="C2" i="47"/>
  <c r="E2" i="7"/>
  <c r="G2" i="5"/>
  <c r="I2" i="15"/>
  <c r="K2" i="18"/>
  <c r="G4" i="42"/>
  <c r="G6" i="42"/>
  <c r="G8" i="42"/>
  <c r="G10" i="42"/>
  <c r="G12" i="42"/>
  <c r="G14" i="42"/>
  <c r="C7" i="43"/>
  <c r="H8" i="43"/>
  <c r="Q6" i="12"/>
  <c r="O8" i="12"/>
  <c r="S22" i="12"/>
  <c r="C10" i="13"/>
  <c r="B14" i="56"/>
  <c r="G7" i="56"/>
  <c r="G11" i="56"/>
  <c r="G15" i="56"/>
  <c r="N4" i="9"/>
  <c r="AD4" i="9"/>
  <c r="F2" i="38"/>
  <c r="J11" i="48"/>
  <c r="H12" i="42"/>
  <c r="H14" i="42"/>
  <c r="H10" i="42"/>
  <c r="C8" i="43"/>
  <c r="G9" i="43"/>
  <c r="O4" i="9"/>
  <c r="AE4" i="9"/>
  <c r="G2" i="38"/>
  <c r="J12" i="48"/>
  <c r="U6" i="56"/>
  <c r="U10" i="56"/>
  <c r="U14" i="56"/>
  <c r="E3" i="52"/>
  <c r="E5" i="52"/>
  <c r="E7" i="52"/>
  <c r="E9" i="52"/>
  <c r="E11" i="52"/>
  <c r="C2" i="46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P4" i="9"/>
  <c r="AF4" i="9"/>
  <c r="H2" i="38"/>
  <c r="J13" i="48"/>
  <c r="J14" i="42"/>
  <c r="C10" i="43"/>
  <c r="G10" i="43"/>
  <c r="Q4" i="9"/>
  <c r="AG4" i="9"/>
  <c r="I2" i="38"/>
  <c r="J14" i="48"/>
  <c r="G2" i="47"/>
  <c r="I2" i="7"/>
  <c r="K2" i="5"/>
  <c r="M2" i="15"/>
  <c r="C3" i="42"/>
  <c r="C5" i="42"/>
  <c r="C7" i="42"/>
  <c r="C9" i="42"/>
  <c r="C11" i="42"/>
  <c r="C13" i="42"/>
  <c r="C15" i="42"/>
  <c r="C11" i="43"/>
  <c r="H10" i="43"/>
  <c r="E2" i="46"/>
  <c r="B4" i="9"/>
  <c r="R4" i="9"/>
  <c r="AH4" i="9"/>
  <c r="J2" i="38"/>
  <c r="J15" i="48"/>
  <c r="C4" i="1"/>
  <c r="E8" i="12"/>
  <c r="M7" i="12"/>
  <c r="N14" i="12"/>
  <c r="L18" i="12"/>
  <c r="S19" i="12"/>
  <c r="Q21" i="12"/>
  <c r="O23" i="12"/>
  <c r="C15" i="13"/>
  <c r="C24" i="56"/>
  <c r="H8" i="56"/>
  <c r="H12" i="56"/>
  <c r="H16" i="56"/>
  <c r="T7" i="56"/>
  <c r="T11" i="56"/>
  <c r="T15" i="56"/>
  <c r="H3" i="52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I3" i="1"/>
  <c r="K5" i="1"/>
  <c r="F8" i="1"/>
  <c r="H10" i="1"/>
  <c r="J12" i="1"/>
  <c r="L14" i="1"/>
  <c r="G20" i="1"/>
  <c r="O13" i="1"/>
  <c r="E9" i="28"/>
  <c r="H3" i="28"/>
  <c r="H11" i="28"/>
  <c r="L5" i="28"/>
  <c r="M10" i="28"/>
  <c r="C2" i="39"/>
  <c r="F5" i="39"/>
  <c r="H8" i="39"/>
  <c r="J11" i="39"/>
  <c r="B15" i="12"/>
  <c r="F13" i="12"/>
  <c r="G20" i="12"/>
  <c r="Q3" i="12"/>
  <c r="O5" i="12"/>
  <c r="K9" i="12"/>
  <c r="R10" i="12"/>
  <c r="P12" i="12"/>
  <c r="C4" i="9"/>
  <c r="S4" i="9"/>
  <c r="AI4" i="9"/>
  <c r="K2" i="38"/>
  <c r="J16" i="48"/>
  <c r="I10" i="1"/>
  <c r="K12" i="1"/>
  <c r="F15" i="1"/>
  <c r="O14" i="1"/>
  <c r="D10" i="28"/>
  <c r="K11" i="28"/>
  <c r="C3" i="39"/>
  <c r="F6" i="39"/>
  <c r="H9" i="39"/>
  <c r="E3" i="12"/>
  <c r="E21" i="12"/>
  <c r="P5" i="12"/>
  <c r="L9" i="12"/>
  <c r="S10" i="12"/>
  <c r="Q12" i="12"/>
  <c r="O14" i="12"/>
  <c r="M18" i="12"/>
  <c r="K20" i="12"/>
  <c r="R21" i="12"/>
  <c r="P23" i="12"/>
  <c r="C16" i="13"/>
  <c r="C25" i="56"/>
  <c r="I8" i="56"/>
  <c r="I12" i="56"/>
  <c r="I16" i="56"/>
  <c r="U7" i="56"/>
  <c r="U11" i="56"/>
  <c r="U15" i="56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H20" i="1"/>
  <c r="G4" i="28"/>
  <c r="G12" i="28"/>
  <c r="M5" i="28"/>
  <c r="J12" i="39"/>
  <c r="F8" i="12"/>
  <c r="G13" i="12"/>
  <c r="R3" i="12"/>
  <c r="N7" i="12"/>
  <c r="D4" i="9"/>
  <c r="T4" i="9"/>
  <c r="AJ4" i="9"/>
  <c r="L2" i="38"/>
  <c r="J19" i="48"/>
  <c r="H12" i="28"/>
  <c r="K6" i="28"/>
  <c r="L11" i="28"/>
  <c r="C4" i="39"/>
  <c r="F7" i="39"/>
  <c r="H10" i="39"/>
  <c r="J13" i="39"/>
  <c r="F3" i="12"/>
  <c r="G8" i="12"/>
  <c r="E14" i="12"/>
  <c r="F21" i="12"/>
  <c r="S3" i="12"/>
  <c r="Q5" i="12"/>
  <c r="O7" i="12"/>
  <c r="M9" i="12"/>
  <c r="K11" i="12"/>
  <c r="R12" i="12"/>
  <c r="P14" i="12"/>
  <c r="N18" i="12"/>
  <c r="L20" i="12"/>
  <c r="S21" i="12"/>
  <c r="Q23" i="12"/>
  <c r="B5" i="56"/>
  <c r="C26" i="56"/>
  <c r="J8" i="56"/>
  <c r="J12" i="56"/>
  <c r="J16" i="56"/>
  <c r="V7" i="56"/>
  <c r="V11" i="56"/>
  <c r="V15" i="56"/>
  <c r="J3" i="52"/>
  <c r="J5" i="52"/>
  <c r="J7" i="52"/>
  <c r="J9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E10" i="28"/>
  <c r="H4" i="28"/>
  <c r="E4" i="9"/>
  <c r="U4" i="9"/>
  <c r="AK4" i="9"/>
  <c r="M2" i="38"/>
  <c r="J20" i="48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15" i="48" a="1"/>
  <c r="M15" i="48" l="1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8" i="13" l="1"/>
  <c r="K7" i="13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7" i="40" l="1"/>
  <c r="J14" i="49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7E9878D-E741-4FC5-939A-903011F6C95D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Timestamp="1726225592"&gt;&lt;FQL&gt;&lt;Q&gt;EWI^FREF_MARKET_VALUE_COMPANY(0,,,USD,,0,,"LEGACY")&lt;/Q&gt;&lt;R&gt;1&lt;/R&gt;&lt;C&gt;1&lt;/C&gt;&lt;D xsi:type="xsd:double"&gt;459.93675&lt;/D&gt;&lt;/FQL&gt;&lt;FQL&gt;&lt;Q&gt;FC0000IT^FMA_MCAP(0,,,USD,"PORTAGG")&lt;/Q&gt;&lt;R&gt;1&lt;/R&gt;&lt;C&gt;1&lt;/C&gt;&lt;D xsi:type="xsd:double"&gt;874033.3&lt;/D&gt;&lt;/FQL&gt;&lt;FQL&gt;&lt;Q&gt;EWD^FREF_MARKET_VALUE_COMPANY(0,,,USD,,0,,"LEGACY")&lt;/Q&gt;&lt;R&gt;1&lt;/R&gt;&lt;C&gt;1&lt;/C&gt;&lt;D xsi:type="xsd:double"&gt;297.402&lt;/D&gt;&lt;/FQL&gt;&lt;FQL&gt;&lt;Q&gt;FC0000SE^FMA_MCAP(0,,,USD,"PORTAGG")&lt;/Q&gt;&lt;R&gt;1&lt;/R&gt;&lt;C&gt;1&lt;/C&gt;&lt;D xsi:type="xsd:double"&gt;1040260.56&lt;/D&gt;&lt;/FQL&gt;&lt;FQL&gt;&lt;Q&gt;EWN^FREF_MARKET_VALUE_COMPANY(0,,,USD,,0,,"LEGACY")&lt;/Q&gt;&lt;R&gt;1&lt;/R&gt;&lt;C&gt;1&lt;/C&gt;&lt;D xsi:type="xsd:double"&gt;306.8125&lt;/D&gt;&lt;/FQL&gt;&lt;FQL&gt;&lt;Q&gt;EWQ^FREF_MARKET_VALUE_COMPANY(0,,,USD,,0,,"LEGACY")&lt;/Q&gt;&lt;R&gt;1&lt;/R&gt;&lt;C&gt;1&lt;/C&gt;&lt;D xsi:type="xsd:double"&gt;639.436&lt;/D&gt;&lt;/FQL&gt;&lt;FQL&gt;&lt;Q&gt;FC0000FR^FMA_MCAP(0,,,USD,"PORTAGG")&lt;/Q&gt;&lt;R&gt;1&lt;/R&gt;&lt;C&gt;1&lt;/C&gt;&lt;D xsi:type="xsd:double"&gt;3127526.3&lt;/D&gt;&lt;/FQL&gt;&lt;FQL&gt;&lt;Q&gt;FC0000US^FMA_MCAP(0,,,USD,"PORTAGG")&lt;/Q&gt;&lt;R&gt;1&lt;/R&gt;&lt;C&gt;1&lt;/C&gt;&lt;D xsi:type="xsd:double"&gt;57906610&lt;/D&gt;&lt;/FQL&gt;&lt;FQL&gt;&lt;Q&gt;EWU^FREF_MARKET_VALUE_COMPANY(0,,,USD,,0,,"LEGACY")&lt;/Q&gt;&lt;R&gt;1&lt;/R&gt;&lt;C&gt;1&lt;/C&gt;&lt;D xsi:type="xsd:double"&gt;3204.409&lt;/D&gt;&lt;/FQL&gt;&lt;FQL&gt;&lt;Q&gt;FC0000GB^FMA_MCAP(0,,,USD,"PORTAGG")&lt;/Q&gt;&lt;R&gt;1&lt;/R&gt;&lt;C&gt;1&lt;/C&gt;&lt;D xsi:type="xsd:double"&gt;3334609.5&lt;/D&gt;&lt;/FQL&gt;&lt;FQL&gt;&lt;Q&gt;FC0000CH^FMA_MCAP(0,,,USD,"PORTAGG")&lt;/Q&gt;&lt;R&gt;1&lt;/R&gt;&lt;C&gt;1&lt;/C&gt;&lt;D xsi:type="xsd:double"&gt;2279770&lt;/D&gt;&lt;/FQL&gt;&lt;FQL&gt;&lt;Q&gt;FC0000JP^FMA_MCAP(0,,,USD,"PORTAGG")&lt;/Q&gt;&lt;R&gt;1&lt;/R&gt;&lt;C&gt;1&lt;/C&gt;&lt;D xsi:type="xsd:double"&gt;6658570&lt;/D&gt;&lt;/FQL&gt;&lt;FQL&gt;&lt;Q&gt;FC0000DE^FMA_MCAP(0,,,USD,"PORTAGG")&lt;/Q&gt;&lt;R&gt;1&lt;/R&gt;&lt;C&gt;1&lt;/C&gt;&lt;D xsi:type="xsd:double"&gt;2288816.3&lt;/D&gt;&lt;/FQL&gt;&lt;FQL&gt;&lt;Q&gt;EWC^FREF_MARKET_VALUE_COMPANY(0,,,USD,,0,,"LEGACY")&lt;/Q&gt;&lt;R&gt;1&lt;/R&gt;&lt;C&gt;1&lt;/C&gt;&lt;D xsi:type="xsd:double"&gt;2646.2&lt;/D&gt;&lt;/FQL&gt;&lt;FQL&gt;&lt;Q&gt;FC0000CA^FMA_MCAP(0,,,USD,"PORTAGG")&lt;/Q&gt;&lt;R&gt;1&lt;/R&gt;&lt;C&gt;1&lt;/C&gt;&lt;D xsi:type="xsd:double"&gt;2893755.8&lt;/D&gt;&lt;/FQL&gt;&lt;FQL&gt;&lt;Q&gt;FC0000AU^FMA_MCAP(0,,,USD,"PORTAGG")&lt;/Q&gt;&lt;R&gt;1&lt;/R&gt;&lt;C&gt;1&lt;/C&gt;&lt;D xsi:type="xsd:double"&gt;1750377.6&lt;/D&gt;&lt;/FQL&gt;&lt;FQL&gt;&lt;Q&gt;FC0000NZ^FMA_MCAP(0,,,USD,"PORTAGG")&lt;/Q&gt;&lt;R&gt;1&lt;/R&gt;&lt;C&gt;1&lt;/C&gt;&lt;D xsi:type="xsd:double"&gt;99393.66&lt;/D&gt;&lt;/FQL&gt;&lt;FQL&gt;&lt;Q&gt;CC_ZA^FG_COMPANY_NAME&lt;/Q&gt;&lt;R&gt;1&lt;/R&gt;&lt;C&gt;1&lt;/C&gt;&lt;D xsi:type="xsd:string"&gt;South Africa&lt;/D&gt;&lt;/FQL&gt;&lt;FQL&gt;&lt;Q&gt;FC0000ZA^FG_MCAP_IDX(0,,,USD)&lt;/Q&gt;&lt;R&gt;1&lt;/R&gt;&lt;C&gt;1&lt;/C&gt;&lt;D xsi:type="xsd:double"&gt;345890.3&lt;/D&gt;&lt;/FQL&gt;&lt;FQL&gt;&lt;Q&gt;FC0000NL^FMA_MCAP(0,,,USD,"PORTAGG")&lt;/Q&gt;&lt;R&gt;1&lt;/R&gt;&lt;C&gt;1&lt;/C&gt;&lt;D xsi:type="xsd:double"&gt;1084368.6&lt;/D&gt;&lt;/FQL&gt;&lt;FQL&gt;&lt;Q&gt;SPY^FREF_MARKET_VALUE_COMPANY(0,,,USD,,0,,"LEGACY")&lt;/Q&gt;&lt;R&gt;1&lt;/R&gt;&lt;C&gt;1&lt;/C&gt;&lt;D xsi:type="xsd:double"&gt;551727.958789&lt;/D&gt;&lt;/FQL&gt;&lt;FQL&gt;&lt;Q&gt;QQQ^FREF_MARKET_VALUE_COMPANY(0,,,USD,,0,,"LEGACY")&lt;/Q&gt;&lt;R&gt;1&lt;/R&gt;&lt;C&gt;1&lt;/C&gt;&lt;D xsi:type="xsd:double"&gt;280856.07&lt;/D&gt;&lt;/FQL&gt;&lt;FQL&gt;&lt;Q&gt;EWL^FREF_MARKET_VALUE_COMPANY(0,,,USD,,0,,"LEGACY")&lt;/Q&gt;&lt;R&gt;1&lt;/R&gt;&lt;C&gt;1&lt;/C&gt;&lt;D xsi:type="xsd:double"&gt;1302.285&lt;/D&gt;&lt;/FQL&gt;&lt;FQL&gt;&lt;Q&gt;EWJ^FREF_MARKET_VALUE_COMPANY(0,,,USD,,0,,"LEGACY")&lt;/Q&gt;&lt;R&gt;1&lt;/R&gt;&lt;C&gt;1&lt;/C&gt;&lt;D xsi:type="xsd:double"&gt;14973.7875&lt;/D&gt;&lt;/FQL&gt;&lt;FQL&gt;&lt;Q&gt;EWG^FREF_MARKET_VALUE_COMPANY(0,,,USD,,0,,"LEGACY")&lt;/Q&gt;&lt;R&gt;1&lt;/R&gt;&lt;C&gt;1&lt;/C&gt;&lt;D xsi:type="xsd:double"&gt;915.705&lt;/D&gt;&lt;/FQL&gt;&lt;FQL&gt;&lt;Q&gt;EWA^FREF_MARKET_VALUE_COMPANY(0,,,USD,,0,,"LEGACY")&lt;/Q&gt;&lt;R&gt;1&lt;/R&gt;&lt;C&gt;1&lt;/C&gt;&lt;D xsi:type="xsd:double"&gt;1417.12&lt;/D&gt;&lt;/FQL&gt;&lt;FQL&gt;&lt;Q&gt;ENZL^FREF_MARKET_VALUE_COMPANY(0,,,USD,,0,,"LEGACY")&lt;/Q&gt;&lt;R&gt;1&lt;/R&gt;&lt;C&gt;1&lt;/C&gt;&lt;D xsi:type="xsd:double"&gt;90.342&lt;/D&gt;&lt;/FQL&gt;&lt;FQL&gt;&lt;Q&gt;NQG00809^FG_COMPANY_NAME&lt;/Q&gt;&lt;R&gt;1&lt;/R&gt;&lt;C&gt;1&lt;/C&gt;&lt;D xsi:type="xsd:string"&gt;Nasdaq South Africa&lt;/D&gt;&lt;/FQL&gt;&lt;FQL&gt;&lt;Q&gt;NQG00809^FMA_MCAP(0,,,USD,"PORTAGG")&lt;/Q&gt;&lt;R&gt;0&lt;/R&gt;&lt;C&gt;0&lt;/C&gt;&lt;/FQL&gt;&lt;FQL&gt;&lt;Q&gt;DUMMY^ECON_EXPR_DATA('FDS_ECON[NTCPMIMFGSA@IT]',,,M)&lt;/Q&gt;&lt;R&gt;1&lt;/R&gt;&lt;C&gt;1&lt;/C&gt;&lt;D xsi:type="xsd:double"&gt;49.41836&lt;/D&gt;&lt;/FQL&gt;&lt;FQL&gt;&lt;Q&gt;DUMMY^ECON_EXPR_DATA('FDS_ECON[NTCPMIMFGSA@NL]',,,M)&lt;/Q&gt;&lt;R&gt;1&lt;/R&gt;&lt;C&gt;1&lt;/C&gt;&lt;D xsi:type="xsd:double"&gt;47.72757&lt;/D&gt;&lt;/FQL&gt;&lt;FQL&gt;&lt;Q&gt;DUMMY^ECON_EXPR_DATA('FDS_ECON[NTCPMIMFGSA@FR]',,,M)&lt;/Q&gt;&lt;R&gt;1&lt;/R&gt;&lt;C&gt;1&lt;/C&gt;&lt;D xsi:type="xsd:double"&gt;43.86977&lt;/D&gt;&lt;/FQL&gt;&lt;FQL&gt;&lt;Q&gt;DUMMY^ECON_EXPR_DATA('FDS_ECON[NTCPMIMFGMESA@US]',,,M)&lt;/Q&gt;&lt;R&gt;1&lt;/R&gt;&lt;C&gt;1&lt;/C&gt;&lt;D xsi:type="xsd:double"&gt;47.89815&lt;/D&gt;&lt;/FQL&gt;&lt;FQL&gt;&lt;Q&gt;DUMMY^ECON_EXPR_DATA('FDS_ECON[NTCPMIMFGSA@GB]',,,M)&lt;/Q&gt;&lt;R&gt;1&lt;/R&gt;&lt;C&gt;1&lt;/C&gt;&lt;D xsi:type="xsd:double"&gt;52.516357&lt;/D&gt;&lt;/FQL&gt;&lt;FQL&gt;&lt;Q&gt;DUMMY^ECON_EXPR_DATA('FDS_ECON[NTCPMIMFGSA@JP]',,,M)&lt;/Q&gt;&lt;R&gt;1&lt;/R&gt;&lt;C&gt;1&lt;/C&gt;&lt;D xsi:type="xsd:double"&gt;49.845306&lt;/D&gt;&lt;/FQL&gt;&lt;FQL&gt;&lt;Q&gt;DUMMY^ECON_EXPR_DATA('FDS_ECON[NTCPMIMFGSA@DE]',,,M)&lt;/Q&gt;&lt;R&gt;1&lt;/R&gt;&lt;C&gt;1&lt;/C&gt;&lt;D xsi:type="xsd:double"&gt;42.40119&lt;/D&gt;&lt;/FQL&gt;&lt;FQL&gt;&lt;Q&gt;DUMMY^ECON_EXPR_DATA('FDS_ECON[NTCPMIMFGSA@NZ]',,,M)&lt;/Q&gt;&lt;R&gt;1&lt;/R&gt;&lt;C&gt;1&lt;/C&gt;&lt;D xsi:type="xsd:double"&gt;45.810715&lt;/D&gt;&lt;/FQL&gt;&lt;FQL&gt;&lt;Q&gt;DUMMY^ECON_EXPR_DATA('FDS_ECON[]',,,M)&lt;/Q&gt;&lt;R&gt;0&lt;/R&gt;&lt;C&gt;0&lt;/C&gt;&lt;/FQL&gt;&lt;FQL&gt;&lt;Q&gt;DUMMY^ECON_EXPR_DATA('FDS_ECON[NTCPMIMFGSA@CA]',,,M)&lt;/Q&gt;&lt;R&gt;1&lt;/R&gt;&lt;C&gt;1&lt;/C&gt;&lt;D xsi:type="xsd:double"&gt;49.45051&lt;/D&gt;&lt;/FQL&gt;&lt;FQL&gt;&lt;Q&gt;DUMMY^ECON_EXPR_DATA('FDS_ECON[NTCPMIMFGSA@AU]',,,M)&lt;/Q&gt;&lt;R&gt;1&lt;/R&gt;&lt;C&gt;1&lt;/C&gt;&lt;D xsi:type="xsd:double"&gt;48.495564&lt;/D&gt;&lt;/FQL&gt;&lt;FQL&gt;&lt;Q&gt;DUMMY^ECON_EXPR_DATA('FDS_ECON[NTCPMIMFGSA@CH]',,,M)&lt;/Q&gt;&lt;R&gt;1&lt;/R&gt;&lt;C&gt;1&lt;/C&gt;&lt;D xsi:type="xsd:double"&gt;49.01182&lt;/D&gt;&lt;/FQL&gt;&lt;FQL&gt;&lt;Q&gt;CAGDPY@FR^EE_ACTUAL_ANNUAL(MED,+1)&lt;/Q&gt;&lt;R&gt;1&lt;/R&gt;&lt;C&gt;1&lt;/C&gt;&lt;D xsi:type="xsd:double"&gt;-0.4&lt;/D&gt;&lt;/FQL&gt;&lt;FQL&gt;&lt;Q&gt;CAGDPY@AU^EE_ACTUAL_ANNUAL(MED,+1)&lt;/Q&gt;&lt;R&gt;1&lt;/R&gt;&lt;C&gt;1&lt;/C&gt;&lt;D xsi:type="xsd:double"&gt;-0.7&lt;/D&gt;&lt;/FQL&gt;&lt;FQL&gt;&lt;Q&gt;USDITL^FG_PRICE_CHANGE(0,-3AM)&lt;/Q&gt;&lt;R&gt;1&lt;/R&gt;&lt;C&gt;1&lt;/C&gt;&lt;D xsi:type="xsd:double"&gt;-1.7436564&lt;/D&gt;&lt;/FQL&gt;&lt;FQL&gt;&lt;Q&gt;USDANG^FG_PRICE_CHANGE(0,-3AM)&lt;/Q&gt;&lt;R&gt;1&lt;/R&gt;&lt;C&gt;1&lt;/C&gt;&lt;D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xsi:type="xsd:double"&gt;-1.8347979&lt;/D&gt;&lt;/FQL&gt;&lt;FQL&gt;&lt;Q&gt;USDJPY^FG_PRICE_CHANGE(0,-3AM)&lt;/Q&gt;&lt;R&gt;1&lt;/R&gt;&lt;C&gt;1&lt;/C&gt;&lt;D xsi:type="xsd:double"&gt;-8.520805&lt;/D&gt;&lt;/FQL&gt;&lt;FQL&gt;&lt;Q&gt;USDCAD^FG_PRICE_CHANGE(0,-3AM)&lt;/Q&gt;&lt;R&gt;1&lt;/R&gt;&lt;C&gt;1&lt;/C&gt;&lt;D xsi:type="xsd:double"&gt;-0.69386363&lt;/D&gt;&lt;/FQL&gt;&lt;FQL&gt;&lt;Q&gt;USDNZD^FG_PRICE_CHANGE(0,-3AM)&lt;/Q&gt;&lt;R&gt;1&lt;/R&gt;&lt;C&gt;1&lt;/C&gt;&lt;D xsi:type="xsd:double"&gt;1.0732651&lt;/D&gt;&lt;/FQL&gt;&lt;FQL&gt;&lt;Q&gt;EWA^FMA_EPS(NTMA,-20AY,0,CY,,"PORTAGG","MEANR")&lt;/Q&gt;&lt;R&gt;20&lt;/R&gt;&lt;C&gt;1&lt;/C&gt;&lt;D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xsi:type="xsd:double"&gt;1.31799698442393&lt;/D&gt;&lt;D xsi:type="xsd:double"&gt;1.26256164128892&lt;/D&gt;&lt;D xsi:type="xsd:double"&gt;1.41909398824033&lt;/D&gt;&lt;D xsi:type="xsd:double"&gt;1.56850336770513&lt;/D&gt;&lt;D xsi:type="xsd:double"&gt;1.47895581929429&lt;/D&gt;&lt;/FQL&gt;&lt;FQL&gt;&lt;Q&gt;ENZL^JULIAN(P_PRICE_RETURNS_PR('52W',2,-10AY,0,AM).DATES)&lt;/Q&gt;&lt;R&gt;121&lt;/R&gt;&lt;C&gt;1&lt;/C&gt;&lt;D xsi:type="xsd:long"&gt;41894&lt;/D&gt;&lt;D xsi:type="xsd:long"&gt;41922&lt;/D&gt;&lt;D xsi:type="xsd:long"&gt;41955&lt;/D&gt;&lt;D xsi:type="xsd:long"&gt;41985&lt;/D&gt;&lt;D xsi:type="xsd:long"&gt;42016&lt;/D&gt;&lt;D xsi:type="xsd:long"&gt;42047&lt;/D&gt;&lt;D xsi:type="xsd:long"&gt;42075&lt;/D&gt;&lt;D xsi:type="xsd:long"&gt;42104&lt;/D&gt;&lt;D xsi:type="xsd:long"&gt;42136&lt;/D&gt;&lt;D xsi:type="xsd:long"&gt;42167&lt;/D&gt;&lt;D xsi:type="xsd:long"&gt;42195&lt;/D&gt;&lt;D xsi:type="xsd:long"&gt;42228&lt;/D&gt;&lt;D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xsi:type="xsd:long"&gt;45547&lt;/D&gt;&lt;/FQL&gt;&lt;FQL&gt;&lt;Q&gt;EWD^FMA_DIV_YLD(NTMA,-10AY,0,AM,"PORTAGG","MEANR")&lt;/Q&gt;&lt;R&gt;121&lt;/R&gt;&lt;C&gt;1&lt;/C&gt;&lt;D xsi:type="xsd:double"&gt;4.22047377924378&lt;/D&gt;&lt;D xsi:type="xsd:double"&gt;4.53040002480111&lt;/D&gt;&lt;D xsi:type="xsd:double"&gt;4.19819588640361&lt;/D&gt;&lt;D xsi:type="xsd:double"&gt;4.18745699090756&lt;/D&gt;&lt;D xsi:type="xsd:double"&gt;4.13724942099793&lt;/D&gt;&lt;D xsi:type="xsd:double"&gt;3.72477282716542&lt;/D&gt;&lt;D xsi:type="xsd:double"&gt;3.67334431484523&lt;/D&gt;&lt;D xsi:type="xsd:double"&gt;3.6075712904039&lt;/D&gt;&lt;D xsi:type="xsd:double"&gt;3.88645653280926&lt;/D&gt;&lt;D xsi:type="xsd:double"&gt;3.92024969248168&lt;/D&gt;&lt;D xsi:type="xsd:double"&gt;3.96182290230141&lt;/D&gt;&lt;D xsi:type="xsd:double"&gt;4.07805833876327&lt;/D&gt;&lt;D xsi:type="xsd:double"&gt;4.33107058101237&lt;/D&gt;&lt;D xsi:type="xsd:double"&gt;4.31574337878365&lt;/D&gt;&lt;D xsi:type="xsd:double"&gt;4.23568802437656&lt;/D&gt;&lt;D xsi:type="xsd:double"&gt;4.4659113915458&lt;/D&gt;&lt;D xsi:type="xsd:double"&gt;4.57702006982417&lt;/D&gt;&lt;D xsi:type="xsd:double"&gt;4.66418460022768&lt;/D&gt;&lt;D xsi:type="xsd:double"&gt;4.24082423501161&lt;/D&gt;&lt;D xsi:type="xsd:double"&gt;4.38915850118934&lt;/D&gt;&lt;D xsi:type="xsd:double"&gt;4.48425173741385&lt;/D&gt;&lt;D xsi:type="xsd:double"&gt;4.55788981641595&lt;/D&gt;&lt;D xsi:type="xsd:double"&gt;4.40832906004003&lt;/D&gt;&lt;D xsi:type="xsd:double"&gt;4.22174436836216&lt;/D&gt;&lt;D xsi:type="xsd:double"&gt;4.25155421865266&lt;/D&gt;&lt;D xsi:type="xsd:double"&gt;4.16354137918121&lt;/D&gt;&lt;D xsi:type="xsd:double"&gt;4.10678132346761&lt;/D&gt;&lt;D xsi:type="xsd:double"&gt;3.87384485767402&lt;/D&gt;&lt;D xsi:type="xsd:double"&gt;3.931404257112&lt;/D&gt;&lt;D xsi:type="xsd:double"&gt;3.66795642893299&lt;/D&gt;&lt;D xsi:type="xsd:double"&gt;3.63027584186662&lt;/D&gt;&lt;D xsi:type="xsd:double"&gt;3.65229057670178&lt;/D&gt;&lt;D xsi:type="xsd:double"&gt;3.51828255882125&lt;/D&gt;&lt;D xsi:type="xsd:double"&gt;3.58028210180865&lt;/D&gt;&lt;D xsi:type="xsd:double"&gt;3.51359392063559&lt;/D&gt;&lt;D xsi:type="xsd:double"&gt;3.77350324160059&lt;/D&gt;&lt;D xsi:type="xsd:double"&gt;3.70101111811625&lt;/D&gt;&lt;D xsi:type="xsd:double"&gt;3.55182355804785&lt;/D&gt;&lt;D xsi:type="xsd:double"&gt;3.60234192890126&lt;/D&gt;&lt;D xsi:type="xsd:double"&gt;3.65868474691442&lt;/D&gt;&lt;D xsi:type="xsd:double"&gt;3.64644225551985&lt;/D&gt;&lt;D xsi:type="xsd:double"&gt;3.97698810221484&lt;/D&gt;&lt;D xsi:type="xsd:double"&gt;3.83153138734752&lt;/D&gt;&lt;D xsi:type="xsd:double"&gt;4.13007168478453&lt;/D&gt;&lt;D xsi:type="xsd:double"&gt;3.97680499455087&lt;/D&gt;&lt;D xsi:type="xsd:double"&gt;4.07593742822617&lt;/D&gt;&lt;D xsi:type="xsd:double"&gt;4.18712777923718&lt;/D&gt;&lt;D xsi:type="xsd:double"&gt;4.10030847819855&lt;/D&gt;&lt;D xsi:type="xsd:double"&gt;4.11606900386637&lt;/D&gt;&lt;D xsi:type="xsd:double"&gt;4.31993114086404&lt;/D&gt;&lt;D xsi:type="xsd:double"&gt;4.42613831300216&lt;/D&gt;&lt;D xsi:type="xsd:double"&gt;4.4971003522139&lt;/D&gt;&lt;D xsi:type="xsd:double"&gt;4.51309182651059&lt;/D&gt;&lt;D xsi:type="xsd:double"&gt;4.23483407527396&lt;/D&gt;&lt;D xsi:type="xsd:double"&gt;4.18580855679989&lt;/D&gt;&lt;D xsi:type="xsd:double"&gt;4.03031485292811&lt;/D&gt;&lt;D xsi:type="xsd:double"&gt;4.20659666126445&lt;/D&gt;&lt;D xsi:type="xsd:double"&gt;4.22318343592973&lt;/D&gt;&lt;D xsi:type="xsd:double"&gt;4.14495827589276&lt;/D&gt;&lt;D xsi:type="xsd:double"&gt;4.2803945115892&lt;/D&gt;&lt;D xsi:type="xsd:double"&gt;3.93659243485029&lt;/D&gt;&lt;D xsi:type="xsd:double"&gt;3.88490209260264&lt;/D&gt;&lt;D xsi:type="xsd:double"&gt;3.65236640886221&lt;/D&gt;&lt;D xsi:type="xsd:double"&gt;3.64955858731522&lt;/D&gt;&lt;D xsi:type="xsd:double"&gt;3.58278924176226&lt;/D&gt;&lt;D xsi:type="xsd:double"&gt;3.39964614989922&lt;/D&gt;&lt;D xsi:type="xsd:double"&gt;4.76770399552049&lt;/D&gt;&lt;D xsi:type="xsd:double"&gt;3.61668053943421&lt;/D&gt;&lt;D xsi:type="xsd:double"&gt;3.29561303207264&lt;/D&gt;&lt;D xsi:type="xsd:double"&gt;3.12958103079513&lt;/D&gt;&lt;D xsi:type="xsd:double"&gt;2.98890258385145&lt;/D&gt;&lt;D xsi:type="xsd:double"&gt;2.95641985352314&lt;/D&gt;&lt;D xsi:type="xsd:double"&gt;2.97474236153536&lt;/D&gt;&lt;D xsi:type="xsd:double"&gt;2.97697660237284&lt;/D&gt;&lt;D xsi:type="xsd:double"&gt;3.04617824579445&lt;/D&gt;&lt;D xsi:type="xsd:double"&gt;3.06531591665767&lt;/D&gt;&lt;D xsi:type="xsd:double"&gt;2.98769215887338&lt;/D&gt;&lt;D xsi:type="xsd:double"&gt;2.98512129371177&lt;/D&gt;&lt;D xsi:type="xsd:double"&gt;2.77384250084342&lt;/D&gt;&lt;D xsi:type="xsd:double"&gt;2.72741742365033&lt;/D&gt;&lt;D xsi:type="xsd:double"&gt;2.86594915925807&lt;/D&gt;&lt;D xsi:type="xsd:double"&gt;2.67979345871395&lt;/D&gt;&lt;D xsi:type="xsd:double"&gt;2.65314973214854&lt;/D&gt;&lt;D xsi:type="xsd:double"&gt;2.69280301151738&lt;/D&gt;&lt;D xsi:type="xsd:double"&gt;2.75867244469713&lt;/D&gt;&lt;D xsi:type="xsd:double"&gt;2.89683552981251&lt;/D&gt;&lt;D xsi:type="xsd:double"&gt;2.93556474760966&lt;/D&gt;&lt;D xsi:type="xsd:double"&gt;2.92537469820634&lt;/D&gt;&lt;D xsi:type="xsd:double"&gt;2.89560281033096&lt;/D&gt;&lt;D xsi:type="xsd:double"&gt;2.91111913172772&lt;/D&gt;&lt;D xsi:type="xsd:double"&gt;3.21557112211881&lt;/D&gt;&lt;D xsi:type="xsd:double"&gt;3.14945653505557&lt;/D&gt;&lt;D xsi:type="xsd:double"&gt;3.47812262782818&lt;/D&gt;&lt;D xsi:type="xsd:double"&gt;3.3929252975751&lt;/D&gt;&lt;D xsi:type="xsd:double"&gt;3.63039671306085&lt;/D&gt;&lt;D xsi:type="xsd:double"&gt;3.47544812426449&lt;/D&gt;&lt;D xsi:type="xsd:double"&gt;3.57527607106675&lt;/D&gt;&lt;D xsi:type="xsd:double"&gt;3.83969325975738&lt;/D&gt;&lt;D xsi:type="xsd:double"&gt;3.52731068899338&lt;/D&gt;&lt;D xsi:type="xsd:double"&gt;3.60851086471416&lt;/D&gt;&lt;D xsi:type="xsd:double"&gt;3.46834928960148&lt;/D&gt;&lt;D xsi:type="xsd:double"&gt;3.56694476812716&lt;/D&gt;&lt;D xsi:type="xsd:double"&gt;3.64822333509868&lt;/D&gt;&lt;D xsi:type="xsd:double"&gt;3.67411462162996&lt;/D&gt;&lt;D xsi:type="xsd:double"&gt;3.73407463472136&lt;/D&gt;&lt;D xsi:type="xsd:double"&gt;3.7056137695157&lt;/D&gt;&lt;D xsi:type="xsd:double"&gt;3.75086525429161&lt;/D&gt;&lt;D xsi:type="xsd:double"&gt;3.88842617300702&lt;/D&gt;&lt;D xsi:type="xsd:double"&gt;3.98464566825376&lt;/D&gt;&lt;D xsi:type="xsd:double"&gt;3.72066477313966&lt;/D&gt;&lt;D xsi:type="xsd:double"&gt;3.87324110349945&lt;/D&gt;&lt;D xsi:type="xsd:double"&gt;3.02176314980175&lt;/D&gt;&lt;D xsi:type="xsd:double"&gt;2.99345003143033&lt;/D&gt;&lt;D xsi:type="xsd:double"&gt;3.35276303482053&lt;/D&gt;&lt;D xsi:type="xsd:double"&gt;3.19761272058603&lt;/D&gt;&lt;D xsi:type="xsd:double"&gt;3.29871089887232&lt;/D&gt;&lt;D xsi:type="xsd:double"&gt;3.16917448826821&lt;/D&gt;&lt;D xsi:type="xsd:double"&gt;3.16359219763809&lt;/D&gt;&lt;D xsi:type="xsd:double"&gt;3.1292480206935&lt;/D&gt;&lt;D xsi:type="xsd:double"&gt;3.38934039856414&lt;/D&gt;&lt;D xsi:type="xsd:double"&gt;3.32839029759744&lt;/D&gt;&lt;/FQL&gt;&lt;FQL&gt;&lt;Q&gt;EWQ^FMA_PE(NTMA,-10AY,0,AM,"PORTAGG","MEANR")&lt;/Q&gt;&lt;R&gt;121&lt;/R&gt;&lt;C&gt;1&lt;/C&gt;&lt;D xsi:type="xsd:double"&gt;13.776792837184&lt;/D&gt;&lt;D xsi:type="xsd:double"&gt;12.6193460181865&lt;/D&gt;&lt;D xsi:type="xsd:double"&gt;13.0852422709903&lt;/D&gt;&lt;D xsi:type="xsd:double"&gt;13.2450955020514&lt;/D&gt;&lt;D xsi:type="xsd:double"&gt;13.7079629384556&lt;/D&gt;&lt;D xsi:type="xsd:double"&gt;15.7430654306756&lt;/D&gt;&lt;D xsi:type="xsd:double"&gt;16.4267501690371&lt;/D&gt;&lt;D xsi:type="xsd:double"&gt;17.1212684363433&lt;/D&gt;&lt;D xsi:type="xsd:double"&gt;16.09496531906&lt;/D&gt;&lt;D xsi:type="xsd:double"&gt;15.7148232250822&lt;/D&gt;&lt;D xsi:type="xsd:double"&gt;15.5027022901504&lt;/D&gt;&lt;D xsi:type="xsd:double"&gt;15.2113949729265&lt;/D&gt;&lt;D xsi:type="xsd:double"&gt;14.1123860445249&lt;/D&gt;&lt;D xsi:type="xsd:double"&gt;14.5945106381064&lt;/D&gt;&lt;D xsi:type="xsd:double"&gt;15.0756672995633&lt;/D&gt;&lt;D xsi:type="xsd:double"&gt;14.2868704415095&lt;/D&gt;&lt;D xsi:type="xsd:double"&gt;13.8221231281231&lt;/D&gt;&lt;D xsi:type="xsd:double"&gt;13.0724355785714&lt;/D&gt;&lt;D xsi:type="xsd:double"&gt;14.6751205161635&lt;/D&gt;&lt;D xsi:type="xsd:double"&gt;14.2557910518409&lt;/D&gt;&lt;D xsi:type="xsd:double"&gt;14.0915097892498&lt;/D&gt;&lt;D xsi:type="xsd:double"&gt;13.8916468252149&lt;/D&gt;&lt;D xsi:type="xsd:double"&gt;13.8673397930237&lt;/D&gt;&lt;D xsi:type="xsd:double"&gt;14.2110563818159&lt;/D&gt;&lt;D xsi:type="xsd:double"&gt;13.9303290244743&lt;/D&gt;&lt;D xsi:type="xsd:double"&gt;13.8014606197571&lt;/D&gt;&lt;D xsi:type="xsd:double"&gt;13.6999609196774&lt;/D&gt;&lt;D xsi:type="xsd:double"&gt;14.3857803755352&lt;/D&gt;&lt;D xsi:type="xsd:double"&gt;14.5477665077397&lt;/D&gt;&lt;D xsi:type="xsd:double"&gt;14.2086830911331&lt;/D&gt;&lt;D xsi:type="xsd:double"&gt;14.5204791092236&lt;/D&gt;&lt;D xsi:type="xsd:double"&gt;14.8003146053822&lt;/D&gt;&lt;D xsi:type="xsd:double"&gt;15.4449960293393&lt;/D&gt;&lt;D xsi:type="xsd:double"&gt;14.8914729263262&lt;/D&gt;&lt;D xsi:type="xsd:double"&gt;14.8274625720239&lt;/D&gt;&lt;D xsi:type="xsd:double"&gt;14.3750450674355&lt;/D&gt;&lt;D xsi:type="xsd:double"&gt;14.8438680799434&lt;/D&gt;&lt;D xsi:type="xsd:double"&gt;15.1862023446581&lt;/D&gt;&lt;D xsi:type="xsd:double"&gt;15.0117688428659&lt;/D&gt;&lt;D xsi:type="xsd:double"&gt;15.144044317451&lt;/D&gt;&lt;D xsi:type="xsd:double"&gt;15.2610205624904&lt;/D&gt;&lt;D xsi:type="xsd:double"&gt;14.1944945798249&lt;/D&gt;&lt;D xsi:type="xsd:double"&gt;14.5591005098801&lt;/D&gt;&lt;D xsi:type="xsd:double"&gt;14.4902900230995&lt;/D&gt;&lt;D xsi:type="xsd:double"&gt;14.8437202251711&lt;/D&gt;&lt;D xsi:type="xsd:double"&gt;14.3730511753383&lt;/D&gt;&lt;D xsi:type="xsd:double"&gt;14.1059799801173&lt;/D&gt;&lt;D xsi:type="xsd:double"&gt;13.8598306658398&lt;/D&gt;&lt;D xsi:type="xsd:double"&gt;13.5533466425216&lt;/D&gt;&lt;D xsi:type="xsd:double"&gt;12.7696063528263&lt;/D&gt;&lt;D xsi:type="xsd:double"&gt;12.6787642073779&lt;/D&gt;&lt;D xsi:type="xsd:double"&gt;12.3582706551114&lt;/D&gt;&lt;D xsi:type="xsd:double"&gt;12.2246420766778&lt;/D&gt;&lt;D xsi:type="xsd:double"&gt;12.954647237781&lt;/D&gt;&lt;D xsi:type="xsd:double"&gt;13.4823089533519&lt;/D&gt;&lt;D xsi:type="xsd:double"&gt;13.9819519930681&lt;/D&gt;&lt;D xsi:type="xsd:double"&gt;13.4933522370889&lt;/D&gt;&lt;D xsi:type="xsd:double"&gt;13.5564650855013&lt;/D&gt;&lt;D xsi:type="xsd:double"&gt;14.0005031426578&lt;/D&gt;&lt;D xsi:type="xsd:double"&gt;13.4487526576705&lt;/D&gt;&lt;D xsi:type="xsd:double"&gt;14.1849629017277&lt;/D&gt;&lt;D xsi:type="xsd:double"&gt;14.2343234845945&lt;/D&gt;&lt;D xsi:type="xsd:double"&gt;14.8014680162896&lt;/D&gt;&lt;D xsi:type="xsd:double"&gt;14.6996651062188&lt;/D&gt;&lt;D xsi:type="xsd:double"&gt;15.0038248654485&lt;/D&gt;&lt;D xsi:type="xsd:double"&gt;15.2080867489639&lt;/D&gt;&lt;D xsi:type="xsd:double"&gt;10.7382580593566&lt;/D&gt;&lt;D xsi:type="xsd:double"&gt;14.4953808252735&lt;/D&gt;&lt;D xsi:type="xsd:double"&gt;16.5453721539926&lt;/D&gt;&lt;D xsi:type="xsd:double"&gt;18.3040622451667&lt;/D&gt;&lt;D xsi:type="xsd:double"&gt;19.1863514319623&lt;/D&gt;&lt;D xsi:type="xsd:double"&gt;20.2102931330098&lt;/D&gt;&lt;D xsi:type="xsd:double"&gt;19.2777437405012&lt;/D&gt;&lt;D xsi:type="xsd:double"&gt;18.4782932091825&lt;/D&gt;&lt;D xsi:type="xsd:double"&gt;18.8850988731278&lt;/D&gt;&lt;D xsi:type="xsd:double"&gt;18.4865577489383&lt;/D&gt;&lt;D xsi:type="xsd:double"&gt;18.0208938816828&lt;/D&gt;&lt;D xsi:type="xsd:double"&gt;17.8882272866616&lt;/D&gt;&lt;D xsi:type="xsd:double"&gt;18.4737201713702&lt;/D&gt;&lt;D xsi:type="xsd:double"&gt;18.1721076268246&lt;/D&gt;&lt;D xsi:type="xsd:double"&gt;17.5987155256892&lt;/D&gt;&lt;D xsi:type="xsd:double"&gt;17.9998873308971&lt;/D&gt;&lt;D xsi:type="xsd:double"&gt;17.3288238738025&lt;/D&gt;&lt;D xsi:type="xsd:double"&gt;16.9181508175104&lt;/D&gt;&lt;D xsi:type="xsd:double"&gt;16.2151452016945&lt;/D&gt;&lt;D xsi:type="xsd:double"&gt;15.4466970370615&lt;/D&gt;&lt;D xsi:type="xsd:double"&gt;15.9289541684515&lt;/D&gt;&lt;D xsi:type="xsd:double"&gt;15.559884894217&lt;/D&gt;&lt;D xsi:type="xsd:double"&gt;15.7812419280513&lt;/D&gt;&lt;D xsi:type="xsd:double"&gt;14.6471776917678&lt;/D&gt;&lt;D xsi:type="xsd:double"&gt;13.0059242740146&lt;/D&gt;&lt;D xsi:type="xsd:double"&gt;13.1697422491422&lt;/D&gt;&lt;D xsi:type="xsd:double"&gt;11.9482918248181&lt;/D&gt;&lt;D xsi:type="xsd:double"&gt;11.7533156630742&lt;/D&gt;&lt;D xsi:type="xsd:double"&gt;11.2073443372309&lt;/D&gt;&lt;D xsi:type="xsd:double"&gt;11.8461464058905&lt;/D&gt;&lt;D xsi:type="xsd:double"&gt;11.4641119481586&lt;/D&gt;&lt;D xsi:type="xsd:double"&gt;10.3175675360882&lt;/D&gt;&lt;D xsi:type="xsd:double"&gt;11.8890530219922&lt;/D&gt;&lt;D xsi:type="xsd:double"&gt;12.0897659021161&lt;/D&gt;&lt;D xsi:type="xsd:double"&gt;12.8359047599979&lt;/D&gt;&lt;D xsi:type="xsd:double"&gt;13.1176727997754&lt;/D&gt;&lt;D xsi:type="xsd:double"&gt;13.1493148770238&lt;/D&gt;&lt;D xsi:type="xsd:double"&gt;13.4723357614199&lt;/D&gt;&lt;D xsi:type="xsd:double"&gt;13.3737795158875&lt;/D&gt;&lt;D xsi:type="xsd:double"&gt;13.0945219601239&lt;/D&gt;&lt;D xsi:type="xsd:double"&gt;13.1848940892546&lt;/D&gt;&lt;D xsi:type="xsd:double"&gt;13.0867206214164&lt;/D&gt;&lt;D xsi:type="xsd:double"&gt;12.7781576607048&lt;/D&gt;&lt;D xsi:type="xsd:double"&gt;12.4203177927997&lt;/D&gt;&lt;D xsi:type="xsd:double"&gt;12.4378146205061&lt;/D&gt;&lt;D xsi:type="xsd:double"&gt;13.334961845079&lt;/D&gt;&lt;D xsi:type="xsd:double"&gt;13.3291052998858&lt;/D&gt;&lt;D xsi:type="xsd:double"&gt;13.8704469090485&lt;/D&gt;&lt;D xsi:type="xsd:double"&gt;14.5643887758477&lt;/D&gt;&lt;D xsi:type="xsd:double"&gt;14.3342166619021&lt;/D&gt;&lt;D xsi:type="xsd:double"&gt;14.7600939161905&lt;/D&gt;&lt;D xsi:type="xsd:double"&gt;14.0802793938603&lt;/D&gt;&lt;D xsi:type="xsd:double"&gt;13.8541538216959&lt;/D&gt;&lt;D xsi:type="xsd:double"&gt;13.1567220927205&lt;/D&gt;&lt;D xsi:type="xsd:double"&gt;13.4139585576845&lt;/D&gt;&lt;/FQL&gt;&lt;FQL&gt;&lt;Q&gt;QQQ^FMA_PE(LTMA,-10AY,0,AM,"PORTAGG","MEANR")&lt;/Q&gt;&lt;R&gt;121&lt;/R&gt;&lt;C&gt;1&lt;/C&gt;&lt;D xsi:type="xsd:double"&gt;19.3997030773728&lt;/D&gt;&lt;D xsi:type="xsd:double"&gt;18.6598352652074&lt;/D&gt;&lt;D xsi:type="xsd:double"&gt;19.9037732197815&lt;/D&gt;&lt;D xsi:type="xsd:double"&gt;19.935976692912&lt;/D&gt;&lt;D xsi:type="xsd:double"&gt;19.7256470202996&lt;/D&gt;&lt;D xsi:type="xsd:double"&gt;20.2683212237754&lt;/D&gt;&lt;D xsi:type="xsd:double"&gt;20.6235341795887&lt;/D&gt;&lt;D xsi:type="xsd:double"&gt;20.5165934784295&lt;/D&gt;&lt;D xsi:type="xsd:double"&gt;20.2432758693473&lt;/D&gt;&lt;D xsi:type="xsd:double"&gt;20.0988882694733&lt;/D&gt;&lt;D xsi:type="xsd:double"&gt;19.8486398494081&lt;/D&gt;&lt;D xsi:type="xsd:double"&gt;20.2458255886095&lt;/D&gt;&lt;D xsi:type="xsd:double"&gt;19.5311811452464&lt;/D&gt;&lt;D xsi:type="xsd:double"&gt;19.6007720757282&lt;/D&gt;&lt;D xsi:type="xsd:double"&gt;20.1198605515279&lt;/D&gt;&lt;D xsi:type="xsd:double"&gt;19.8636286828396&lt;/D&gt;&lt;D xsi:type="xsd:double"&gt;19.1509032108895&lt;/D&gt;&lt;D xsi:type="xsd:double"&gt;17.6074768266086&lt;/D&gt;&lt;D xsi:type="xsd:double"&gt;18.2664480602178&lt;/D&gt;&lt;D xsi:type="xsd:double"&gt;18.4121598689638&lt;/D&gt;&lt;D xsi:type="xsd:double"&gt;18.3333562859762&lt;/D&gt;&lt;D xsi:type="xsd:double"&gt;18.5419207711197&lt;/D&gt;&lt;D xsi:type="xsd:double"&gt;18.9831259432409&lt;/D&gt;&lt;D xsi:type="xsd:double"&gt;19.5557290844995&lt;/D&gt;&lt;D xsi:type="xsd:double"&gt;19.5556798208762&lt;/D&gt;&lt;D xsi:type="xsd:double"&gt;19.8499278662289&lt;/D&gt;&lt;D xsi:type="xsd:double"&gt;19.5979289954878&lt;/D&gt;&lt;D xsi:type="xsd:double"&gt;20.1769325879118&lt;/D&gt;&lt;D xsi:type="xsd:double"&gt;20.9669482741248&lt;/D&gt;&lt;D xsi:type="xsd:double"&gt;21.5272966967445&lt;/D&gt;&lt;D xsi:type="xsd:double"&gt;21.7012824691961&lt;/D&gt;&lt;D xsi:type="xsd:double"&gt;21.5599847226711&lt;/D&gt;&lt;D xsi:type="xsd:double"&gt;21.8417708303109&lt;/D&gt;&lt;D xsi:type="xsd:double"&gt;21.8177241190798&lt;/D&gt;&lt;D xsi:type="xsd:double"&gt;21.8925040810924&lt;/D&gt;&lt;D xsi:type="xsd:double"&gt;21.9412261552739&lt;/D&gt;&lt;D xsi:type="xsd:double"&gt;22.3359646491074&lt;/D&gt;&lt;D xsi:type="xsd:double"&gt;22.5758182780539&lt;/D&gt;&lt;D xsi:type="xsd:double"&gt;22.9601709104262&lt;/D&gt;&lt;D xsi:type="xsd:double"&gt;23.2622132237177&lt;/D&gt;&lt;D xsi:type="xsd:double"&gt;24.7973158807691&lt;/D&gt;&lt;D xsi:type="xsd:double"&gt;23.1273165269037&lt;/D&gt;&lt;D xsi:type="xsd:double"&gt;24.1722883407378&lt;/D&gt;&lt;D xsi:type="xsd:double"&gt;23.5412732805218&lt;/D&gt;&lt;D xsi:type="xsd:double"&gt;23.3662295775586&lt;/D&gt;&lt;D xsi:type="xsd:double"&gt;23.35800471617&lt;/D&gt;&lt;D xsi:type="xsd:double"&gt;23.3881739971275&lt;/D&gt;&lt;D xsi:type="xsd:double"&gt;23.1162351815135&lt;/D&gt;&lt;D xsi:type="xsd:double"&gt;23.0349120404372&lt;/D&gt;&lt;D xsi:type="xsd:double"&gt;22.112471239717&lt;/D&gt;&lt;D xsi:type="xsd:double"&gt;20.627299612097&lt;/D&gt;&lt;D xsi:type="xsd:double"&gt;20.1006254025656&lt;/D&gt;&lt;D xsi:type="xsd:double"&gt;19.5479829189366&lt;/D&gt;&lt;D xsi:type="xsd:double"&gt;20.6482394900357&lt;/D&gt;&lt;D xsi:type="xsd:double"&gt;20.9286364218858&lt;/D&gt;&lt;D xsi:type="xsd:double"&gt;21.2375851783933&lt;/D&gt;&lt;D xsi:type="xsd:double"&gt;21.2836194710615&lt;/D&gt;&lt;D xsi:type="xsd:double"&gt;21.2209282791961&lt;/D&gt;&lt;D xsi:type="xsd:double"&gt;22.0715741859169&lt;/D&gt;&lt;D xsi:type="xsd:double"&gt;21.5438053093104&lt;/D&gt;&lt;D xsi:type="xsd:double"&gt;22.3371845204157&lt;/D&gt;&lt;D xsi:type="xsd:double"&gt;22.3590161576084&lt;/D&gt;&lt;D xsi:type="xsd:double"&gt;23.4840874178868&lt;/D&gt;&lt;D xsi:type="xsd:double"&gt;24.4502462880664&lt;/D&gt;&lt;D xsi:type="xsd:double"&gt;26.0678813223975&lt;/D&gt;&lt;D xsi:type="xsd:double"&gt;27.1601546119277&lt;/D&gt;&lt;D xsi:type="xsd:double"&gt;23.1370823456735&lt;/D&gt;&lt;D xsi:type="xsd:double"&gt;23.9586368896781&lt;/D&gt;&lt;D xsi:type="xsd:double"&gt;25.6051616517403&lt;/D&gt;&lt;D xsi:type="xsd:double"&gt;26.8460781185914&lt;/D&gt;&lt;D xsi:type="xsd:double"&gt;28.9351544271776&lt;/D&gt;&lt;D xsi:type="xsd:double"&gt;29.2513967020237&lt;/D&gt;&lt;D xsi:type="xsd:double"&gt;29.7589489228371&lt;/D&gt;&lt;D xsi:type="xsd:double"&gt;32.6077481226096&lt;/D&gt;&lt;D xsi:type="xsd:double"&gt;31.7266960516072&lt;/D&gt;&lt;D xsi:type="xsd:double"&gt;33.7056635089895&lt;/D&gt;&lt;D xsi:type="xsd:double"&gt;35.027076060022&lt;/D&gt;&lt;D xsi:type="xsd:double"&gt;35.5964685891478&lt;/D&gt;&lt;D xsi:type="xsd:double"&gt;32.7438575680101&lt;/D&gt;&lt;D xsi:type="xsd:double"&gt;32.8414624589574&lt;/D&gt;&lt;D xsi:type="xsd:double"&gt;31.2975406486317&lt;/D&gt;&lt;D xsi:type="xsd:double"&gt;31.5580104265829&lt;/D&gt;&lt;D xsi:type="xsd:double"&gt;32.0815177087622&lt;/D&gt;&lt;D xsi:type="xsd:double"&gt;31.2938526312203&lt;/D&gt;&lt;D xsi:type="xsd:double"&gt;31.4491933071948&lt;/D&gt;&lt;D xsi:type="xsd:double"&gt;30.0434794060172&lt;/D&gt;&lt;D xsi:type="xsd:double"&gt;31.9140198180801&lt;/D&gt;&lt;D xsi:type="xsd:double"&gt;31.8912181184863&lt;/D&gt;&lt;D xsi:type="xsd:double"&gt;30.9778342467794&lt;/D&gt;&lt;D xsi:type="xsd:double"&gt;26.9185130951948&lt;/D&gt;&lt;D xsi:type="xsd:double"&gt;26.3272997591243&lt;/D&gt;&lt;D xsi:type="xsd:double"&gt;26.3705176147053&lt;/D&gt;&lt;D xsi:type="xsd:double"&gt;25.079915426233&lt;/D&gt;&lt;D xsi:type="xsd:double"&gt;24.588492282494&lt;/D&gt;&lt;D xsi:type="xsd:double"&gt;24.1881402220116&lt;/D&gt;&lt;D xsi:type="xsd:double"&gt;26.4409387053547&lt;/D&gt;&lt;D xsi:type="xsd:double"&gt;25.2495060636683&lt;/D&gt;&lt;D xsi:type="xsd:double"&gt;22.2965740084761&lt;/D&gt;&lt;D xsi:type="xsd:double"&gt;23.9368884272263&lt;/D&gt;&lt;D xsi:type="xsd:double"&gt;23.4009212762096&lt;/D&gt;&lt;D xsi:type="xsd:double"&gt;23.7431487185462&lt;/D&gt;&lt;D xsi:type="xsd:double"&gt;25.6388270130311&lt;/D&gt;&lt;D xsi:type="xsd:double"&gt;25.1199688138252&lt;/D&gt;&lt;D xsi:type="xsd:double"&gt;25.5276849558779&lt;/D&gt;&lt;D xsi:type="xsd:double"&gt;25.7374304712057&lt;/D&gt;&lt;D xsi:type="xsd:double"&gt;26.8877005071696&lt;/D&gt;&lt;D xsi:type="xsd:double"&gt;27.5176311803193&lt;/D&gt;&lt;D xsi:type="xsd:double"&gt;26.3307465808963&lt;/D&gt;&lt;D xsi:type="xsd:double"&gt;26.5870707246092&lt;/D&gt;&lt;D xsi:type="xsd:double"&gt;26.6365400105076&lt;/D&gt;&lt;D xsi:type="xsd:double"&gt;26.9993362777411&lt;/D&gt;&lt;D xsi:type="xsd:double"&gt;28.3897271957085&lt;/D&gt;&lt;D xsi:type="xsd:double"&gt;29.064032181344&lt;/D&gt;&lt;D xsi:type="xsd:double"&gt;30.2743114279689&lt;/D&gt;&lt;D xsi:type="xsd:double"&gt;30.2346121552168&lt;/D&gt;&lt;D xsi:type="xsd:double"&gt;29.6936012352713&lt;/D&gt;&lt;D xsi:type="xsd:double"&gt;29.45197930337&lt;/D&gt;&lt;D xsi:type="xsd:double"&gt;29.8153954446018&lt;/D&gt;&lt;D xsi:type="xsd:double"&gt;30.5921310834746&lt;/D&gt;&lt;D xsi:type="xsd:double"&gt;29.4145550434988&lt;/D&gt;&lt;D xsi:type="xsd:double"&gt;30.0300620704689&lt;/D&gt;&lt;/FQL&gt;&lt;FQL&gt;&lt;Q&gt;DDR3512M-FDS^FG_PRICE(0)&lt;/Q&gt;&lt;R&gt;1&lt;/R&gt;&lt;C&gt;1&lt;/C&gt;&lt;D xsi:type="xsd:double"&gt;0.88513285&lt;/D&gt;&lt;/FQL&gt;&lt;FQL&gt;&lt;Q&gt;PASP-FDS^FG_PRICE(0)&lt;/Q&gt;&lt;R&gt;1&lt;/R&gt;&lt;C&gt;1&lt;/C&gt;&lt;D xsi:type="xsd:double"&gt;1038&lt;/D&gt;&lt;/FQL&gt;&lt;FQL&gt;&lt;Q&gt;PLATI-FDS^FG_PRICE(0)&lt;/Q&gt;&lt;R&gt;1&lt;/R&gt;&lt;C&gt;1&lt;/C&gt;&lt;D xsi:type="xsd:double"&gt;970&lt;/D&gt;&lt;/FQL&gt;&lt;FQL&gt;&lt;Q&gt;W-FDS^FG_PRICE(0)&lt;/Q&gt;&lt;R&gt;1&lt;/R&gt;&lt;C&gt;1&lt;/C&gt;&lt;D xsi:type="xsd:double"&gt;5.63&lt;/D&gt;&lt;/FQL&gt;&lt;FQL&gt;&lt;Q&gt;COPP-FDS^FG_PRICE(0)&lt;/Q&gt;&lt;R&gt;1&lt;/R&gt;&lt;C&gt;1&lt;/C&gt;&lt;D xsi:type="xsd:double"&gt;4.133&lt;/D&gt;&lt;/FQL&gt;&lt;FQL&gt;&lt;Q&gt;FC0000US^FG_PRICE(0)&lt;/Q&gt;&lt;R&gt;1&lt;/R&gt;&lt;C&gt;1&lt;/C&gt;&lt;D xsi:type="xsd:double"&gt;418.26642&lt;/D&gt;&lt;/FQL&gt;&lt;FQL&gt;&lt;Q&gt;DUMMY^ECON_EXPR_DATA('FDS_ECON[NTCPMIMFGSA@EME]',,,M)&lt;/Q&gt;&lt;R&gt;1&lt;/R&gt;&lt;C&gt;1&lt;/C&gt;&lt;D xsi:type="xsd:double"&gt;50.789436&lt;/D&gt;&lt;/FQL&gt;&lt;FQL&gt;&lt;Q&gt;EWD^FMA_ROE(NTMA,-20AY,NOW,FY,"PORTAGG","MEANR")&lt;/Q&gt;&lt;R&gt;20&lt;/R&gt;&lt;C&gt;1&lt;/C&gt;&lt;D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xsi:type="xsd:double"&gt;14.6915673510105&lt;/D&gt;&lt;D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xsi:type="xsd:double"&gt;2.004&lt;/D&gt;&lt;/FQL&gt;&lt;FQL&gt;&lt;Q&gt;TRYAU10Y-FDS^PCTCHG(FG_YIELD(0,,,,"YTM"),FG_YIELD(-3AM,,,,"YTM"))&lt;/Q&gt;&lt;R&gt;1&lt;/R&gt;&lt;C&gt;1&lt;/C&gt;&lt;D xsi:type="xsd:double"&gt;-9.955594&lt;/D&gt;&lt;/FQL&gt;&lt;FQL&gt;&lt;Q&gt;TRYUS10Y-FDS^FG_YIELD(0,,,,"YTM")&lt;/Q&gt;&lt;R&gt;1&lt;/R&gt;&lt;C&gt;1&lt;/C&gt;&lt;D xsi:type="xsd:double"&gt;3.6801&lt;/D&gt;&lt;/FQL&gt;&lt;FQL&gt;&lt;Q&gt;CAGDPY@FR^EE_ACTUAL_ANNUAL(MED,0)&lt;/Q&gt;&lt;R&gt;1&lt;/R&gt;&lt;C&gt;1&lt;/C&gt;&lt;D xsi:type="xsd:double"&gt;-1.0196499952943&lt;/D&gt;&lt;/FQL&gt;&lt;FQL&gt;&lt;Q&gt;CAGDPY@AU^EE_ACTUAL_ANNUAL(MED,0)&lt;/Q&gt;&lt;R&gt;1&lt;/R&gt;&lt;C&gt;1&lt;/C&gt;&lt;D xsi:type="xsd:double"&gt;0.252467670960909&lt;/D&gt;&lt;/FQL&gt;&lt;FQL&gt;&lt;Q&gt;USDITL^FG_PRICE_CHANGE(0,-1AM)&lt;/Q&gt;&lt;R&gt;1&lt;/R&gt;&lt;C&gt;1&lt;/C&gt;&lt;D xsi:type="xsd:double"&gt;-0.9827852&lt;/D&gt;&lt;/FQL&gt;&lt;FQL&gt;&lt;Q&gt;USDANG^FG_PRICE_CHANGE(0,-1AM)&lt;/Q&gt;&lt;R&gt;1&lt;/R&gt;&lt;C&gt;1&lt;/C&gt;&lt;D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xsi:type="xsd:double"&gt;-2.2476256&lt;/D&gt;&lt;/FQL&gt;&lt;FQL&gt;&lt;Q&gt;USDJPY^FG_PRICE_CHANGE(0,-1AM)&lt;/Q&gt;&lt;R&gt;1&lt;/R&gt;&lt;C&gt;1&lt;/C&gt;&lt;D xsi:type="xsd:double"&gt;-3.6310732&lt;/D&gt;&lt;/FQL&gt;&lt;FQL&gt;&lt;Q&gt;USDCAD^FG_PRICE_CHANGE(0,-1AM)&lt;/Q&gt;&lt;R&gt;1&lt;/R&gt;&lt;C&gt;1&lt;/C&gt;&lt;D xsi:type="xsd:double"&gt;-1.0047734&lt;/D&gt;&lt;/FQL&gt;&lt;FQL&gt;&lt;Q&gt;USDNZD^FG_PRICE_CHANGE(0,-1AM)&lt;/Q&gt;&lt;R&gt;1&lt;/R&gt;&lt;C&gt;1&lt;/C&gt;&lt;D xsi:type="xsd:double"&gt;-1.9920349&lt;/D&gt;&lt;/FQL&gt;&lt;FQL&gt;&lt;Q&gt;ENZL^FMA_EPS(NTMA,-20AY,0,CY,,"PORTAGG","MEANR")&lt;/Q&gt;&lt;R&gt;20&lt;/R&gt;&lt;C&gt;1&lt;/C&gt;&lt;D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xsi:type="xsd:double"&gt;4.663217&lt;/D&gt;&lt;D xsi:type="xsd:double"&gt;-10.891092&lt;/D&gt;&lt;D xsi:type="xsd:double"&gt;-2.4999976&lt;/D&gt;&lt;D xsi:type="xsd:double"&gt;-2.136755&lt;/D&gt;&lt;D xsi:type="xsd:double"&gt;-5.680895&lt;/D&gt;&lt;D xsi:type="xsd:double"&gt;11.81041&lt;/D&gt;&lt;D xsi:type="xsd:double"&gt;0.34745932&lt;/D&gt;&lt;D xsi:type="xsd:double"&gt;4.5013905&lt;/D&gt;&lt;D xsi:type="xsd:double"&gt;2.4519563&lt;/D&gt;&lt;D xsi:type="xsd:double"&gt;0.58214664&lt;/D&gt;&lt;D xsi:type="xsd:double"&gt;0.12573004&lt;/D&gt;&lt;D xsi:type="xsd:double"&gt;2.2875786&lt;/D&gt;&lt;D xsi:type="xsd:double"&gt;-4.920125&lt;/D&gt;&lt;D xsi:type="xsd:double"&gt;1.</t>
        </r>
      </text>
    </comment>
    <comment ref="A2" authorId="0" shapeId="0" xr:uid="{B36570A5-126F-472D-BB1F-F9B00C9BEC14}">
      <text>
        <r>
          <rPr>
            <b/>
            <sz val="9"/>
            <color indexed="81"/>
            <rFont val="Tahoma"/>
            <charset val="1"/>
          </rPr>
          <t>0752678&lt;/D&gt;&lt;D xsi:type="xsd:double"&gt;-6.648934&lt;/D&gt;&lt;D xsi:type="xsd:double"&gt;-2.2079825&lt;/D&gt;&lt;D xsi:type="xsd:double"&gt;-5.0307155&lt;/D&gt;&lt;D xsi:type="xsd:double"&gt;-14.846158&lt;/D&gt;&lt;D xsi:type="xsd:double"&gt;14.272809&lt;/D&gt;&lt;D xsi:type="xsd:double"&gt;-6.6403093&lt;/D&gt;&lt;D xsi:type="xsd:double"&gt;1.7781496&lt;/D&gt;&lt;D xsi:type="xsd:double"&gt;-3.0782104&lt;/D&gt;&lt;D xsi:type="xsd:double"&gt;-2.8008997&lt;/D&gt;&lt;D xsi:type="xsd:double"&gt;2.452314&lt;/D&gt;&lt;D xsi:type="xsd:double"&gt;1.5070915&lt;/D&gt;&lt;D xsi:type="xsd:double"&gt;-5.1528397&lt;/D&gt;&lt;D xsi:type="xsd:double"&gt;1.7035007&lt;/D&gt;&lt;D xsi:type="xsd:double"&gt;6.7903996&lt;/D&gt;&lt;D xsi:type="xsd:double"&gt;4.559195&lt;/D&gt;&lt;D xsi:type="xsd:double"&gt;-3.1505764&lt;/D&gt;&lt;D xsi:type="xsd:double"&gt;4.267001&lt;/D&gt;&lt;D xsi:type="xsd:double"&gt;1.7017841&lt;/D&gt;&lt;D xsi:type="xsd:double"&gt;11.155378&lt;/D&gt;&lt;D xsi:type="xsd:double"&gt;0.71685314&lt;/D&gt;&lt;D xsi:type="xsd:double"&gt;4.0304065&lt;/D&gt;&lt;D xsi:type="xsd:double"&gt;2.8909802&lt;/D&gt;&lt;D xsi:type="xsd:double"&gt;5.3486824&lt;/D&gt;&lt;D xsi:type="xsd:double"&gt;-0.41773915&lt;/D&gt;&lt;D xsi:type="xsd:double"&gt;-0.6776333&lt;/D&gt;&lt;D xsi:type="xsd:double"&gt;1.2995481&lt;/D&gt;&lt;D xsi:type="xsd:double"&gt;6.6789865&lt;/D&gt;&lt;D xsi:type="xsd:double"&gt;-3.415966&lt;/D&gt;&lt;D xsi:type="xsd:double"&gt;1.9092321&lt;/D&gt;&lt;D xsi:type="xsd:double"&gt;2.3955703&lt;/D&gt;&lt;D xsi:type="xsd:double"&gt;0.599885&lt;/D&gt;&lt;D xsi:type="xsd:double"&gt;-9.093624&lt;/D&gt;&lt;D xsi:type="xsd:double"&gt;-1.6147137&lt;/D&gt;&lt;D xsi:type="xsd:double"&gt;-4.8663497&lt;/D&gt;&lt;D xsi:type="xsd:double"&gt;1.0086536&lt;/D&gt;&lt;D xsi:type="xsd:double"&gt;-7.845938&lt;/D&gt;&lt;D xsi:type="xsd:double"&gt;-3.4829736&lt;/D&gt;&lt;D xsi:type="xsd:double"&gt;1.5637517&lt;/D&gt;&lt;D xsi:type="xsd:double"&gt;1.7176628&lt;/D&gt;&lt;D xsi:type="xsd:double"&gt;2.2012591&lt;/D&gt;&lt;D xsi:type="xsd:double"&gt;3.692305&lt;/D&gt;&lt;D xsi:type="xsd:double"&gt;5.4525256&lt;/D&gt;&lt;D xsi:type="xsd:double"&gt;-3.7988067&lt;/D&gt;&lt;D xsi:type="xsd:double"&gt;-0.76782703&lt;/D&gt;&lt;D xsi:type="xsd:double"&gt;9.008503&lt;/D&gt;&lt;D xsi:type="xsd:double"&gt;-9.513813&lt;/D&gt;&lt;D xsi:type="xsd:double"&gt;8.117509&lt;/D&gt;&lt;D xsi:type="xsd:double"&gt;-0.53628683&lt;/D&gt;&lt;D xsi:type="xsd:double"&gt;6.7217827&lt;/D&gt;&lt;D xsi:type="xsd:double"&gt;-0.9094&lt;/D&gt;&lt;D xsi:type="xsd:double"&gt;1.5176892&lt;/D&gt;&lt;D xsi:type="xsd:double"&gt;1.8206358&lt;/D&gt;&lt;D xsi:type="xsd:double"&gt;-38.04636&lt;/D&gt;&lt;D xsi:type="xsd:double"&gt;14.9118185&lt;/D&gt;&lt;D xsi:type="xsd:double"&gt;-4.0930214&lt;/D&gt;&lt;D xsi:type="xsd:double"&gt;15.276432&lt;/D&gt;&lt;D xsi:type="xsd:double"&gt;5.722296&lt;/D&gt;&lt;D xsi:type="xsd:double"&gt;6.554079&lt;/D&gt;&lt;D xsi:type="xsd:double"&gt;-3.1698108&lt;/D&gt;&lt;D xsi:type="xsd:double"&gt;-0.97427964&lt;/D&gt;&lt;D xsi:type="xsd:double"&gt;4.8012614&lt;/D&gt;&lt;D xsi:type="xsd:double"&gt;8.97485&lt;/D&gt;&lt;D xsi:type="xsd:double"&gt;3.9876223&lt;/D&gt;&lt;D xsi:type="xsd:double"&gt;3.3411264&lt;/D&gt;&lt;D xsi:type="xsd:double"&gt;2.1985173&lt;/D&gt;&lt;D xsi:type="xsd:double"&gt;0.1581788&lt;/D&gt;&lt;D xsi:type="xsd:double"&gt;1.1370778&lt;/D&gt;&lt;D xsi:type="xsd:double"&gt;6.5615654&lt;/D&gt;&lt;D xsi:type="xsd:double"&gt;-3.530103&lt;/D&gt;&lt;D xsi:type="xsd:double"&gt;3.597784&lt;/D&gt;&lt;D xsi:type="xsd:double"&gt;-4.1258516&lt;/D&gt;&lt;D xsi:type="xsd:double"&gt;-0.49535632&lt;/D&gt;&lt;D xsi:type="xsd:double"&gt;5.538261&lt;/D&gt;&lt;D xsi:type="xsd:double"&gt;-3.9504588&lt;/D&gt;&lt;D xsi:type="xsd:double"&gt;5.128467&lt;/D&gt;&lt;D xsi:type="xsd:double"&gt;-4.8563776&lt;/D&gt;&lt;D xsi:type="xsd:double"&gt;-16.433239&lt;/D&gt;&lt;D xsi:type="xsd:double"&gt;7.113588&lt;/D&gt;&lt;D xsi:type="xsd:double"&gt;-8.205843&lt;/D&gt;&lt;D xsi:type="xsd:double"&gt;-1.3812721&lt;/D&gt;&lt;D xsi:type="xsd:double"&gt;-8.907366&lt;/D&gt;&lt;D xsi:type="xsd:double"&gt;10.430241&lt;/D&gt;&lt;D xsi:type="xsd:double"&gt;-3.7780344&lt;/D&gt;&lt;D xsi:type="xsd:double"&gt;-12.801641&lt;/D&gt;&lt;D xsi:type="xsd:double"&gt;28.330208&lt;/D&gt;&lt;D xsi:type="xsd:double"&gt;1.096487&lt;/D&gt;&lt;D xsi:type="xsd:double"&gt;8.769691&lt;/D&gt;&lt;D xsi:type="xsd:double"&gt;2.1592498&lt;/D&gt;&lt;D xsi:type="xsd:double"&gt;-2.1136105&lt;/D&gt;&lt;D xsi:type="xsd:double"&gt;6.275308&lt;/D&gt;&lt;D xsi:type="xsd:double"&gt;-0.5714297&lt;/D&gt;&lt;D xsi:type="xsd:double"&gt;-0.35949945&lt;/D&gt;&lt;D xsi:type="xsd:double"&gt;7.0584416&lt;/D&gt;&lt;D xsi:type="xsd:double"&gt;-2.054584&lt;/D&gt;&lt;D xsi:type="xsd:double"&gt;-1.3775826&lt;/D&gt;&lt;D xsi:type="xsd:double"&gt;-3.7142873&lt;/D&gt;&lt;D xsi:type="xsd:double"&gt;2.7035952&lt;/D&gt;&lt;D xsi:type="xsd:double"&gt;7.447839&lt;/D&gt;&lt;D xsi:type="xsd:double"&gt;2.5322914&lt;/D&gt;&lt;D xsi:type="xsd:double"&gt;0.5606413&lt;/D&gt;&lt;D xsi:type="xsd:double"&gt;8.744133&lt;/D&gt;&lt;D xsi:type="xsd:double"&gt;-2.9411793&lt;/D&gt;&lt;D xsi:type="xsd:double"&gt;6.1717987&lt;/D&gt;&lt;D xsi:type="xsd:double"&gt;-0.12629628&lt;/D&gt;&lt;D xsi:type="xsd:double"&gt;1.4776945&lt;/D&gt;&lt;D xsi:type="xsd:double"&gt;-5.5599747&lt;/D&gt;&lt;D xsi:type="xsd:double"&gt;6.7844152&lt;/D&gt;&lt;/FQL&gt;&lt;FQL&gt;&lt;Q&gt;EWN^FMA_DIV_YLD(NTMA,-10AY,0,AM,"PORTAGG","MEANR")&lt;/Q&gt;&lt;R&gt;121&lt;/R&gt;&lt;C&gt;1&lt;/C&gt;&lt;D xsi:type="xsd:double"&gt;3.00312785407198&lt;/D&gt;&lt;D xsi:type="xsd:double"&gt;3.17750860434438&lt;/D&gt;&lt;D xsi:type="xsd:double"&gt;3.11265008626119&lt;/D&gt;&lt;D xsi:type="xsd:double"&gt;3.13475473373686&lt;/D&gt;&lt;D xsi:type="xsd:double"&gt;3.10070572410501&lt;/D&gt;&lt;D xsi:type="xsd:double"&gt;2.8603404081536&lt;/D&gt;&lt;D xsi:type="xsd:double"&gt;2.64143861506072&lt;/D&gt;&lt;D xsi:type="xsd:double"&gt;2.58310347872124&lt;/D&gt;&lt;D xsi:type="xsd:double"&gt;2.7599681596706&lt;/D&gt;&lt;D xsi:type="xsd:double"&gt;2.92179443853623&lt;/D&gt;&lt;D xsi:type="xsd:double"&gt;2.92066189862663&lt;/D&gt;&lt;D xsi:type="xsd:double"&gt;3.18903040992024&lt;/D&gt;&lt;D xsi:type="xsd:double"&gt;3.50502890783083&lt;/D&gt;&lt;D xsi:type="xsd:double"&gt;3.46991563357757&lt;/D&gt;&lt;D xsi:type="xsd:double"&gt;3.19385453837317&lt;/D&gt;&lt;D xsi:type="xsd:double"&gt;3.3703178124924&lt;/D&gt;&lt;D xsi:type="xsd:double"&gt;3.27337067794761&lt;/D&gt;&lt;D xsi:type="xsd:double"&gt;3.66522513263701&lt;/D&gt;&lt;D xsi:type="xsd:double"&gt;3.3070368016115&lt;/D&gt;&lt;D xsi:type="xsd:double"&gt;3.33234746038775&lt;/D&gt;&lt;D xsi:type="xsd:double"&gt;3.43532174834213&lt;/D&gt;&lt;D xsi:type="xsd:double"&gt;3.2714917012433&lt;/D&gt;&lt;D xsi:type="xsd:double"&gt;3.26779035218487&lt;/D&gt;&lt;D xsi:type="xsd:double"&gt;3.13896510352899&lt;/D&gt;&lt;D xsi:type="xsd:double"&gt;3.18708703047773&lt;/D&gt;&lt;D xsi:type="xsd:double"&gt;3.12098890096049&lt;/D&gt;&lt;D xsi:type="xsd:double"&gt;3.18868506839284&lt;/D&gt;&lt;D xsi:type="xsd:double"&gt;3.04403707526347&lt;/D&gt;&lt;D xsi:type="xsd:double"&gt;2.97646852379385&lt;/D&gt;&lt;D xsi:type="xsd:double"&gt;2.915858114188&lt;/D&gt;&lt;D xsi:type="xsd:double"&gt;2.77039631952978&lt;/D&gt;&lt;D xsi:type="xsd:double"&gt;2.7645296590856&lt;/D&gt;&lt;D xsi:type="xsd:double"&gt;2.69470200247365&lt;/D&gt;&lt;D xsi:type="xsd:double"&gt;2.73753685398506&lt;/D&gt;&lt;D xsi:type="xsd:double"&gt;2.79232169604881&lt;/D&gt;&lt;D xsi:type="xsd:double"&gt;2.81879214633753&lt;/D&gt;&lt;D xsi:type="xsd:double"&gt;2.83210030077632&lt;/D&gt;&lt;D xsi:type="xsd:double"&gt;2.76534938663991&lt;/D&gt;&lt;D xsi:type="xsd:double"&gt;2.80115736908361&lt;/D&gt;&lt;D xsi:type="xsd:double"&gt;2.79914794470208&lt;/D&gt;&lt;D xsi:type="xsd:double"&gt;2.78955391180591&lt;/D&gt;&lt;D xsi:type="xsd:double"&gt;2.97816411789652&lt;/D&gt;&lt;D xsi:type="xsd:double"&gt;2.90135209492975&lt;/D&gt;&lt;D xsi:type="xsd:double"&gt;2.92593191053559&lt;/D&gt;&lt;D xsi:type="xsd:double"&gt;2.90794126440471&lt;/D&gt;&lt;D xsi:type="xsd:double"&gt;2.85705349145781&lt;/D&gt;&lt;D xsi:type="xsd:double"&gt;2.94021251169297&lt;/D&gt;&lt;D xsi:type="xsd:double"&gt;2.90400840329892&lt;/D&gt;&lt;D xsi:type="xsd:double"&gt;3.04654298404911&lt;/D&gt;&lt;D xsi:type="xsd:double"&gt;3.2226147030557&lt;/D&gt;&lt;D xsi:type="xsd:double"&gt;3.19849236072067&lt;/D&gt;&lt;D xsi:type="xsd:double"&gt;3.31395859262253&lt;/D&gt;&lt;D xsi:type="xsd:double"&gt;3.38437527772502&lt;/D&gt;&lt;D xsi:type="xsd:double"&gt;3.16989858451049&lt;/D&gt;&lt;D xsi:type="xsd:double"&gt;3.12371366538926&lt;/D&gt;&lt;D xsi:type="xsd:double"&gt;3.00134530181539&lt;/D&gt;&lt;D xsi:type="xsd:double"&gt;3.05710668139763&lt;/D&gt;&lt;D xsi:type="xsd:double"&gt;3.07067303198309&lt;/D&gt;&lt;D xsi:type="xsd:double"&gt;2.97536640737763&lt;/D&gt;&lt;D xsi:type="xsd:double"&gt;3.04242716557088&lt;/D&gt;&lt;D xsi:type="xsd:double"&gt;2.84248335380082&lt;/D&gt;&lt;D xsi:type="xsd:double"&gt;2.74741717089089&lt;/D&gt;&lt;D xsi:type="xsd:double"&gt;2.6494804446671&lt;/D&gt;&lt;D xsi:type="xsd:double"&gt;2.63406977773318&lt;/D&gt;&lt;D xsi:type="xsd:double"&gt;2.57652895081943&lt;/D&gt;&lt;D xsi:type="xsd:double"&gt;2.46469521562619&lt;/D&gt;&lt;D xsi:type="xsd:double"&gt;3.59432557623309&lt;/D&gt;&lt;D xsi:type="xsd:double"&gt;2.8833964806587&lt;/D&gt;&lt;D xsi:type="xsd:double"&gt;2.62508285172994&lt;/D&gt;&lt;D xsi:type="xsd:double"&gt;2.46502180877839&lt;/D&gt;&lt;D xsi:type="xsd:double"&gt;2.32345436308004&lt;/D&gt;&lt;D xsi:type="xsd:double"&gt;2.31295720121855&lt;/D&gt;&lt;D xsi:type="xsd:double"&gt;2.32122518056387&lt;/D&gt;&lt;D xsi:type="xsd:double"&gt;2.24816251178465&lt;/D&gt;&lt;D xsi:type="xsd:double"&gt;2.17647998881153&lt;/D&gt;&lt;D xsi:type="xsd:double"&gt;2.07826912388842&lt;/D&gt;&lt;D xsi:type="xsd:double"&gt;1.93600140554369&lt;/D&gt;&lt;D xsi:type="xsd:double"&gt;1.88278995619088&lt;/D&gt;&lt;D xsi:type="xsd:double"&gt;2.02377356840099&lt;/D&gt;&lt;D xsi:type="xsd:double"&gt;1.93114208536902&lt;/D&gt;&lt;D xsi:type="xsd:double"&gt;2.02838941157688&lt;/D&gt;&lt;D xsi:type="xsd:double"&gt;1.97589729034351&lt;/D&gt;&lt;D xsi:type="xsd:double"&gt;2.00449503521331&lt;/D&gt;&lt;D xsi:type="xsd:double"&gt;1.94470650467976&lt;/D&gt;&lt;D xsi:type="xsd:double"&gt;1.85198660892642&lt;/D&gt;&lt;D xsi:type="xsd:double"&gt;2.00280767487208&lt;/D&gt;&lt;D xsi:type="xsd:double"&gt;1.84147942389919&lt;/D&gt;&lt;D xsi:type="xsd:double"&gt;1.9770197803366&lt;/D&gt;&lt;D xsi:type="xsd:double"&gt;1.99052132191354&lt;/D&gt;&lt;D xsi:type="xsd:double"&gt;2.21584445906126&lt;/D&gt;&lt;D xsi:type="xsd:double"&gt;2.45050247290314&lt;/D&gt;&lt;D xsi:type="xsd:double"&gt;2.31880106223624&lt;/D&gt;&lt;D xsi:type="xsd:double"&gt;2.62538371980925&lt;/D&gt;&lt;D xsi:type="xsd:double"&gt;2.64469720276448&lt;/D&gt;&lt;D xsi:type="xsd:double"&gt;3.39575704087884&lt;/D&gt;&lt;D xsi:type="xsd:double"&gt;3.05380147167044&lt;/D&gt;&lt;D xsi:type="xsd:double"&gt;3.58561806944198&lt;/D&gt;&lt;D xsi:type="xsd:double"&gt;3.15784853614649&lt;/D&gt;&lt;D xsi:type="xsd:double"&gt;2.70869262830335&lt;/D&gt;&lt;D xsi:type="xsd:double"&gt;2.65391192482003&lt;/D&gt;&lt;D xsi:type="xsd:double"&gt;2.58804034127895&lt;/D&gt;&lt;D xsi:type="xsd:double"&gt;2.58519450278685&lt;/D&gt;&lt;D xsi:type="xsd:double"&gt;2.72543759070081&lt;/D&gt;&lt;D xsi:type="xsd:double"&gt;2.68890372831905&lt;/D&gt;&lt;D xsi:type="xsd:double"&gt;2.72305297187372&lt;/D&gt;&lt;D xsi:type="xsd:double"&gt;2.66699678868496&lt;/D&gt;&lt;D xsi:type="xsd:double"&gt;2.68332676893054&lt;/D&gt;&lt;D xsi:type="xsd:double"&gt;2.77621023414872&lt;/D&gt;&lt;D xsi:type="xsd:double"&gt;2.97958147728874&lt;/D&gt;&lt;D xsi:type="xsd:double"&gt;2.97738989344383&lt;/D&gt;&lt;D xsi:type="xsd:double"&gt;2.91257420792312&lt;/D&gt;&lt;D xsi:type="xsd:double"&gt;2.70069256072766&lt;/D&gt;&lt;D xsi:type="xsd:double"&gt;2.71901916775392&lt;/D&gt;&lt;D xsi:type="xsd:double"&gt;2.4646258682737&lt;/D&gt;&lt;D xsi:type="xsd:double"&gt;2.57131152291583&lt;/D&gt;&lt;D xsi:type="xsd:double"&gt;2.55738585334748&lt;/D&gt;&lt;D xsi:type="xsd:double"&gt;2.46556235600193&lt;/D&gt;&lt;D xsi:type="xsd:double"&gt;2.40479507464273&lt;/D&gt;&lt;D xsi:type="xsd:double"&gt;2.4191161463125&lt;/D&gt;&lt;D xsi:type="xsd:double"&gt;2.68040235595808&lt;/D&gt;&lt;D xsi:type="xsd:double"&gt;2.72228052945157&lt;/D&gt;&lt;/FQL&gt;&lt;FQL&gt;&lt;Q&gt;SPY^FMA_PE(NTMA,-10AY,0,AM,"PORTAGG","MEANR")&lt;/Q&gt;&lt;R&gt;121&lt;/R&gt;&lt;C&gt;1&lt;/C&gt;&lt;D xsi:type="xsd:double"&gt;15.1731429771878&lt;/D&gt;&lt;D xsi:type="xsd:double"&gt;14.5264828399597&lt;/D&gt;&lt;D xsi:type="xsd:double"&gt;15.6196484140194&lt;/D&gt;&lt;D xsi:type="xsd:double"&gt;15.4666051675582&lt;/D&gt;&lt;D xsi:type="xsd:double"&gt;15.9095842018008&lt;/D&gt;&lt;D xsi:type="xsd:double"&gt;16.7929687323697&lt;/D&gt;&lt;D xsi:type="xsd:double"&gt;16.5767374271982&lt;/D&gt;&lt;D xsi:type="xsd:double"&gt;16.7506179803448&lt;/D&gt;&lt;D xsi:type="xsd:double"&gt;16.5642757270826&lt;/D&gt;&lt;D xsi:type="xsd:double"&gt;16.3842740921224&lt;/D&gt;&lt;D xsi:type="xsd:double"&gt;16.1845842710819&lt;/D&gt;&lt;D xsi:type="xsd:double"&gt;16.2698603794146&lt;/D&gt;&lt;D xsi:type="xsd:double"&gt;15.2817631966567&lt;/D&gt;&lt;D xsi:type="xsd:double"&gt;15.7719445727845&lt;/D&gt;&lt;D xsi:type="xsd:double"&gt;16.0356197974607&lt;/D&gt;&lt;D xsi:type="xsd:double"&gt;15.7300489831403&lt;/D&gt;&lt;D xsi:type="xsd:double"&gt;15.2450405364849&lt;/D&gt;&lt;D xsi:type="xsd:double"&gt;15.5099438140132&lt;/D&gt;&lt;D xsi:type="xsd:double"&gt;15.5167363536305&lt;/D&gt;&lt;D xsi:type="xsd:double"&gt;16.5004635460184&lt;/D&gt;&lt;D xsi:type="xsd:double"&gt;16.5226770167304&lt;/D&gt;&lt;D xsi:type="xsd:double"&gt;16.5332547025517&lt;/D&gt;&lt;D xsi:type="xsd:double"&gt;16.8932691544244&lt;/D&gt;&lt;D xsi:type="xsd:double"&gt;16.9893615444774&lt;/D&gt;&lt;D xsi:type="xsd:double"&gt;16.6684771740755&lt;/D&gt;&lt;D xsi:type="xsd:double"&gt;16.3931889780052&lt;/D&gt;&lt;D xsi:type="xsd:double"&gt;16.5261030604819&lt;/D&gt;&lt;D xsi:type="xsd:double"&gt;17.0431158997284&lt;/D&gt;&lt;D xsi:type="xsd:double"&gt;16.9693150629432&lt;/D&gt;&lt;D xsi:type="xsd:double"&gt;17.3573135161618&lt;/D&gt;&lt;D xsi:type="xsd:double"&gt;17.6868555093764&lt;/D&gt;&lt;D xsi:type="xsd:double"&gt;17.319071096623&lt;/D&gt;&lt;D xsi:type="xsd:double"&gt;17.4302331447348&lt;/D&gt;&lt;D xsi:type="xsd:double"&gt;17.5550705014321&lt;/D&gt;&lt;D xsi:type="xsd:double"&gt;17.5190294566355&lt;/D&gt;&lt;D xsi:type="xsd:double"&gt;17.3716829759511&lt;/D&gt;&lt;D xsi:type="xsd:double"&gt;17.6219646663144&lt;/D&gt;&lt;D xsi:type="xsd:double"&gt;17.896785882642&lt;/D&gt;&lt;D xsi:type="xsd:double"&gt;17.9158166017304&lt;/D&gt;&lt;D xsi:type="xsd:double"&gt;18.2711211638359&lt;/D&gt;&lt;D xsi:type="xsd:double"&gt;18.4026634406931&lt;/D&gt;&lt;D xsi:type="xsd:double"&gt;16.6494511726626&lt;/D&gt;&lt;D xsi:type="xsd:double"&gt;17.2615191403784&lt;/D&gt;&lt;D xsi:type="xsd:double"&gt;16.3850676446733&lt;/D&gt;&lt;D xsi:type="xsd:double"&gt;16.4505081458464&lt;/D&gt;&lt;D xsi:type="xsd:double"&gt;16.6261259356018&lt;/D&gt;&lt;D xsi:type="xsd:double"&gt;16.5390900467434&lt;/D&gt;&lt;D xsi:type="xsd:double"&gt;16.5026574691152&lt;/D&gt;&lt;D xsi:type="xsd:double"&gt;16.6705729037183&lt;/D&gt;&lt;D xsi:type="xsd:double"&gt;15.8733227670383&lt;/D&gt;&lt;D xsi:type="xsd:double"&gt;15.5671543514989&lt;/D&gt;&lt;D xsi:type="xsd:double"&gt;15.1323582874375&lt;/D&gt;&lt;D xsi:type="xsd:double"&gt;15.0726387797725&lt;/D&gt;&lt;D xsi:type="xsd:double"&gt;15.979271943754&lt;/D&gt;&lt;D xsi:type="xsd:double"&gt;16.2085136485114&lt;/D&gt;&lt;D xsi:type="xsd:double"&gt;16.841229554086&lt;/D&gt;&lt;D xsi:type="xsd:double"&gt;16.5132645539269&lt;/D&gt;&lt;D xsi:type="xsd:double"&gt;16.3792558661516&lt;/D&gt;&lt;D xsi:type="xsd:double"&gt;17.1438587499148&lt;/D&gt;&lt;D xsi:type="xsd:double"&gt;16.3891378539189&lt;/D&gt;&lt;D xsi:type="xsd:double"&gt;16.9902047781107&lt;/D&gt;&lt;D xsi:type="xsd:double"&gt;16.7891810968266&lt;/D&gt;&lt;D xsi:type="xsd:double"&gt;17.4525612713349&lt;/D&gt;&lt;D xsi:type="xsd:double"&gt;17.829272743414&lt;/D&gt;&lt;D xsi:type="xsd:double"&gt;18.3089397539753&lt;/D&gt;&lt;D xsi:type="xsd:double"&gt;18.9471970465163&lt;/D&gt;&lt;D xsi:type="xsd:double"&gt;14.0418827254156&lt;/D&gt;&lt;D xsi:type="xsd:double"&gt;17.9658547613027&lt;/D&gt;&lt;D xsi:type="xsd:double"&gt;20.4520738647603&lt;/D&gt;&lt;D xsi:type="xsd:double"&gt;21.4402587736892&lt;/D&gt;&lt;D xsi:type="xsd:double"&gt;22.179891411099&lt;/D&gt;&lt;D xsi:type="xsd:double"&gt;22.4277101305653&lt;/D&gt;&lt;D xsi:type="xsd:double"&gt;21.6520384631013&lt;/D&gt;&lt;D xsi:type="xsd:double"&gt;22.3963974846051&lt;/D&gt;&lt;D xsi:type="xsd:double"&gt;21.5977918200548&lt;/D&gt;&lt;D xsi:type="xsd:double"&gt;21.8321034160416&lt;/D&gt;&lt;D xsi:type="xsd:double"&gt;22.4793483756823&lt;/D&gt;&lt;D xsi:type="xsd:double"&gt;22.2725246286934&lt;/D&gt;&lt;D xsi:type="xsd:double"&gt;21.9021086686823&lt;/D&gt;&lt;D xsi:type="xsd:double"&gt;22.4622747812119&lt;/D&gt;&lt;D xsi:type="xsd:double"&gt;20.7823501582454&lt;/D&gt;&lt;D xsi:type="xsd:double"&gt;21.3215030266224&lt;/D&gt;&lt;D xsi:type="xsd:double"&gt;21.6603045267598&lt;/D&gt;&lt;D xsi:type="xsd:double"&gt;21.1045411572069&lt;/D&gt;&lt;D xsi:type="xsd:double"&gt;20.8570526641782&lt;/D&gt;&lt;D xsi:type="xsd:double"&gt;20.2107453590095&lt;/D&gt;&lt;D xsi:type="xsd:double"&gt;21.3661311270889&lt;/D&gt;&lt;D xsi:type="xsd:double"&gt;21.1865411811044&lt;/D&gt;&lt;D xsi:type="xsd:double"&gt;21.0367624771408&lt;/D&gt;&lt;D xsi:type="xsd:double"&gt;19.4146286138574&lt;/D&gt;&lt;D xsi:type="xsd:double"&gt;18.1868429010758&lt;/D&gt;&lt;D xsi:type="xsd:double"&gt;18.7800717575615&lt;/D&gt;&lt;D xsi:type="xsd:double"&gt;16.604391569728&lt;/D&gt;&lt;D xsi:type="xsd:double"&gt;16.2978509359112&lt;/D&gt;&lt;D xsi:type="xsd:double"&gt;15.9411024734056&lt;/D&gt;&lt;D xsi:type="xsd:double"&gt;18.0699305331708&lt;/D&gt;&lt;D xsi:type="xsd:double"&gt;17.266979589973&lt;/D&gt;&lt;D xsi:type="xsd:double"&gt;15.1553905884601&lt;/D&gt;&lt;D xsi:type="xsd:double"&gt;17.3034950480324&lt;/D&gt;&lt;D xsi:type="xsd:double"&gt;17.2636359525239&lt;/D&gt;&lt;D xsi:type="xsd:double"&gt;17.3098902217422&lt;/D&gt;&lt;D xsi:type="xsd:double"&gt;18.0459977739363&lt;/D&gt;&lt;D xsi:type="xsd:double"&gt;16.9568781585445&lt;/D&gt;&lt;D xsi:type="xsd:double"&gt;18.0057128988967&lt;/D&gt;&lt;D xsi:type="xsd:double"&gt;17.9384952379052&lt;/D&gt;&lt;D xsi:type="xsd:double"&gt;18.6590911877741&lt;/D&gt;&lt;D xsi:type="xsd:double"&gt;19.2074557391077&lt;/D&gt;&lt;D xsi:type="xsd:double"&gt;18.9013298443915&lt;/D&gt;&lt;D xsi:type="xsd:double"&gt;18.598503494875&lt;/D&gt;&lt;D xsi:type="xsd:double"&gt;18.0586941705692&lt;/D&gt;&lt;D xsi:type="xsd:double"&gt;18.2565964896457&lt;/D&gt;&lt;D xsi:type="xsd:double"&gt;18.9905301462547&lt;/D&gt;&lt;D xsi:type="xsd:double"&gt;19.5596880898921&lt;/D&gt;&lt;D xsi:type="xsd:double"&gt;20.3520432636785&lt;/D&gt;&lt;D xsi:type="xsd:double"&gt;20.6979968370817&lt;/D&gt;&lt;D xsi:type="xsd:double"&gt;20.4010192960723&lt;/D&gt;&lt;D xsi:type="xsd:double"&gt;20.4832904687466&lt;/D&gt;&lt;D xsi:type="xsd:double"&gt;20.9337386371061&lt;/D&gt;&lt;D xsi:type="xsd:double"&gt;21.5273600946567&lt;/D&gt;&lt;D xsi:type="xsd:double"&gt;20.2933112002545&lt;/D&gt;&lt;D xsi:type="xsd:double"&gt;20.8026400513372&lt;/D&gt;&lt;/FQL&gt;&lt;FQL&gt;&lt;Q&gt;EWU^FMA_PE(LTMA,-10AY,0,AM,"PORTAGG","MEANR")&lt;/Q&gt;&lt;R&gt;121&lt;/R&gt;&lt;C&gt;1&lt;/C&gt;&lt;D xsi:type="xsd:double"&gt;14.1692022582628&lt;/D&gt;&lt;D xsi:type="xsd:double"&gt;13.4268495849335&lt;/D&gt;&lt;D xsi:type="xsd:double"&gt;13.9016167922814&lt;/D&gt;&lt;D xsi:type="xsd:double"&gt;13.2758443481195&lt;/D&gt;&lt;D xsi:type="xsd:double"&gt;13.4782820905794&lt;/D&gt;&lt;D xsi:type="xsd:double"&gt;14.5536728659222&lt;/D&gt;&lt;D xsi:type="xsd:double"&gt;15.1304908895601&lt;/D&gt;&lt;D xsi:type="xsd:double"&gt;15.4653415263547&lt;/D&gt;&lt;D xsi:type="xsd:double"&gt;15.656279432937&lt;/D&gt;&lt;D xsi:type="xsd:double"&gt;15.6456275393428&lt;/D&gt;&lt;D xsi:type="xsd:double"&gt;15.5822147632225&lt;/D&gt;&lt;D xsi:type="xsd:double"&gt;15.6526827554755&lt;/D&gt;&lt;D xsi:type="xsd:double"&gt;15.018967059324&lt;/D&gt;&lt;D xsi:type="xsd:double"&gt;15.6773109327592&lt;/D&gt;&lt;D xsi:type="xsd:double"&gt;15.5104481596813&lt;/D&gt;&lt;D xsi:type="xsd:double"&gt;15.0845130535522&lt;/D&gt;&lt;D xsi:type="xsd:double"&gt;14.8368467695053&lt;/D&gt;&lt;D xsi:type="xsd:double"&gt;14.4445419127267&lt;/D&gt;&lt;D xsi:type="xsd:double"&gt;15.6255820413721&lt;/D&gt;&lt;D xsi:type="xsd:double"&gt;15.8407457097645&lt;/D&gt;&lt;D xsi:type="xsd:double"&gt;15.8197839089008&lt;/D&gt;&lt;D xsi:type="xsd:double"&gt;15.8931277075778&lt;/D&gt;&lt;D xsi:type="xsd:double"&gt;16.4431657592888&lt;/D&gt;&lt;D xsi:type="xsd:double"&gt;16.9476907494451&lt;/D&gt;&lt;D xsi:type="xsd:double"&gt;16.7419786464733&lt;/D&gt;&lt;D xsi:type="xsd:double"&gt;16.935032274888&lt;/D&gt;&lt;D xsi:type="xsd:double"&gt;16.3174182826211&lt;/D&gt;&lt;D xsi:type="xsd:double"&gt;16.7973395760525&lt;/D&gt;&lt;D xsi:type="xsd:double"&gt;17.3271355811524&lt;/D&gt;&lt;D xsi:type="xsd:double"&gt;17.3356477048108&lt;/D&gt;&lt;D xsi:type="xsd:double"&gt;17.2791303258414&lt;/D&gt;&lt;D xsi:type="xsd:double"&gt;17.0436874761808&lt;/D&gt;&lt;D xsi:type="xsd:double"&gt;16.8844672209117&lt;/D&gt;&lt;D xsi:type="xsd:double"&gt;16.6411283143756&lt;/D&gt;&lt;D xsi:type="xsd:double"&gt;16.4552980332095&lt;/D&gt;&lt;D xsi:type="xsd:double"&gt;16.1329607142966&lt;/D&gt;&lt;D xsi:type="xsd:double"&gt;16.0265984708564&lt;/D&gt;&lt;D xsi:type="xsd:double"&gt;15.8896332573397&lt;/D&gt;&lt;D xsi:type="xsd:double"&gt;15.4004427733942&lt;/D&gt;&lt;D xsi:type="xsd:double"&gt;15.2949289490906&lt;/D&gt;&lt;D xsi:type="xsd:double"&gt;15.7490795361722&lt;/D&gt;&lt;D xsi:type="xsd:double"&gt;14.3816839102992&lt;/D&gt;&lt;D xsi:type="xsd:double"&gt;13.9773696162546&lt;/D&gt;&lt;D xsi:type="xsd:double"&gt;13.9808312404518&lt;/D&gt;&lt;D xsi:type="xsd:double"&gt;14.1292551417902&lt;/D&gt;&lt;D xsi:type="xsd:double"&gt;13.9592884680552&lt;/D&gt;&lt;D xsi:type="xsd:double"&gt;13.8354280568466&lt;/D&gt;&lt;D xsi:type="xsd:double"&gt;13.7790666178708&lt;/D&gt;&lt;D xsi:type="xsd:double"&gt;13.3744718352892&lt;/D&gt;&lt;D xsi:type="xsd:double"&gt;12.9027782632447&lt;/D&gt;&lt;D xsi:type="xsd:double"&gt;12.7361646666544&lt;/D&gt;&lt;D xsi:type="xsd:double"&gt;12.2978014589346&lt;/D&gt;&lt;D xsi:type="xsd:double"&gt;12.3033933231619&lt;/D&gt;&lt;D xsi:type="xsd:double"&gt;12.6835985026177&lt;/D&gt;&lt;D xsi:type="xsd:double"&gt;12.9200315920448&lt;/D&gt;&lt;D xsi:type="xsd:double"&gt;13.0231609895238&lt;/D&gt;&lt;D xsi:type="xsd:double"&gt;12.8687263753885&lt;/D&gt;&lt;D xsi:type="xsd:double"&gt;12.9793225410664&lt;/D&gt;&lt;D xsi:type="xsd:double"&gt;13.1114992902484&lt;/D&gt;&lt;D xsi:type="xsd:double"&gt;12.7498794081305&lt;/D&gt;&lt;D xsi:type="xsd:double"&gt;13.0552690018258&lt;/D&gt;&lt;D xsi:type="xsd:double"&gt;13.1203268399254&lt;/D&gt;&lt;D xsi:type="xsd:double"&gt;13.4375279374297&lt;/D&gt;&lt;D xsi:type="xsd:double"&gt;13.5325084821036&lt;/D&gt;&lt;D xsi:type="xsd:double"&gt;14.2044635586025&lt;/D&gt;&lt;D xsi:type="xsd:double"&gt;14.1045469755012&lt;/D&gt;&lt;D xsi:type="xsd:double"&gt;11.9344491417988&lt;/D&gt;&lt;D xsi:type="xsd:double"&gt;12.7906900408919&lt;/D&gt;&lt;D xsi:type="xsd:double"&gt;13.9754085653835&lt;/D&gt;&lt;D xsi:type="xsd:double"&gt;14.8369731496743&lt;/D&gt;&lt;D xsi:type="xsd:double"&gt;15.2114451784786&lt;/D&gt;&lt;D xsi:type="xsd:double"&gt;16.5908358053833&lt;/D&gt;&lt;D xsi:type="xsd:double"&gt;16.7738543324574&lt;/D&gt;&lt;D xsi:type="xsd:double"&gt;17.2464994472128&lt;/D&gt;&lt;D xsi:type="xsd:double"&gt;18.3504921106523&lt;/D&gt;&lt;D xsi:type="xsd:double"&gt;19.2846700799747&lt;/D&gt;&lt;D xsi:type="xsd:double"&gt;20.1972765143361&lt;/D&gt;&lt;D xsi:type="xsd:double"&gt;19.5026367307804&lt;/D&gt;&lt;D xsi:type="xsd:double"&gt;18.6633672789291&lt;/D&gt;&lt;D xsi:type="xsd:double"&gt;18.0333049672653&lt;/D&gt;&lt;D xsi:type="xsd:double"&gt;17.4712824831692&lt;/D&gt;&lt;D xsi:type="xsd:double"&gt;16.9539767159684&lt;/D&gt;&lt;D xsi:type="xsd:double"&gt;16.1536878300973&lt;/D&gt;&lt;D xsi:type="xsd:double"&gt;15.2215644475667&lt;/D&gt;&lt;D xsi:type="xsd:double"&gt;14.4050657471326&lt;/D&gt;&lt;D xsi:type="xsd:double"&gt;13.8387941000857&lt;/D&gt;&lt;D xsi:type="xsd:double"&gt;13.2937801097009&lt;/D&gt;&lt;D xsi:type="xsd:double"&gt;12.518250410842&lt;/D&gt;&lt;D xsi:type="xsd:double"&gt;12.7044391341609&lt;/D&gt;&lt;D xsi:type="xsd:double"&gt;12.8897101201569&lt;/D&gt;&lt;D xsi:type="xsd:double"&gt;12.4077864211837&lt;/D&gt;&lt;D xsi:type="xsd:double"&gt;12.2479891115716&lt;/D&gt;&lt;D xsi:type="xsd:double"&gt;11.6732357247095&lt;/D&gt;&lt;D xsi:type="xsd:double"&gt;11.478751117953&lt;/D&gt;&lt;D xsi:type="xsd:double"&gt;10.9560403578464&lt;/D&gt;&lt;D xsi:type="xsd:double"&gt;10.8233922469671&lt;/D&gt;&lt;D xsi:type="xsd:double"&gt;10.3862932162802&lt;/D&gt;&lt;D xsi:type="xsd:double"&gt;9.2977963508931&lt;/D&gt;&lt;D xsi:type="xsd:double"&gt;9.68732007620547&lt;/D&gt;&lt;D xsi:type="xsd:double"&gt;9.79858163835895&lt;/D&gt;&lt;D xsi:type="xsd:double"&gt;10.0947423718209&lt;/D&gt;&lt;D xsi:type="xsd:double"&gt;10.1168517553844&lt;/D&gt;&lt;D xsi:type="xsd:double"&gt;10.232138501839&lt;/D&gt;&lt;D xsi:type="xsd:double"&gt;10.3824336684333&lt;/D&gt;&lt;D xsi:type="xsd:double"&gt;10.348923397729&lt;/D&gt;&lt;D xsi:type="xsd:double"&gt;10.3028279442141&lt;/D&gt;&lt;D xsi:type="xsd:double"&gt;10.3655349048676&lt;/D&gt;&lt;D xsi:type="xsd:double"&gt;10.5418415791191&lt;/D&gt;&lt;D xsi:type="xsd:double"&gt;10.5496602639969&lt;/D&gt;&lt;D xsi:type="xsd:double"&gt;10.6524702896835&lt;/D&gt;&lt;D xsi:type="xsd:double"&gt;10.3964296310995&lt;/D&gt;&lt;D xsi:type="xsd:double"&gt;10.9107356539575&lt;/D&gt;&lt;D xsi:type="xsd:double"&gt;11.2607118245469&lt;/D&gt;&lt;D xsi:type="xsd:double"&gt;11.1702125795455&lt;/D&gt;&lt;D xsi:type="xsd:double"&gt;11.4792202631692&lt;/D&gt;&lt;D xsi:type="xsd:double"&gt;11.5492999328299&lt;/D&gt;&lt;D xsi:type="xsd:double"&gt;11.7596562991035&lt;/D&gt;&lt;D xsi:type="xsd:double"&gt;11.6972108019189&lt;/D&gt;&lt;D xsi:type="xsd:double"&gt;11.8392083661738&lt;/D&gt;&lt;D xsi:type="xsd:double"&gt;11.8320675465669&lt;/D&gt;&lt;D xsi:type="xsd:double"&gt;11.949486913586&lt;/D&gt;&lt;/FQL&gt;&lt;FQL&gt;&lt;Q&gt;WL-FDS^MAX(FG_PRICE(0,-5AY))&lt;/Q&gt;&lt;R&gt;1&lt;/R&gt;&lt;C&gt;1&lt;/C&gt;&lt;D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xsi:type="xsd:double"&gt;132.04237&lt;/D&gt;&lt;/FQL&gt;&lt;FQL&gt;&lt;Q&gt;FC0000CA^FG_PRICE(0)&lt;/Q&gt;&lt;R&gt;1&lt;/R&gt;&lt;C&gt;1&lt;/C&gt;&lt;D xsi:type="xsd:double"&gt;309.02307&lt;/D&gt;&lt;/FQL&gt;&lt;FQL&gt;&lt;Q&gt;EWD^FG_PRICE_MAVG(0,,,,200)&lt;/Q&gt;&lt;R&gt;1&lt;/R&gt;&lt;C&gt;1&lt;/C&gt;&lt;D xsi:type="xsd:double"&gt;39.559174&lt;/D&gt;&lt;/FQL&gt;&lt;FQL&gt;&lt;Q&gt;QQQ^FG_PRICE_MAVG(0,,,,200)&lt;/Q&gt;&lt;R&gt;1&lt;/R&gt;&lt;C&gt;1&lt;/C&gt;&lt;D xsi:type="xsd:double"&gt;442.8597&lt;/D&gt;&lt;/FQL&gt;&lt;FQL&gt;&lt;Q&gt;EWG^FG_PRICE_MAVG(0,,,,200)&lt;/Q&gt;&lt;R&gt;1&lt;/R&gt;&lt;C&gt;1&lt;/C&gt;&lt;D xsi:type="xsd:double"&gt;30.61135&lt;/D&gt;&lt;/FQL&gt;&lt;FQL&gt;&lt;Q&gt;EWI^FG_COMPANY_NAME&lt;/Q&gt;&lt;R&gt;1&lt;/R&gt;&lt;C&gt;1&lt;/C&gt;&lt;D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xsi:type="xsd:double"&gt;0.87064&lt;/D&gt;&lt;/FQL&gt;&lt;FQL&gt;&lt;Q&gt;EWJ^FG_TOTAL_RETURNC(0,-12AM)&lt;/Q&gt;&lt;R&gt;1&lt;/R&gt;&lt;C&gt;1&lt;/C&gt;&lt;D xsi:type="xsd:double"&gt;15.18631&lt;/D&gt;&lt;/FQL&gt;&lt;FQL&gt;&lt;Q&gt;URTH^PERCENT_CHANGE(FMA_EPS(+1,0,,,,"PORTAGG","MEAN"),FMA_EPS(+1,-1AM,,,,"PORTAGG","MEAN"))&lt;/Q&gt;&lt;R&gt;1&lt;/R&gt;&lt;C&gt;1&lt;/C&gt;&lt;D xsi:type="xsd:double"&gt;0.711826351093961&lt;/D&gt;&lt;/FQL&gt;&lt;FQL&gt;&lt;Q&gt;VGK^FG_TOTAL_RETURNC(0,-1AM)&lt;/Q&gt;&lt;R&gt;1&lt;/R&gt;&lt;C&gt;1&lt;/C&gt;&lt;D xsi:type="xsd:double"&gt;4.2405963&lt;/D&gt;&lt;/FQL&gt;&lt;FQL&gt;&lt;Q&gt;EWD^FG_TOTAL_RETURNC(0,-6AM)&lt;/Q&gt;&lt;R&gt;1&lt;/R&gt;&lt;C&gt;1&lt;/C&gt;&lt;D xsi:type="xsd:double"&gt;0.45639277&lt;/D&gt;&lt;/FQL&gt;&lt;FQL&gt;&lt;Q&gt;EWQ^P_PRICE(0)/P_PRICE_LOW_PR(0,,,,,,"PRICE","INTRA","52W")-1&lt;/Q&gt;&lt;R&gt;1&lt;/R&gt;&lt;C&gt;1&lt;/C&gt;&lt;D xsi:type="xsd:double"&gt;0.1583482&lt;/D&gt;&lt;/FQL&gt;&lt;FQL&gt;&lt;Q&gt;SPY^FMA_PCT_ABOVE_MAVG(200,0,,,,"PORTAGG")&lt;/Q&gt;&lt;R&gt;1&lt;/R&gt;&lt;C&gt;1&lt;/C&gt;&lt;D xsi:type="xsd:double"&gt;67.4650698602794&lt;/D&gt;&lt;/FQL&gt;&lt;FQL&gt;&lt;Q&gt;EWU^PERCENT_CHANGE(FMA_EPS(+1,0,,,,"PORTAGG","MEAN"),FMA_EPS(+1,-3AM,,,,"PORTAGG","MEAN"))&lt;/Q&gt;&lt;R&gt;1&lt;/R&gt;&lt;C&gt;1&lt;/C&gt;&lt;D xsi:type="xsd:double"&gt;1.67680281008081&lt;/D&gt;&lt;/FQL&gt;&lt;FQL&gt;&lt;Q&gt;EWJ^FG_TOTAL_RETURNC(0,-3AM)&lt;/Q&gt;&lt;R&gt;1&lt;/R&gt;&lt;C&gt;1&lt;/C&gt;&lt;D xsi:type="xsd:double"&gt;2.7197003&lt;/D&gt;&lt;/FQL&gt;&lt;FQL&gt;&lt;Q&gt;EWC^P_PRICE(0)/P_PRICE_HIGH_PR(0,,,,,,"PRICE","INTRA","52W")&lt;/Q&gt;&lt;R&gt;1&lt;/R&gt;&lt;C&gt;1&lt;/C&gt;&lt;D xsi:type="xsd:double"&gt;0.99727726&lt;/D&gt;&lt;/FQL&gt;&lt;FQL&gt;&lt;Q&gt;ENZL^FG_TOTAL_RETURNC(0,-12AM)&lt;/Q&gt;&lt;R&gt;1&lt;/R&gt;&lt;C&gt;1&lt;/C&gt;&lt;D xsi:type="xsd:double"&gt;17.307556&lt;/D&gt;&lt;/FQL&gt;&lt;FQL&gt;&lt;Q&gt;EWJ^FMA_COS_DOWN("EPS","1M",+1,0,,,"PORTAGG","MEANR")&lt;/Q&gt;&lt;R&gt;1&lt;/R&gt;&lt;C&gt;1&lt;/C&gt;&lt;D xsi:type="xsd:double"&gt;79&lt;/D&gt;&lt;/FQL&gt;&lt;FQL&gt;&lt;Q&gt;EWD^FMA_COS_UP("EPS","1M",+1,0,,,"PORTAGG","MEANR")&lt;/Q&gt;&lt;R&gt;1&lt;/R&gt;&lt;C&gt;1&lt;/C&gt;&lt;D xsi:type="xsd:double"&gt;13&lt;/D&gt;&lt;/FQL&gt;&lt;FQL&gt;&lt;Q&gt;EWL^SIZE(FG_CONSTITUENTS)&lt;/Q&gt;&lt;R&gt;1&lt;/R&gt;&lt;C&gt;1&lt;/C&gt;&lt;D xsi:type="xsd:long"&gt;48&lt;/D&gt;&lt;/FQL&gt;&lt;FQL&gt;&lt;Q&gt;ENZL^FMA_COS_DOWN("EPS","1M",+1,0,,,"PORTAGG","MEANR")&lt;/Q&gt;&lt;R&gt;1&lt;/R&gt;&lt;C&gt;1&lt;/C&gt;&lt;D xsi:type="xsd:double"&gt;14&lt;/D&gt;&lt;/FQL&gt;&lt;FQL&gt;&lt;Q&gt;EWD^FMA_RBICS_REV_CURRENT(30, LOC, "PORTAGG")&lt;/Q&gt;&lt;R&gt;1&lt;/R&gt;&lt;C&gt;1&lt;/C&gt;&lt;D xsi:type="xsd:double"&gt;27.3013128847697&lt;/D&gt;&lt;/FQL&gt;&lt;FQL&gt;&lt;Q&gt;SPY^FG_ROE(0)&lt;/Q&gt;&lt;R&gt;1&lt;/R&gt;&lt;C&gt;1&lt;/C&gt;&lt;D xsi:type="xsd:double"&gt;18.6064914173556&lt;/D&gt;&lt;/FQL&gt;&lt;FQL&gt;&lt;Q&gt;TRYCH10Y-FDS^FG_YIELD_NAME&lt;/Q&gt;&lt;R&gt;1&lt;/R&gt;&lt;C&gt;1&lt;/C&gt;&lt;D xsi:type="xsd:string"&gt;Treasury - Switzerland Benchmark Bond 10Y&lt;/D&gt;&lt;/FQL&gt;&lt;FQL&gt;&lt;Q&gt;EWC^FG_COMPANY_NAME&lt;/Q&gt;&lt;R&gt;1&lt;/R&gt;&lt;C&gt;1&lt;/C&gt;&lt;D xsi:type="xsd:string"&gt;iShares MSCI Canada ETF&lt;/D&gt;&lt;/FQL&gt;&lt;FQL&gt;&lt;Q&gt;REFFFUND-FDS^FG_YIELD(NOW,,,0)&lt;/Q&gt;&lt;R&gt;1&lt;/R&gt;&lt;C&gt;1&lt;/C&gt;&lt;D xsi:type="xsd:double"&gt;5.5&lt;/D&gt;&lt;/FQL&gt;&lt;FQL&gt;&lt;Q&gt;REFEUREFI-FDS^PROPER_NAME(0,,,"SECURITY","NAME")&lt;/Q&gt;&lt;R&gt;1&lt;/R&gt;&lt;C&gt;1&lt;/C&gt;&lt;D xsi:type="xsd:string"&gt;Eurozone Main Refinancing Operations Minimum Bid Rate&lt;/D&gt;&lt;/FQL&gt;&lt;FQL&gt;&lt;Q&gt;TRYFR10Y-FDS^PCTCHG(FG_YIELD(0,,,,"YTM"),FG_YIELD(-3AM,,,,"YTM"))&lt;/Q&gt;&lt;R&gt;1&lt;/R&gt;&lt;C&gt;1&lt;/C&gt;&lt;D xsi:type="xsd:double"&gt;-9.532895&lt;/D&gt;&lt;/FQL&gt;&lt;FQL&gt;&lt;Q&gt;DUMMY^ECON_EXPR_DATA('FDS_ECON[PMIDMMANHE]',,,M)&lt;/Q&gt;&lt;R&gt;1&lt;/R&gt;&lt;C&gt;1&lt;/C&gt;&lt;D xsi:type="xsd:double"&gt;48.332497&lt;/D&gt;&lt;/FQL&gt;&lt;FQL&gt;&lt;Q&gt;EWN^FMA_ROE(NTMA,-20AY,NOW,FY,"PORTAGG","MEANR")&lt;/Q&gt;&lt;R&gt;20&lt;/R&gt;&lt;C&gt;1&lt;/C&gt;&lt;D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xsi:type="xsd:double"&gt;12.7507267246828&lt;/D&gt;&lt;/FQL&gt;&lt;FQL&gt;&lt;Q&gt;TRYSA10Y-FDS^FG_YIELD(-10AY,0,Y,,"YTM")&lt;/Q&gt;&lt;R&gt;10&lt;/R&gt;&lt;C&gt;1&lt;/C&gt;&lt;D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xsi:type="xsd:double"&gt;3.1928&lt;/D&gt;&lt;/FQL&gt;&lt;FQL&gt;&lt;Q&gt;EWJ^FG_TOTAL_RETURNC(0,-1AM)&lt;/Q&gt;&lt;R&gt;1&lt;/R&gt;&lt;C&gt;1&lt;/C&gt;&lt;D xsi:type="xsd:double"&gt;6.8766117&lt;/D&gt;&lt;/FQL&gt;&lt;FQL&gt;&lt;Q&gt;ENZL^P_PRICE(0)/P_PRICE_LOW_PR(0,,,,,,"PRICE","INTRA","52W")-1&lt;/Q&gt;&lt;R&gt;1&lt;/R&gt;&lt;C&gt;1&lt;/C&gt;&lt;D xsi:type="xsd:double"&gt;0.22324824&lt;/D&gt;&lt;/FQL&gt;&lt;FQL&gt;&lt;Q&gt;EWN^SIZE(FG_CONSTITUENTS)&lt;/Q&gt;&lt;R&gt;1&lt;/R&gt;&lt;C&gt;1&lt;/C&gt;&lt;D xsi:type="xsd:long"&gt;54&lt;/D&gt;&lt;/FQL&gt;&lt;FQL&gt;&lt;Q&gt;EWL^FMA_COS_DOWN("EPS","1M",+1,0,,,"PORTAGG","MEANR")&lt;/Q&gt;&lt;R&gt;1&lt;/R&gt;&lt;C&gt;1&lt;/C&gt;&lt;D xsi:type="xsd:double"&gt;17&lt;/D&gt;&lt;/FQL&gt;&lt;FQL&gt;&lt;Q&gt;EWN^FMA_RBICS_REV_CURRENT(30, LOC, "PORTAGG")&lt;/Q&gt;&lt;R&gt;1&lt;/R&gt;&lt;C&gt;1&lt;/C&gt;&lt;D xsi:type="xsd:double"&gt;25.7118752752457&lt;/D&gt;&lt;/FQL&gt;&lt;FQL&gt;&lt;Q&gt;REFCATARG-FDS^(SUBARRAY(NOT_NA(NO_REPEAT_F(FG_YIELD(NOW,-10AY,D))),0,1)-SUBARRAY(NOT_NA(NO_REPEAT_F(FG_YIELD(NOW,-10AY,D))),1,1))*100&lt;/Q&gt;&lt;R&gt;1&lt;/R&gt;&lt;C&gt;1&lt;/C&gt;&lt;D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xsi:type="xsd:double"&gt;-25&lt;/D&gt;&lt;/FQL&gt;&lt;FQL&gt;&lt;Q&gt;TRYFR10Y-FDS^PCTCHG(FG_YIELD(0,,,,"YTM"),FG_YIELD(-1AM,,,,"YTM"))&lt;/Q&gt;&lt;R&gt;1&lt;/R&gt;&lt;C&gt;1&lt;/C&gt;&lt;D xsi:type="xsd:double"&gt;-4.270346&lt;/D&gt;&lt;/FQL&gt;&lt;FQL&gt;&lt;Q&gt;TRYAU10Y-FDS^PCTCHG(FG_YIELD(0,,,,"YTM"),FG_YIELD(-1AM,,,,"YTM"))&lt;/Q&gt;&lt;R&gt;1&lt;/R&gt;&lt;C&gt;1&lt;/C&gt;&lt;D xsi:type="xsd:double"&gt;-4.8406982&lt;/D&gt;&lt;/FQL&gt;&lt;FQL&gt;&lt;Q&gt;VWO^FG_PE_NTM(0,,,90,0)&lt;/Q&gt;&lt;R&gt;1&lt;/R&gt;&lt;C&gt;1&lt;/C&gt;&lt;D xsi:type="xsd:double"&gt;12.8760659329158&lt;/D&gt;&lt;/FQL&gt;&lt;FQL&gt;&lt;Q&gt;CAGDPY@US^EE_ACTUAL_ANNUAL(MED,+1)&lt;/Q&gt;&lt;R&gt;1&lt;/R&gt;&lt;C&gt;1&lt;/C&gt;&lt;D xsi:type="xsd:double"&gt;-3.3&lt;/D&gt;&lt;/FQL&gt;&lt;FQL&gt;&lt;Q&gt;CAGDPY@NZ^EE_ACTUAL_ANNUAL(MED,+1)&lt;/Q&gt;&lt;R&gt;1&lt;/R&gt;&lt;C&gt;1&lt;/C&gt;&lt;D xsi:type="xsd:double"&gt;-6&lt;/D&gt;&lt;/FQL&gt;&lt;FQL&gt;&lt;Q&gt;USDITL^FG_PRICE_CHANGE(0,-1AY)&lt;/Q&gt;&lt;R&gt;1&lt;/R&gt;&lt;C&gt;1&lt;/C&gt;&lt;D xsi:type="xsd:double"&gt;-2.9574275&lt;/D&gt;&lt;/FQL&gt;&lt;FQL&gt;&lt;Q&gt;USDANG^FG_PRICE_CHANGE(0,-1AY)&lt;/Q&gt;&lt;R&gt;1&lt;/R&gt;&lt;C&gt;1&lt;/C&gt;&lt;D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xsi:type="xsd:double"&gt;-4.6978416&lt;/D&gt;&lt;/FQL&gt;&lt;FQL&gt;&lt;Q&gt;USDJPY^FG_PRICE_CHANGE(0,-1AY)&lt;/Q&gt;&lt;R&gt;1&lt;/R&gt;&lt;C&gt;1&lt;/C&gt;&lt;D xsi:type="xsd:double"&gt;-3.1892061&lt;/D&gt;&lt;/FQL&gt;&lt;FQL&gt;&lt;Q&gt;USDCAD^FG_PRICE_CHANGE(0,-1AY)&lt;/Q&gt;&lt;R&gt;1&lt;/R&gt;&lt;C&gt;1&lt;/C&gt;&lt;D xsi:type="xsd:double"&gt;0.27287006&lt;/D&gt;&lt;/FQL&gt;&lt;FQL&gt;&lt;Q&gt;USDNZD^FG_PRICE_CHANGE(0,-1AY)&lt;/Q&gt;&lt;R&gt;1&lt;/R&gt;&lt;C&gt;1&lt;/C&gt;&lt;D xsi:type="xsd:double"&gt;-4.0816307&lt;/D&gt;&lt;/FQL&gt;&lt;FQL&gt;&lt;Q&gt;EWA^JULIAN(FMA_EPS(NTMA,-20AY,0,CY,,"PORTAGG","MEANR").DATES)&lt;/Q&gt;&lt;R&gt;20&lt;/R&gt;&lt;C&gt;1&lt;/C&gt;&lt;D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xsi:type="xsd:double"&gt;-1.0995626&lt;/D&gt;&lt;D xsi:type="xsd:double"&gt;-8.173073&lt;/D&gt;&lt;D xsi:type="xsd:double"&gt;6.871724&lt;/D&gt;&lt;D xsi:type="xsd:double"&gt;-1.5003085&lt;/D&gt;&lt;D xsi:type="xsd:double"&gt;-4.087901&lt;/D&gt;&lt;D xsi:type="xsd:double"&gt;8.488417&lt;/D&gt;&lt;D xsi:type="xsd:double"&gt;-0.06018877&lt;/D&gt;&lt;D xsi:type="xsd:double"&gt;1.1442423&lt;/D&gt;&lt;D xsi:type="xsd:double"&gt;0.44656992&lt;/D&gt;&lt;D xsi:type="xsd:double"&gt;2.4303436&lt;/D&gt;&lt;D xsi:type="xsd:double"&gt;-3.1611443&lt;/D&gt;&lt;D xsi:type="xsd:double"&gt;-1.9795895&lt;/D&gt;&lt;D xsi:type="xsd:double"&gt;-1.9564569&lt;/D&gt;&lt;D xsi:type="xsd:double"&gt;0.096559525&lt;/D&gt;&lt;D xsi:type="xsd:double"&gt;-5.2411613&lt;/D&gt;&lt;D xsi:type="xsd:double"&gt;-4.0040674&lt;/D&gt;&lt;D xsi:type="xsd:double"&gt;-2.953887&lt;/D&gt;&lt;D xsi:type="xsd:double"&gt;-3.6456406&lt;/D&gt;&lt;D xsi:type="xsd:double"&gt;11.350739&lt;/D&gt;&lt;D xsi:type="xsd:double"&gt;1.8008828&lt;/D&gt;&lt;D xsi:type="xsd:double"&gt;-3.5714269&lt;/D&gt;&lt;D xsi:type="xsd:double"&gt;-1.3845623&lt;/D&gt;&lt;D xsi:type="xsd:double"&gt;0.091171265&lt;/D&gt;&lt;D xsi:type="xsd:double"&gt;5.286181&lt;/D&gt;&lt;D xsi:type="xsd:double"&gt;0.8310318&lt;/D&gt;&lt;D xsi:type="xsd:double"&gt;-3.0219793&lt;/D&gt;&lt;D xsi:type="xsd:double"&gt;-2.584982&lt;/D&gt;&lt;D xsi:type="xsd:double"&gt;4.616499&lt;/D&gt;&lt;D xsi:type="xsd:double"&gt;1.511395&lt;/D&gt;&lt;D xsi:type="xsd:double"&gt;4.450536&lt;/D&gt;&lt;D xsi:type="xsd:double"&gt;0.8521795&lt;/D&gt;&lt;D xsi:type="xsd:double"&gt;1.949954&lt;/D&gt;&lt;D xsi:type="xsd:double"&gt;7.7462435&lt;/D&gt;&lt;D xsi:type="xsd:double"&gt;0.53254366&lt;/D&gt;&lt;D xsi:type="xsd:double"&gt;4.9197435&lt;/D&gt;&lt;D xsi:type="xsd:double"&gt;-3.040737&lt;/D&gt;&lt;D xsi:type="xsd:double"&gt;4.6153903&lt;/D&gt;&lt;D xsi:type="xsd:double"&gt;1.8099546&lt;/D&gt;&lt;D xsi:type="xsd:double"&gt;-2.9722214&lt;/D&gt;&lt;D xsi:type="xsd:double"&gt;-1.7749727&lt;/D&gt;&lt;D xsi:type="xsd:double"&gt;5.740452&lt;/D&gt;&lt;D xsi:type="xsd:double"&gt;-5.8463216&lt;/D&gt;&lt;D xsi:type="xsd:double"&gt;1.9219398&lt;/D&gt;&lt;D xsi:type="xsd:double"&gt;-4.467654&lt;/D&gt;&lt;D xsi:type="xsd:double"&gt;3.8870335&lt;/D&gt;&lt;D xsi:type="xsd:double"&gt;-2.133876&lt;/D&gt;&lt;D xsi:type="xsd:double"&gt;-3.7805676&lt;/D&gt;&lt;D xsi:type="xsd:double"&gt;1.1695862&lt;/D&gt;&lt;D xsi:type="xsd:double"&gt;1.5735388&lt;/D&gt;&lt;D xsi:type="xsd:double"&gt;-4.173255&lt;/D&gt;&lt;D xsi:type="xsd:double"&gt;-3.9260924&lt;/D&gt;&lt;D xsi:type="xsd:double"&gt;-0.99588037&lt;/D&gt;&lt;D xsi:type="xsd:double"&gt;1.1009336&lt;/D&gt;&lt;D xsi:type="xsd:double"&gt;2.0254016&lt;/D&gt;&lt;D xsi:type="xsd:double"&gt;0.067293644&lt;/D&gt;&lt;D xsi:type="xsd:double"&gt;8.540678&lt;/D&gt;&lt;D xsi:type="xsd:double"&gt;-4.9256444&lt;/D&gt;&lt;D xsi:type="xsd:double"&gt;0.0325799&lt;/D&gt;&lt;D xsi:type="xsd:double"&gt;3.6721826&lt;/D&gt;&lt;D xsi:type="xsd:double"&gt;-8.657587&lt;/D&gt;&lt;D xsi:type="xsd:double"&gt;7.6677322&lt;/D&gt;&lt;D xsi:type="xsd:double"&gt;-2.4728&lt;/D&gt;&lt;D xsi:type="xsd:double"&gt;8.384048&lt;/D&gt;&lt;D xsi:type="xsd:double"&gt;3.1191468&lt;/D&gt;&lt;D xsi:type="xsd:double"&gt;-0.18595457&lt;/D&gt;&lt;D xsi:type="xsd:double"&gt;5.0322175&lt;/D&gt;&lt;D xsi:type="xsd:double"&gt;-30.032135&lt;/D&gt;&lt;D xsi:type="xsd:double"&gt;11.106467&lt;/D&gt;&lt;D xsi:type="xsd:double"&gt;2.7809143&lt;/D&gt;&lt;D xsi:type="xsd:double"&gt;10.493601&lt;/D&gt;&lt;D xsi:type="xsd:double"&gt;7.7500343&lt;/D&gt;&lt;D xsi:type="xsd:double"&gt;10.289585&lt;/D&gt;&lt;D xsi:type="xsd:double"&gt;-0.8100569&lt;/D&gt;&lt;D xsi:type="xsd:double"&gt;3.6046267&lt;/D&gt;&lt;D xsi:type="xsd:double"&gt;2.9627562&lt;/D&gt;&lt;D xsi:type="xsd:double"&gt;4.329455&lt;/D&gt;&lt;D xsi:type="xsd:double"&gt;6.382358&lt;/D&gt;&lt;D xsi:type="xsd:double"&gt;2.6839137&lt;/D&gt;&lt;D xsi:type="xsd:double"&gt;5.344224&lt;/D&gt;&lt;D xsi:type="xsd:double"&gt;2.6584</t>
        </r>
      </text>
    </comment>
    <comment ref="A3" authorId="0" shapeId="0" xr:uid="{7591D516-165B-4B3E-9E5F-12B0263B9D86}">
      <text>
        <r>
          <rPr>
            <b/>
            <sz val="9"/>
            <color indexed="81"/>
            <rFont val="Tahoma"/>
            <charset val="1"/>
          </rPr>
          <t>03&lt;/D&gt;&lt;D xsi:type="xsd:double"&gt;0.3452778&lt;/D&gt;&lt;D xsi:type="xsd:double"&gt;6.0257435&lt;/D&gt;&lt;D xsi:type="xsd:double"&gt;-1.1415482&lt;/D&gt;&lt;D xsi:type="xsd:double"&gt;2.1205068&lt;/D&gt;&lt;D xsi:type="xsd:double"&gt;-2.0764768&lt;/D&gt;&lt;D xsi:type="xsd:double"&gt;-5.3747654&lt;/D&gt;&lt;D xsi:type="xsd:double"&gt;7.987571&lt;/D&gt;&lt;D xsi:type="xsd:double"&gt;-4.848975&lt;/D&gt;&lt;D xsi:type="xsd:double"&gt;3.1886697&lt;/D&gt;&lt;D xsi:type="xsd:double"&gt;-11.72027&lt;/D&gt;&lt;D xsi:type="xsd:double"&gt;-12.004889&lt;/D&gt;&lt;D xsi:type="xsd:double"&gt;6.3350916&lt;/D&gt;&lt;D xsi:type="xsd:double"&gt;-12.568593&lt;/D&gt;&lt;D xsi:type="xsd:double"&gt;2.5562763&lt;/D&gt;&lt;D xsi:type="xsd:double"&gt;-7.7661095&lt;/D&gt;&lt;D xsi:type="xsd:double"&gt;9.980499&lt;/D&gt;&lt;D xsi:type="xsd:double"&gt;-6.1483917&lt;/D&gt;&lt;D xsi:type="xsd:double"&gt;-15.968502&lt;/D&gt;&lt;D xsi:type="xsd:double"&gt;27.886057&lt;/D&gt;&lt;D xsi:type="xsd:double"&gt;-0.3516972&lt;/D&gt;&lt;D xsi:type="xsd:double"&gt;4.653728&lt;/D&gt;&lt;D xsi:type="xsd:double"&gt;-1.243645&lt;/D&gt;&lt;D xsi:type="xsd:double"&gt;-4.092729&lt;/D&gt;&lt;D xsi:type="xsd:double"&gt;6.923318&lt;/D&gt;&lt;D xsi:type="xsd:double"&gt;0.5581856&lt;/D&gt;&lt;D xsi:type="xsd:double"&gt;-1.8318057&lt;/D&gt;&lt;D xsi:type="xsd:double"&gt;2.4597168&lt;/D&gt;&lt;D xsi:type="xsd:double"&gt;-6.0430527&lt;/D&gt;&lt;D xsi:type="xsd:double"&gt;-3.7591755&lt;/D&gt;&lt;D xsi:type="xsd:double"&gt;2.7464032&lt;/D&gt;&lt;D xsi:type="xsd:double"&gt;-2.168101&lt;/D&gt;&lt;D xsi:type="xsd:double"&gt;14.875531&lt;/D&gt;&lt;D xsi:type="xsd:double"&gt;2.30695&lt;/D&gt;&lt;D xsi:type="xsd:double"&gt;0.555861&lt;/D&gt;&lt;D xsi:type="xsd:double"&gt;8.844423&lt;/D&gt;&lt;D xsi:type="xsd:double"&gt;-6.3361526&lt;/D&gt;&lt;D xsi:type="xsd:double"&gt;5.4737926&lt;/D&gt;&lt;D xsi:type="xsd:double"&gt;4.422128&lt;/D&gt;&lt;D xsi:type="xsd:double"&gt;-0.8575499&lt;/D&gt;&lt;D xsi:type="xsd:double"&gt;-6.7515554&lt;/D&gt;&lt;D xsi:type="xsd:double"&gt;5.333674&lt;/D&gt;&lt;/FQL&gt;&lt;FQL&gt;&lt;Q&gt;EWQ^FMA_DIV_YLD(NTMA,-10AY,0,AM,"PORTAGG","MEANR")&lt;/Q&gt;&lt;R&gt;121&lt;/R&gt;&lt;C&gt;1&lt;/C&gt;&lt;D xsi:type="xsd:double"&gt;3.50817932606881&lt;/D&gt;&lt;D xsi:type="xsd:double"&gt;3.84671942820626&lt;/D&gt;&lt;D xsi:type="xsd:double"&gt;3.73713609066592&lt;/D&gt;&lt;D xsi:type="xsd:double"&gt;3.77124410594999&lt;/D&gt;&lt;D xsi:type="xsd:double"&gt;3.67562993505587&lt;/D&gt;&lt;D xsi:type="xsd:double"&gt;3.25187307444282&lt;/D&gt;&lt;D xsi:type="xsd:double"&gt;3.21554665266487&lt;/D&gt;&lt;D xsi:type="xsd:double"&gt;3.08495761012866&lt;/D&gt;&lt;D xsi:type="xsd:double"&gt;3.30053587342464&lt;/D&gt;&lt;D xsi:type="xsd:double"&gt;3.36378958681836&lt;/D&gt;&lt;D xsi:type="xsd:double"&gt;3.37716442667806&lt;/D&gt;&lt;D xsi:type="xsd:double"&gt;3.40657269552942&lt;/D&gt;&lt;D xsi:type="xsd:double"&gt;3.69712942805825&lt;/D&gt;&lt;D xsi:type="xsd:double"&gt;3.57047945609306&lt;/D&gt;&lt;D xsi:type="xsd:double"&gt;3.47058642656305&lt;/D&gt;&lt;D xsi:type="xsd:double"&gt;3.66685130327929&lt;/D&gt;&lt;D xsi:type="xsd:double"&gt;3.84082465942285&lt;/D&gt;&lt;D xsi:type="xsd:double"&gt;4.12483905729615&lt;/D&gt;&lt;D xsi:type="xsd:double"&gt;3.69147797520485&lt;/D&gt;&lt;D xsi:type="xsd:double"&gt;3.7986726591424&lt;/D&gt;&lt;D xsi:type="xsd:double"&gt;3.82463123617742&lt;/D&gt;&lt;D xsi:type="xsd:double"&gt;3.8509698530239&lt;/D&gt;&lt;D xsi:type="xsd:double"&gt;3.82090328841754&lt;/D&gt;&lt;D xsi:type="xsd:double"&gt;3.68360356948952&lt;/D&gt;&lt;D xsi:type="xsd:double"&gt;3.72358023073718&lt;/D&gt;&lt;D xsi:type="xsd:double"&gt;3.75778056404581&lt;/D&gt;&lt;D xsi:type="xsd:double"&gt;3.73859146001&lt;/D&gt;&lt;D xsi:type="xsd:double"&gt;3.5387040179799&lt;/D&gt;&lt;D xsi:type="xsd:double"&gt;3.45849972865598&lt;/D&gt;&lt;D xsi:type="xsd:double"&gt;3.50448723331954&lt;/D&gt;&lt;D xsi:type="xsd:double"&gt;3.42744830382001&lt;/D&gt;&lt;D xsi:type="xsd:double"&gt;3.37190774816346&lt;/D&gt;&lt;D xsi:type="xsd:double"&gt;3.19646113125766&lt;/D&gt;&lt;D xsi:type="xsd:double"&gt;3.30198921855182&lt;/D&gt;&lt;D xsi:type="xsd:double"&gt;3.3342010417223&lt;/D&gt;&lt;D xsi:type="xsd:double"&gt;3.4446711197802&lt;/D&gt;&lt;D xsi:type="xsd:double"&gt;3.34671642669553&lt;/D&gt;&lt;D xsi:type="xsd:double"&gt;3.28700524840938&lt;/D&gt;&lt;D xsi:type="xsd:double"&gt;3.30597966187697&lt;/D&gt;&lt;D xsi:type="xsd:double"&gt;3.25307539287489&lt;/D&gt;&lt;D xsi:type="xsd:double"&gt;3.21265992845555&lt;/D&gt;&lt;D xsi:type="xsd:double"&gt;3.46909182736184&lt;/D&gt;&lt;D xsi:type="xsd:double"&gt;3.38138698199235&lt;/D&gt;&lt;D xsi:type="xsd:double"&gt;3.39395127968895&lt;/D&gt;&lt;D xsi:type="xsd:double"&gt;3.28066449848566&lt;/D&gt;&lt;D xsi:type="xsd:double"&gt;3.37396203539055&lt;/D&gt;&lt;D xsi:type="xsd:double"&gt;3.40644160833055&lt;/D&gt;&lt;D xsi:type="xsd:double"&gt;3.44521810088229&lt;/D&gt;&lt;D xsi:type="xsd:double"&gt;3.50580561180642&lt;/D&gt;&lt;D xsi:type="xsd:double"&gt;3.70639423314567&lt;/D&gt;&lt;D xsi:type="xsd:double"&gt;3.74318186667869&lt;/D&gt;&lt;D xsi:type="xsd:double"&gt;3.85816836640888&lt;/D&gt;&lt;D xsi:type="xsd:double"&gt;3.95068378533836&lt;/D&gt;&lt;D xsi:type="xsd:double"&gt;3.77924553435824&lt;/D&gt;&lt;D xsi:type="xsd:double"&gt;3.63591596145839&lt;/D&gt;&lt;D xsi:type="xsd:double"&gt;3.50679918678585&lt;/D&gt;&lt;D xsi:type="xsd:double"&gt;3.63304435327109&lt;/D&gt;&lt;D xsi:type="xsd:double"&gt;3.61637374742313&lt;/D&gt;&lt;D xsi:type="xsd:double"&gt;3.51843577642951&lt;/D&gt;&lt;D xsi:type="xsd:double"&gt;3.69826571995411&lt;/D&gt;&lt;D xsi:type="xsd:double"&gt;3.49823343867402&lt;/D&gt;&lt;D xsi:type="xsd:double"&gt;3.50057090184332&lt;/D&gt;&lt;D xsi:type="xsd:double"&gt;3.36643562091642&lt;/D&gt;&lt;D xsi:type="xsd:double"&gt;3.39623182816314&lt;/D&gt;&lt;D xsi:type="xsd:double"&gt;3.32675013242292&lt;/D&gt;&lt;D xsi:type="xsd:double"&gt;3.28289635987785&lt;/D&gt;&lt;D xsi:type="xsd:double"&gt;4.84535720626195&lt;/D&gt;&lt;D xsi:type="xsd:double"&gt;3.94993821612547&lt;/D&gt;&lt;D xsi:type="xsd:double"&gt;3.54421512180013&lt;/D&gt;&lt;D xsi:type="xsd:double"&gt;3.22256064864005&lt;/D&gt;&lt;D xsi:type="xsd:double"&gt;3.12451491025047&lt;/D&gt;&lt;D xsi:type="xsd:double"&gt;3.06032275393545&lt;/D&gt;&lt;D xsi:type="xsd:double"&gt;3.11559174796869&lt;/D&gt;&lt;D xsi:type="xsd:double"&gt;3.16798879216298&lt;/D&gt;&lt;D xsi:type="xsd:double"&gt;2.97496098557187&lt;/D&gt;&lt;D xsi:type="xsd:double"&gt;2.94145702309614&lt;/D&gt;&lt;D xsi:type="xsd:double"&gt;2.91700108436414&lt;/D&gt;&lt;D xsi:type="xsd:double"&gt;2.88381846305704&lt;/D&gt;&lt;D xsi:type="xsd:double"&gt;2.73708960247207&lt;/D&gt;&lt;D xsi:type="xsd:double"&gt;2.72409903208832&lt;/D&gt;&lt;D xsi:type="xsd:double"&gt;2.73225864163017&lt;/D&gt;&lt;D xsi:type="xsd:double"&gt;2.64147299461166&lt;/D&gt;&lt;D xsi:type="xsd:double"&gt;2.69040551199979&lt;/D&gt;&lt;D xsi:type="xsd:double"&gt;2.67242870713431&lt;/D&gt;&lt;D xsi:type="xsd:double"&gt;2.77627050920935&lt;/D&gt;&lt;D xsi:type="xsd:double"&gt;2.88408941383437&lt;/D&gt;&lt;D xsi:type="xsd:double"&gt;2.72720680937191&lt;/D&gt;&lt;D xsi:type="xsd:double"&gt;2.78874024063502&lt;/D&gt;&lt;D xsi:type="xsd:double"&gt;2.72580017048786&lt;/D&gt;&lt;D xsi:type="xsd:double"&gt;2.89374270676289&lt;/D&gt;&lt;D xsi:type="xsd:double"&gt;3.29189980599823&lt;/D&gt;&lt;D xsi:type="xsd:double"&gt;3.14099989103399&lt;/D&gt;&lt;D xsi:type="xsd:double"&gt;3.35355790177961&lt;/D&gt;&lt;D xsi:type="xsd:double"&gt;3.36946351000683&lt;/D&gt;&lt;D xsi:type="xsd:double"&gt;3.48482696867274&lt;/D&gt;&lt;D xsi:type="xsd:double"&gt;3.2512609089505&lt;/D&gt;&lt;D xsi:type="xsd:double"&gt;3.4013622570992&lt;/D&gt;&lt;D xsi:type="xsd:double"&gt;3.74994655553142&lt;/D&gt;&lt;D xsi:type="xsd:double"&gt;3.32068595617545&lt;/D&gt;&lt;D xsi:type="xsd:double"&gt;3.28786262279719&lt;/D&gt;&lt;D xsi:type="xsd:double"&gt;3.14548400652223&lt;/D&gt;&lt;D xsi:type="xsd:double"&gt;3.16508093427082&lt;/D&gt;&lt;D xsi:type="xsd:double"&gt;3.20051752210829&lt;/D&gt;&lt;D xsi:type="xsd:double"&gt;3.1473196230092&lt;/D&gt;&lt;D xsi:type="xsd:double"&gt;3.18713001083233&lt;/D&gt;&lt;D xsi:type="xsd:double"&gt;3.27042668748221&lt;/D&gt;&lt;D xsi:type="xsd:double"&gt;3.26546554177466&lt;/D&gt;&lt;D xsi:type="xsd:double"&gt;3.29898210763951&lt;/D&gt;&lt;D xsi:type="xsd:double"&gt;3.36167124631019&lt;/D&gt;&lt;D xsi:type="xsd:double"&gt;3.44013168988767&lt;/D&gt;&lt;D xsi:type="xsd:double"&gt;3.45950405143627&lt;/D&gt;&lt;D xsi:type="xsd:double"&gt;3.24235500544792&lt;/D&gt;&lt;D xsi:type="xsd:double"&gt;3.26229900217334&lt;/D&gt;&lt;D xsi:type="xsd:double"&gt;3.19005537314368&lt;/D&gt;&lt;D xsi:type="xsd:double"&gt;3.07799626952876&lt;/D&gt;&lt;D xsi:type="xsd:double"&gt;3.14091590595406&lt;/D&gt;&lt;D xsi:type="xsd:double"&gt;3.05459863147502&lt;/D&gt;&lt;D xsi:type="xsd:double"&gt;3.22245767499745&lt;/D&gt;&lt;D xsi:type="xsd:double"&gt;3.28272034177928&lt;/D&gt;&lt;D xsi:type="xsd:double"&gt;3.50793844595866&lt;/D&gt;&lt;D xsi:type="xsd:double"&gt;3.44374367452276&lt;/D&gt;&lt;/FQL&gt;&lt;FQL&gt;&lt;Q&gt;QQQ^FMA_PE(NTMA,-10AY,0,AM,"PORTAGG","MEANR")&lt;/Q&gt;&lt;R&gt;121&lt;/R&gt;&lt;C&gt;1&lt;/C&gt;&lt;D xsi:type="xsd:double"&gt;17.6767686852003&lt;/D&gt;&lt;D xsi:type="xsd:double"&gt;16.5901439608725&lt;/D&gt;&lt;D xsi:type="xsd:double"&gt;17.8356594877788&lt;/D&gt;&lt;D xsi:type="xsd:double"&gt;17.5899395414054&lt;/D&gt;&lt;D xsi:type="xsd:double"&gt;17.12760254503&lt;/D&gt;&lt;D xsi:type="xsd:double"&gt;17.7626483795537&lt;/D&gt;&lt;D xsi:type="xsd:double"&gt;17.6685816640068&lt;/D&gt;&lt;D xsi:type="xsd:double"&gt;17.9983431695291&lt;/D&gt;&lt;D xsi:type="xsd:double"&gt;17.7525574736928&lt;/D&gt;&lt;D xsi:type="xsd:double"&gt;17.7599237226918&lt;/D&gt;&lt;D xsi:type="xsd:double"&gt;17.511051871763&lt;/D&gt;&lt;D xsi:type="xsd:double"&gt;18.3533009925595&lt;/D&gt;&lt;D xsi:type="xsd:double"&gt;17.422084545231&lt;/D&gt;&lt;D xsi:type="xsd:double"&gt;17.617025040301&lt;/D&gt;&lt;D xsi:type="xsd:double"&gt;18.3925553609009&lt;/D&gt;&lt;D xsi:type="xsd:double"&gt;18.1011851659073&lt;/D&gt;&lt;D xsi:type="xsd:double"&gt;17.3979472270112&lt;/D&gt;&lt;D xsi:type="xsd:double"&gt;16.2335874734538&lt;/D&gt;&lt;D xsi:type="xsd:double"&gt;17.4343936503334&lt;/D&gt;&lt;D xsi:type="xsd:double"&gt;17.8714901936926&lt;/D&gt;&lt;D xsi:type="xsd:double"&gt;17.4419256613037&lt;/D&gt;&lt;D xsi:type="xsd:double"&gt;17.7249180260534&lt;/D&gt;&lt;D xsi:type="xsd:double"&gt;18.2340660786796&lt;/D&gt;&lt;D xsi:type="xsd:double"&gt;18.8250707244361&lt;/D&gt;&lt;D xsi:type="xsd:double"&gt;18.3919586557227&lt;/D&gt;&lt;D xsi:type="xsd:double"&gt;18.3712188041531&lt;/D&gt;&lt;D xsi:type="xsd:double"&gt;17.9364907802065&lt;/D&gt;&lt;D xsi:type="xsd:double"&gt;18.1880385892038&lt;/D&gt;&lt;D xsi:type="xsd:double"&gt;18.6428925628385&lt;/D&gt;&lt;D xsi:type="xsd:double"&gt;19.7525406103705&lt;/D&gt;&lt;D xsi:type="xsd:double"&gt;20.1288580166441&lt;/D&gt;&lt;D xsi:type="xsd:double"&gt;19.8496763890549&lt;/D&gt;&lt;D xsi:type="xsd:double"&gt;20.7111332124772&lt;/D&gt;&lt;D xsi:type="xsd:double"&gt;20.4989676923022&lt;/D&gt;&lt;D xsi:type="xsd:double"&gt;20.4491971719826&lt;/D&gt;&lt;D xsi:type="xsd:double"&gt;20.349037668167&lt;/D&gt;&lt;D xsi:type="xsd:double"&gt;20.6177269820164&lt;/D&gt;&lt;D xsi:type="xsd:double"&gt;20.5761369398485&lt;/D&gt;&lt;D xsi:type="xsd:double"&gt;20.8736426741464&lt;/D&gt;&lt;D xsi:type="xsd:double"&gt;20.8324734069565&lt;/D&gt;&lt;D xsi:type="xsd:double"&gt;21.7719607257055&lt;/D&gt;&lt;D xsi:type="xsd:double"&gt;19.9771137811959&lt;/D&gt;&lt;D xsi:type="xsd:double"&gt;21.5449372054049&lt;/D&gt;&lt;D xsi:type="xsd:double"&gt;19.9151595063162&lt;/D&gt;&lt;D xsi:type="xsd:double"&gt;20.196240228418&lt;/D&gt;&lt;D xsi:type="xsd:double"&gt;20.6678367430782&lt;/D&gt;&lt;D xsi:type="xsd:double"&gt;20.956323860369&lt;/D&gt;&lt;D xsi:type="xsd:double"&gt;20.58621890021&lt;/D&gt;&lt;D xsi:type="xsd:double"&gt;20.5614607078786&lt;/D&gt;&lt;D xsi:type="xsd:double"&gt;19.5348109136791&lt;/D&gt;&lt;D xsi:type="xsd:double"&gt;18.465513980037&lt;/D&gt;&lt;D xsi:type="xsd:double"&gt;18.2857328311672&lt;/D&gt;&lt;D xsi:type="xsd:double"&gt;18.1372047182048&lt;/D&gt;&lt;D xsi:type="xsd:double"&gt;19.3923158012671&lt;/D&gt;&lt;D xsi:type="xsd:double"&gt;19.9027407391305&lt;/D&gt;&lt;D xsi:type="xsd:double"&gt;20.9504580309277&lt;/D&gt;&lt;D xsi:type="xsd:double"&gt;20.7155399203374&lt;/D&gt;&lt;D xsi:type="xsd:double"&gt;20.2161520478187&lt;/D&gt;&lt;D xsi:type="xsd:double"&gt;21.4580699954962&lt;/D&gt;&lt;D xsi:type="xsd:double"&gt;20.2277449432511&lt;/D&gt;&lt;D xsi:type="xsd:double"&gt;20.9620440293094&lt;/D&gt;&lt;D xsi:type="xsd:double"&gt;20.6079454499341&lt;/D&gt;&lt;D xsi:type="xsd:double"&gt;21.5542023870618&lt;/D&gt;&lt;D xsi:type="xsd:double"&gt;22.0791500617472&lt;/D&gt;&lt;D xsi:type="xsd:double"&gt;23.2526547216953&lt;/D&gt;&lt;D xsi:type="xsd:double"&gt;24.3364007840814&lt;/D&gt;&lt;D xsi:type="xsd:double"&gt;18.3721308610352&lt;/D&gt;&lt;D xsi:type="xsd:double"&gt;22.2789833699196&lt;/D&gt;&lt;D xsi:type="xsd:double"&gt;26.1143009651383&lt;/D&gt;&lt;D xsi:type="xsd:double"&gt;27.4277932952868&lt;/D&gt;&lt;D xsi:type="xsd:double"&gt;30.0704993187267&lt;/D&gt;&lt;D xsi:type="xsd:double"&gt;29.2876721931874&lt;/D&gt;&lt;D xsi:type="xsd:double"&gt;28.6459694418547&lt;/D&gt;&lt;D xsi:type="xsd:double"&gt;30.7039948623061&lt;/D&gt;&lt;D xsi:type="xsd:double"&gt;28.9526525899032&lt;/D&gt;&lt;D xsi:type="xsd:double"&gt;29.619207802102&lt;/D&gt;&lt;D xsi:type="xsd:double"&gt;29.8833080611858&lt;/D&gt;&lt;D xsi:type="xsd:double"&gt;30.3313842003127&lt;/D&gt;&lt;D xsi:type="xsd:double"&gt;27.7459489998933&lt;/D&gt;&lt;D xsi:type="xsd:double"&gt;29.3585799247656&lt;/D&gt;&lt;D xsi:type="xsd:double"&gt;25.8401811773124&lt;/D&gt;&lt;D xsi:type="xsd:double"&gt;27.4005085349207&lt;/D&gt;&lt;D xsi:type="xsd:double"&gt;28.8109539933739&lt;/D&gt;&lt;D xsi:type="xsd:double"&gt;27.9218907595728&lt;/D&gt;&lt;D xsi:type="xsd:double"&gt;28.2556537422961&lt;/D&gt;&lt;D xsi:type="xsd:double"&gt;26.7515501001156&lt;/D&gt;&lt;D xsi:type="xsd:double"&gt;29.3974665091845&lt;/D&gt;&lt;D xsi:type="xsd:double"&gt;29.199178940869&lt;/D&gt;&lt;D xsi:type="xsd:double"&gt;28.3017722627643&lt;/D&gt;&lt;D xsi:type="xsd:double"&gt;25.0762051333927&lt;/D&gt;&lt;D xsi:type="xsd:double"&gt;23.0478844114453&lt;/D&gt;&lt;D xsi:type="xsd:double"&gt;23.9818078799461&lt;/D&gt;&lt;D xsi:type="xsd:double"&gt;20.7326836108296&lt;/D&gt;&lt;D xsi:type="xsd:double"&gt;20.3747039327933&lt;/D&gt;&lt;D xsi:type="xsd:double"&gt;20.3473105707824&lt;/D&gt;&lt;D xsi:type="xsd:double"&gt;24.1950768630731&lt;/D&gt;&lt;D xsi:type="xsd:double"&gt;22.5630029100752&lt;/D&gt;&lt;D xsi:type="xsd:double"&gt;19.2529600887615&lt;/D&gt;&lt;D xsi:type="xsd:double"&gt;22.0148633340982&lt;/D&gt;&lt;D xsi:type="xsd:double"&gt;21.7269715691655&lt;/D&gt;&lt;D xsi:type="xsd:double"&gt;21.8500863325932&lt;/D&gt;&lt;D xsi:type="xsd:double"&gt;23.7898835229777&lt;/D&gt;&lt;D xsi:type="xsd:double"&gt;22.6207215314719&lt;/D&gt;&lt;D xsi:type="xsd:double"&gt;24.3322915205669&lt;/D&gt;&lt;D xsi:type="xsd:double"&gt;24.5935295496149&lt;/D&gt;&lt;D xsi:type="xsd:double"&gt;26.5040485767594&lt;/D&gt;&lt;D xsi:type="xsd:double"&gt;26.8379162595029&lt;/D&gt;&lt;D xsi:type="xsd:double"&gt;24.4427155398554&lt;/D&gt;&lt;D xsi:type="xsd:double"&gt;24.1964325479757&lt;/D&gt;&lt;D xsi:type="xsd:double"&gt;23.7843038549578&lt;/D&gt;&lt;D xsi:type="xsd:double"&gt;23.9914235753631&lt;/D&gt;&lt;D xsi:type="xsd:double"&gt;24.6960736351894&lt;/D&gt;&lt;D xsi:type="xsd:double"&gt;24.9767530722014&lt;/D&gt;&lt;D xsi:type="xsd:double"&gt;26.2366237341727&lt;/D&gt;&lt;D xsi:type="xsd:double"&gt;26.3102558072744&lt;/D&gt;&lt;D xsi:type="xsd:double"&gt;25.2563186286123&lt;/D&gt;&lt;D xsi:type="xsd:double"&gt;25.222439124791&lt;/D&gt;&lt;D xsi:type="xsd:double"&gt;26.3927468875039&lt;/D&gt;&lt;D xsi:type="xsd:double"&gt;27.6800186958681&lt;/D&gt;&lt;D xsi:type="xsd:double"&gt;25.2496622823584&lt;/D&gt;&lt;D xsi:type="xsd:double"&gt;25.8375847254087&lt;/D&gt;&lt;/FQL&gt;&lt;FQL&gt;&lt;Q&gt;EWL^FMA_PE(LTMA,-10AY,0,AM,"PORTAGG","MEANR")&lt;/Q&gt;&lt;R&gt;121&lt;/R&gt;&lt;C&gt;1&lt;/C&gt;&lt;D xsi:type="xsd:double"&gt;17.3949110072358&lt;/D&gt;&lt;D xsi:type="xsd:double"&gt;16.6282282876558&lt;/D&gt;&lt;D xsi:type="xsd:double"&gt;17.4143168369637&lt;/D&gt;&lt;D xsi:type="xsd:double"&gt;17.1279019254896&lt;/D&gt;&lt;D xsi:type="xsd:double"&gt;17.2741648562158&lt;/D&gt;&lt;D xsi:type="xsd:double"&gt;17.2700216140338&lt;/D&gt;&lt;D xsi:type="xsd:double"&gt;17.9654680890922&lt;/D&gt;&lt;D xsi:type="xsd:double"&gt;18.2018605615944&lt;/D&gt;&lt;D xsi:type="xsd:double"&gt;17.9885032694303&lt;/D&gt;&lt;D xsi:type="xsd:double"&gt;17.9499873531111&lt;/D&gt;&lt;D xsi:type="xsd:double"&gt;17.9707290652863&lt;/D&gt;&lt;D xsi:type="xsd:double"&gt;17.8511177729862&lt;/D&gt;&lt;D xsi:type="xsd:double"&gt;17.304875112429&lt;/D&gt;&lt;D xsi:type="xsd:double"&gt;17.443146787909&lt;/D&gt;&lt;D xsi:type="xsd:double"&gt;17.4612735469831&lt;/D&gt;&lt;D xsi:type="xsd:double"&gt;17.009780886121&lt;/D&gt;&lt;D xsi:type="xsd:double"&gt;16.4361305248846&lt;/D&gt;&lt;D xsi:type="xsd:double"&gt;16.1151152552656&lt;/D&gt;&lt;D xsi:type="xsd:double"&gt;16.6658410291933&lt;/D&gt;&lt;D xsi:type="xsd:double"&gt;16.6843608949393&lt;/D&gt;&lt;D xsi:type="xsd:double"&gt;16.8302747800967&lt;/D&gt;&lt;D xsi:type="xsd:double"&gt;16.9699568280293&lt;/D&gt;&lt;D xsi:type="xsd:double"&gt;17.2925536345532&lt;/D&gt;&lt;D xsi:type="xsd:double"&gt;17.9483342957115&lt;/D&gt;&lt;D xsi:type="xsd:double"&gt;17.9353091666986&lt;/D&gt;&lt;D xsi:type="xsd:double"&gt;17.8491407711956&lt;/D&gt;&lt;D xsi:type="xsd:double"&gt;17.6093166174343&lt;/D&gt;&lt;D xsi:type="xsd:double"&gt;17.7841235069721&lt;/D&gt;&lt;D xsi:type="xsd:double"&gt;18.5729560813297&lt;/D&gt;&lt;D xsi:type="xsd:double"&gt;18.6964860850329&lt;/D&gt;&lt;D xsi:type="xsd:double"&gt;19.6418627422661&lt;/D&gt;&lt;D xsi:type="xsd:double"&gt;19.4402022766467&lt;/D&gt;&lt;D xsi:type="xsd:double"&gt;19.5670433299075&lt;/D&gt;&lt;D xsi:type="xsd:double"&gt;19.3880636736199&lt;/D&gt;&lt;D xsi:type="xsd:double"&gt;19.4244777153497&lt;/D&gt;&lt;D xsi:type="xsd:double"&gt;19.1066122872748&lt;/D&gt;&lt;D xsi:type="xsd:double"&gt;19.3141445466973&lt;/D&gt;&lt;D xsi:type="xsd:double"&gt;19.7207518695868&lt;/D&gt;&lt;D xsi:type="xsd:double"&gt;20.0782577995439&lt;/D&gt;&lt;D xsi:type="xsd:double"&gt;20.4716358034388&lt;/D&gt;&lt;D xsi:type="xsd:double"&gt;21.0736052692754&lt;/D&gt;&lt;D xsi:type="xsd:double"&gt;20.2723454575394&lt;/D&gt;&lt;D xsi:type="xsd:double"&gt;21.0624047691273&lt;/D&gt;&lt;D xsi:type="xsd:double"&gt;20.5199642599644&lt;/D&gt;&lt;D xsi:type="xsd:double"&gt;20.2243768769774&lt;/D&gt;&lt;D xsi:type="xsd:double"&gt;19.5777072568675&lt;/D&gt;&lt;D xsi:type="xsd:double"&gt;19.3098565109536&lt;/D&gt;&lt;D xsi:type="xsd:double"&gt;19.0094286970982&lt;/D&gt;&lt;D xsi:type="xsd:double"&gt;18.647598180001&lt;/D&gt;&lt;D xsi:type="xsd:double"&gt;17.6443748157601&lt;/D&gt;&lt;D xsi:type="xsd:double"&gt;17.7889778255479&lt;/D&gt;&lt;D xsi:type="xsd:double"&gt;17.2735801805693&lt;/D&gt;&lt;D xsi:type="xsd:double"&gt;16.970166277382&lt;/D&gt;&lt;D xsi:type="xsd:double"&gt;17.6452265053085&lt;/D&gt;&lt;D xsi:type="xsd:double"&gt;18.2756673829993&lt;/D&gt;&lt;D xsi:type="xsd:double"&gt;18.2895294226761&lt;/D&gt;&lt;D xsi:type="xsd:double"&gt;18.096693669386&lt;/D&gt;&lt;D xsi:type="xsd:double"&gt;18.3016759037476&lt;/D&gt;&lt;D xsi:type="xsd:double"&gt;18.2455741632582&lt;/D&gt;&lt;D xsi:type="xsd:double"&gt;18.2044453815778&lt;/D&gt;&lt;D xsi:type="xsd:double"&gt;18.5279238423698&lt;/D&gt;&lt;D xsi:type="xsd:double"&gt;18.4238054997665&lt;/D&gt;&lt;D xsi:type="xsd:double"&gt;18.8476536944368&lt;/D&gt;&lt;D xsi:type="xsd:double"&gt;19.1572095958364&lt;/D&gt;&lt;D xsi:type="xsd:double"&gt;19.6126700682027&lt;/D&gt;&lt;D xsi:type="xsd:double"&gt;20.1104260743133&lt;/D&gt;&lt;D xsi:type="xsd:double"&gt;17.4746596787248&lt;/D&gt;&lt;D xsi:type="xsd:double"&gt;18.1273033007994&lt;/D&gt;&lt;D xsi:type="xsd:double"&gt;18.819535257284&lt;/D&gt;&lt;D xsi:type="xsd:double"&gt;19.083678442177&lt;/D&gt;&lt;D xsi:type="xsd:double"&gt;19.87898308013&lt;/D&gt;&lt;D xsi:type="xsd:double"&gt;20.4465430622286&lt;/D&gt;&lt;D xsi:type="xsd:double"&gt;20.8774630508209&lt;/D&gt;&lt;D xsi:type="xsd:double"&gt;21.1300886546515&lt;/D&gt;&lt;D xsi:type="xsd:double"&gt;21.1831855744421&lt;/D&gt;&lt;D xsi:type="xsd:double"&gt;21.0825476094379&lt;/D&gt;&lt;D xsi:type="xsd:double"&gt;22.0698092689508&lt;/D&gt;&lt;D xsi:type="xsd:double"&gt;21.2469123004081&lt;/D&gt;&lt;D xsi:type="xsd:double"&gt;20.4640769373124&lt;/D&gt;&lt;D xsi:type="xsd:double"&gt;20.5982114813932&lt;/D&gt;&lt;D xsi:type="xsd:double"&gt;20.3706128883438&lt;/D&gt;&lt;D xsi:type="xsd:double"&gt;20.8677443041449&lt;/D&gt;&lt;D xsi:type="xsd:double"&gt;21.0625202985884&lt;/D&gt;&lt;D xsi:type="xsd:double"&gt;21.1447811060864&lt;/D&gt;&lt;D xsi:type="xsd:double"&gt;20.8101064904038&lt;/D&gt;&lt;D xsi:type="xsd:double"&gt;20.1883406035836&lt;/D&gt;&lt;D xsi:type="xsd:double"&gt;21.0671234391185&lt;/D&gt;&lt;D xsi:type="xsd:double"&gt;21.0987971381865&lt;/D&gt;&lt;D xsi:type="xsd:double"&gt;21.0964557099025&lt;/D&gt;&lt;D xsi:type="xsd:double"&gt;18.6843066457989&lt;/D&gt;&lt;D xsi:type="xsd:double"&gt;18.3477996915388&lt;/D&gt;&lt;D xsi:type="xsd:double"&gt;18.664032978915&lt;/D&gt;&lt;D xsi:type="xsd:double"&gt;18.0861087079255&lt;/D&gt;&lt;D xsi:type="xsd:double"&gt;17.7423271552821&lt;/D&gt;&lt;D xsi:type="xsd:double"&gt;17.7535241426586&lt;/D&gt;&lt;D xsi:type="xsd:double"&gt;18.3716163503941&lt;/D&gt;&lt;D xsi:type="xsd:double"&gt;18.1396569284819&lt;/D&gt;&lt;D xsi:type="xsd:double"&gt;16.8135167608492&lt;/D&gt;&lt;D xsi:type="xsd:double"&gt;19.7506849150101&lt;/D&gt;&lt;D xsi:type="xsd:double"&gt;20.2924311915906&lt;/D&gt;&lt;D xsi:type="xsd:double"&gt;21.3657667978177&lt;/D&gt;&lt;D xsi:type="xsd:double"&gt;21.1586703077434&lt;/D&gt;&lt;D xsi:type="xsd:double"&gt;20.5237710255832&lt;/D&gt;&lt;D xsi:type="xsd:double"&gt;20.3818637210357&lt;/D&gt;&lt;D xsi:type="xsd:double"&gt;20.1950110571782&lt;/D&gt;&lt;D xsi:type="xsd:double"&gt;19.4708013837131&lt;/D&gt;&lt;D xsi:type="xsd:double"&gt;19.1492539595248&lt;/D&gt;&lt;D xsi:type="xsd:double"&gt;18.9493671581674&lt;/D&gt;&lt;D xsi:type="xsd:double"&gt;18.5999507116914&lt;/D&gt;&lt;D xsi:type="xsd:double"&gt;18.391730866755&lt;/D&gt;&lt;D xsi:type="xsd:double"&gt;17.6171861317345&lt;/D&gt;&lt;D xsi:type="xsd:double"&gt;18.30271783991&lt;/D&gt;&lt;D xsi:type="xsd:double"&gt;18.4608332754021&lt;/D&gt;&lt;D xsi:type="xsd:double"&gt;18.8133119304086&lt;/D&gt;&lt;D xsi:type="xsd:double"&gt;19.2368447147272&lt;/D&gt;&lt;D xsi:type="xsd:double"&gt;18.9398595806981&lt;/D&gt;&lt;D xsi:type="xsd:double"&gt;18.883949310772&lt;/D&gt;&lt;D xsi:type="xsd:double"&gt;18.944237462106&lt;/D&gt;&lt;D xsi:type="xsd:double"&gt;19.0087168529522&lt;/D&gt;&lt;D xsi:type="xsd:double"&gt;18.5415189509522&lt;/D&gt;&lt;D xsi:type="xsd:double"&gt;18.575779442376&lt;/D&gt;&lt;/FQL&gt;&lt;FQL&gt;&lt;Q&gt;WL-FDS^FG_PRICE(0)/MAX(FG_PRICE(0,-1AY))&lt;/Q&gt;&lt;R&gt;1&lt;/R&gt;&lt;C&gt;1&lt;/C&gt;&lt;D xsi:type="xsd:double"&gt;0.707492795389049&lt;/D&gt;&lt;/FQL&gt;&lt;FQL&gt;&lt;Q&gt;NI-FDS^FG_PRICE(0)/MAX(FG_PRICE(0,-1AY))&lt;/Q&gt;&lt;R&gt;1&lt;/R&gt;&lt;C&gt;1&lt;/C&gt;&lt;D xsi:type="xsd:double"&gt;0.746180963572268&lt;/D&gt;&lt;/FQL&gt;&lt;FQL&gt;&lt;Q&gt;CPALM-FDS^FG_PRICE(0)/MAX(FG_PRICE(0,-1AY))&lt;/Q&gt;&lt;R&gt;1&lt;/R&gt;&lt;C&gt;1&lt;/C&gt;&lt;D xsi:type="xsd:double"&gt;0.877920943437432&lt;/D&gt;&lt;/FQL&gt;&lt;FQL&gt;&lt;Q&gt;BRENT-FDS^FG_PRICE(0)/MAX(FG_PRICE(0,-1AY))&lt;/Q&gt;&lt;R&gt;1&lt;/R&gt;&lt;C&gt;1&lt;/C&gt;&lt;D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xsi:type="xsd:double"&gt;0.645532741398446&lt;/D&gt;&lt;/FQL&gt;&lt;FQL&gt;&lt;Q&gt;EWD^FG_PRICE_MAVG(0,,,,60)&lt;/Q&gt;&lt;R&gt;1&lt;/R&gt;&lt;C&gt;1&lt;/C&gt;&lt;D xsi:type="xsd:double"&gt;40.319168&lt;/D&gt;&lt;/FQL&gt;&lt;FQL&gt;&lt;Q&gt;QQQ^FG_PRICE_MAVG(0,,,,60)&lt;/Q&gt;&lt;R&gt;1&lt;/R&gt;&lt;C&gt;1&lt;/C&gt;&lt;D xsi:type="xsd:double"&gt;472.5055&lt;/D&gt;&lt;/FQL&gt;&lt;FQL&gt;&lt;Q&gt;EWG^FG_PRICE_MAVG(0,,,,60)&lt;/Q&gt;&lt;R&gt;1&lt;/R&gt;&lt;C&gt;1&lt;/C&gt;&lt;D xsi:type="xsd:double"&gt;31.1725&lt;/D&gt;&lt;/FQL&gt;&lt;FQL&gt;&lt;Q&gt;EWD^FG_COMPANY_NAME&lt;/Q&gt;&lt;R&gt;1&lt;/R&gt;&lt;C&gt;1&lt;/C&gt;&lt;D xsi:type="xsd:string"&gt;iShares MSCI Sweden ETF&lt;/D&gt;&lt;/FQL&gt;&lt;FQL&gt;&lt;Q&gt;FXI^FG_TOTAL_RETURNC(0,-6AM)&lt;/Q&gt;&lt;R&gt;1&lt;/R&gt;&lt;C&gt;1&lt;/C&gt;&lt;D xsi:type="xsd:double"&gt;5.0177693&lt;/D&gt;&lt;/FQL&gt;&lt;FQL&gt;&lt;Q&gt;EWJ^P_PRICE(0)/P_PRICE_LOW_PR(0,,,,,,"PRICE","INTRA","52W")-1&lt;/Q&gt;&lt;R&gt;1&lt;/R&gt;&lt;C&gt;1&lt;/C&gt;&lt;D xsi:type="xsd:double"&gt;0.22814679&lt;/D&gt;&lt;/FQL&gt;&lt;FQL&gt;&lt;Q&gt;URTH^FMA_PCT_ABOVE_MAVG(200,0,,,,"PORTAGG")&lt;/Q&gt;&lt;R&gt;1&lt;/R&gt;&lt;C&gt;1&lt;/C&gt;&lt;D xsi:type="xsd:double"&gt;61.0953058321479&lt;/D&gt;&lt;/FQL&gt;&lt;FQL&gt;&lt;Q&gt;VGK^PERCENT_CHANGE(FMA_EPS(+1,0,,,,"PORTAGG","MEAN"),FMA_EPS(+1,-3AM,,,,"PORTAGG","MEAN"))&lt;/Q&gt;&lt;R&gt;1&lt;/R&gt;&lt;C&gt;1&lt;/C&gt;&lt;D xsi:type="xsd:double"&gt;-2.96610938651039&lt;/D&gt;&lt;/FQL&gt;&lt;FQL&gt;&lt;Q&gt;EWD^FG_TOTAL_RETURNC(0,-3AM)&lt;/Q&gt;&lt;R&gt;1&lt;/R&gt;&lt;C&gt;1&lt;/C&gt;&lt;D xsi:type="xsd:double"&gt;-2.6202917&lt;/D&gt;&lt;/FQL&gt;&lt;FQL&gt;&lt;Q&gt;EWQ^P_PRICE(0)/P_PRICE_HIGH_PR(0,,,,,,"PRICE","INTRA","52W")&lt;/Q&gt;&lt;R&gt;1&lt;/R&gt;&lt;C&gt;1&lt;/C&gt;&lt;D xsi:type="xsd:double"&gt;0.9152583&lt;/D&gt;&lt;/FQL&gt;&lt;FQL&gt;&lt;Q&gt;QQQ^FG_TOTAL_RETURNC(0,-12AM)&lt;/Q&gt;&lt;R&gt;1&lt;/R&gt;&lt;C&gt;1&lt;/C&gt;&lt;D xsi:type="xsd:double"&gt;27.814793&lt;/D&gt;&lt;/FQL&gt;&lt;FQL&gt;&lt;Q&gt;EWU^PERCENT_CHANGE(FMA_EPS(+1,0,,,,"PORTAGG","MEAN"),FMA_EPS(+1,-1AM,,,,"PORTAGG","MEAN"))&lt;/Q&gt;&lt;R&gt;1&lt;/R&gt;&lt;C&gt;1&lt;/C&gt;&lt;D xsi:type="xsd:double"&gt;1.9643195299943&lt;/D&gt;&lt;/FQL&gt;&lt;FQL&gt;&lt;Q&gt;EWC^FG_TOTAL_RETURNC(0,-6AM)&lt;/Q&gt;&lt;R&gt;1&lt;/R&gt;&lt;C&gt;1&lt;/C&gt;&lt;D xsi:type="xsd:double"&gt;7.8332186&lt;/D&gt;&lt;/FQL&gt;&lt;FQL&gt;&lt;Q&gt;EWJ^FMA_COS_UP("EPS","1M",+1,0,,,"PORTAGG","MEANR")&lt;/Q&gt;&lt;R&gt;1&lt;/R&gt;&lt;C&gt;1&lt;/C&gt;&lt;D xsi:type="xsd:double"&gt;106&lt;/D&gt;&lt;/FQL&gt;&lt;FQL&gt;&lt;Q&gt;ENZL^FMA_COS_UP("EPS","1M",+1,0,,,"PORTAGG","MEANR")&lt;/Q&gt;&lt;R&gt;1&lt;/R&gt;&lt;C&gt;1&lt;/C&gt;&lt;D xsi:type="xsd:double"&gt;8&lt;/D&gt;&lt;/FQL&gt;&lt;FQL&gt;&lt;Q&gt;QQQ^FG_ROE(0)&lt;/Q&gt;&lt;R&gt;1&lt;/R&gt;&lt;C&gt;1&lt;/C&gt;&lt;D xsi:type="xsd:double"&gt;22.4762302222851&lt;/D&gt;&lt;/FQL&gt;&lt;FQL&gt;&lt;Q&gt;TRYJP10Y-FDS^FG_YIELD_NAME&lt;/Q&gt;&lt;R&gt;1&lt;/R&gt;&lt;C&gt;1&lt;/C&gt;&lt;D xsi:type="xsd:string"&gt;Japan Benchmark Bond - 10 Year&lt;/D&gt;&lt;/FQL&gt;&lt;FQL&gt;&lt;Q&gt;EWA^FG_COMPANY_NAME&lt;/Q&gt;&lt;R&gt;1&lt;/R&gt;&lt;C&gt;1&lt;/C&gt;&lt;D xsi:type="xsd:string"&gt;iShares MSCI Australia ETF&lt;/D&gt;&lt;/FQL&gt;&lt;FQL&gt;&lt;Q&gt;REFFFUND-FDS^PROPER_NAME(0,,,"SECURITY","NAME")&lt;/Q&gt;&lt;R&gt;1&lt;/R&gt;&lt;C&gt;1&lt;/C&gt;&lt;D xsi:type="xsd:string"&gt;US Federal Funds Target Rate&lt;/D&gt;&lt;/FQL&gt;&lt;FQL&gt;&lt;Q&gt;TRYUS10Y-FDS^FG_YIELD_NAME&lt;/Q&gt;&lt;R&gt;1&lt;/R&gt;&lt;C&gt;1&lt;/C&gt;&lt;D xsi:type="xsd:string"&gt;US Benchmark Bond - 10 Year&lt;/D&gt;&lt;/FQL&gt;&lt;FQL&gt;&lt;Q&gt;CC_SE^IMF_IFS_RCPI_Q(0)&lt;/Q&gt;&lt;R&gt;1&lt;/R&gt;&lt;C&gt;1&lt;/C&gt;&lt;D xsi:type="xsd:double"&gt;3.39215&lt;/D&gt;&lt;/FQL&gt;&lt;FQL&gt;&lt;Q&gt;EWI^JULIAN(FMA_DIV_YLD(NTMA,NOW,NOW,M,"PORTAGG","MEANR").DATES)&lt;/Q&gt;&lt;R&gt;1&lt;/R&gt;&lt;C&gt;1&lt;/C&gt;&lt;D xsi:type="xsd:long"&gt;45534&lt;/D&gt;&lt;/FQL&gt;&lt;FQL&gt;&lt;Q&gt;EWQ^FMA_EVAL_EBITDA(NTMA,0,,,"PORTAGG","MEANR")&lt;/Q&gt;&lt;R&gt;1&lt;/R&gt;&lt;C&gt;1&lt;/C&gt;&lt;D xsi:type="xsd:double"&gt;8.9655680830536&lt;/D&gt;&lt;/FQL&gt;&lt;FQL&gt;&lt;Q&gt;QQQ^FMA_DIV_YLD(NTMA,NOW,NOW,M,"PORTAGG","MEANR")&lt;/Q&gt;&lt;R&gt;1&lt;/R&gt;&lt;C&gt;1&lt;/C&gt;&lt;D xsi:type="xsd:double"&gt;0.835811934474651&lt;/D&gt;&lt;/FQL&gt;&lt;FQL&gt;&lt;Q&gt;EWQ^FMA_ROE(NTMA,-20AY,NOW,FY,"PORTAGG","MEANR")&lt;/Q&gt;&lt;R&gt;20&lt;/R&gt;&lt;C&gt;1&lt;/C&gt;&lt;D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xsi:type="xsd:double"&gt;10.9126947618343&lt;/D&gt;&lt;D xsi:type="xsd:double"&gt;8.94163855128788&lt;/D&gt;&lt;D xsi:type="xsd:double"&gt;12.2528535827263&lt;/D&gt;&lt;D xsi:type="xsd:double"&gt;13.1525301901941&lt;/D&gt;&lt;D xsi:type="xsd:double"&gt;13.2299893175071&lt;/D&gt;&lt;/FQL&gt;&lt;FQL&gt;&lt;Q&gt;TRYID10Y-FDS^FG_YIELD(-10AY,0,Y,,"YTM")&lt;/Q&gt;&lt;R&gt;10&lt;/R&gt;&lt;C&gt;1&lt;/C&gt;&lt;D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xsi:type="xsd:double"&gt;5.1912&lt;/D&gt;&lt;/FQL&gt;&lt;FQL&gt;&lt;Q&gt;EWQ^FG_TOTAL_RETURNC(0,-6AM)&lt;/Q&gt;&lt;R&gt;1&lt;/R&gt;&lt;C&gt;1&lt;/C&gt;&lt;D xsi:type="xsd:double"&gt;-3.4468174&lt;/D&gt;&lt;/FQL&gt;&lt;FQL&gt;&lt;Q&gt;QQQ^P_PRICE(0)/P_PRICE_LOW_PR(0,,,,,,"PRICE","INTRA","52W")-1&lt;/Q&gt;&lt;R&gt;1&lt;/R&gt;&lt;C&gt;1&lt;/C&gt;&lt;D xsi:type="xsd:double"&gt;0.38226962&lt;/D&gt;&lt;/FQL&gt;&lt;FQL&gt;&lt;Q&gt;EWU^FMA_PCT_ABOVE_MAVG(200,0,,,,"PORTAGG")&lt;/Q&gt;&lt;R&gt;1&lt;/R&gt;&lt;C&gt;1&lt;/C&gt;&lt;D xsi:type="xsd:double"&gt;62.8205128205128&lt;/D&gt;&lt;/FQL&gt;&lt;FQL&gt;&lt;Q&gt;EWC^FG_TOTAL_RETURNC(0,-3AM)&lt;/Q&gt;&lt;R&gt;1&lt;/R&gt;&lt;C&gt;1&lt;/C&gt;&lt;D xsi:type="xsd:double"&gt;8.865536&lt;/D&gt;&lt;/FQL&gt;&lt;FQL&gt;&lt;Q&gt;ENZL^P_PRICE(0)/P_PRICE_HIGH_PR(0,,,,,,"PRICE","INTRA","52W")&lt;/Q&gt;&lt;R&gt;1&lt;/R&gt;&lt;C&gt;1&lt;/C&gt;&lt;D xsi:type="xsd:double"&gt;0.99821&lt;/D&gt;&lt;/FQL&gt;&lt;FQL&gt;&lt;Q&gt;URTH^SIZE(FG_CONSTITUENTS)&lt;/Q&gt;&lt;R&gt;1&lt;/R&gt;&lt;C&gt;1&lt;/C&gt;&lt;D xsi:type="xsd:long"&gt;1412&lt;/D&gt;&lt;/FQL&gt;&lt;FQL&gt;&lt;Q&gt;EWN^FMA_COS_DOWN("EPS","1M",+1,0,,,"PORTAGG","MEANR")&lt;/Q&gt;&lt;R&gt;1&lt;/R&gt;&lt;C&gt;1&lt;/C&gt;&lt;D xsi:type="xsd:double"&gt;18&lt;/D&gt;&lt;/FQL&gt;&lt;FQL&gt;&lt;Q&gt;EWQ^FMA_RBICS_REV_CURRENT(30, LOC, "PORTAGG")&lt;/Q&gt;&lt;R&gt;1&lt;/R&gt;&lt;C&gt;1&lt;/C&gt;&lt;D xsi:type="xsd:double"&gt;11.5988441524133&lt;/D&gt;&lt;/FQL&gt;&lt;FQL&gt;&lt;Q&gt;EWU^FG_ROE(0)&lt;/Q&gt;&lt;R&gt;1&lt;/R&gt;&lt;C&gt;1&lt;/C&gt;&lt;D xsi:type="xsd:double"&gt;13.9488350102174&lt;/D&gt;&lt;/FQL&gt;&lt;FQL&gt;&lt;Q&gt;TRYDE10Y-FDS^FG_YIELD_NAME&lt;/Q&gt;&lt;R&gt;1&lt;/R&gt;&lt;C&gt;1&lt;/C&gt;&lt;D xsi:type="xsd:string"&gt;Germany Benchmark Bond - 10 Year&lt;/D&gt;&lt;/FQL&gt;&lt;FQL&gt;&lt;Q&gt;REFFFUND-FDS^(SUBARRAY(NOT_NA(NO_REPEAT_F(FG_YIELD(NOW,-10AY,D))),0,1)-SUBARRAY(NOT_NA(NO_REPEAT_F(FG_YIELD(NOW,-10AY,D))),1,1))*100&lt;/Q&gt;&lt;R&gt;1&lt;/R&gt;&lt;C&gt;1&lt;/C&gt;&lt;D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xsi:type="xsd:double"&gt;25&lt;/D&gt;&lt;/FQL&gt;&lt;FQL&gt;&lt;Q&gt;REFCATARG-FDS^FG_YIELD(NOW,,,0)&lt;/Q&gt;&lt;R&gt;1&lt;/R&gt;&lt;C&gt;1&lt;/C&gt;&lt;D xsi:type="xsd:double"&gt;4.25&lt;/D&gt;&lt;/FQL&gt;&lt;FQL&gt;&lt;Q&gt;TRYUS10Y-FDS^PCTCHG(FG_YIELD(0,,,,"YTM"),FG_YIELD(-3AM,,,,"YTM"))&lt;/Q&gt;&lt;R&gt;1&lt;/R&gt;&lt;C&gt;1&lt;/C&gt;&lt;D xsi:type="xsd:double"&gt;-15.003351&lt;/D&gt;&lt;/FQL&gt;&lt;FQL&gt;&lt;Q&gt;TRYNZ10Y-FDS^PCTCHG(FG_YIELD(0,,,,"YTM"),FG_YIELD(-3AM,,,,"YTM"))&lt;/Q&gt;&lt;R&gt;1&lt;/R&gt;&lt;C&gt;1&lt;/C&gt;&lt;D xsi:type="xsd:double"&gt;-12.296191&lt;/D&gt;&lt;/FQL&gt;&lt;FQL&gt;&lt;Q&gt;TRYGB10Y-FDS^FG_YIELD(0,,,,"YTM")&lt;/Q&gt;&lt;R&gt;1&lt;/R&gt;&lt;C&gt;1&lt;/C&gt;&lt;D xsi:type="xsd:double"&gt;3.772&lt;/D&gt;&lt;/FQL&gt;&lt;FQL&gt;&lt;Q&gt;CC_NL^IMF_IFS_RCPI_Q(0)&lt;/Q&gt;&lt;R&gt;1&lt;/R&gt;&lt;C&gt;1&lt;/C&gt;&lt;D xsi:type="xsd:double"&gt;2.888117&lt;/D&gt;&lt;/FQL&gt;&lt;FQL&gt;&lt;Q&gt;VWO^FG_PE(0)&lt;/Q&gt;&lt;R&gt;1&lt;/R&gt;&lt;C&gt;1&lt;/C&gt;&lt;D xsi:type="xsd:double"&gt;15.1582445076425&lt;/D&gt;&lt;/FQL&gt;&lt;FQL&gt;&lt;Q&gt;EWD^FMA_EVAL_EBIT(LTMA,NOW,NOW,M,"PORTAGG","MEANR")&lt;/Q&gt;&lt;R&gt;1&lt;/R&gt;&lt;C&gt;1&lt;/C&gt;&lt;D xsi:type="xsd:double"&gt;16.3772212878241&lt;/D&gt;&lt;/FQL&gt;&lt;FQL&gt;&lt;Q&gt;EWQ^FG_FCF_YIELD_NTM(0)&lt;/Q&gt;&lt;R&gt;1&lt;/R&gt;&lt;C&gt;1&lt;/C&gt;&lt;D xsi:type="xsd:double"&gt;6.03649168179803&lt;/D&gt;&lt;/FQL&gt;&lt;FQL&gt;&lt;Q&gt;QQQ^FMA_PE(NTMA,0,,,"PORTAGG","MEANR")&lt;/Q&gt;&lt;R&gt;1&lt;/R&gt;&lt;C&gt;1&lt;/C&gt;&lt;D xsi:type="xsd:double"&gt;25.8375847254087&lt;/D&gt;&lt;/FQL&gt;&lt;FQL&gt;&lt;Q&gt;EWL^JULIAN(FMA_DIV_YLD(NTMA,NOW,NOW,M,"PORTAGG","MEANR").DATES)&lt;/Q&gt;&lt;R&gt;1&lt;/R&gt;&lt;C&gt;1&lt;/C&gt;&lt;D xsi:type="xsd:long"&gt;45534&lt;/D&gt;&lt;/FQL&gt;&lt;FQL&gt;&lt;Q&gt;EWC^FMA_EVAL_EBITDA(NTMA,0,,,"PORTAGG","MEANR")&lt;/Q&gt;&lt;R&gt;1&lt;/R&gt;&lt;C&gt;1&lt;/C&gt;&lt;D xsi:type="xsd:double"&gt;9.66326410014247&lt;/D&gt;&lt;/FQL&gt;&lt;FQL&gt;&lt;Q&gt;ENZL^FMA_DIV_YLD(NTMA,NOW,NOW,M,"PORTAGG","MEANR")&lt;/Q&gt;&lt;R&gt;1&lt;/R&gt;&lt;C&gt;1&lt;/C&gt;&lt;D xsi:type="xsd:double"&gt;2.51392724535129&lt;/D&gt;&lt;/FQL&gt;&lt;FQL&gt;&lt;Q&gt;CAGDPY@US^EE_ACTUAL_ANNUAL(MED,0)&lt;/Q&gt;&lt;R&gt;1&lt;/R&gt;&lt;C&gt;1&lt;/C&gt;&lt;D xsi:type="xsd:double"&gt;-3.31108668288718&lt;/D&gt;&lt;/FQL&gt;&lt;FQL&gt;&lt;Q&gt;CAGDPY@NZ^EE_ACTUAL_ANNUAL(MED,0)&lt;/Q&gt;&lt;R&gt;1&lt;/R&gt;&lt;C&gt;1&lt;/C&gt;&lt;D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xsi:type="xsd:double"&gt;1753.8678&lt;/D&gt;&lt;/FQL&gt;&lt;FQL&gt;&lt;Q&gt;USDANG^FG_PRICE(0)&lt;/Q&gt;&lt;R&gt;1&lt;/R&gt;&lt;C&gt;1&lt;/C&gt;&lt;D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xsi:type="xsd:double"&gt;0.76449674&lt;/D&gt;&lt;/FQL&gt;&lt;FQL&gt;&lt;Q&gt;USDJPY^FG_PRICE(0)&lt;/Q&gt;&lt;R&gt;1&lt;/R&gt;&lt;C&gt;1&lt;/C&gt;&lt;D xsi:type="xsd:double"&gt;142.52&lt;/D&gt;&lt;/FQL&gt;&lt;FQL&gt;&lt;Q&gt;USDCAD^FG_PRICE(0)&lt;/Q&gt;&lt;R&gt;1&lt;/R&gt;&lt;C&gt;1&lt;/C&gt;&lt;D xsi:type="xsd:double"&gt;1.35965&lt;/D&gt;&lt;/FQL&gt;&lt;FQL&gt;&lt;Q&gt;USDNZD^FG_PRICE(0)&lt;/Q&gt;&lt;R&gt;1&lt;/R&gt;&lt;C&gt;1&lt;/C&gt;&lt;D xsi:type="xsd:double"&gt;1.6261485&lt;/D&gt;&lt;/FQL&gt;&lt;FQL&gt;&lt;Q&gt;EWI^P_PRICE_RETURNS_PR('52W',2,-10AY,0,AM)&lt;/Q&gt;&lt;R&gt;121&lt;/R&gt;&lt;C&gt;1&lt;/C&gt;&lt;D xsi:type="xsd:double"&gt;19.685268&lt;/D&gt;&lt;D xsi:type="xsd:double"&gt;-3.4401894&lt;/D&gt;&lt;D xsi:type="xsd:double"&gt;-5.481571&lt;/D&gt;&lt;D xsi:type="xsd:double"&gt;-3.3575594&lt;/D&gt;&lt;D xsi:type="xsd:double"&gt;-17.456203&lt;/D&gt;&lt;D xsi:type="xsd:double"&gt;-9.637302&lt;/D&gt;&lt;D xsi:type="xsd:double"&gt;-13.727164&lt;/D&gt;&lt;D xsi:type="xsd:double"&gt;-11.398989&lt;/D&gt;&lt;D xsi:type="xsd:double"&gt;-9.693909&lt;/D&gt;&lt;D xsi:type="xsd:double"&gt;-11.595768&lt;/D&gt;&lt;D xsi:type="xsd:double"&gt;-6.457293&lt;/D&gt;&lt;D xsi:type="xsd:double"&gt;3.862691&lt;/D&gt;&lt;D xsi:type="xsd:double"&gt;-6.054282&lt;/D&gt;&lt;D xsi:type="xsd:double"&gt;7.0231915&lt;/D&gt;&lt;D xsi:type="xsd:double"&gt;2.4690032&lt;/D&gt;&lt;D xsi:type="xsd:double"&gt;-0.07815957&lt;/D&gt;&lt;D xsi:type="xsd:double"&gt;3.100276&lt;/D&gt;&lt;D xsi:type="xsd:double"&gt;-21.479733&lt;/D&gt;&lt;D xsi:type="xsd:double"&gt;-9.896982&lt;/D&gt;&lt;D xsi:type="xsd:double"&gt;-20.116758&lt;/D&gt;&lt;D xsi:type="xsd:double"&gt;-20.642126&lt;/D&gt;&lt;D xsi:type="xsd:double"&gt;-24.54905&lt;/D&gt;&lt;D xsi:type="xsd:double"&gt;-25.765282&lt;/D&gt;&lt;D xsi:type="xsd:double"&gt;-25.645733&lt;/D&gt;&lt;D xsi:type="xsd:double"&gt;-20.619524&lt;/D&gt;&lt;D xsi:type="xsd:double"&gt;-25.510836&lt;/D&gt;&lt;D xsi:type="xsd:double"&gt;-20.764833&lt;/D&gt;&lt;D xsi:type="xsd:double"&gt;-11.378611&lt;/D&gt;&lt;D xsi:type="xsd:double"&gt;-2.429694&lt;/D&gt;&lt;D xsi:type="xsd:double"&gt;10.771108&lt;/D&gt;&lt;D xsi:type="xsd:double"&gt;6.208098&lt;/D&gt;&lt;D xsi:type="xsd:double"&gt;10.302055&lt;/D&gt;&lt;D xsi:type="xsd:double"&gt;20.464611&lt;/D&gt;&lt;D xsi:type="xsd:double"&gt;25.181507&lt;/D&gt;&lt;D xsi:type="xsd:double"&gt;33.97946&lt;/D&gt;&lt;D xsi:type="xsd:double"&gt;35.031963&lt;/D&gt;&lt;D xsi:type="xsd:double"&gt;39.64534&lt;/D&gt;&lt;D xsi:type="xsd:double"&gt;46.616936&lt;/D&gt;&lt;D xsi:type="xsd:double"&gt;42.66759&lt;/D&gt;&lt;D xsi:type="xsd:double"&gt;35.82214&lt;/D&gt;&lt;D xsi:type="xsd:double"&gt;38.575745&lt;/D&gt;&lt;D xsi:type="xsd:double"&gt;38.196026&lt;/D&gt;&lt;D xsi:type="xsd:double"&gt;35.071014&lt;/D&gt;&lt;D xsi:type="xsd:double"&gt;35.992443&lt;/D&gt;&lt;D xsi:type="xsd:double"&gt;24.101437&lt;/D&gt;&lt;D xsi:type="xsd:double"&gt;11.089754&lt;/D&gt;&lt;D xsi:type="xsd:double"&gt;5.061567&lt;/D&gt;&lt;D xsi:type="xsd:double"&gt;-3.4802139&lt;/D&gt;&lt;D xsi:type="xsd:double"&gt;-6.8612933&lt;/D&gt;&lt;D xsi:type="xsd:double"&gt;-13.808846&lt;/D&gt;&lt;D xsi:type="xsd:double"&gt;-16.24329&lt;/D&gt;&lt;D xsi:type="xsd:double"&gt;-16.02484&lt;/D&gt;&lt;D xsi:type="xsd:double"&gt;-18.651522&lt;/D&gt;&lt;D xsi:type="xsd:double"&gt;-15.273512&lt;/D&gt;&lt;D xsi:type="xsd:double"&gt;-13.791079&lt;/D&gt;&lt;D xsi:type="xsd:double"&gt;-11.217367&lt;/D&gt;&lt;D xsi:type="xsd:double"&gt;-14.768988&lt;/D&gt;&lt;D xsi:type="xsd:double"&gt;-7.3236046&lt;/D&gt;&lt;D xsi:type="xsd:double"&gt;2.6831865&lt;/D&gt;&lt;D xsi:type="xsd:double"&gt;-2.3330867&lt;/D&gt;&lt;D xsi:type="xsd:double"&gt;4.5405865&lt;/D&gt;&lt;D xsi:type="xsd:double"&gt;12.832737&lt;/D&gt;&lt;D xsi:type="xsd:double"&gt;24.762547&lt;/D&gt;&lt;D xsi:type="xsd:double"&gt;21.724499&lt;/D&gt;&lt;D xsi:type="xsd:double"&gt;20.115936&lt;/D&gt;&lt;D xsi:type="xsd:double"&gt;21.032738&lt;/D&gt;&lt;D xsi:type="xsd:double"&gt;-27.68587&lt;/D&gt;&lt;D xsi:type="xsd:double"&gt;-20.528275&lt;/D&gt;&lt;D xsi:type="xsd:double"&gt;-21.440155&lt;/D&gt;&lt;D xsi:type="xsd:double"&gt;-8.738285&lt;/D&gt;&lt;D xsi:type="xsd:double"&gt;-10.991359&lt;/D&gt;&lt;D xsi:type="xsd:double"&gt;4.2275786&lt;/D&gt;&lt;D xsi:type="xsd:double"&gt;-5.02373&lt;/D&gt;&lt;D xsi:type="xsd:double"&gt;-7.0647&lt;/D&gt;&lt;D xsi:type="xsd:double"&gt;-8.7371235&lt;/D&gt;&lt;D xsi:type="xsd:double"&gt;1.8901587&lt;/D&gt;&lt;D xsi:type="xsd:double"&gt;2.8082252&lt;/D&gt;&lt;D xsi:type="xsd:double"&gt;4.34345&lt;/D&gt;&lt;D xsi:type="xsd:double"&gt;72.124626&lt;/D&gt;&lt;D xsi:type="xsd:double"&gt;50.025368&lt;/D&gt;&lt;D xsi:type="xsd:double"&gt;58.206715&lt;/D&gt;&lt;D xsi:type="xsd:double"&gt;49.77491&lt;/D&gt;&lt;D xsi:type="xsd:double"&gt;33.447445&lt;/D&gt;&lt;D xsi:type="xsd:double"&gt;29.744995&lt;/D&gt;&lt;D xsi:type="xsd:double"&gt;29.371489&lt;/D&gt;&lt;D xsi:type="xsd:double"&gt;29.085278&lt;/D&gt;&lt;D xsi:type="xsd:double"&gt;29.993069&lt;/D&gt;&lt;D xsi:type="xsd:double"&gt;13.712776&lt;/D&gt;&lt;D xsi:type="xsd:double"&gt;15.831828&lt;/D&gt;&lt;D xsi:type="xsd:double"&gt;7.3375583&lt;/D&gt;&lt;D xsi:type="xsd:double"&gt;-12.605101&lt;/D&gt;&lt;D xsi:type="xsd:double"&gt;-6.742984&lt;/D&gt;&lt;D xsi:type="xsd:double"&gt;-15.357965&lt;/D&gt;&lt;D xsi:type="xsd:double"&gt;-21.45728&lt;/D&gt;&lt;D xsi:type="xsd:double"&gt;-26.033276&lt;/D&gt;&lt;D xsi:type="xsd:double"&gt;-21.155035&lt;/D&gt;&lt;D xsi:type="xsd:double"&gt;-20.869&lt;/D&gt;&lt;D xsi:type="xsd:double"&gt;-30.655563&lt;/D&gt;&lt;D xsi:type="xsd:double"&gt;-15.555531&lt;/D&gt;&lt;D xsi:type="xsd:double"&gt;-11.249388&lt;/D&gt;&lt;D xsi:type="xsd:double"&gt;-8.1754265&lt;/D&gt;&lt;D xsi:type="xsd:double"&gt;-3.799808&lt;/D&gt;&lt;D xsi:type="xsd:double"&gt;13.878655&lt;/D&gt;&lt;D xsi:type="xsd:double"&gt;14.586496&lt;/D&gt;&lt;D xsi:type="xsd:double"&gt;24.116528&lt;/D&gt;&lt;D xsi:type="xsd:double"&gt;25.402487&lt;/D&gt;&lt;D xsi:type="xsd:double"&gt;47.38177&lt;/D&gt;&lt;D xsi:type="xsd:double"&gt;31.808674&lt;/D&gt;&lt;D xsi:type="xsd:double"&gt;33.980392&lt;/D&gt;&lt;D xsi:type="xsd:double"&gt;47.94315&lt;/D&gt;&lt;D xsi:type="xsd:double"&gt;21.05466&lt;/D&gt;&lt;D xsi:type="xsd:double"&gt;25.838398&lt;/D&gt;&lt;D xsi:type="xsd:double"&gt;18.622185&lt;/D&gt;&lt;D xsi:type="xsd:double"&gt;16.765976&lt;/D&gt;&lt;D xsi:type="xsd:double"&gt;29.717875&lt;/D&gt;&lt;D xsi:type="xsd:double"&gt;18.468369&lt;/D&gt;&lt;D xsi:type="xsd:double"&gt;25.381983&lt;/D&gt;&lt;D xsi:type="xsd:double"&gt;26.798975&lt;/D&gt;&lt;D xsi:type="xsd:double"&gt;20.18919&lt;/D&gt;&lt;D xsi:type="xsd:double"&gt;15.887713&lt;/D&gt;&lt;D xsi:type="xsd:double"&gt;25.478601&lt;/D&gt;&lt;/FQL&gt;&lt;FQL&gt;&lt;Q&gt;EWN^FG_TOTAL_RETURNC(-10AY,0,AM)&lt;/Q&gt;&lt;R&gt;121&lt;/R&gt;&lt;C&gt;1&lt;/C&gt;&lt;D xsi:type="xsd:double"&gt;3.7489414&lt;/D&gt;&lt;D xsi:type="xsd:double"&gt;-7.47056&lt;/D&gt;&lt;D xsi:type="xsd:double"&gt;4.519522&lt;/D&gt;&lt;D xsi:type="xsd:double"&gt;0.25188923&lt;/D&gt;&lt;D xsi:type="xsd:double"&gt;-2.5169075&lt;/D&gt;&lt;D xsi:type="xsd:double"&gt;7.0277095&lt;/D&gt;&lt;D xsi:type="xsd:double"&gt;1.3290405&lt;/D&gt;&lt;D xsi:type="xsd:double"&gt;3.457868&lt;/D&gt;&lt;D xsi:type="xsd:double"&gt;1.8440247&lt;/D&gt;&lt;D xsi:type="xsd:double"&gt;-0.56582093&lt;/D&gt;&lt;D xsi:type="xsd:double"&gt;0.83248615&lt;/D&gt;&lt;D xsi:type="xsd:double"&gt;-0.4187286&lt;/D&gt;&lt;D xsi:type="xsd:double"&gt;-7.683486&lt;/D&gt;&lt;D xsi:type="xsd:double"&gt;0.99378824&lt;/D&gt;&lt;D xsi:type="xsd:double"&gt;0.86101294&lt;/D&gt;&lt;D xsi:type="xsd:double"&gt;-4.146343&lt;/D&gt;&lt;D xsi:type="xsd:double"&gt;-2.2012055&lt;/D&gt;&lt;D xsi:type="xsd:double"&gt;-5.235606&lt;/D&gt;&lt;</t>
        </r>
      </text>
    </comment>
    <comment ref="A4" authorId="0" shapeId="0" xr:uid="{90E143A1-63D6-4B7B-8B19-4BD0D14099FB}">
      <text>
        <r>
          <rPr>
            <b/>
            <sz val="9"/>
            <color indexed="81"/>
            <rFont val="Tahoma"/>
            <charset val="1"/>
          </rPr>
          <t>D xsi:type="xsd:double"&gt;11.924494&lt;/D&gt;&lt;D xsi:type="xsd:double"&gt;0.94611645&lt;/D&gt;&lt;D xsi:type="xsd:double"&gt;-1.0289371&lt;/D&gt;&lt;D xsi:type="xsd:double"&gt;-0.68965554&lt;/D&gt;&lt;D xsi:type="xsd:double"&gt;-1.9188285&lt;/D&gt;&lt;D xsi:type="xsd:double"&gt;5.53174&lt;/D&gt;&lt;D xsi:type="xsd:double"&gt;0.6501436&lt;/D&gt;&lt;D xsi:type="xsd:double"&gt;-1.0496557&lt;/D&gt;&lt;D xsi:type="xsd:double"&gt;-2.9783726&lt;/D&gt;&lt;D xsi:type="xsd:double"&gt;1.2615561&lt;/D&gt;&lt;D xsi:type="xsd:double"&gt;2.9711008&lt;/D&gt;&lt;D xsi:type="xsd:double"&gt;2.2058845&lt;/D&gt;&lt;D xsi:type="xsd:double"&gt;6.5547585&lt;/D&gt;&lt;D xsi:type="xsd:double"&gt;0.73143244&lt;/D&gt;&lt;D xsi:type="xsd:double"&gt;7.8756332&lt;/D&gt;&lt;D xsi:type="xsd:double"&gt;1.0355592&lt;/D&gt;&lt;D xsi:type="xsd:double"&gt;1.6409755&lt;/D&gt;&lt;D xsi:type="xsd:double"&gt;3.368497&lt;/D&gt;&lt;D xsi:type="xsd:double"&gt;2.962482&lt;/D&gt;&lt;D xsi:type="xsd:double"&gt;1.5664935&lt;/D&gt;&lt;D xsi:type="xsd:double"&gt;-1.573813&lt;/D&gt;&lt;D xsi:type="xsd:double"&gt;1.4070988&lt;/D&gt;&lt;D xsi:type="xsd:double"&gt;4.1496515&lt;/D&gt;&lt;D xsi:type="xsd:double"&gt;-4.019487&lt;/D&gt;&lt;D xsi:type="xsd:double"&gt;3.48984&lt;/D&gt;&lt;D xsi:type="xsd:double"&gt;0.18393993&lt;/D&gt;&lt;D xsi:type="xsd:double"&gt;-1.7441869&lt;/D&gt;&lt;D xsi:type="xsd:double"&gt;0.3737092&lt;/D&gt;&lt;D xsi:type="xsd:double"&gt;-2.2520661&lt;/D&gt;&lt;D xsi:type="xsd:double"&gt;-0.967741&lt;/D&gt;&lt;D xsi:type="xsd:double"&gt;-2.3452818&lt;/D&gt;&lt;D xsi:type="xsd:double"&gt;-5.4703116&lt;/D&gt;&lt;D xsi:type="xsd:double"&gt;-0.5292833&lt;/D&gt;&lt;D xsi:type="xsd:double"&gt;-1.6672611&lt;/D&gt;&lt;D xsi:type="xsd:double"&gt;-1.7295837&lt;/D&gt;&lt;D xsi:type="xsd:double"&gt;6.7502737&lt;/D&gt;&lt;D xsi:type="xsd:double"&gt;1.4858365&lt;/D&gt;&lt;D xsi:type="xsd:double"&gt;5.6520224&lt;/D&gt;&lt;D xsi:type="xsd:double"&gt;-0.5478561&lt;/D&gt;&lt;D xsi:type="xsd:double"&gt;0.45366287&lt;/D&gt;&lt;D xsi:type="xsd:double"&gt;2.3287416&lt;/D&gt;&lt;D xsi:type="xsd:double"&gt;-3.1653762&lt;/D&gt;&lt;D xsi:type="xsd:double"&gt;6.237495&lt;/D&gt;&lt;D xsi:type="xsd:double"&gt;-0.69074035&lt;/D&gt;&lt;D xsi:type="xsd:double"&gt;3.3828735&lt;/D&gt;&lt;D xsi:type="xsd:double"&gt;2.0489216&lt;/D&gt;&lt;D xsi:type="xsd:double"&gt;1.5241861&lt;/D&gt;&lt;D xsi:type="xsd:double"&gt;2.7267337&lt;/D&gt;&lt;D xsi:type="xsd:double"&gt;-28.274668&lt;/D&gt;&lt;D xsi:type="xsd:double"&gt;10.860813&lt;/D&gt;&lt;D xsi:type="xsd:double"&gt;2.9390454&lt;/D&gt;&lt;D xsi:type="xsd:double"&gt;11.843491&lt;/D&gt;&lt;D xsi:type="xsd:double"&gt;7.8927636&lt;/D&gt;&lt;D xsi:type="xsd:double"&gt;4.9955964&lt;/D&gt;&lt;D xsi:type="xsd:double"&gt;-1.4273643&lt;/D&gt;&lt;D xsi:type="xsd:double"&gt;5.252695&lt;/D&gt;&lt;D xsi:type="xsd:double"&gt;2.292955&lt;/D&gt;&lt;D xsi:type="xsd:double"&gt;5.7225823&lt;/D&gt;&lt;D xsi:type="xsd:double"&gt;6.6083074&lt;/D&gt;&lt;D xsi:type="xsd:double"&gt;7.9108&lt;/D&gt;&lt;D xsi:type="xsd:double"&gt;-2.4363756&lt;/D&gt;&lt;D xsi:type="xsd:double"&gt;5.997777&lt;/D&gt;&lt;D xsi:type="xsd:double"&gt;-1.9562483&lt;/D&gt;&lt;D xsi:type="xsd:double"&gt;7.422006&lt;/D&gt;&lt;D xsi:type="xsd:double"&gt;-2.2316039&lt;/D&gt;&lt;D xsi:type="xsd:double"&gt;4.5856476&lt;/D&gt;&lt;D xsi:type="xsd:double"&gt;3.8537145&lt;/D&gt;&lt;D xsi:type="xsd:double"&gt;-7.099581&lt;/D&gt;&lt;D xsi:type="xsd:double"&gt;8.029342&lt;/D&gt;&lt;D xsi:type="xsd:double"&gt;-6.979811&lt;/D&gt;&lt;D xsi:type="xsd:double"&gt;0.9422302&lt;/D&gt;&lt;D xsi:type="xsd:double"&gt;-9.235734&lt;/D&gt;&lt;D xsi:type="xsd:double"&gt;-14.419013&lt;/D&gt;&lt;D xsi:type="xsd:double"&gt;3.997922&lt;/D&gt;&lt;D xsi:type="xsd:double"&gt;-10.496759&lt;/D&gt;&lt;D xsi:type="xsd:double"&gt;3.1881213&lt;/D&gt;&lt;D xsi:type="xsd:double"&gt;-7.4753523&lt;/D&gt;&lt;D xsi:type="xsd:double"&gt;13.820648&lt;/D&gt;&lt;D xsi:type="xsd:double"&gt;-7.5402975&lt;/D&gt;&lt;D xsi:type="xsd:double"&gt;-15.860521&lt;/D&gt;&lt;D xsi:type="xsd:double"&gt;26.169788&lt;/D&gt;&lt;D xsi:type="xsd:double"&gt;3.8145661&lt;/D&gt;&lt;D xsi:type="xsd:double"&gt;6.9114327&lt;/D&gt;&lt;D xsi:type="xsd:double"&gt;-0.12007356&lt;/D&gt;&lt;D xsi:type="xsd:double"&gt;-4.376054&lt;/D&gt;&lt;D xsi:type="xsd:double"&gt;5.783248&lt;/D&gt;&lt;D xsi:type="xsd:double"&gt;-0.8081794&lt;/D&gt;&lt;D xsi:type="xsd:double"&gt;2.6227474&lt;/D&gt;&lt;D xsi:type="xsd:double"&gt;4.132235&lt;/D&gt;&lt;D xsi:type="xsd:double"&gt;-2.8798103&lt;/D&gt;&lt;D xsi:type="xsd:double"&gt;-7.681531&lt;/D&gt;&lt;D xsi:type="xsd:double"&gt;-3.1360686&lt;/D&gt;&lt;D xsi:type="xsd:double"&gt;4.7258496&lt;/D&gt;&lt;D xsi:type="xsd:double"&gt;8.451759&lt;/D&gt;&lt;D xsi:type="xsd:double"&gt;0.9397626&lt;/D&gt;&lt;D xsi:type="xsd:double"&gt;8.214771&lt;/D&gt;&lt;D xsi:type="xsd:double"&gt;4.092455&lt;/D&gt;&lt;D xsi:type="xsd:double"&gt;-1.7926276&lt;/D&gt;&lt;D xsi:type="xsd:double"&gt;5.0611973&lt;/D&gt;&lt;D xsi:type="xsd:double"&gt;3.9632916&lt;/D&gt;&lt;D xsi:type="xsd:double"&gt;1.1138916&lt;/D&gt;&lt;D xsi:type="xsd:double"&gt;-9.401709&lt;/D&gt;&lt;D xsi:type="xsd:double"&gt;2.9140472&lt;/D&gt;&lt;/FQL&gt;&lt;FQL&gt;&lt;Q&gt;SPY^FMA_DIV_YLD(NTMA,-10AY,0,AM,"PORTAGG","MEANR")&lt;/Q&gt;&lt;R&gt;121&lt;/R&gt;&lt;C&gt;1&lt;/C&gt;&lt;D xsi:type="xsd:double"&gt;2.11026912673755&lt;/D&gt;&lt;D xsi:type="xsd:double"&gt;2.21104821185827&lt;/D&gt;&lt;D xsi:type="xsd:double"&gt;2.09075354796271&lt;/D&gt;&lt;D xsi:type="xsd:double"&gt;2.14980447837433&lt;/D&gt;&lt;D xsi:type="xsd:double"&gt;2.13869881295086&lt;/D&gt;&lt;D xsi:type="xsd:double"&gt;2.11394642110482&lt;/D&gt;&lt;D xsi:type="xsd:double"&gt;2.1792172873699&lt;/D&gt;&lt;D xsi:type="xsd:double"&gt;2.14719230192098&lt;/D&gt;&lt;D xsi:type="xsd:double"&gt;2.16371706264299&lt;/D&gt;&lt;D xsi:type="xsd:double"&gt;2.17634430099422&lt;/D&gt;&lt;D xsi:type="xsd:double"&gt;2.19483531868702&lt;/D&gt;&lt;D xsi:type="xsd:double"&gt;2.21586351850872&lt;/D&gt;&lt;D xsi:type="xsd:double"&gt;2.3678583434001&lt;/D&gt;&lt;D xsi:type="xsd:double"&gt;2.30776583612397&lt;/D&gt;&lt;D xsi:type="xsd:double"&gt;2.30716212843026&lt;/D&gt;&lt;D xsi:type="xsd:double"&gt;2.34103294675335&lt;/D&gt;&lt;D xsi:type="xsd:double"&gt;2.44748115799663&lt;/D&gt;&lt;D xsi:type="xsd:double"&gt;2.45182025901469&lt;/D&gt;&lt;D xsi:type="xsd:double"&gt;2.47519773454617&lt;/D&gt;&lt;D xsi:type="xsd:double"&gt;2.29179874134034&lt;/D&gt;&lt;D xsi:type="xsd:double"&gt;2.29270141173246&lt;/D&gt;&lt;D xsi:type="xsd:double"&gt;2.27710953304458&lt;/D&gt;&lt;D xsi:type="xsd:double"&gt;2.22642425893745&lt;/D&gt;&lt;D xsi:type="xsd:double"&gt;2.20341664155043&lt;/D&gt;&lt;D xsi:type="xsd:double"&gt;2.23147815257003&lt;/D&gt;&lt;D xsi:type="xsd:double"&gt;2.25180162340357&lt;/D&gt;&lt;D xsi:type="xsd:double"&gt;2.23891481056996&lt;/D&gt;&lt;D xsi:type="xsd:double"&gt;2.16580231416045&lt;/D&gt;&lt;D xsi:type="xsd:double"&gt;2.16467061265386&lt;/D&gt;&lt;D xsi:type="xsd:double"&gt;2.14117898857405&lt;/D&gt;&lt;D xsi:type="xsd:double"&gt;2.10103240225839&lt;/D&gt;&lt;D xsi:type="xsd:double"&gt;2.13588496407134&lt;/D&gt;&lt;D xsi:type="xsd:double"&gt;2.10952993394301&lt;/D&gt;&lt;D xsi:type="xsd:double"&gt;2.08860423283758&lt;/D&gt;&lt;D xsi:type="xsd:double"&gt;2.10191059392973&lt;/D&gt;&lt;D xsi:type="xsd:double"&gt;2.11521825969821&lt;/D&gt;&lt;D xsi:type="xsd:double"&gt;2.07835454887847&lt;/D&gt;&lt;D xsi:type="xsd:double"&gt;2.04054722668306&lt;/D&gt;&lt;D xsi:type="xsd:double"&gt;2.03271670486126&lt;/D&gt;&lt;D xsi:type="xsd:double"&gt;1.96378796215051&lt;/D&gt;&lt;D xsi:type="xsd:double"&gt;1.89000774206863&lt;/D&gt;&lt;D xsi:type="xsd:double"&gt;2.01240240424149&lt;/D&gt;&lt;D xsi:type="xsd:double"&gt;1.94522787616471&lt;/D&gt;&lt;D xsi:type="xsd:double"&gt;2.0488368940152&lt;/D&gt;&lt;D xsi:type="xsd:double"&gt;2.02027602670771&lt;/D&gt;&lt;D xsi:type="xsd:double"&gt;1.98861697701164&lt;/D&gt;&lt;D xsi:type="xsd:double"&gt;2.00374442189684&lt;/D&gt;&lt;D xsi:type="xsd:double"&gt;1.99644665563204&lt;/D&gt;&lt;D xsi:type="xsd:double"&gt;1.96916360947253&lt;/D&gt;&lt;D xsi:type="xsd:double"&gt;2.06684288990431&lt;/D&gt;&lt;D xsi:type="xsd:double"&gt;2.10305662589143&lt;/D&gt;&lt;D xsi:type="xsd:double"&gt;2.18092014239758&lt;/D&gt;&lt;D xsi:type="xsd:double"&gt;2.24375147571903&lt;/D&gt;&lt;D xsi:type="xsd:double"&gt;2.13760270737702&lt;/D&gt;&lt;D xsi:type="xsd:double"&gt;2.10778704671663&lt;/D&gt;&lt;D xsi:type="xsd:double"&gt;2.04142467108021&lt;/D&gt;&lt;D xsi:type="xsd:double"&gt;2.07114797213146&lt;/D&gt;&lt;D xsi:type="xsd:double"&gt;2.08857067393243&lt;/D&gt;&lt;D xsi:type="xsd:double"&gt;2.00642321888572&lt;/D&gt;&lt;D xsi:type="xsd:double"&gt;2.10484737378252&lt;/D&gt;&lt;D xsi:type="xsd:double"&gt;2.02785242598777&lt;/D&gt;&lt;D xsi:type="xsd:double"&gt;2.06478356400677&lt;/D&gt;&lt;D xsi:type="xsd:double"&gt;1.99747981052368&lt;/D&gt;&lt;D xsi:type="xsd:double"&gt;1.96045585268067&lt;/D&gt;&lt;D xsi:type="xsd:double"&gt;1.91795070978507&lt;/D&gt;&lt;D xsi:type="xsd:double"&gt;1.86887240275904&lt;/D&gt;&lt;D xsi:type="xsd:double"&gt;2.55958609559482&lt;/D&gt;&lt;D xsi:type="xsd:double"&gt;2.22380561850496&lt;/D&gt;&lt;D xsi:type="xsd:double"&gt;2.11427913510441&lt;/D&gt;&lt;D xsi:type="xsd:double"&gt;1.98159846003012&lt;/D&gt;&lt;D xsi:type="xsd:double"&gt;1.87128165780308&lt;/D&gt;&lt;D xsi:type="xsd:double"&gt;1.76186399359929&lt;/D&gt;&lt;D xsi:type="xsd:double"&gt;1.78685498430077&lt;/D&gt;&lt;D xsi:type="xsd:double"&gt;1.69154396688908&lt;/D&gt;&lt;D xsi:type="xsd:double"&gt;1.69580926231056&lt;/D&gt;&lt;D xsi:type="xsd:double"&gt;1.64069499218345&lt;/D&gt;&lt;D xsi:type="xsd:double"&gt;1.56291864946184&lt;/D&gt;&lt;D xsi:type="xsd:double"&gt;1.52505351622723&lt;/D&gt;&lt;D xsi:type="xsd:double"&gt;1.53153744413699&lt;/D&gt;&lt;D xsi:type="xsd:double"&gt;1.47040509139965&lt;/D&gt;&lt;D xsi:type="xsd:double"&gt;1.50414554929569&lt;/D&gt;&lt;D xsi:type="xsd:double"&gt;1.45106590677813&lt;/D&gt;&lt;D xsi:type="xsd:double"&gt;1.42298298548786&lt;/D&gt;&lt;D xsi:type="xsd:double"&gt;1.41252004569992&lt;/D&gt;&lt;D xsi:type="xsd:double"&gt;1.42267113959173&lt;/D&gt;&lt;D xsi:type="xsd:double"&gt;1.46612948154277&lt;/D&gt;&lt;D xsi:type="xsd:double"&gt;1.36993187501747&lt;/D&gt;&lt;D xsi:type="xsd:double"&gt;1.37014220770875&lt;/D&gt;&lt;D xsi:type="xsd:double"&gt;1.36897910589167&lt;/D&gt;&lt;D xsi:type="xsd:double"&gt;1.48784281155434&lt;/D&gt;&lt;D xsi:type="xsd:double"&gt;1.57145630323683&lt;/D&gt;&lt;D xsi:type="xsd:double"&gt;1.49702745337367&lt;/D&gt;&lt;D xsi:type="xsd:double"&gt;1.68639428468756&lt;/D&gt;&lt;D xsi:type="xsd:double"&gt;1.71228908093691&lt;/D&gt;&lt;D xsi:type="xsd:double"&gt;1.76155268039653&lt;/D&gt;&lt;D xsi:type="xsd:double"&gt;1.58633922001457&lt;/D&gt;&lt;D xsi:type="xsd:double"&gt;1.66552289348829&lt;/D&gt;&lt;D xsi:type="xsd:double"&gt;1.91876015115759&lt;/D&gt;&lt;D xsi:type="xsd:double"&gt;1.73184263188151&lt;/D&gt;&lt;D xsi:type="xsd:double"&gt;1.73661011733322&lt;/D&gt;&lt;D xsi:type="xsd:double"&gt;1.74631178942823&lt;/D&gt;&lt;D xsi:type="xsd:double"&gt;1.71166532352468&lt;/D&gt;&lt;D xsi:type="xsd:double"&gt;1.82223430425372&lt;/D&gt;&lt;D xsi:type="xsd:double"&gt;1.72535176256364&lt;/D&gt;&lt;D xsi:type="xsd:double"&gt;1.7105730220071&lt;/D&gt;&lt;D xsi:type="xsd:double"&gt;1.63679045469853&lt;/D&gt;&lt;D xsi:type="xsd:double"&gt;1.59128338694326&lt;/D&gt;&lt;D xsi:type="xsd:double"&gt;1.6061421336018&lt;/D&gt;&lt;D xsi:type="xsd:double"&gt;1.61395132277138&lt;/D&gt;&lt;D xsi:type="xsd:double"&gt;1.66811277482576&lt;/D&gt;&lt;D xsi:type="xsd:double"&gt;1.64750706208204&lt;/D&gt;&lt;D xsi:type="xsd:double"&gt;1.5744749105555&lt;/D&gt;&lt;D xsi:type="xsd:double"&gt;1.54185945646614&lt;/D&gt;&lt;D xsi:type="xsd:double"&gt;1.49027898028537&lt;/D&gt;&lt;D xsi:type="xsd:double"&gt;1.45265747669307&lt;/D&gt;&lt;D xsi:type="xsd:double"&gt;1.47071243150415&lt;/D&gt;&lt;D xsi:type="xsd:double"&gt;1.46180855431216&lt;/D&gt;&lt;D xsi:type="xsd:double"&gt;1.41852713775484&lt;/D&gt;&lt;D xsi:type="xsd:double"&gt;1.37199730944022&lt;/D&gt;&lt;D xsi:type="xsd:double"&gt;1.44773701210976&lt;/D&gt;&lt;D xsi:type="xsd:double"&gt;1.39919024358435&lt;/D&gt;&lt;/FQL&gt;&lt;FQL&gt;&lt;Q&gt;EWU^FMA_PE(NTMA,-10AY,0,AM,"PORTAGG","MEANR")&lt;/Q&gt;&lt;R&gt;121&lt;/R&gt;&lt;C&gt;1&lt;/C&gt;&lt;D xsi:type="xsd:double"&gt;13.37645788891&lt;/D&gt;&lt;D xsi:type="xsd:double"&gt;12.5069967406504&lt;/D&gt;&lt;D xsi:type="xsd:double"&gt;13.3486489517283&lt;/D&gt;&lt;D xsi:type="xsd:double"&gt;13.2067531288074&lt;/D&gt;&lt;D xsi:type="xsd:double"&gt;13.7524242389865&lt;/D&gt;&lt;D xsi:type="xsd:double"&gt;15.3881769689533&lt;/D&gt;&lt;D xsi:type="xsd:double"&gt;15.2358567743918&lt;/D&gt;&lt;D xsi:type="xsd:double"&gt;16.0803042769955&lt;/D&gt;&lt;D xsi:type="xsd:double"&gt;16.0739675751224&lt;/D&gt;&lt;D xsi:type="xsd:double"&gt;15.5874338361336&lt;/D&gt;&lt;D xsi:type="xsd:double"&gt;15.2118083680274&lt;/D&gt;&lt;D xsi:type="xsd:double"&gt;15.1809486166444&lt;/D&gt;&lt;D xsi:type="xsd:double"&gt;14.325634596936&lt;/D&gt;&lt;D xsi:type="xsd:double"&gt;15.2028371861573&lt;/D&gt;&lt;D xsi:type="xsd:double"&gt;14.9543970825695&lt;/D&gt;&lt;D xsi:type="xsd:double"&gt;14.5504639555129&lt;/D&gt;&lt;D xsi:type="xsd:double"&gt;14.5523097084922&lt;/D&gt;&lt;D xsi:type="xsd:double"&gt;14.8392059698641&lt;/D&gt;&lt;D xsi:type="xsd:double"&gt;16.020247807802&lt;/D&gt;&lt;D xsi:type="xsd:double"&gt;16.1932520291571&lt;/D&gt;&lt;D xsi:type="xsd:double"&gt;15.6610200127315&lt;/D&gt;&lt;D xsi:type="xsd:double"&gt;15.456618916032&lt;/D&gt;&lt;D xsi:type="xsd:double"&gt;16.0900054760544&lt;/D&gt;&lt;D xsi:type="xsd:double"&gt;16.325565105227&lt;/D&gt;&lt;D xsi:type="xsd:double"&gt;15.5922053837391&lt;/D&gt;&lt;D xsi:type="xsd:double"&gt;15.3779326882363&lt;/D&gt;&lt;D xsi:type="xsd:double"&gt;14.3743852810301&lt;/D&gt;&lt;D xsi:type="xsd:double"&gt;14.305727504765&lt;/D&gt;&lt;D xsi:type="xsd:double"&gt;14.4632205552585&lt;/D&gt;&lt;D xsi:type="xsd:double"&gt;14.5121104342617&lt;/D&gt;&lt;D xsi:type="xsd:double"&gt;14.3415333034341&lt;/D&gt;&lt;D xsi:type="xsd:double"&gt;14.4813968248881&lt;/D&gt;&lt;D xsi:type="xsd:double"&gt;14.6808018038584&lt;/D&gt;&lt;D xsi:type="xsd:double"&gt;14.6401584811315&lt;/D&gt;&lt;D xsi:type="xsd:double"&gt;14.5963812283746&lt;/D&gt;&lt;D xsi:type="xsd:double"&gt;14.4243020492942&lt;/D&gt;&lt;D xsi:type="xsd:double"&gt;14.6634790568996&lt;/D&gt;&lt;D xsi:type="xsd:double"&gt;14.6486338153323&lt;/D&gt;&lt;D xsi:type="xsd:double"&gt;14.3707702445482&lt;/D&gt;&lt;D xsi:type="xsd:double"&gt;14.4528516554168&lt;/D&gt;&lt;D xsi:type="xsd:double"&gt;14.8397820257274&lt;/D&gt;&lt;D xsi:type="xsd:double"&gt;13.4757211455157&lt;/D&gt;&lt;D xsi:type="xsd:double"&gt;13.548602869012&lt;/D&gt;&lt;D xsi:type="xsd:double"&gt;13.6041217226968&lt;/D&gt;&lt;D xsi:type="xsd:double"&gt;13.9891439125936&lt;/D&gt;&lt;D xsi:type="xsd:double"&gt;13.5347316598189&lt;/D&gt;&lt;D xsi:type="xsd:double"&gt;13.2482475180132&lt;/D&gt;&lt;D xsi:type="xsd:double"&gt;13.0323955034441&lt;/D&gt;&lt;D xsi:type="xsd:double"&gt;12.4414386351018&lt;/D&gt;&lt;D xsi:type="xsd:double"&gt;11.8366036319624&lt;/D&gt;&lt;D xsi:type="xsd:double"&gt;11.7737906446806&lt;/D&gt;&lt;D xsi:type="xsd:double"&gt;11.5953486758009&lt;/D&gt;&lt;D xsi:type="xsd:double"&gt;11.8642334111706&lt;/D&gt;&lt;D xsi:type="xsd:double"&gt;12.3141526061127&lt;/D&gt;&lt;D xsi:type="xsd:double"&gt;12.3790351158894&lt;/D&gt;&lt;D xsi:type="xsd:double"&gt;12.7885761071576&lt;/D&gt;&lt;D xsi:type="xsd:double"&gt;12.2672687034365&lt;/D&gt;&lt;D xsi:type="xsd:double"&gt;12.4877309749518&lt;/D&gt;&lt;D xsi:type="xsd:double"&gt;12.6404910718425&lt;/D&gt;&lt;D xsi:type="xsd:double"&gt;11.9607002690616&lt;/D&gt;&lt;D xsi:type="xsd:double"&gt;12.3390765496593&lt;/D&gt;&lt;D xsi:type="xsd:double"&gt;12.4392501460001&lt;/D&gt;&lt;D xsi:type="xsd:double"&gt;12.8579614767507&lt;/D&gt;&lt;D xsi:type="xsd:double"&gt;12.9469988924339&lt;/D&gt;&lt;D xsi:type="xsd:double"&gt;13.4549886209923&lt;/D&gt;&lt;D xsi:type="xsd:double"&gt;13.5115875792684&lt;/D&gt;&lt;D xsi:type="xsd:double"&gt;9.88988218396876&lt;/D&gt;&lt;D xsi:type="xsd:double"&gt;13.2253745610825&lt;/D&gt;&lt;D xsi:type="xsd:double"&gt;15.2884656092934&lt;/D&gt;&lt;D xsi:type="xsd:double"&gt;15.9019814225927&lt;/D&gt;&lt;D xsi:type="xsd:double"&gt;15.6119715922575&lt;/D&gt;&lt;D xsi:type="xsd:double"&gt;16.1000166081714&lt;/D&gt;&lt;D xsi:type="xsd:double"&gt;15.0329871236299&lt;/D&gt;&lt;D xsi:type="xsd:double"&gt;14.5033075047294&lt;/D&gt;&lt;D xsi:type="xsd:double"&gt;14.7879587638364&lt;/D&gt;&lt;D xsi:type="xsd:double"&gt;14.7994631566262&lt;/D&gt;&lt;D xsi:type="xsd:double"&gt;14.6323682106485&lt;/D&gt;&lt;D xsi:type="xsd:double"&gt;14.0836389003849&lt;/D&gt;&lt;D xsi:type="xsd:double"&gt;14.0751557248093&lt;/D&gt;&lt;D xsi:type="xsd:double"&gt;13.4205635977041&lt;/D&gt;&lt;D xsi:type="xsd:double"&gt;13.2956089622426&lt;/D&gt;&lt;D xsi:type="xsd:double"&gt;13.2186602423752&lt;/D&gt;&lt;D xsi:type="xsd:double"&gt;12.6928184886668&lt;/D&gt;&lt;D xsi:type="xsd:double"&gt;12.3602481211815&lt;/D&gt;&lt;D xsi:type="xsd:double"&gt;11.97631497568&lt;/D&gt;&lt;D xsi:type="xsd:double"&gt;12.1097680691049&lt;/D&gt;&lt;D xsi:type="xsd:double"&gt;12.1230139523591&lt;/D&gt;&lt;D xsi:type="xsd:double"&gt;11.9373582331542&lt;/D&gt;&lt;D xsi:type="xsd:double"&gt;12.4566206496888&lt;/D&gt;&lt;D xsi:type="xsd:double"&gt;12.4026246604778&lt;/D&gt;&lt;D xsi:type="xsd:double"&gt;11.3002413464471&lt;/D&gt;&lt;D xsi:type="xsd:double"&gt;11.1884921875061&lt;/D&gt;&lt;D xsi:type="xsd:double"&gt;9.97058712333547&lt;/D&gt;&lt;D xsi:type="xsd:double"&gt;9.98848076507012&lt;/D&gt;&lt;D xsi:type="xsd:double"&gt;9.50519256150523&lt;/D&gt;&lt;D xsi:type="xsd:double"&gt;9.81800309733504&lt;/D&gt;&lt;D xsi:type="xsd:double"&gt;9.5160725152981&lt;/D&gt;&lt;D xsi:type="xsd:double"&gt;8.47624047052894&lt;/D&gt;&lt;D xsi:type="xsd:double"&gt;9.39165873373761&lt;/D&gt;&lt;D xsi:type="xsd:double"&gt;9.87156297734155&lt;/D&gt;&lt;D xsi:type="xsd:double"&gt;10.3188104747015&lt;/D&gt;&lt;D xsi:type="xsd:double"&gt;10.5513876867065&lt;/D&gt;&lt;D xsi:type="xsd:double"&gt;10.3258797280825&lt;/D&gt;&lt;D xsi:type="xsd:double"&gt;10.756159507491&lt;/D&gt;&lt;D xsi:type="xsd:double"&gt;10.5060933341202&lt;/D&gt;&lt;D xsi:type="xsd:double"&gt;10.2667962348804&lt;/D&gt;&lt;D xsi:type="xsd:double"&gt;10.3308316650995&lt;/D&gt;&lt;D xsi:type="xsd:double"&gt;10.503761804625&lt;/D&gt;&lt;D xsi:type="xsd:double"&gt;10.4185844594378&lt;/D&gt;&lt;D xsi:type="xsd:double"&gt;10.4636997772411&lt;/D&gt;&lt;D xsi:type="xsd:double"&gt;10.0702362031538&lt;/D&gt;&lt;D xsi:type="xsd:double"&gt;10.6216800502507&lt;/D&gt;&lt;D xsi:type="xsd:double"&gt;10.99522377176&lt;/D&gt;&lt;D xsi:type="xsd:double"&gt;10.9975757091969&lt;/D&gt;&lt;D xsi:type="xsd:double"&gt;11.3746496069381&lt;/D&gt;&lt;D xsi:type="xsd:double"&gt;11.5020286718484&lt;/D&gt;&lt;D xsi:type="xsd:double"&gt;11.9263728731664&lt;/D&gt;&lt;D xsi:type="xsd:double"&gt;11.5736784599033&lt;/D&gt;&lt;D xsi:type="xsd:double"&gt;11.6437916629445&lt;/D&gt;&lt;D xsi:type="xsd:double"&gt;11.4065490061456&lt;/D&gt;&lt;D xsi:type="xsd:double"&gt;11.4678114289282&lt;/D&gt;&lt;/FQL&gt;&lt;FQL&gt;&lt;Q&gt;EWJ^FMA_PE(LTMA,-10AY,0,AM,"PORTAGG","MEANR")&lt;/Q&gt;&lt;R&gt;121&lt;/R&gt;&lt;C&gt;1&lt;/C&gt;&lt;D xsi:type="xsd:double"&gt;15.2585615979241&lt;/D&gt;&lt;D xsi:type="xsd:double"&gt;14.6983497259631&lt;/D&gt;&lt;D xsi:type="xsd:double"&gt;15.7806870866173&lt;/D&gt;&lt;D xsi:type="xsd:double"&gt;15.6711940372779&lt;/D&gt;&lt;D xsi:type="xsd:double"&gt;15.5504263974017&lt;/D&gt;&lt;D xsi:type="xsd:double"&gt;16.033551018592&lt;/D&gt;&lt;D xsi:type="xsd:double"&gt;16.91362197979&lt;/D&gt;&lt;D xsi:type="xsd:double"&gt;16.9086024667639&lt;/D&gt;&lt;D xsi:type="xsd:double"&gt;16.9547534433503&lt;/D&gt;&lt;D xsi:type="xsd:double"&gt;17.0182069184101&lt;/D&gt;&lt;D xsi:type="xsd:double"&gt;16.4777221502367&lt;/D&gt;&lt;D xsi:type="xsd:double"&gt;16.8120193082556&lt;/D&gt;&lt;D xsi:type="xsd:double"&gt;15.4554872071275&lt;/D&gt;&lt;D xsi:type="xsd:double"&gt;15.5880454226371&lt;/D&gt;&lt;D xsi:type="xsd:double"&gt;16.1700696790666&lt;/D&gt;&lt;D xsi:type="xsd:double"&gt;15.7344265555179&lt;/D&gt;&lt;D xsi:type="xsd:double"&gt;14.1819792229515&lt;/D&gt;&lt;D xsi:type="xsd:double"&gt;12.4005548182792&lt;/D&gt;&lt;D xsi:type="xsd:double"&gt;13.8980621957561&lt;/D&gt;&lt;D xsi:type="xsd:double"&gt;13.681268206476&lt;/D&gt;&lt;D xsi:type="xsd:double"&gt;13.8565568844956&lt;/D&gt;&lt;D xsi:type="xsd:double"&gt;14.0301570735055&lt;/D&gt;&lt;D xsi:type="xsd:double"&gt;13.9404361415422&lt;/D&gt;&lt;D xsi:type="xsd:double"&gt;14.1438707735123&lt;/D&gt;&lt;D xsi:type="xsd:double"&gt;14.2446210423669&lt;/D&gt;&lt;D xsi:type="xsd:double"&gt;14.3313330096841&lt;/D&gt;&lt;D xsi:type="xsd:double"&gt;14.726368354767&lt;/D&gt;&lt;D xsi:type="xsd:double"&gt;16.4263200702425&lt;/D&gt;&lt;D xsi:type="xsd:double"&gt;16.5659264195316&lt;/D&gt;&lt;D xsi:type="xsd:double"&gt;16.3935407048128&lt;/D&gt;&lt;D xsi:type="xsd:double"&gt;15.9556360058039&lt;/D&gt;&lt;D xsi:type="xsd:double"&gt;15.5595368109379&lt;/D&gt;&lt;D xsi:type="xsd:double"&gt;15.6974544801761&lt;/D&gt;&lt;D xsi:type="xsd:double"&gt;15.6212617794517&lt;/D&gt;&lt;D xsi:type="xsd:double"&gt;15.4927756149809&lt;/D&gt;&lt;D xsi:type="xsd:double"&gt;15.1952121941301&lt;/D&gt;&lt;D xsi:type="xsd:double"&gt;14.8754447931939&lt;/D&gt;&lt;D xsi:type="xsd:double"&gt;15.0726035368918&lt;/D&gt;&lt;D xsi:type="xsd:double"&gt;15.8660551661815&lt;/D&gt;&lt;D xsi:type="xsd:double"&gt;16.2800464973369&lt;/D&gt;&lt;D xsi:type="xsd:double"&gt;16.8554473808461&lt;/D&gt;&lt;D xsi:type="xsd:double"&gt;15.1717716991523&lt;/D&gt;&lt;D xsi:type="xsd:double"&gt;14.4072745592186&lt;/D&gt;&lt;D xsi:type="xsd:double"&gt;14.2188042994663&lt;/D&gt;&lt;D xsi:type="xsd:double"&gt;14.3065771505919&lt;/D&gt;&lt;D xsi:type="xsd:double"&gt;14.1856956631048&lt;/D&gt;&lt;D xsi:type="xsd:double"&gt;13.7980334891535&lt;/D&gt;&lt;D xsi:type="xsd:double"&gt;13.6898952277831&lt;/D&gt;&lt;D xsi:type="xsd:double"&gt;13.3666387269653&lt;/D&gt;&lt;D xsi:type="xsd:double"&gt;13.2519175787343&lt;/D&gt;&lt;D xsi:type="xsd:double"&gt;12.9102475167703&lt;/D&gt;&lt;D xsi:type="xsd:double"&gt;12.397421764359&lt;/D&gt;&lt;D xsi:type="xsd:double"&gt;11.7916340124008&lt;/D&gt;&lt;D xsi:type="xsd:double"&gt;12.3234527856519&lt;/D&gt;&lt;D xsi:type="xsd:double"&gt;12.6982337245186&lt;/D&gt;&lt;D xsi:type="xsd:double"&gt;12.7270650621839&lt;/D&gt;&lt;D xsi:type="xsd:double"&gt;12.6222250240842&lt;/D&gt;&lt;D xsi:type="xsd:double"&gt;12.8028054881361&lt;/D&gt;&lt;D xsi:type="xsd:double"&gt;12.984453844246&lt;/D&gt;&lt;D xsi:type="xsd:double"&gt;12.7387632340106&lt;/D&gt;&lt;D xsi:type="xsd:double"&gt;13.415417612203&lt;/D&gt;&lt;D xsi:type="xsd:double"&gt;13.5026269659587&lt;/D&gt;&lt;D xsi:type="xsd:double"&gt;14.5012945310176&lt;/D&gt;&lt;D xsi:type="xsd:double"&gt;15.0420053067885&lt;/D&gt;&lt;D xsi:type="xsd:double"&gt;15.4591429465003&lt;/D&gt;&lt;D xsi:type="xsd:double"&gt;15.3698424422892&lt;/D&gt;&lt;D xsi:type="xsd:double"&gt;13.6647208421841&lt;/D&gt;&lt;D xsi:type="xsd:double"&gt;13.8930910407238&lt;/D&gt;&lt;D xsi:type="xsd:double"&gt;14.5275200181186&lt;/D&gt;&lt;D xsi:type="xsd:double"&gt;16.3158556841572&lt;/D&gt;&lt;D xsi:type="xsd:double"&gt;17.1207512934763&lt;/D&gt;&lt;D xsi:type="xsd:double"&gt;17.9644732897018&lt;/D&gt;&lt;D xsi:type="xsd:double"&gt;19.5299368785126&lt;/D&gt;&lt;D xsi:type="xsd:double"&gt;20.5131115327894&lt;/D&gt;&lt;D xsi:type="xsd:double"&gt;21.9551209363971&lt;/D&gt;&lt;D xsi:type="xsd:double"&gt;22.739673119976&lt;/D&gt;&lt;D xsi:type="xsd:double"&gt;24.0143915698157&lt;/D&gt;&lt;D xsi:type="xsd:double"&gt;23.7084450640221&lt;/D&gt;&lt;D xsi:type="xsd:double"&gt;21.5990058542517&lt;/D&gt;&lt;D xsi:type="xsd:double"&gt;21.1573287700919&lt;/D&gt;&lt;D xsi:type="xsd:double"&gt;20.4543748655871&lt;/D&gt;&lt;D xsi:type="xsd:double"&gt;20.1234426331366&lt;/D&gt;&lt;D xsi:type="xsd:double"&gt;19.6218697771215&lt;/D&gt;&lt;D xsi:type="xsd:double"&gt;18.9983619145586&lt;/D&gt;&lt;D xsi:type="xsd:double"&gt;18.8259602857946&lt;/D&gt;&lt;D xsi:type="xsd:double"&gt;17.6527445692553&lt;/D&gt;&lt;D xsi:type="xsd:double"&gt;17.596461284879&lt;/D&gt;&lt;D xsi:type="xsd:double"&gt;16.4120524148387&lt;/D&gt;&lt;D xsi:type="xsd:double"&gt;16.2583226341771&lt;/D&gt;&lt;D xsi:type="xsd:double"&gt;15.4151713767806&lt;/D&gt;&lt;D xsi:type="xsd:double"&gt;14.5183502123671&lt;/D&gt;&lt;D xsi:type="xsd:double"&gt;14.4070161615382&lt;/D&gt;&lt;D xsi:type="xsd:double"&gt;14.0826596729906&lt;/D&gt;&lt;D xsi:type="xsd:double"&gt;14.2264656952337&lt;/D&gt;&lt;D xsi:type="xsd:double"&gt;13.815030030148&lt;/D&gt;&lt;D xsi:type="xsd:double"&gt;14.0405895797242&lt;/D&gt;&lt;D xsi:type="xsd:double"&gt;13.819537731662&lt;/D&gt;&lt;D xsi:type="xsd:double"&gt;13.0364865743402&lt;/D&gt;&lt;D xsi:type="xsd:double"&gt;13.5402187802915&lt;/D&gt;&lt;D xsi:type="xsd:double"&gt;13.3486233159582&lt;/D&gt;&lt;D xsi:type="xsd:double"&gt;12.933575777471&lt;/D&gt;&lt;D xsi:type="xsd:double"&gt;13.5554160303936&lt;/D&gt;&lt;D xsi:type="xsd:double"&gt;13.6807169779577&lt;/D&gt;&lt;D xsi:type="xsd:double"&gt;13.6664510488033&lt;/D&gt;&lt;D xsi:type="xsd:double"&gt;13.8766417709118&lt;/D&gt;&lt;D xsi:type="xsd:double"&gt;14.3572982162341&lt;/D&gt;&lt;D xsi:type="xsd:double"&gt;14.3807772316134&lt;/D&gt;&lt;D xsi:type="xsd:double"&gt;14.6602819335812&lt;/D&gt;&lt;D xsi:type="xsd:double"&gt;15.0162606799461&lt;/D&gt;&lt;D xsi:type="xsd:double"&gt;14.9581945437806&lt;/D&gt;&lt;D xsi:type="xsd:double"&gt;14.9993647668234&lt;/D&gt;&lt;D xsi:type="xsd:double"&gt;15.1072443930945&lt;/D&gt;&lt;D xsi:type="xsd:double"&gt;16.2141336461038&lt;/D&gt;&lt;D xsi:type="xsd:double"&gt;16.4754761879229&lt;/D&gt;&lt;D xsi:type="xsd:double"&gt;16.9558437578279&lt;/D&gt;&lt;D xsi:type="xsd:double"&gt;16.9481088159063&lt;/D&gt;&lt;D xsi:type="xsd:double"&gt;16.7404789074668&lt;/D&gt;&lt;D xsi:type="xsd:double"&gt;16.7065718873846&lt;/D&gt;&lt;D xsi:type="xsd:double"&gt;17.0142202371443&lt;/D&gt;&lt;D xsi:type="xsd:double"&gt;15.3533592803259&lt;/D&gt;&lt;D xsi:type="xsd:double"&gt;15.4541053568565&lt;/D&gt;&lt;/FQL&gt;&lt;FQL&gt;&lt;Q&gt;WL-FDS^FG_PRICE_CHANGE(0,-1AY)&lt;/Q&gt;&lt;R&gt;1&lt;/R&gt;&lt;C&gt;1&lt;/C&gt;&lt;D xsi:type="xsd:double"&gt;-27.6490288010717&lt;/D&gt;&lt;/FQL&gt;&lt;FQL&gt;&lt;Q&gt;NI-FDS^FG_PRICE_CHANGE(0,-1AY)&lt;/Q&gt;&lt;R&gt;1&lt;/R&gt;&lt;C&gt;1&lt;/C&gt;&lt;D xsi:type="xsd:double"&gt;-19.9445284921836&lt;/D&gt;&lt;/FQL&gt;&lt;FQL&gt;&lt;Q&gt;CPALM-FDS^FG_PRICE_CHANGE(0,-1AY)&lt;/Q&gt;&lt;R&gt;1&lt;/R&gt;&lt;C&gt;1&lt;/C&gt;&lt;D xsi:type="xsd:double"&gt;11.7287381878822&lt;/D&gt;&lt;/FQL&gt;&lt;FQL&gt;&lt;Q&gt;BRENT-FDS^FG_PRICE_CHANGE(0,-1AY)&lt;/Q&gt;&lt;R&gt;1&lt;/R&gt;&lt;C&gt;1&lt;/C&gt;&lt;D xsi:type="xsd:double"&gt;-8.90185676392573&lt;/D&gt;&lt;/FQL&gt;&lt;FQL&gt;&lt;Q&gt;TIOS-FDS^FG_PRICE_CHANGE(0,-1AY)&lt;/Q&gt;&lt;R&gt;1&lt;/R&gt;&lt;C&gt;1&lt;/C&gt;&lt;D xsi:type="xsd:double"&gt;-22.6626776364996&lt;/D&gt;&lt;/FQL&gt;&lt;FQL&gt;&lt;Q&gt;EWD^FG_PRICE_MAVG(0,,,,30)&lt;/Q&gt;&lt;R&gt;1&lt;/R&gt;&lt;C&gt;1&lt;/C&gt;&lt;D xsi:type="xsd:double"&gt;40.271&lt;/D&gt;&lt;/FQL&gt;&lt;FQL&gt;&lt;Q&gt;QQQ^FG_PRICE_MAVG(0,,,,30)&lt;/Q&gt;&lt;R&gt;1&lt;/R&gt;&lt;C&gt;1&lt;/C&gt;&lt;D xsi:type="xsd:double"&gt;463.30234&lt;/D&gt;&lt;/FQL&gt;&lt;FQL&gt;&lt;Q&gt;EWG^FG_PRICE_MAVG(0,,,,30)&lt;/Q&gt;&lt;R&gt;1&lt;/R&gt;&lt;C&gt;1&lt;/C&gt;&lt;D xsi:type="xsd:double"&gt;31.366333&lt;/D&gt;&lt;/FQL&gt;&lt;FQL&gt;&lt;Q&gt;EWN^FG_COMPANY_NAME&lt;/Q&gt;&lt;R&gt;1&lt;/R&gt;&lt;C&gt;1&lt;/C&gt;&lt;D xsi:type="xsd:string"&gt;iShares MSCI Netherlands ETF&lt;/D&gt;&lt;/FQL&gt;&lt;FQL&gt;&lt;Q&gt;FXI^FG_TOTAL_RETURNC(0,-3AM)&lt;/Q&gt;&lt;R&gt;1&lt;/R&gt;&lt;C&gt;1&lt;/C&gt;&lt;D xsi:type="xsd:double"&gt;-2.6505113&lt;/D&gt;&lt;/FQL&gt;&lt;FQL&gt;&lt;Q&gt;EWJ^P_PRICE(0)/P_PRICE_HIGH_PR(0,,,,,,"PRICE","INTRA","52W")&lt;/Q&gt;&lt;R&gt;1&lt;/R&gt;&lt;C&gt;1&lt;/C&gt;&lt;D xsi:type="xsd:double"&gt;0.9713101&lt;/D&gt;&lt;/FQL&gt;&lt;FQL&gt;&lt;Q&gt;VWO^FG_TOTAL_RETURNC(0,-12AM)&lt;/Q&gt;&lt;R&gt;1&lt;/R&gt;&lt;C&gt;1&lt;/C&gt;&lt;D xsi:type="xsd:double"&gt;12.947249&lt;/D&gt;&lt;/FQL&gt;&lt;FQL&gt;&lt;Q&gt;VGK^PERCENT_CHANGE(FMA_EPS(+1,0,,,,"PORTAGG","MEAN"),FMA_EPS(+1,-1AM,,,,"PORTAGG","MEAN"))&lt;/Q&gt;&lt;R&gt;1&lt;/R&gt;&lt;C&gt;1&lt;/C&gt;&lt;D xsi:type="xsd:double"&gt;0&lt;/D&gt;&lt;/FQL&gt;&lt;FQL&gt;&lt;Q&gt;EWD^FG_TOTAL_RETURNC(0,-1AM)&lt;/Q&gt;&lt;R&gt;1&lt;/R&gt;&lt;C&gt;1&lt;/C&gt;&lt;D xsi:type="xsd:double"&gt;5.333674&lt;/D&gt;&lt;/FQL&gt;&lt;FQL&gt;&lt;Q&gt;EWJ^PERCENT_CHANGE(FMA_EPS(+1,0,,,,"PORTAGG","MEAN"),FMA_EPS(+1,-3AM,,,,"PORTAGG","MEAN"))&lt;/Q&gt;&lt;R&gt;1&lt;/R&gt;&lt;C&gt;1&lt;/C&gt;&lt;D xsi:type="xsd:double"&gt;10.3040607911509&lt;/D&gt;&lt;/FQL&gt;&lt;FQL&gt;&lt;Q&gt;EWL^FMA_COS_UP("EPS","1M",+1,0,,,"PORTAGG","MEANR")&lt;/Q&gt;&lt;R&gt;1&lt;/R&gt;&lt;C&gt;1&lt;/C&gt;&lt;D xsi:type="xsd:double"&gt;22&lt;/D&gt;&lt;/FQL&gt;&lt;FQL&gt;&lt;Q&gt;SPY^FMA_ROE(NTMA,-20AY,NOW,FY,"PORTAGG","MEANR")&lt;/Q&gt;&lt;R&gt;20&lt;/R&gt;&lt;C&gt;1&lt;/C&gt;&lt;D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xsi:type="xsd:double"&gt;18.2929292712369&lt;/D&gt;&lt;D xsi:type="xsd:double"&gt;17.2298191407891&lt;/D&gt;&lt;D xsi:type="xsd:double"&gt;20.6862902757634&lt;/D&gt;&lt;D xsi:type="xsd:double"&gt;20.5983105880676&lt;/D&gt;&lt;D xsi:type="xsd:double"&gt;20.3440340808751&lt;/D&gt;&lt;/FQL&gt;&lt;FQL&gt;&lt;Q&gt;TRYAE10Y-FDS^FG_YIELD(-10AY,0,Y,,"YTM")&lt;/Q&gt;&lt;R&gt;10&lt;/R&gt;&lt;C&gt;1&lt;/C&gt;&lt;D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xsi:type="xsd:double"&gt;11.358896&lt;/D&gt;&lt;/FQL&gt;&lt;FQL&gt;&lt;Q&gt;EWG^FMA_PE(LTMA,-10AY,0,AM,"PORTAGG","MEANR")&lt;/Q&gt;&lt;R&gt;121&lt;/R&gt;&lt;C&gt;1&lt;/C&gt;&lt;D xsi:type="xsd:double"&gt;14.2773260602564&lt;/D&gt;&lt;D xsi:type="xsd:double"&gt;13.2688778334265&lt;/D&gt;&lt;D xsi:type="xsd:double"&gt;13.5939231315464&lt;/D&gt;&lt;D xsi:type="xsd:double"&gt;14.0426136947858&lt;/D&gt;&lt;D xsi:type="xsd:double"&gt;14.251580552375&lt;/D&gt;&lt;D xsi:type="xsd:double"&gt;15.7957515677636&lt;/D&gt;&lt;D xsi:type="xsd:double"&gt;16.5312286552213&lt;/D&gt;&lt;D xsi:type="xsd:double"&gt;16.646122667963&lt;/D&gt;&lt;D xsi:type="xsd:double"&gt;16.0881986755216&lt;/D&gt;&lt;D xsi:type="xsd:double"&gt;15.6856312016131&lt;/D&gt;&lt;D xsi:type="xsd:double"&gt;15.5554574828692&lt;/D&gt;&lt;D xsi:type="xsd:double"&gt;15.0095911423568&lt;/D&gt;&lt;D xsi:type="xsd:double"&gt;14.1879545370979&lt;/D&gt;&lt;D xsi:type="xsd:double"&gt;13.992744660434&lt;/D&gt;&lt;D xsi:type="xsd:double"&gt;14.4146974562052&lt;/D&gt;&lt;D xsi:type="xsd:double"&gt;13.7111668565447&lt;/D&gt;&lt;D xsi:type="xsd:double"&gt;12.9965822050883&lt;/D&gt;&lt;D xsi:type="xsd:double"&gt;11.8821369605081&lt;/D&gt;&lt;D xsi:type="xsd:double"&gt;12.7194321345345&lt;/D&gt;&lt;D xsi:type="xsd:double"&gt;12.7216211949147&lt;/D&gt;&lt;D xsi:type="xsd:double"&gt;12.7551512718095&lt;/D&gt;&lt;D xsi:type="xsd:double"&gt;12.7200029920131&lt;/D&gt;&lt;D xsi:type="xsd:double"&gt;12.8448698818435&lt;/D&gt;&lt;D xsi:type="xsd:double"&gt;13.4364864067603&lt;/D&gt;&lt;D xsi:type="xsd:double"&gt;13.3946109368856&lt;/D&gt;&lt;D xsi:type="xsd:double"&gt;13.6075275758515&lt;/D&gt;&lt;D xsi:type="xsd:double"&gt;13.7021570143689&lt;/D&gt;&lt;D xsi:type="xsd:double"&gt;14.3590453066796&lt;/D&gt;&lt;D xsi:type="xsd:double"&gt;14.816711860513&lt;/D&gt;&lt;D xsi:type="xsd:double"&gt;14.9245788584118&lt;/D&gt;&lt;D xsi:type="xsd:double"&gt;14.9697675917959&lt;/D&gt;&lt;D xsi:type="xsd:double"&gt;14.8985708442522&lt;/D&gt;&lt;D xsi:type="xsd:double"&gt;14.9118486583776&lt;/D&gt;&lt;D xsi:type="xsd:double"&gt;14.745432868083&lt;/D&gt;&lt;D xsi:type="xsd:double"&gt;14.6381881106309&lt;/D&gt;&lt;D xsi:type="xsd:double"&gt;14.1397285354081&lt;/D&gt;&lt;D xsi:type="xsd:double"&gt;14.3636582529686&lt;/D&gt;&lt;D xsi:type="xsd:double"&gt;14.7837394969687&lt;/D&gt;&lt;D xsi:type="xsd:double"&gt;15.2540062124712&lt;/D&gt;&lt;D xsi:type="xsd:double"&gt;15.5337715128091&lt;/D&gt;&lt;D xsi:type="xsd:double"&gt;15.5807821514817&lt;/D&gt;&lt;D xsi:type="xsd:double"&gt;14.2671018544576&lt;/D&gt;&lt;D xsi:type="xsd:double"&gt;14.2336592675672&lt;/D&gt;&lt;D xsi:type="xsd:double"&gt;14.1371805125748&lt;/D&gt;&lt;D xsi:type="xsd:double"&gt;14.2223580899837&lt;/D&gt;&lt;D xsi:type="xsd:double"&gt;14.1552611907917&lt;/D&gt;&lt;D xsi:type="xsd:double"&gt;14.0071855814734&lt;/D&gt;&lt;D xsi:type="xsd:double"&gt;13.9825843129578&lt;/D&gt;&lt;D xsi:type="xsd:double"&gt;13.7847650506879&lt;/D&gt;&lt;D xsi:type="xsd:double"&gt;13.2492303707181&lt;/D&gt;&lt;D xsi:type="xsd:double"&gt;12.9534765965213&lt;/D&gt;&lt;D xsi:type="xsd:double"&gt;12.5866024007065&lt;/D&gt;&lt;D xsi:type="xsd:double"&gt;12.4286019601991&lt;/D&gt;&lt;D xsi:type="xsd:double"&gt;12.8477459237421&lt;/D&gt;&lt;D xsi:type="xsd:double"&gt;13.1969140037699&lt;/D&gt;&lt;D xsi:type="xsd:double"&gt;13.2891373410779&lt;/D&gt;&lt;D xsi:type="xsd:double"&gt;13.2771545266368&lt;/D&gt;&lt;D xsi:type="xsd:double"&gt;13.2161538125201&lt;/D&gt;&lt;D xsi:type="xsd:double"&gt;13.4989856607263&lt;/D&gt;&lt;D xsi:type="xsd:double"&gt;13.2913698066135&lt;/D&gt;&lt;D xsi:type="xsd:double"&gt;14.0330645860251&lt;/D&gt;&lt;D xsi:type="xsd:double"&gt;14.2074658759574&lt;/D&gt;&lt;D xsi:type="xsd:double"&gt;15.1716269213499&lt;/D&gt;&lt;D xsi:type="xsd:double"&gt;15.317523325301&lt;/D&gt;&lt;D xsi:type="xsd:double"&gt;15.7657294752993&lt;/D&gt;&lt;D xsi:type="xsd:double"&gt;16.307074298846&lt;/D&gt;&lt;D xsi:type="xsd:double"&gt;13.4387715074747&lt;/D&gt;&lt;D xsi:type="xsd:double"&gt;14.2755371533434&lt;/D&gt;&lt;D xsi:type="xsd:double"&gt;15.3057878479101&lt;/D&gt;&lt;D xsi:type="xsd:double"&gt;16.8837185007981&lt;/D&gt;&lt;D xsi:type="xsd:double"&gt;18.4257868504757&lt;/D&gt;&lt;D xsi:type="xsd:double"&gt;19.6545533879011&lt;/D&gt;&lt;D xsi:type="xsd:double"&gt;20.4414630495581&lt;/D&gt;&lt;D xsi:type="xsd:double"&gt;20.8450619760732&lt;/D&gt;&lt;D xsi:type="xsd:double"&gt;20.4398517867522&lt;/D&gt;&lt;D xsi:type="xsd:double"&gt;20.7392148199832&lt;/D&gt;&lt;D xsi:type="xsd:double"&gt;22.1945565175051&lt;/D&gt;&lt;D xsi:type="xsd:double"&gt;21.4635791605094&lt;/D&gt;&lt;D xsi:type="xsd:double"&gt;20.2176521756913&lt;/D&gt;&lt;D xsi:type="xsd:double"&gt;19.9357637950771&lt;/D&gt;&lt;D xsi:type="xsd:double"&gt;19.0417450098304&lt;/D&gt;&lt;D xsi:type="xsd:double"&gt;18.7485671370333&lt;/D&gt;&lt;D xsi:type="xsd:double"&gt;18.2046245856322&lt;/D&gt;&lt;D xsi:type="xsd:double"&gt;17.3461713330244&lt;/D&gt;&lt;D xsi:type="xsd:double"&gt;16.620089408538&lt;/D&gt;&lt;D xsi:type="xsd:double"&gt;15.753382835584&lt;/D&gt;&lt;D xsi:type="xsd:double"&gt;15.379874329784&lt;/D&gt;&lt;D xsi:type="xsd:double"&gt;14.3821211134293&lt;/D&gt;&lt;D xsi:type="xsd:double"&gt;14.1670143666298&lt;/D&gt;&lt;D xsi:type="xsd:double"&gt;13.3543936908569&lt;/D&gt;&lt;D xsi:type="xsd:double"&gt;12.3681779584845&lt;/D&gt;&lt;D xsi:type="xsd:double"&gt;12.348254391682&lt;/D&gt;&lt;D xsi:type="xsd:double"&gt;12.029546308332&lt;/D&gt;&lt;D xsi:type="xsd:double"&gt;11.8684936581831&lt;/D&gt;&lt;D xsi:type="xsd:double"&gt;11.3538213520287&lt;/D&gt;&lt;D xsi:type="xsd:double"&gt;11.3225522616112&lt;/D&gt;&lt;D xsi:type="xsd:double"&gt;11.0345378400764&lt;/D&gt;&lt;D xsi:type="xsd:double"&gt;9.98229991010848&lt;/D&gt;&lt;D xsi:type="xsd:double"&gt;11.0081201475376&lt;/D&gt;&lt;D xsi:type="xsd:double"&gt;10.7677684125842&lt;/D&gt;&lt;D xsi:type="xsd:double"&gt;11.3881543733778&lt;/D&gt;&lt;D xsi:type="xsd:double"&gt;11.5528098847402&lt;/D&gt;&lt;D xsi:type="xsd:double"&gt;11.3525927837404&lt;/D&gt;&lt;D xsi:type="xsd:double"&gt;11.3947374043214&lt;/D&gt;&lt;D xsi:type="xsd:double"&gt;11.3301790308254&lt;/D&gt;&lt;D xsi:type="xsd:double"&gt;11.2793304158746&lt;/D&gt;&lt;D xsi:type="xsd:double"&gt;11.2492552967919&lt;/D&gt;&lt;D xsi:type="xsd:double"&gt;11.1961324924858&lt;/D&gt;&lt;D xsi:type="xsd:double"&gt;11.2037004618084&lt;/D&gt;&lt;D xsi:type="xsd:double"&gt;11.0635684703198&lt;/D&gt;&lt;D xsi:type="xsd:double"&gt;10.9770353651854&lt;/D&gt;&lt;D xsi:type="xsd:double"&gt;11.9335002476134&lt;/D&gt;&lt;D xsi:type="xsd:double"&gt;11.8863677276348&lt;/D&gt;&lt;D xsi:type="xsd:double"&gt;12.1079313147068&lt;/D&gt;&lt;D xsi:type="xsd:double"&gt;12.5525351367718&lt;/D&gt;&lt;D xsi:type="xsd:double"&gt;12.5076787066869&lt;/D&gt;&lt;D xsi:type="xsd:double"&gt;12.6228355646793&lt;/D&gt;&lt;D xsi:type="xsd:double"&gt;12.5815506167052&lt;/D&gt;&lt;D xsi:type="xsd:double"&gt;12.6830983552805&lt;/D&gt;&lt;D xsi:type="xsd:double"&gt;12.3027269894823&lt;/D&gt;&lt;D xsi:type="xsd:double"&gt;12.7825377157353&lt;/D&gt;&lt;/FQL&gt;&lt;FQL&gt;&lt;Q&gt;CC_US^FG_COMPANY_NAME&lt;/Q&gt;&lt;R&gt;1&lt;/R&gt;&lt;C&gt;1&lt;/C&gt;&lt;D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xsi:type="xsd:double"&gt;0.95881224&lt;/D&gt;&lt;D xsi:type="xsd:double"&gt;-6.553382&lt;/D&gt;&lt;D xsi:type="xsd:double"&gt;1.5779734&lt;/D&gt;&lt;D xsi:type="xsd:double"&gt;1.7658949&lt;/D&gt;&lt;D xsi:type="xsd:double"&gt;-10.394203&lt;/D&gt;&lt;D xsi:type="xsd:double"&gt;-3.1435847&lt;/D&gt;&lt;D xsi:type="xsd:double"&gt;-5.384302&lt;/D&gt;&lt;D xsi:type="xsd:double"&gt;-2.75082&lt;/D&gt;&lt;D xsi:type="xsd:double"&gt;-5.0233364&lt;/D&gt;&lt;D xsi:type="xsd:double"&gt;-2.5297105&lt;/D&gt;&lt;D xsi:type="xsd:double"&gt;-1.910758&lt;/D&gt;&lt;D xsi:type="xsd:double"&gt;-1.7952859&lt;/D&gt;&lt;D xsi:type="xsd:double"&gt;-2.4409533&lt;/D&gt;&lt;D xsi:type="xsd:double"&gt;6.121218&lt;/D&gt;&lt;D xsi:type="xsd:double"&gt;-5.9066057&lt;/D&gt;&lt;D xsi:type="xsd:double"&gt;-10.114515&lt;/D&gt;&lt;D xsi:type="xsd:double"&gt;-7.214141&lt;/D&gt;&lt;D xsi:type="xsd:double"&gt;-17.59193&lt;/D&gt;&lt;D xsi:type="xsd:double"&gt;-7.5143695&lt;/D&gt;&lt;D xsi:type="xsd:double"&gt;-7.5866404&lt;/D&gt;&lt;D xsi:type="xsd:double"&gt;-11.283302&lt;/D&gt;&lt;D xsi:type="xsd:double"&gt;-14.314735&lt;/D&gt;&lt;D xsi:type="xsd:double"&gt;-11.7189045&lt;/D&gt;&lt;D xsi:type="xsd:double"&gt;-5.1750603&lt;/D&gt;&lt;D xsi:type="xsd:double"&gt;-2.4790823&lt;/D&gt;&lt;D xsi:type="xsd:double"&gt;-5.5173755&lt;/D&gt;&lt;D xsi:type="xsd:double"&gt;-4.1375694&lt;/D&gt;&lt;D xsi:type="xsd:double"&gt;5.8535695&lt;/D&gt;&lt;D xsi:type="xsd:double"&gt;10.724104&lt;/D&gt;&lt;D xsi:type="xsd:double"&gt;20.621014&lt;/D&gt;&lt;D xsi:type="xsd:double"&gt;12.297869&lt;/D&gt;&lt;D xsi:type="xsd:double"&gt;8.870232&lt;/D&gt;&lt;D xsi:type="xsd:double"&gt;21.64818&lt;/D&gt;&lt;D xsi:type="xsd:double"&gt;24.013054&lt;/D&gt;&lt;D xsi:type="xsd:double"&gt;29.995655&lt;/D&gt;&lt;D xsi:type="xsd:double"&gt;19.425034&lt;/D&gt;&lt;D xsi:type="xsd:double"&gt;24.207592&lt;/D&gt;&lt;D xsi:type="xsd:double"&gt;30.396248&lt;/D&gt;&lt;D xsi:type="xsd:double"&gt;28.246271&lt;/D&gt;&lt;D xsi:type="xsd:double"&gt;21.943092&lt;/D&gt;&lt;D xsi:type="xsd:double"&gt;27.023363&lt;/D&gt;&lt;D xsi:type="xsd:double"&gt;14.501249&lt;/D&gt;&lt;D xsi:type="xsd:double"&gt;15.71579&lt;/D&gt;&lt;D xsi:type="xsd:double"&gt;8.4316</t>
        </r>
      </text>
    </comment>
    <comment ref="A5" authorId="0" shapeId="0" xr:uid="{5417C6A0-23F1-4831-865C-539B046A7C99}">
      <text>
        <r>
          <rPr>
            <b/>
            <sz val="9"/>
            <color indexed="81"/>
            <rFont val="Tahoma"/>
            <charset val="1"/>
          </rPr>
          <t>49&lt;/D&gt;&lt;D xsi:type="xsd:double"&gt;5.013907&lt;/D&gt;&lt;D xsi:type="xsd:double"&gt;1.7749548&lt;/D&gt;&lt;D xsi:type="xsd:double"&gt;-6.664592&lt;/D&gt;&lt;D xsi:type="xsd:double"&gt;-2.956158&lt;/D&gt;&lt;D xsi:type="xsd:double"&gt;-5.4433403&lt;/D&gt;&lt;D xsi:type="xsd:double"&gt;-11.000281&lt;/D&gt;&lt;D xsi:type="xsd:double"&gt;-11.8752365&lt;/D&gt;&lt;D xsi:type="xsd:double"&gt;-11.176247&lt;/D&gt;&lt;D xsi:type="xsd:double"&gt;-14.31014&lt;/D&gt;&lt;D xsi:type="xsd:double"&gt;-7.973242&lt;/D&gt;&lt;D xsi:type="xsd:double"&gt;-9.647822&lt;/D&gt;&lt;D xsi:type="xsd:double"&gt;2.6551485&lt;/D&gt;&lt;D xsi:type="xsd:double"&gt;-6.7075253&lt;/D&gt;&lt;D xsi:type="xsd:double"&gt;-3.973329&lt;/D&gt;&lt;D xsi:type="xsd:double"&gt;3.4644961&lt;/D&gt;&lt;D xsi:type="xsd:double"&gt;-6.585598&lt;/D&gt;&lt;D xsi:type="xsd:double"&gt;-0.9809375&lt;/D&gt;&lt;D xsi:type="xsd:double"&gt;1.0428548&lt;/D&gt;&lt;D xsi:type="xsd:double"&gt;13.688803&lt;/D&gt;&lt;D xsi:type="xsd:double"&gt;18.4142&lt;/D&gt;&lt;D xsi:type="xsd:double"&gt;15.675902&lt;/D&gt;&lt;D xsi:type="xsd:double"&gt;20.352316&lt;/D&gt;&lt;D xsi:type="xsd:double"&gt;-15.848679&lt;/D&gt;&lt;D xsi:type="xsd:double"&gt;-12.200266&lt;/D&gt;&lt;D xsi:type="xsd:double"&gt;-6.877029&lt;/D&gt;&lt;D xsi:type="xsd:double"&gt;2.8613925&lt;/D&gt;&lt;D xsi:type="xsd:double"&gt;7.8163147&lt;/D&gt;&lt;D xsi:type="xsd:double"&gt;29.08318&lt;/D&gt;&lt;D xsi:type="xsd:double"&gt;20.548702&lt;/D&gt;&lt;D xsi:type="xsd:double"&gt;26.32959&lt;/D&gt;&lt;D xsi:type="xsd:double"&gt;20.010674&lt;/D&gt;&lt;D xsi:type="xsd:double"&gt;23.47343&lt;/D&gt;&lt;D xsi:type="xsd:double"&gt;29.409313&lt;/D&gt;&lt;D xsi:type="xsd:double"&gt;26.515984&lt;/D&gt;&lt;D xsi:type="xsd:double"&gt;90.48357&lt;/D&gt;&lt;D xsi:type="xsd:double"&gt;76.00001&lt;/D&gt;&lt;D xsi:type="xsd:double"&gt;71.82926&lt;/D&gt;&lt;D xsi:type="xsd:double"&gt;68.848274&lt;/D&gt;&lt;D xsi:type="xsd:double"&gt;51.275208&lt;/D&gt;&lt;D xsi:type="xsd:double"&gt;40.070354&lt;/D&gt;&lt;D xsi:type="xsd:double"&gt;38.947166&lt;/D&gt;&lt;D xsi:type="xsd:double"&gt;26.297115&lt;/D&gt;&lt;D xsi:type="xsd:double"&gt;32.46068&lt;/D&gt;&lt;D xsi:type="xsd:double"&gt;20.441675&lt;/D&gt;&lt;D xsi:type="xsd:double"&gt;17.180656&lt;/D&gt;&lt;D xsi:type="xsd:double"&gt;1.357913&lt;/D&gt;&lt;D xsi:type="xsd:double"&gt;-15.792447&lt;/D&gt;&lt;D xsi:type="xsd:double"&gt;-12.834549&lt;/D&gt;&lt;D xsi:type="xsd:double"&gt;-24.052244&lt;/D&gt;&lt;D xsi:type="xsd:double"&gt;-26.68963&lt;/D&gt;&lt;D xsi:type="xsd:double"&gt;-31.460238&lt;/D&gt;&lt;D xsi:type="xsd:double"&gt;-26.184887&lt;/D&gt;&lt;D xsi:type="xsd:double"&gt;-29.25431&lt;/D&gt;&lt;D xsi:type="xsd:double"&gt;-37.174625&lt;/D&gt;&lt;D xsi:type="xsd:double"&gt;-25.26018&lt;/D&gt;&lt;D xsi:type="xsd:double"&gt;-22.081434&lt;/D&gt;&lt;D xsi:type="xsd:double"&gt;-20.975143&lt;/D&gt;&lt;D xsi:type="xsd:double"&gt;-13.809562&lt;/D&gt;&lt;D xsi:type="xsd:double"&gt;-3.968203&lt;/D&gt;&lt;D xsi:type="xsd:double"&gt;-3.1150043&lt;/D&gt;&lt;D xsi:type="xsd:double"&gt;11.43111&lt;/D&gt;&lt;D xsi:type="xsd:double"&gt;6.6632986&lt;/D&gt;&lt;D xsi:type="xsd:double"&gt;18.488895&lt;/D&gt;&lt;D xsi:type="xsd:double"&gt;0.9869218&lt;/D&gt;&lt;D xsi:type="xsd:double"&gt;3.802669&lt;/D&gt;&lt;D xsi:type="xsd:double"&gt;26.92088&lt;/D&gt;&lt;D xsi:type="xsd:double"&gt;0.267303&lt;/D&gt;&lt;D xsi:type="xsd:double"&gt;11.930382&lt;/D&gt;&lt;D xsi:type="xsd:double"&gt;9.420431&lt;/D&gt;&lt;D xsi:type="xsd:double"&gt;11.414253&lt;/D&gt;&lt;D xsi:type="xsd:double"&gt;26.443172&lt;/D&gt;&lt;D xsi:type="xsd:double"&gt;10.763062&lt;/D&gt;&lt;D xsi:type="xsd:double"&gt;15.536189&lt;/D&gt;&lt;D xsi:type="xsd:double"&gt;23.578775&lt;/D&gt;&lt;D xsi:type="xsd:double"&gt;19.577753&lt;/D&gt;&lt;D xsi:type="xsd:double"&gt;18.676054&lt;/D&gt;&lt;D xsi:type="xsd:double"&gt;29.88857&lt;/D&gt;&lt;/FQL&gt;&lt;FQL&gt;&lt;Q&gt;EWQ^FG_TOTAL_RETURNC(-10AY,0,AM)&lt;/Q&gt;&lt;R&gt;121&lt;/R&gt;&lt;C&gt;1&lt;/C&gt;&lt;D xsi:type="xsd:double"&gt;2.8026938&lt;/D&gt;&lt;D xsi:type="xsd:double"&gt;-10.79607&lt;/D&gt;&lt;D xsi:type="xsd:double"&gt;2.2819877&lt;/D&gt;&lt;D xsi:type="xsd:double"&gt;-1.8725157&lt;/D&gt;&lt;D xsi:type="xsd:double"&gt;-1.7332375&lt;/D&gt;&lt;D xsi:type="xsd:double"&gt;9.003746&lt;/D&gt;&lt;D xsi:type="xsd:double"&gt;-2.3709357&lt;/D&gt;&lt;D xsi:type="xsd:double"&gt;4.778683&lt;/D&gt;&lt;D xsi:type="xsd:double"&gt;1.1214972&lt;/D&gt;&lt;D xsi:type="xsd:double"&gt;-0.29574633&lt;/D&gt;&lt;D xsi:type="xsd:double"&gt;-0.41967034&lt;/D&gt;&lt;D xsi:type="xsd:double"&gt;1.3252616&lt;/D&gt;&lt;D xsi:type="xsd:double"&gt;-6.7638216&lt;/D&gt;&lt;D xsi:type="xsd:double"&gt;2.7254462&lt;/D&gt;&lt;D xsi:type="xsd:double"&gt;-2.1849394&lt;/D&gt;&lt;D xsi:type="xsd:double"&gt;-3.9888322&lt;/D&gt;&lt;D xsi:type="xsd:double"&gt;-3.8480997&lt;/D&gt;&lt;D xsi:type="xsd:double"&gt;-5.1170883&lt;/D&gt;&lt;D xsi:type="xsd:double"&gt;11.106038&lt;/D&gt;&lt;D xsi:type="xsd:double"&gt;-0.9872496&lt;/D&gt;&lt;D xsi:type="xsd:double"&gt;0.78936815&lt;/D&gt;&lt;D xsi:type="xsd:double"&gt;-1.3602614&lt;/D&gt;&lt;D xsi:type="xsd:double"&gt;-0.9367049&lt;/D&gt;&lt;D xsi:type="xsd:double"&gt;4.759836&lt;/D&gt;&lt;D xsi:type="xsd:double"&gt;0.53697824&lt;/D&gt;&lt;D xsi:type="xsd:double"&gt;-2.5061667&lt;/D&gt;&lt;D xsi:type="xsd:double"&gt;-0.46354532&lt;/D&gt;&lt;D xsi:type="xsd:double"&gt;3.5562992&lt;/D&gt;&lt;D xsi:type="xsd:double"&gt;3.067398&lt;/D&gt;&lt;D xsi:type="xsd:double"&gt;-0.756371&lt;/D&gt;&lt;D xsi:type="xsd:double"&gt;3.4897685&lt;/D&gt;&lt;D xsi:type="xsd:double"&gt;2.1705508&lt;/D&gt;&lt;D xsi:type="xsd:double"&gt;9.901357&lt;/D&gt;&lt;D xsi:type="xsd:double"&gt;0.48326254&lt;/D&gt;&lt;D xsi:type="xsd:double"&gt;1.7638564&lt;/D&gt;&lt;D xsi:type="xsd:double"&gt;0.44642687&lt;/D&gt;&lt;D xsi:type="xsd:double"&gt;4.5128226&lt;/D&gt;&lt;D xsi:type="xsd:double"&gt;1.8972874&lt;/D&gt;&lt;D xsi:type="xsd:double"&gt;-1.2841105&lt;/D&gt;&lt;D xsi:type="xsd:double"&gt;1.658535&lt;/D&gt;&lt;D xsi:type="xsd:double"&gt;5.2132845&lt;/D&gt;&lt;D xsi:type="xsd:double"&gt;-4.910034&lt;/D&gt;&lt;D xsi:type="xsd:double"&gt;2.629888&lt;/D&gt;&lt;D xsi:type="xsd:double"&gt;0.8749962&lt;/D&gt;&lt;D xsi:type="xsd:double"&gt;1.734829&lt;/D&gt;&lt;D xsi:type="xsd:double"&gt;-1.9792974&lt;/D&gt;&lt;D xsi:type="xsd:double"&gt;-0.9555757&lt;/D&gt;&lt;D xsi:type="xsd:double"&gt;-2.5936604&lt;/D&gt;&lt;D xsi:type="xsd:double"&gt;0.723207&lt;/D&gt;&lt;D xsi:type="xsd:double"&gt;-4.7323704&lt;/D&gt;&lt;D xsi:type="xsd:double"&gt;-3.6998987&lt;/D&gt;&lt;D xsi:type="xsd:double"&gt;-2.0989&lt;/D&gt;&lt;D xsi:type="xsd:double"&gt;-1.3653338&lt;/D&gt;&lt;D xsi:type="xsd:double"&gt;4.145074&lt;/D&gt;&lt;D xsi:type="xsd:double"&gt;3.9445639&lt;/D&gt;&lt;D xsi:type="xsd:double"&gt;4.4786334&lt;/D&gt;&lt;D xsi:type="xsd:double"&gt;-1.9960701&lt;/D&gt;&lt;D xsi:type="xsd:double"&gt;1.1018395&lt;/D&gt;&lt;D xsi:type="xsd:double"&gt;3.6302686&lt;/D&gt;&lt;D xsi:type="xsd:double"&gt;-5.1600275&lt;/D&gt;&lt;D xsi:type="xsd:double"&gt;4.820931&lt;/D&gt;&lt;D xsi:type="xsd:double"&gt;-0.32851696&lt;/D&gt;&lt;D xsi:type="xsd:double"&gt;4.515493&lt;/D&gt;&lt;D xsi:type="xsd:double"&gt;0.94606876&lt;/D&gt;&lt;D xsi:type="xsd:double"&gt;1.8409133&lt;/D&gt;&lt;D xsi:type="xsd:double"&gt;0.12296438&lt;/D&gt;&lt;D xsi:type="xsd:double"&gt;-32.361065&lt;/D&gt;&lt;D xsi:type="xsd:double"&gt;10.71266&lt;/D&gt;&lt;D xsi:type="xsd:double"&gt;-2.665025&lt;/D&gt;&lt;D xsi:type="xsd:double"&gt;13.774228&lt;/D&gt;&lt;D xsi:type="xsd:double"&gt;4.081762&lt;/D&gt;&lt;D xsi:type="xsd:double"&gt;6.2298536&lt;/D&gt;&lt;D xsi:type="xsd:double"&gt;-0.9100139&lt;/D&gt;&lt;D xsi:type="xsd:double"&gt;-0.4421711&lt;/D&gt;&lt;D xsi:type="xsd:double"&gt;6.5937877&lt;/D&gt;&lt;D xsi:type="xsd:double"&gt;6.185901&lt;/D&gt;&lt;D xsi:type="xsd:double"&gt;3.346336&lt;/D&gt;&lt;D xsi:type="xsd:double"&gt;0.32286644&lt;/D&gt;&lt;D xsi:type="xsd:double"&gt;4.0959716&lt;/D&gt;&lt;D xsi:type="xsd:double"&gt;1.2928605&lt;/D&gt;&lt;D xsi:type="xsd:double"&gt;3.107655&lt;/D&gt;&lt;D xsi:type="xsd:double"&gt;6.4504385&lt;/D&gt;&lt;D xsi:type="xsd:double"&gt;-2.7862966&lt;/D&gt;&lt;D xsi:type="xsd:double"&gt;3.3394694&lt;/D&gt;&lt;D xsi:type="xsd:double"&gt;-1.7048299&lt;/D&gt;&lt;D xsi:type="xsd:double"&gt;-3.2876015&lt;/D&gt;&lt;D xsi:type="xsd:double"&gt;7.2269797&lt;/D&gt;&lt;D xsi:type="xsd:double"&gt;-2.6210785&lt;/D&gt;&lt;D xsi:type="xsd:double"&gt;4.7421336&lt;/D&gt;&lt;D xsi:type="xsd:double"&gt;-6.03621&lt;/D&gt;&lt;D xsi:type="xsd:double"&gt;-12.981802&lt;/D&gt;&lt;D xsi:type="xsd:double"&gt;4.490936&lt;/D&gt;&lt;D xsi:type="xsd:double"&gt;-7.4183106&lt;/D&gt;&lt;D xsi:type="xsd:double"&gt;2.45862&lt;/D&gt;&lt;D xsi:type="xsd:double"&gt;-6.90096&lt;/D&gt;&lt;D xsi:type="xsd:double"&gt;11.9080305&lt;/D&gt;&lt;D xsi:type="xsd:double"&gt;-5.335784&lt;/D&gt;&lt;D xsi:type="xsd:double"&gt;-12.406868&lt;/D&gt;&lt;D xsi:type="xsd:double"&gt;21.708572&lt;/D&gt;&lt;D xsi:type="xsd:double"&gt;2.765119&lt;/D&gt;&lt;D xsi:type="xsd:double"&gt;7.571709&lt;/D&gt;&lt;D xsi:type="xsd:double"&gt;0.44138432&lt;/D&gt;&lt;D xsi:type="xsd:double"&gt;-0.8239448&lt;/D&gt;&lt;D xsi:type="xsd:double"&gt;7.5879216&lt;/D&gt;&lt;D xsi:type="xsd:double"&gt;-0.33461452&lt;/D&gt;&lt;D xsi:type="xsd:double"&gt;-1.7777443&lt;/D&gt;&lt;D xsi:type="xsd:double"&gt;4.8655868&lt;/D&gt;&lt;D xsi:type="xsd:double"&gt;-1.9994855&lt;/D&gt;&lt;D xsi:type="xsd:double"&gt;-3.6358893&lt;/D&gt;&lt;D xsi:type="xsd:double"&gt;-4.505974&lt;/D&gt;&lt;D xsi:type="xsd:double"&gt;1.620233&lt;/D&gt;&lt;D xsi:type="xsd:double"&gt;7.60839&lt;/D&gt;&lt;D xsi:type="xsd:double"&gt;0.46815872&lt;/D&gt;&lt;D xsi:type="xsd:double"&gt;1.0677099&lt;/D&gt;&lt;D xsi:type="xsd:double"&gt;6.467402&lt;/D&gt;&lt;D xsi:type="xsd:double"&gt;-4.1384277&lt;/D&gt;&lt;D xsi:type="xsd:double"&gt;6.033826&lt;/D&gt;&lt;D xsi:type="xsd:double"&gt;-2.866155&lt;/D&gt;&lt;D xsi:type="xsd:double"&gt;-0.8527696&lt;/D&gt;&lt;D xsi:type="xsd:double"&gt;-5.2112284&lt;/D&gt;&lt;D xsi:type="xsd:double"&gt;4.056585&lt;/D&gt;&lt;/FQL&gt;&lt;FQL&gt;&lt;Q&gt;QQQ^FMA_DIV_YLD(NTMA,-10AY,0,AM,"PORTAGG","MEANR")&lt;/Q&gt;&lt;R&gt;121&lt;/R&gt;&lt;C&gt;1&lt;/C&gt;&lt;D xsi:type="xsd:double"&gt;1.21899396306363&lt;/D&gt;&lt;D xsi:type="xsd:double"&gt;1.29897661037713&lt;/D&gt;&lt;D xsi:type="xsd:double"&gt;1.21822821608657&lt;/D&gt;&lt;D xsi:type="xsd:double"&gt;1.2343405232945&lt;/D&gt;&lt;D xsi:type="xsd:double"&gt;1.22596657624615&lt;/D&gt;&lt;D xsi:type="xsd:double"&gt;1.23403197111489&lt;/D&gt;&lt;D xsi:type="xsd:double"&gt;1.27083337846728&lt;/D&gt;&lt;D xsi:type="xsd:double"&gt;1.25309261202606&lt;/D&gt;&lt;D xsi:type="xsd:double"&gt;1.25825185646956&lt;/D&gt;&lt;D xsi:type="xsd:double"&gt;1.25645393428369&lt;/D&gt;&lt;D xsi:type="xsd:double"&gt;1.26815330981798&lt;/D&gt;&lt;D xsi:type="xsd:double"&gt;1.28024209317249&lt;/D&gt;&lt;D xsi:type="xsd:double"&gt;1.34946956388827&lt;/D&gt;&lt;D xsi:type="xsd:double"&gt;1.33483083633475&lt;/D&gt;&lt;D xsi:type="xsd:double"&gt;1.29155331468339&lt;/D&gt;&lt;D xsi:type="xsd:double"&gt;1.31058183502697&lt;/D&gt;&lt;D xsi:type="xsd:double"&gt;1.33804416852863&lt;/D&gt;&lt;D xsi:type="xsd:double"&gt;1.4698693982285&lt;/D&gt;&lt;D xsi:type="xsd:double"&gt;1.36792810606793&lt;/D&gt;&lt;D xsi:type="xsd:double"&gt;1.33281108795883&lt;/D&gt;&lt;D xsi:type="xsd:double"&gt;1.39453816544792&lt;/D&gt;&lt;D xsi:type="xsd:double"&gt;1.3621594770997&lt;/D&gt;&lt;D xsi:type="xsd:double"&gt;1.31971192222101&lt;/D&gt;&lt;D xsi:type="xsd:double"&gt;1.27553203786919&lt;/D&gt;&lt;D xsi:type="xsd:double"&gt;1.29385701303607&lt;/D&gt;&lt;D xsi:type="xsd:double"&gt;1.27709772925944&lt;/D&gt;&lt;D xsi:type="xsd:double"&gt;1.30955856276947&lt;/D&gt;&lt;D xsi:type="xsd:double"&gt;1.29314047494324&lt;/D&gt;&lt;D xsi:type="xsd:double"&gt;1.25807005435985&lt;/D&gt;&lt;D xsi:type="xsd:double"&gt;1.24020759724841&lt;/D&gt;&lt;D xsi:type="xsd:double"&gt;1.21495280909675&lt;/D&gt;&lt;D xsi:type="xsd:double"&gt;1.2252211505906&lt;/D&gt;&lt;D xsi:type="xsd:double"&gt;1.17332644505465&lt;/D&gt;&lt;D xsi:type="xsd:double"&gt;1.17904692622709&lt;/D&gt;&lt;D xsi:type="xsd:double"&gt;1.19010033836101&lt;/D&gt;&lt;D xsi:type="xsd:double"&gt;1.18881283492331&lt;/D&gt;&lt;D xsi:type="xsd:double"&gt;1.16001606366972&lt;/D&gt;&lt;D xsi:type="xsd:double"&gt;1.14710580284425&lt;/D&gt;&lt;D xsi:type="xsd:double"&gt;1.11365373427376&lt;/D&gt;&lt;D xsi:type="xsd:double"&gt;1.10935392752133&lt;/D&gt;&lt;D xsi:type="xsd:double"&gt;1.04544876277119&lt;/D&gt;&lt;D xsi:type="xsd:double"&gt;1.10773807712018&lt;/D&gt;&lt;D xsi:type="xsd:double"&gt;1.02878619863448&lt;/D&gt;&lt;D xsi:type="xsd:double"&gt;1.11386375699734&lt;/D&gt;&lt;D xsi:type="xsd:double"&gt;1.08179633413312&lt;/D&gt;&lt;D xsi:type="xsd:double"&gt;1.05056269023441&lt;/D&gt;&lt;D xsi:type="xsd:double"&gt;1.03293612849679&lt;/D&gt;&lt;D xsi:type="xsd:double"&gt;1.07776980813142&lt;/D&gt;&lt;D xsi:type="xsd:double"&gt;1.07783370174814&lt;/D&gt;&lt;D xsi:type="xsd:double"&gt;1.1354286671093&lt;/D&gt;&lt;D xsi:type="xsd:double"&gt;1.20758958898926&lt;/D&gt;&lt;D xsi:type="xsd:double"&gt;1.23595496971316&lt;/D&gt;&lt;D xsi:type="xsd:double"&gt;1.26893623605216&lt;/D&gt;&lt;D xsi:type="xsd:double"&gt;1.20631062821891&lt;/D&gt;&lt;D xsi:type="xsd:double"&gt;1.16417257131128&lt;/D&gt;&lt;D xsi:type="xsd:double"&gt;1.10470758827079&lt;/D&gt;&lt;D xsi:type="xsd:double"&gt;1.11979029855516&lt;/D&gt;&lt;D xsi:type="xsd:double"&gt;1.14779486586865&lt;/D&gt;&lt;D xsi:type="xsd:double"&gt;1.07872667720576&lt;/D&gt;&lt;D xsi:type="xsd:double"&gt;1.13913035055152&lt;/D&gt;&lt;D xsi:type="xsd:double"&gt;1.08851354142631&lt;/D&gt;&lt;D xsi:type="xsd:double"&gt;1.10539224017157&lt;/D&gt;&lt;D xsi:type="xsd:double"&gt;1.06348706559016&lt;/D&gt;&lt;D xsi:type="xsd:double"&gt;1.06667356645282&lt;/D&gt;&lt;D xsi:type="xsd:double"&gt;1.02233115220235&lt;/D&gt;&lt;D xsi:type="xsd:double"&gt;0.960313061083968&lt;/D&gt;&lt;D xsi:type="xsd:double"&gt;1.27775740432837&lt;/D&gt;&lt;D xsi:type="xsd:double"&gt;1.12674411293749&lt;/D&gt;&lt;D xsi:type="xsd:double"&gt;1.00215527330954&lt;/D&gt;&lt;D xsi:type="xsd:double"&gt;0.939960939946684&lt;/D&gt;&lt;D xsi:type="xsd:double"&gt;0.840603771608303&lt;/D&gt;&lt;D xsi:type="xsd:double"&gt;0.818695954921048&lt;/D&gt;&lt;D xsi:type="xsd:double"&gt;0.825129871932508&lt;/D&gt;&lt;D xsi:type="xsd:double"&gt;0.760163758628863&lt;/D&gt;&lt;D xsi:type="xsd:double"&gt;0.783202020406656&lt;/D&gt;&lt;D xsi:type="xsd:double"&gt;0.753044143938726&lt;/D&gt;&lt;D xsi:type="xsd:double"&gt;0.764429525432075&lt;/D&gt;&lt;D xsi:type="xsd:double"&gt;0.721027807351708&lt;/D&gt;&lt;D xsi:type="xsd:double"&gt;0.775199109702953&lt;/D&gt;&lt;D xsi:type="xsd:double"&gt;0.728399522800811&lt;/D&gt;&lt;D xsi:type="xsd:double"&gt;0.777857942606338&lt;/D&gt;&lt;D xsi:type="xsd:double"&gt;0.729243327547427&lt;/D&gt;&lt;D xsi:type="xsd:double"&gt;0.690346880427962&lt;/D&gt;&lt;D xsi:type="xsd:double"&gt;0.700765678344131&lt;/D&gt;&lt;D xsi:type="xsd:double"&gt;0.687638197330207&lt;/D&gt;&lt;D xsi:type="xsd:double"&gt;0.730998646931167&lt;/D&gt;&lt;D xsi:type="xsd:double"&gt;0.665440057311057&lt;/D&gt;&lt;D xsi:type="xsd:double"&gt;0.665819306009752&lt;/D&gt;&lt;D xsi:type="xsd:double"&gt;0.687149068711593&lt;/D&gt;&lt;D xsi:type="xsd:double"&gt;0.778889563083036&lt;/D&gt;&lt;D xsi:type="xsd:double"&gt;0.845466162863649&lt;/D&gt;&lt;D xsi:type="xsd:double"&gt;0.809750128607112&lt;/D&gt;&lt;D xsi:type="xsd:double"&gt;0.949619592832571&lt;/D&gt;&lt;D xsi:type="xsd:double"&gt;0.965087861417859&lt;/D&gt;&lt;D xsi:type="xsd:double"&gt;0.981501021524938&lt;/D&gt;&lt;D xsi:type="xsd:double"&gt;0.853200769331401&lt;/D&gt;&lt;D xsi:type="xsd:double"&gt;0.915941498797502&lt;/D&gt;&lt;D xsi:type="xsd:double"&gt;1.09098927836286&lt;/D&gt;&lt;D xsi:type="xsd:double"&gt;1.00380449265737&lt;/D&gt;&lt;D xsi:type="xsd:double"&gt;1.00982087647298&lt;/D&gt;&lt;D xsi:type="xsd:double"&gt;0.994123103681616&lt;/D&gt;&lt;D xsi:type="xsd:double"&gt;0.937086733776982&lt;/D&gt;&lt;D xsi:type="xsd:double"&gt;0.98080138200022&lt;/D&gt;&lt;D xsi:type="xsd:double"&gt;0.907637921225325&lt;/D&gt;&lt;D xsi:type="xsd:double"&gt;0.859842344835312&lt;/D&gt;&lt;D xsi:type="xsd:double"&gt;0.782431530449594&lt;/D&gt;&lt;D xsi:type="xsd:double"&gt;0.758950755444272&lt;/D&gt;&lt;D xsi:type="xsd:double"&gt;0.898413034779317&lt;/D&gt;&lt;D xsi:type="xsd:double"&gt;0.886595150733459&lt;/D&gt;&lt;D xsi:type="xsd:double"&gt;0.919229637210953&lt;/D&gt;&lt;D xsi:type="xsd:double"&gt;0.904436821950736&lt;/D&gt;&lt;D xsi:type="xsd:double"&gt;0.872398073670968&lt;/D&gt;&lt;D xsi:type="xsd:double"&gt;0.91481627894268&lt;/D&gt;&lt;D xsi:type="xsd:double"&gt;0.884311958671674&lt;/D&gt;&lt;D xsi:type="xsd:double"&gt;0.876076912716018&lt;/D&gt;&lt;D xsi:type="xsd:double"&gt;0.924926619135548&lt;/D&gt;&lt;D xsi:type="xsd:double"&gt;0.938086298778862&lt;/D&gt;&lt;D xsi:type="xsd:double"&gt;0.879254450409023&lt;/D&gt;&lt;D xsi:type="xsd:double"&gt;0.815270534693165&lt;/D&gt;&lt;D xsi:type="xsd:double"&gt;0.877159372856122&lt;/D&gt;&lt;D xsi:type="xsd:double"&gt;0.842058888563491&lt;/D&gt;&lt;/FQL&gt;&lt;FQL&gt;&lt;Q&gt;EWL^FMA_PE(NTMA,-10AY,0,AM,"PORTAGG","MEANR")&lt;/Q&gt;&lt;R&gt;121&lt;/R&gt;&lt;C&gt;1&lt;/C&gt;&lt;D xsi:type="xsd:double"&gt;16.1418752325687&lt;/D&gt;&lt;D xsi:type="xsd:double"&gt;15.1180215919904&lt;/D&gt;&lt;D xsi:type="xsd:double"&gt;15.9675671488306&lt;/D&gt;&lt;D xsi:type="xsd:double"&gt;15.6489850724165&lt;/D&gt;&lt;D xsi:type="xsd:double"&gt;15.8078266032767&lt;/D&gt;&lt;D xsi:type="xsd:double"&gt;16.9141694830038&lt;/D&gt;&lt;D xsi:type="xsd:double"&gt;17.4685134402076&lt;/D&gt;&lt;D xsi:type="xsd:double"&gt;18.2873658413189&lt;/D&gt;&lt;D xsi:type="xsd:double"&gt;17.5018314072712&lt;/D&gt;&lt;D xsi:type="xsd:double"&gt;17.3256641821199&lt;/D&gt;&lt;D xsi:type="xsd:double"&gt;17.3141890608346&lt;/D&gt;&lt;D xsi:type="xsd:double"&gt;17.182790475618&lt;/D&gt;&lt;D xsi:type="xsd:double"&gt;16.4383634756011&lt;/D&gt;&lt;D xsi:type="xsd:double"&gt;16.5435675800874&lt;/D&gt;&lt;D xsi:type="xsd:double"&gt;16.7864367864413&lt;/D&gt;&lt;D xsi:type="xsd:double"&gt;16.3629039781085&lt;/D&gt;&lt;D xsi:type="xsd:double"&gt;16.0861117394715&lt;/D&gt;&lt;D xsi:type="xsd:double"&gt;15.6779693546216&lt;/D&gt;&lt;D xsi:type="xsd:double"&gt;16.6850509645926&lt;/D&gt;&lt;D xsi:type="xsd:double"&gt;16.4562304726909&lt;/D&gt;&lt;D xsi:type="xsd:double"&gt;16.6178465654059&lt;/D&gt;&lt;D xsi:type="xsd:double"&gt;16.6654060352742&lt;/D&gt;&lt;D xsi:type="xsd:double"&gt;16.9383435332725&lt;/D&gt;&lt;D xsi:type="xsd:double"&gt;17.6160580413198&lt;/D&gt;&lt;D xsi:type="xsd:double"&gt;17.2254627620828&lt;/D&gt;&lt;D xsi:type="xsd:double"&gt;16.8186819442138&lt;/D&gt;&lt;D xsi:type="xsd:double"&gt;16.4589581239384&lt;/D&gt;&lt;D xsi:type="xsd:double"&gt;16.504078565895&lt;/D&gt;&lt;D xsi:type="xsd:double"&gt;17.1233488385457&lt;/D&gt;&lt;D xsi:type="xsd:double"&gt;17.3800024830095&lt;/D&gt;&lt;D xsi:type="xsd:double"&gt;17.6390374546385&lt;/D&gt;&lt;D xsi:type="xsd:double"&gt;17.4413067628497&lt;/D&gt;&lt;D xsi:type="xsd:double"&gt;18.0923990885338&lt;/D&gt;&lt;D xsi:type="xsd:double"&gt;17.7404621099658&lt;/D&gt;&lt;D xsi:type="xsd:double"&gt;17.9044214793585&lt;/D&gt;&lt;D xsi:type="xsd:double"&gt;17.4298361216625&lt;/D&gt;&lt;D xsi:type="xsd:double"&gt;17.7047504416999&lt;/D&gt;&lt;D xsi:type="xsd:double"&gt;17.96105941646&lt;/D&gt;&lt;D xsi:type="xsd:double"&gt;17.6132197782747&lt;/D&gt;&lt;D xsi:type="xsd:double"&gt;17.6176998546961&lt;/D&gt;&lt;D xsi:type="xsd:double"&gt;17.8993111783041&lt;/D&gt;&lt;D xsi:type="xsd:double"&gt;16.5140208893717&lt;/D&gt;&lt;D xsi:type="xsd:double"&gt;16.5367672208639&lt;/D&gt;&lt;D xsi:type="xsd:double"&gt;16.0690673027321&lt;/D&gt;&lt;D xsi:type="xsd:double"&gt;16.3319589528541&lt;/D&gt;&lt;D xsi:type="xsd:double"&gt;15.7548611046597&lt;/D&gt;&lt;D xsi:type="xsd:double"&gt;15.9093533284476&lt;/D&gt;&lt;D xsi:type="xsd:double"&gt;16.0272555606498&lt;/D&gt;&lt;D xsi:type="xsd:double"&gt;15.9571678344212&lt;/D&gt;&lt;D xsi:type="xsd:double"&gt;15.1319977221845&lt;/D&gt;&lt;D xsi:type="xsd:double"&gt;15.5983233753669&lt;/D&gt;&lt;D xsi:type="xsd:double"&gt;15.3177656080605&lt;/D&gt;&lt;D xsi:type="xsd:double"&gt;15.2151961802266&lt;/D&gt;&lt;D xsi:type="xsd:double"&gt;15.7195178193023&lt;/D&gt;&lt;D xsi:type="xsd:double"&gt;16.2433409705371&lt;/D&gt;&lt;D xsi:type="xsd:double"&gt;16.7920948899664&lt;/D&gt;&lt;D xsi:type="xsd:double"&gt;16.4548542669117&lt;/D&gt;&lt;D xsi:type="xsd:double"&gt;17.0480029716211&lt;/D&gt;&lt;D xsi:type="xsd:double"&gt;16.9318110130903&lt;/D&gt;&lt;D xsi:type="xsd:double"&gt;16.8737924681681&lt;/D&gt;&lt;D xsi:type="xsd:double"&gt;17.2730973137816&lt;/D&gt;&lt;D xsi:type="xsd:double"&gt;17.0625929798254&lt;/D&gt;&lt;D xsi:type="xsd:double"&gt;17.3889625616597&lt;/D&gt;&lt;D xsi:type="xsd:double"&gt;17.5083847853927&lt;/D&gt;&lt;D xsi:type="xsd:double"&gt;17.7647889301834&lt;/D&gt;&lt;D xsi:type="xsd:double"&gt;18.4211085908958&lt;/D&gt;&lt;D xsi:type="xsd:double"&gt;14.0232727291886&lt;/D&gt;&lt;D xsi:type="xsd:double"&gt;17.201386624659&lt;/D&gt;&lt;D xsi:type="xsd:double"&gt;18.704259928054&lt;/D&gt;&lt;D xsi:type="xsd:double"&gt;18.7766596875593&lt;/D&gt;&lt;D xsi:type="xsd:double"&gt;19.627224632589&lt;/D&gt;&lt;D xsi:type="xsd:double"&gt;19.7122072361945&lt;/D&gt;&lt;D xsi:type="xsd:double"&gt;19.5541471928664&lt;/D&gt;&lt;D xsi:type="xsd:double"&gt;19.2426396854832&lt;/D&gt;&lt;D xsi:type="xsd:double"&gt;18.9784874389282&lt;/D&gt;&lt;D xsi:type="xsd:double"&gt;18.4091986008489&lt;/D&gt;&lt;D xsi:type="xsd:double"&gt;19.0648595587587&lt;/D&gt;&lt;D xsi:type="xsd:double"&gt;19.000922289717&lt;/D&gt;&lt;D xsi:type="xsd:double"&gt;18.53647495722&lt;/D&gt;&lt;D xsi:type="xsd:double"&gt;19.3310239147787&lt;/D&gt;&lt;D xsi:type="xsd:double"&gt;18.7515331576727&lt;/D&gt;&lt;D xsi:type="xsd:double"&gt;19.8934381358954&lt;/D&gt;&lt;D xsi:type="xsd:double"&gt;19.9882543846682&lt;/D&gt;&lt;D xsi:type="xsd:double"&gt;19.958160155469&lt;/D&gt;&lt;D xsi:type="xsd:double"&gt;19.2911374042742&lt;/D&gt;&lt;D xsi:type="xsd:double"&gt;18.3842061646219&lt;/D&gt;&lt;D xsi:type="xsd:double"&gt;19.4462035681926&lt;/D&gt;&lt;D xsi:type="xsd:double"&gt;19.3398855423122&lt;/D&gt;&lt;D xsi:type="xsd:double"&gt;19.1992758342534&lt;/D&gt;&lt;D xsi:type="xsd:double"&gt;18.345573487205&lt;/D&gt;&lt;D xsi:type="xsd:double"&gt;17.2783782289093&lt;/D&gt;&lt;D xsi:type="xsd:double"&gt;18.512966004394&lt;/D&gt;&lt;D xsi:type="xsd:double"&gt;16.6925068223789&lt;/D&gt;&lt;D xsi:type="xsd:double"&gt;15.9733284461668&lt;/D&gt;&lt;D xsi:type="xsd:double"&gt;16.1573524224666&lt;/D&gt;&lt;D xsi:type="xsd:double"&gt;16.9119963160218&lt;/D&gt;&lt;D xsi:type="xsd:double"&gt;16.4142104307239&lt;/D&gt;&lt;D xsi:type="xsd:double"&gt;14.8035628288511&lt;/D&gt;&lt;D xsi:type="xsd:double"&gt;16.9796219447775&lt;/D&gt;&lt;D xsi:type="xsd:double"&gt;16.6843077957394&lt;/D&gt;&lt;D xsi:type="xsd:double"&gt;17.2033111614036&lt;/D&gt;&lt;D xsi:type="xsd:double"&gt;17.0338052116019&lt;/D&gt;&lt;D xsi:type="xsd:double"&gt;16.6508081957951&lt;/D&gt;&lt;D xsi:type="xsd:double"&gt;17.3345336648398&lt;/D&gt;&lt;D xsi:type="xsd:double"&gt;17.5272074274308&lt;/D&gt;&lt;D xsi:type="xsd:double"&gt;16.5094503737963&lt;/D&gt;&lt;D xsi:type="xsd:double"&gt;16.4395330737577&lt;/D&gt;&lt;D xsi:type="xsd:double"&gt;16.5933964586186&lt;/D&gt;&lt;D xsi:type="xsd:double"&gt;16.3645957163428&lt;/D&gt;&lt;D xsi:type="xsd:double"&gt;16.2150502837155&lt;/D&gt;&lt;D xsi:type="xsd:double"&gt;15.7195907330994&lt;/D&gt;&lt;D xsi:type="xsd:double"&gt;16.6508172933317&lt;/D&gt;&lt;D xsi:type="xsd:double"&gt;17.0212809056715&lt;/D&gt;&lt;D xsi:type="xsd:double"&gt;17.2119905508277&lt;/D&gt;&lt;D xsi:type="xsd:double"&gt;17.8616551759794&lt;/D&gt;&lt;D xsi:type="xsd:double"&gt;17.0192926872848&lt;/D&gt;&lt;D xsi:type="xsd:double"&gt;17.1567655727191&lt;/D&gt;&lt;D xsi:type="xsd:double"&gt;17.4305317745313&lt;/D&gt;&lt;D xsi:type="xsd:double"&gt;17.5650473680404&lt;/D&gt;&lt;D xsi:type="xsd:double"&gt;16.8995176113042&lt;/D&gt;&lt;D xsi:type="xsd:double"&gt;17.0296891122169&lt;/D&gt;&lt;/FQL&gt;&lt;FQL&gt;&lt;Q&gt;QQQ^FMA_ROE(NTMA,-20AY,NOW,FY,"PORTAGG","MEANR")&lt;/Q&gt;&lt;R&gt;20&lt;/R&gt;&lt;C&gt;1&lt;/C&gt;&lt;D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xsi:type="xsd:double"&gt;25.011729179906&lt;/D&gt;&lt;D xsi:type="xsd:double"&gt;24.5344428387709&lt;/D&gt;&lt;D xsi:type="xsd:double"&gt;26.6372021629589&lt;/D&gt;&lt;D xsi:type="xsd:double"&gt;24.0483215527383&lt;/D&gt;&lt;D xsi:type="xsd:double"&gt;25.3040632089053&lt;/D&gt;&lt;/FQL&gt;&lt;FQL&gt;&lt;Q&gt;TRYMY10Y-FDS^FG_YIELD(-10AY,0,Y,,"YTM")&lt;/Q&gt;&lt;R&gt;10&lt;/R&gt;&lt;C&gt;1&lt;/C&gt;&lt;D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xsi:type="xsd:double"&gt;3.955&lt;/D&gt;&lt;/FQL&gt;&lt;FQL&gt;&lt;Q&gt;USDSEK^STD(FG_PRICE_CHANGE(0,-3AY,M))&lt;/Q&gt;&lt;R&gt;1&lt;/R&gt;&lt;C&gt;1&lt;/C&gt;&lt;D xsi:type="xsd:double"&gt;3.08926120822716&lt;/D&gt;&lt;/FQL&gt;&lt;FQL&gt;&lt;Q&gt;EWQ^FG_COMPANY_NAME&lt;/Q&gt;&lt;R&gt;1&lt;/R&gt;&lt;C&gt;1&lt;/C&gt;&lt;D xsi:type="xsd:string"&gt;iShares MSCI France ETF&lt;/D&gt;&lt;/FQL&gt;&lt;FQL&gt;&lt;Q&gt;EWU^FMA_ROE(NTMA,-20AY,NOW,FY,"PORTAGG","MEANR")&lt;/Q&gt;&lt;R&gt;20&lt;/R&gt;&lt;C&gt;1&lt;/C&gt;&lt;D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xsi:type="xsd:double"&gt;12.8709323534995&lt;/D&gt;&lt;D xsi:type="xsd:double"&gt;11.2074687408189&lt;/D&gt;&lt;D xsi:type="xsd:double"&gt;13.9227699516468&lt;/D&gt;&lt;D xsi:type="xsd:double"&gt;15.8587443966116&lt;/D&gt;&lt;D xsi:type="xsd:double"&gt;14.7207876109821&lt;/D&gt;&lt;/FQL&gt;&lt;FQL&gt;&lt;Q&gt;TRYMX10Y-FDS^FG_YIELD(-10AY,0,Y,,"YTM")&lt;/Q&gt;&lt;R&gt;10&lt;/R&gt;&lt;C&gt;1&lt;/C&gt;&lt;D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xsi:type="xsd:double"&gt;6.6087&lt;/D&gt;&lt;/FQL&gt;&lt;FQL&gt;&lt;Q&gt;CAGDPY@GB^EE_ACTUAL_ANNUAL(MED,+1)&lt;/Q&gt;&lt;R&gt;1&lt;/R&gt;&lt;C&gt;1&lt;/C&gt;&lt;D xsi:type="xsd:double"&gt;-2.7&lt;/D&gt;&lt;/FQL&gt;&lt;FQL&gt;&lt;Q&gt;CC_GB^FG_COMPANY_NAME&lt;/Q&gt;&lt;R&gt;1&lt;/R&gt;&lt;C&gt;1&lt;/C&gt;&lt;D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xsi:type="xsd:double"&gt;3.08597866558836&lt;/D&gt;&lt;/FQL&gt;&lt;FQL&gt;&lt;Q&gt;USDCHF^STD(FG_PRICE_CHANGE(0,-1AY,AM))&lt;/Q&gt;&lt;R&gt;1&lt;/R&gt;&lt;C&gt;1&lt;/C&gt;&lt;D xsi:type="xsd:double"&gt;2.24617203114476&lt;/D&gt;&lt;/FQL&gt;&lt;FQL&gt;&lt;Q&gt;USDUSD^STD(FG_PRICE_CHANGE(0,-1AY,AM))&lt;/Q&gt;&lt;R&gt;1&lt;/R&gt;&lt;C&gt;1&lt;/C&gt;&lt;D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xsi:type="xsd:double"&gt;1.55826270915507&lt;/D&gt;&lt;/FQL&gt;&lt;FQL&gt;&lt;Q&gt;USDAUD^STD(FG_PRICE_CHANGE(0,-1AY,AM))&lt;/Q&gt;&lt;R&gt;1&lt;/R&gt;&lt;C&gt;1&lt;/C&gt;&lt;D xsi:type="xsd:double"&gt;1.99666617956448&lt;/D&gt;&lt;/FQL&gt;&lt;FQL&gt;&lt;Q&gt;EWD^FMA_EPS(NTMA,-20AY,0,CY,,"PORTAGG","MEANR")&lt;/Q&gt;&lt;R&gt;20&lt;/R&gt;&lt;C&gt;1&lt;/C&gt;&lt;D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xsi:type="xsd:double"&gt;2.51009258677616&lt;/D&gt;&lt;/FQL&gt;&lt;FQL&gt;&lt;Q&gt;EWQ^P_PRICE_RETURNS_PR('52W',2,-10AY,0,AM)&lt;/Q&gt;&lt;R&gt;121&lt;/R&gt;&lt;C&gt;1&lt;/C&gt;&lt;D xsi:type="xsd:double"&gt;7.7589035&lt;/D&gt;&lt;D xsi:type="xsd:double"&gt;-8.188361&lt;/D&gt;&lt;D xsi:type="xsd:double"&gt;-6.230074&lt;/D&gt;&lt;D xsi:type="xsd:double"&gt;-6.2788067&lt;/D&gt;&lt;D xsi:type="xsd:double"&gt;-11.656117&lt;/D&gt;&lt;D xsi:type="xsd:double"&gt;-4.1132393&lt;/D&gt;&lt;D xsi:type="xsd:double"&gt;-8.915872&lt;/D&gt;&lt;D xsi:type="xsd:double"&gt;-5.641806&lt;/D&gt;&lt;D xsi:type="xsd:double"&gt;-7.4058056&lt;/D&gt;&lt;D xsi:type="xsd:double"&gt;-7.9854546&lt;/D&gt;&lt;D xsi:type="xsd:double"&gt;-4.019189&lt;/D&gt;&lt;D xsi:type="xsd:double"&gt;2.5951624&lt;/D&gt;&lt;D xsi:type="xsd:double"&gt;-6.918204&lt;/D&gt;&lt;D xsi:type="xsd:double"&gt;7.152164&lt;/D&gt;&lt;D xsi:type="xsd:double"&gt;2.4725318&lt;/D&gt;&lt;D xsi:type="xsd:double"&gt;-1.6541004&lt;/D&gt;&lt;D xsi:type="xsd:double"&gt;-1.8953085&lt;/D&gt;&lt;D xsi:type="xsd:double"&gt;-14.604235&lt;/D&gt;&lt;D xsi:type="xsd:double"&gt;-2.125913&lt;/D&gt;&lt;D xsi:type="xsd:double"&gt;-8.163988&lt;/D&gt;&lt;D xsi:type="xsd:double"&gt;-8.465612&lt;/D&gt;&lt;D xsi:type="xsd:double"&gt;-10.406274&lt;/D&gt;&lt;D xsi:type="xsd:double"&gt;-9.913081&lt;/D&gt;&lt;D xsi:type="xsd:double"&gt;-6.85944&lt;/D&gt;&lt;D xsi:type="xsd:double"&gt;0.43387413&lt;/D&gt;&lt;D xsi:type="xsd:double"&gt;-4.681033&lt;/D&gt;&lt;D xsi:type="xsd:double"&gt;-4.5268774&lt;/D&gt;&lt;D xsi:type="xsd:double"&gt;4.6189904&lt;/D&gt;&lt;D xsi:type="xsd:double"&gt;12.14348&lt;/D&gt;&lt;D xsi:type="xsd:double"&gt;16.234982&lt;/D&gt;&lt;D xsi:type="xsd:double"&gt;12.591446&lt;/D&gt;&lt;D xsi:type="xsd:double"&gt;12.741291&lt;/D&gt;&lt;D xsi:type="xsd:double"&gt;22.933805&lt;/D&gt;&lt;D xsi:type="xsd:double"&gt;25.231373&lt;/D&gt;&lt;D xsi:type="xsd:double"&gt;28.645302&lt;/D&gt;&lt;D xsi:type="xsd:double"&gt;23.501469&lt;/D&gt;&lt;D xsi:type="xsd:double"&gt;28.226376&lt;/D&gt;&lt;D xsi:type="xsd:double"&gt;34.01792&lt;/D&gt;&lt;D xsi:type="xsd:double"&gt;31.355953&lt;/D&gt;&lt;D xsi:type="xsd:double"&gt;30.477322&lt;/D&gt;&lt;D xsi:type="xsd:double"&gt;33.193897&lt;/D&gt;&lt;D xsi:type="xsd:double"&gt;27.619303&lt;/D&gt;&lt;D xsi:type="xsd:double"&gt;26.558949&lt;/D&gt;&lt;D xsi:type="xsd:double"&gt;24.95414&lt;/D&gt;&lt;D xsi:type="xsd:double"&gt;16.838657&lt;/D&gt;&lt;D xsi:type="xsd:double"&gt;12.834334&lt;/D&gt;&lt;D xsi:type="xsd:double"&gt;9.819067&lt;/D&gt;&lt;D xsi:type="xsd:double"&gt;6.2048435&lt;/D&gt;&lt;D xsi:type="xsd:double"&gt;2.63381&lt;/D&gt;&lt;D xsi:type="xsd:double"&gt;-4.043764&lt;/D&gt;&lt;D xsi:type="xsd:double"&gt;-6.39202&lt;/D&gt;&lt;D xsi:type="xsd:double"&gt;-9.851891&lt;/D&gt;&lt;D xsi:type="xsd:double"&gt;-14.339071&lt;/D&gt;&lt;D xsi:type="xsd:double"&gt;-7.440776&lt;/D&gt;&lt;D xsi:type="xsd:double"&gt;-6.255114&lt;/D&gt;&lt;D xsi:type="xsd:double"&gt;-2.9061913&lt;/D&gt;&lt;D xsi:type="xsd:double"&gt;-6.352818&lt;/D&gt;&lt;D xsi:type="xsd:double"&gt;-3.5268128&lt;/D&gt;&lt;D xsi:type="xsd:double"&gt;0.93997717&lt;/D&gt;&lt;D xsi:type="xsd:double"&gt;-1.7194986&lt;/D&gt;&lt;D xsi:type="xsd:double"&gt;2.2788525&lt;/D&gt;&lt;D xsi:type="xsd:double"&gt;7.264042&lt;/D&gt;&lt;D xsi:type="xsd:double"&gt;16.135597&lt;/D&gt;&lt;D xsi:type="xsd:double"&gt;19.747686&lt;/D&gt;&lt;D xsi:type="xsd:double"&gt;22.237814&lt;/D&gt;&lt;D xsi:type="xsd:double"&gt;18.865227&lt;/D&gt;&lt;D xsi:type="xsd:double"&gt;-22.651863&lt;/D&gt;&lt;D xsi:type="xsd:double"&gt;-16.645605&lt;/D&gt;&lt;D xsi:type="xsd:double"&gt;-18.59613&lt;/D&gt;&lt;D xsi:type="xsd:double"&gt;-8.392745&lt;/D&gt;&lt;D xsi:type="xsd:double"&gt;-7.963562&lt;/D&gt;&lt;D xsi:type="xsd:double"&gt;3.055954&lt;/D&gt;&lt;D xsi:type="xsd:double"&gt;-1.7392039&lt;/D&gt;&lt;D xsi:type="xsd:double"&gt;-2.689588&lt;/D&gt;&lt;D xsi:type="xsd:double"&gt;-0.754565&lt;/D&gt;&lt;D xsi:type="xsd:double"&gt;5.1525354&lt;/D&gt;&lt;D xsi:type="xsd:double"&gt;5.940199&lt;/D&gt;&lt;D xsi:type="xsd:double"&gt;6.151724&lt;/D&gt;&lt;D xsi:type="xsd:double"&gt;63.366936&lt;/D&gt;&lt;D xsi:type="xsd:double"&gt;49.467148&lt;/D&gt;&lt;D xsi:type="xsd:double"&gt;58.331657&lt;/D&gt;&lt;D xsi:type="xsd:double"&gt;51.161755&lt;/D&gt;&lt;D xsi:type="xsd:double"&gt;38.364326&lt;/D&gt;&lt;D xsi:type="xsd:double"&gt;34.5996&lt;/D&gt;&lt;D xsi:type="xsd:double"&gt;34.803783&lt;/D&gt;&lt;D xsi:type="xsd:double"&gt;29.703867&lt;/D&gt;&lt;D xsi:type="xsd:double"&gt;30.47434&lt;/D&gt;&lt;D xsi:type="xsd:double"&gt;19.113613&lt;/D&gt;&lt;D xsi:type="xsd:double"&gt;21.268929&lt;/D&gt;&lt;D xsi:type="xsd:double"&gt;14.217067&lt;/D&gt;&lt;D xsi:type="xsd:double"&gt;-4.5960546&lt;/D&gt;&lt;D xsi:type="xsd:double"&gt;-2.054137&lt;/D&gt;&lt;D xsi:type="xsd:double"&gt;-12.05315&lt;/D&gt;&lt;D xsi:type="xsd:double"&gt;-14.872372&lt;/D&gt;&lt;D xsi:type="xsd:double"&gt;-18.933947&lt;/D&gt;&lt;D xsi:type="xsd:double"&gt;-12.212217&lt;/D&gt;&lt;D xsi:type="xsd:double"&gt;-15.455037&lt;/D&gt;&lt;D xsi:type="xsd:double"&gt;-23.426998&lt;/D&gt;&lt;D xsi:type="xsd:double"&gt;-12.714994&lt;/D&gt;&lt;D xsi:type="xsd:double"&gt;-8.278007&lt;/D&gt;&lt;D xsi:type="xsd:double"&gt;-5.8001575&lt;/D&gt;&lt;D xsi:type="xsd:double"&gt;-2.363956&lt;/D&gt;&lt;D xsi:type="xsd:double"&gt;13.574446&lt;/D&gt;&lt;D xsi:type="xsd:double"&gt;18.16367&lt;/D&gt;&lt;D xsi:type="xsd:double"&gt;27.204704&lt;/D&gt;&lt;D xsi:type="xsd:double"&gt;21.945168&lt;/D&gt;&lt;D xsi:type="xsd:double"&gt;37.3575&lt;/D&gt;&lt;D xsi:type="xsd:double"&gt;20.992172&lt;/D&gt;&lt;D xsi:type="xsd:double"&gt;22.447227&lt;/D&gt;&lt;D xsi:type="xsd:double"&gt;33.49196&lt;/D&gt;&lt;D xsi:type="xsd:double"&gt;13.845646&lt;/D&gt;&lt;D xsi:type="xsd:double"&gt;16.711748&lt;/D&gt;&lt;D xsi:type="xsd:double"&gt;9.004629&lt;/D&gt;&lt;D xsi:type="xsd:double"&gt;9.6843605&lt;/D&gt;&lt;D xsi:type="xsd:double"&gt;17.748272&lt;/D&gt;&lt;D xsi:type="xsd:double"&gt;4.914522&lt;/D&gt;&lt;D xsi:type="xsd:double"&gt;10.930788&lt;/D&gt;&lt;D xsi:type="xsd:double"&gt;10.381508&lt;/D&gt;&lt;D xsi:type="xsd:double"&gt;4.3623567&lt;/D&gt;&lt;D xsi:type="xsd:double"&gt;0.94212294&lt;/D&gt;&lt;D xsi:type="xsd:double"&gt;9.000039&lt;/D&gt;&lt;/FQL&gt;&lt;FQL&gt;&lt;Q&gt;QQQ^FG_TOTAL_RETURNC(-10AY,0,AM)&lt;/Q&gt;&lt;R&gt;121&lt;/R&gt;&lt;C&gt;1&lt;/C&gt;&lt;D xsi:type="xsd:double"&gt;4.2548776&lt;/D&gt;&lt;D xsi:type="xsd:double"&gt;-4.840553&lt;/D&gt;&lt;D xsi:type="xsd:double"&gt;8.49216&lt;/D&gt;&lt;D xsi:type="xsd:double"&gt;0.20495653&lt;/D&gt;&lt;D xsi:type="xsd:double"&gt;-0.724113&lt;/D&gt;&lt;D xsi:type="xsd:double"&gt;4.382074&lt;/D&gt;&lt;D xsi:type="xsd:double"&gt;-0.1886785&lt;/D&gt;&lt;D xsi:type="xsd:double"&gt;2.0758748&lt;/D&gt;&lt;D xsi:type="xsd:double"&gt;0.02783537&lt;/D&gt;&lt;D xsi:type="xsd:double"&gt;0.89998245&lt;/D&gt;&lt;D xsi:type="xsd:double"&gt;-0.7825434&lt;/D&gt;&lt;D xsi:type="xsd:double"&gt;2.6660442&lt;/D&gt;&lt;D xsi:type="xsd:double"&gt;-4.478824&lt;/D&gt;&lt;D xsi:type="xsd:double"&gt;1.4052987&lt;/D&gt;&lt;D xsi:type="xsd:double"&gt;4.916191&lt;/D&gt;&lt;D xsi:type="xsd:double"&gt;-1.1156738&lt;/D&gt;&lt;D xsi:type="xsd:double"&gt;-4.441774&lt;/D&gt;&lt;D xsi:type="xsd:double"&gt;-7.125264&lt;/D&gt;&lt;D xsi:type="xsd:double"&gt;8.6411&lt;/D&gt;&lt;D xsi:type="xsd:double"&gt;3.1403303&lt;/D&gt;&lt;D xsi:type="xsd:double"&gt;-3.3056378&lt;/D&gt;&lt;D xsi:type="xsd:double"&gt;2.8803468&lt;/D&gt;&lt;D xsi:type="xsd:double"&gt;2.6162148&lt;/D&gt;&lt;D xsi:type="xsd:double"&gt;5.121529&lt;/D&gt;&lt;D xsi:type="xsd:double"&gt;-0.74231625&lt;/D&gt;&lt;D xsi:type="xsd:double"&gt;1.1898756&lt;/D&gt;&lt;D xsi:type="xsd:double"&gt;-1.3796568&lt;/D&gt;&lt;D xsi:type="xsd:double"&gt;2.7288437&lt;/D&gt;&lt;D xsi:type="xsd:double"&gt;3.4837365&lt;/D&gt;&lt;D xsi:type="xsd:double"&gt;3.780353&lt;/D&gt;&lt;D xsi:type="xsd:double"&gt;3.148067&lt;/D&gt;&lt;D xsi:type="xsd:double"&gt;-0.15027523&lt;/D&gt;&lt;D xsi:type="xsd:double"&gt;5.866182&lt;/D&gt;&lt;D xsi:type="xsd:double"&gt;0.4545331&lt;/D&gt;&lt;D xsi:type="xsd:double"&gt;1.3326287&lt;/D&gt;&lt;D xsi:type="xsd:double"&gt;0.995028&lt;/D&gt;&lt;D xsi:type="xsd:double"&gt;2.8993607&lt;/D&gt;&lt;D xsi:type="xsd:double"&gt;1.2817979&lt;/D&gt;&lt;D xsi:type="xsd:double"&gt;3.9994478&lt;/D&gt;&lt;D xsi:type="xsd:double"&gt;1.3079166&lt;/D&gt;&lt;D xsi:type="xsd:double"&gt;5.8716297&lt;/D&gt;&lt;D xsi:type="xsd:double"&gt;-3.4166276&lt;/D&gt;&lt;D xsi:type="xsd:double"&gt;9.573865&lt;/D&gt;&lt;D xsi:type="xsd:double"&gt;-6.664485&lt;/D&gt;&lt;D xsi:type="xsd:double"&gt;4.469514&lt;/D&gt;&lt;D xsi:type="xsd:double"&gt;3.7589908&lt;/D&gt;&lt;D xsi:type="xsd:double"&gt;2.283299&lt;/D&gt;&lt;D xsi:type="xsd:double"&gt;0.5906582&lt;/D&gt;&lt;D xsi:type="xsd:double"&gt;1.1411428&lt;/D&gt;&lt;D xsi:type="xsd:double"&gt;-4.352832&lt;/D&gt;&lt;D xsi:type="xsd:double"&gt;-4.5835257&lt;/D&gt;&lt;D xsi:type="xsd:double"&gt;-0.76955557&lt;/D&gt;&lt;D xsi:type="xsd:double"&gt;-2.356267&lt;/D&gt;&lt;D xsi:type="xsd:double"&gt;6.3476205&lt;/D&gt;&lt;D xsi:type="xsd:double"&gt;2.8088212&lt;/D&gt;&lt;D xsi:type="xsd:double"&gt;5.963695&lt;/D&gt;&lt;D xsi:type="xsd:double"&gt;-0.4466474&lt;/D&gt;&lt;D xsi:type="xsd:double"&gt;-1.4378369&lt;/D&gt;&lt;D xsi:type="xsd:double"&gt;6.3713074&lt;/D&gt;&lt;D xsi:type="xsd:double"&gt;-4.743445&lt;/D&gt;&lt;D xsi:type="xsd:double"&gt;4.8169136&lt;/D&gt;&lt;D xsi:type="xsd:double"&gt;-0.89769363&lt;/D&gt;&lt;D xsi:type="xsd:double"&gt;5.45758&lt;/D&gt;&lt;D xsi:type="xsd:double"&gt;2.466011&lt;/D&gt;&lt;D xsi:type="xsd:double"&gt;6.000662&lt;/D&gt;&lt;D xsi:type="xsd:double"&gt;7.2517514&lt;/D&gt;&lt;D xsi:type="xsd:double"&gt;-24.309557&lt;/D&gt;&lt;D xsi:type="xsd:double"&gt;13.51645&lt;/D&gt;&lt;D xsi:type="xsd:double"&gt;10.584486&lt;/D&gt;&lt;D xsi:type="xsd:double"&gt;6.194854&lt;/D&gt;&lt;D xsi:type="xsd:double"&gt;12.101019&lt;/D&gt;&lt;D xsi:type="xsd:double"&gt;2.9889703&lt;/D&gt;&lt;D xsi:type="xsd:double"&gt;-0.5186379&lt;/D&gt;&lt;D xsi:type="xsd:double"&gt;9.061729&lt;/D&gt;&lt;D xsi:type="xsd:double"&gt;-2.081281&lt;/D&gt;&lt;D xsi:type="xsd:double"&gt;4.66367&lt;/D&gt;&lt;D xsi:type="xsd:double"&gt;4.1876435&lt;/D&gt;&lt;D xsi:type="xsd:double"&gt;7.1769834&lt;/D&gt;&lt;D xsi:type="xsd:double"&gt;-6.238675&lt;/D&gt;&lt;D xsi:type="xsd:double"&gt;6.8557262&lt;/D&gt;&lt;D xsi:type="xsd:double"&gt;-5.875188&lt;/D&gt;&lt;D xsi:type="xsd:double"&gt;7.684052&lt;/D&gt;&lt;D xsi:type="xsd:double"&gt;6.329155&lt;/D&gt;&lt;D xsi:type="xsd:double"&gt;1.4099598&lt;/D&gt;&lt;D xsi:type="xsd:double"&gt;2.465105&lt;/D&gt;&lt;D xsi:type="xsd:double"&gt;-5.0574303&lt;/D&gt;&lt;D xsi:type="xsd:double"&gt;10.516882&lt;/D&gt;&lt;D xsi:type="xsd:double"&gt;0.8386135&lt;/D&gt;&lt;D xsi:type="xsd:double"&gt;-2.5527&lt;/D&gt;&lt;D xsi:type="xsd:double"&gt;-10.401445&lt;/D&gt;&lt;D xsi:type="xsd:double"&gt;-6.5291286&lt;/D&gt;&lt;D xsi:type="xsd:double"&gt;4.7689795&lt;/D&gt;&lt;D xsi:type="xsd:double"&gt;-14.228905&lt;/D&gt;&lt;D xsi:type="xsd:double"&gt;-0.7934034&lt;/D&gt;&lt;D xsi:type="xsd:double"&gt;-0.71421266&lt;/D&gt;&lt;D xsi:type="xsd:double"&gt;15.424132&lt;/D&gt;&lt;D xsi:t</t>
        </r>
      </text>
    </comment>
    <comment ref="A6" authorId="0" shapeId="0" xr:uid="{66F6C1D8-FE3F-4430-A89B-48C75D197265}">
      <text>
        <r>
          <rPr>
            <b/>
            <sz val="9"/>
            <color indexed="81"/>
            <rFont val="Tahoma"/>
            <charset val="1"/>
          </rPr>
          <t>ype="xsd:double"&gt;-5.947524&lt;/D&gt;&lt;D xsi:type="xsd:double"&gt;-15.322131&lt;/D&gt;&lt;D xsi:type="xsd:double"&gt;9.632217&lt;/D&gt;&lt;D xsi:type="xsd:double"&gt;-0.8265078&lt;/D&gt;&lt;D xsi:type="xsd:double"&gt;-2.049166&lt;/D&gt;&lt;D xsi:type="xsd:double"&gt;7.4001193&lt;/D&gt;&lt;D xsi:type="xsd:double"&gt;-3.7203968&lt;/D&gt;&lt;D xsi:type="xsd:double"&gt;8.654714&lt;/D&gt;&lt;D xsi:type="xsd:double"&gt;3.8301826&lt;/D&gt;&lt;D xsi:type="xsd:double"&gt;10.9097595&lt;/D&gt;&lt;D xsi:type="xsd:double"&gt;3.5624027&lt;/D&gt;&lt;D xsi:type="xsd:double"&gt;-1.7649293&lt;/D&gt;&lt;D xsi:type="xsd:double"&gt;1.7884493&lt;/D&gt;&lt;D xsi:type="xsd:double"&gt;-0.6238222&lt;/D&gt;&lt;D xsi:type="xsd:double"&gt;2.286923&lt;/D&gt;&lt;D xsi:type="xsd:double"&gt;5.3595543&lt;/D&gt;&lt;D xsi:type="xsd:double"&gt;2.9895306&lt;/D&gt;&lt;D xsi:type="xsd:double"&gt;6.2945604&lt;/D&gt;&lt;D xsi:type="xsd:double"&gt;1.9111514&lt;/D&gt;&lt;D xsi:type="xsd:double"&gt;-1.0854065&lt;/D&gt;&lt;D xsi:type="xsd:double"&gt;0.864768&lt;/D&gt;&lt;D xsi:type="xsd:double"&gt;7.25919&lt;/D&gt;&lt;D xsi:type="xsd:double"&gt;4.527056&lt;/D&gt;&lt;D xsi:type="xsd:double"&gt;-8.778948&lt;/D&gt;&lt;D xsi:type="xsd:double"&gt;4.8384905&lt;/D&gt;&lt;/FQL&gt;&lt;FQL&gt;&lt;Q&gt;EWL^FMA_DIV_YLD(NTMA,-10AY,0,AM,"PORTAGG","MEANR")&lt;/Q&gt;&lt;R&gt;121&lt;/R&gt;&lt;C&gt;1&lt;/C&gt;&lt;D xsi:type="xsd:double"&gt;3.29357269738732&lt;/D&gt;&lt;D xsi:type="xsd:double"&gt;3.50999395957838&lt;/D&gt;&lt;D xsi:type="xsd:double"&gt;3.28955450223122&lt;/D&gt;&lt;D xsi:type="xsd:double"&gt;3.32257632241545&lt;/D&gt;&lt;D xsi:type="xsd:double"&gt;3.28635793550876&lt;/D&gt;&lt;D xsi:type="xsd:double"&gt;3.28869995940211&lt;/D&gt;&lt;D xsi:type="xsd:double"&gt;3.17044294718046&lt;/D&gt;&lt;D xsi:type="xsd:double"&gt;3.02364388819327&lt;/D&gt;&lt;D xsi:type="xsd:double"&gt;3.13402348694593&lt;/D&gt;&lt;D xsi:type="xsd:double"&gt;3.17743579390929&lt;/D&gt;&lt;D xsi:type="xsd:double"&gt;3.18474821005041&lt;/D&gt;&lt;D xsi:type="xsd:double"&gt;3.18919002669835&lt;/D&gt;&lt;D xsi:type="xsd:double"&gt;3.35073926683314&lt;/D&gt;&lt;D xsi:type="xsd:double"&gt;3.334532049772&lt;/D&gt;&lt;D xsi:type="xsd:double"&gt;3.279466819463&lt;/D&gt;&lt;D xsi:type="xsd:double"&gt;3.38242276260618&lt;/D&gt;&lt;D xsi:type="xsd:double"&gt;3.46849055958857&lt;/D&gt;&lt;D xsi:type="xsd:double"&gt;3.6480781466079&lt;/D&gt;&lt;D xsi:type="xsd:double"&gt;3.46838611723425&lt;/D&gt;&lt;D xsi:type="xsd:double"&gt;3.55387830337354&lt;/D&gt;&lt;D xsi:type="xsd:double"&gt;3.55919111606839&lt;/D&gt;&lt;D xsi:type="xsd:double"&gt;3.54851094591252&lt;/D&gt;&lt;D xsi:type="xsd:double"&gt;3.51319819226843&lt;/D&gt;&lt;D xsi:type="xsd:double"&gt;3.41297798451788&lt;/D&gt;&lt;D xsi:type="xsd:double"&gt;3.47148231885146&lt;/D&gt;&lt;D xsi:type="xsd:double"&gt;3.55191292147116&lt;/D&gt;&lt;D xsi:type="xsd:double"&gt;3.63136955205799&lt;/D&gt;&lt;D xsi:type="xsd:double"&gt;3.6224367614526&lt;/D&gt;&lt;D xsi:type="xsd:double"&gt;3.48736228200301&lt;/D&gt;&lt;D xsi:type="xsd:double"&gt;3.41928802360108&lt;/D&gt;&lt;D xsi:type="xsd:double"&gt;3.34952494544337&lt;/D&gt;&lt;D xsi:type="xsd:double"&gt;3.4163551183181&lt;/D&gt;&lt;D xsi:type="xsd:double"&gt;3.28749648857413&lt;/D&gt;&lt;D xsi:type="xsd:double"&gt;3.37035632731451&lt;/D&gt;&lt;D xsi:type="xsd:double"&gt;3.26360874998221&lt;/D&gt;&lt;D xsi:type="xsd:double"&gt;3.33824926094887&lt;/D&gt;&lt;D xsi:type="xsd:double"&gt;3.27253346536179&lt;/D&gt;&lt;D xsi:type="xsd:double"&gt;3.22930414163066&lt;/D&gt;&lt;D xsi:type="xsd:double"&gt;3.28859251217393&lt;/D&gt;&lt;D xsi:type="xsd:double"&gt;3.23156242484099&lt;/D&gt;&lt;D xsi:type="xsd:double"&gt;3.16540207840941&lt;/D&gt;&lt;D xsi:type="xsd:double"&gt;3.41171047822755&lt;/D&gt;&lt;D xsi:type="xsd:double"&gt;3.40327834787093&lt;/D&gt;&lt;D xsi:type="xsd:double"&gt;3.48703784501948&lt;/D&gt;&lt;D xsi:type="xsd:double"&gt;3.42151360552011&lt;/D&gt;&lt;D xsi:type="xsd:double"&gt;3.53465505281458&lt;/D&gt;&lt;D xsi:type="xsd:double"&gt;3.48526300917734&lt;/D&gt;&lt;D xsi:type="xsd:double"&gt;3.42229033877822&lt;/D&gt;&lt;D xsi:type="xsd:double"&gt;3.42298323347385&lt;/D&gt;&lt;D xsi:type="xsd:double"&gt;3.63205222229507&lt;/D&gt;&lt;D xsi:type="xsd:double"&gt;3.53681652209222&lt;/D&gt;&lt;D xsi:type="xsd:double"&gt;3.57406652958682&lt;/D&gt;&lt;D xsi:type="xsd:double"&gt;3.53945959907157&lt;/D&gt;&lt;D xsi:type="xsd:double"&gt;3.43471872983324&lt;/D&gt;&lt;D xsi:type="xsd:double"&gt;3.37560940648263&lt;/D&gt;&lt;D xsi:type="xsd:double"&gt;3.27446593401154&lt;/D&gt;&lt;D xsi:type="xsd:double"&gt;3.34472369712065&lt;/D&gt;&lt;D xsi:type="xsd:double"&gt;3.23878090552858&lt;/D&gt;&lt;D xsi:type="xsd:double"&gt;3.26441827039413&lt;/D&gt;&lt;D xsi:type="xsd:double"&gt;3.26104749117227&lt;/D&gt;&lt;D xsi:type="xsd:double"&gt;3.17531665666314&lt;/D&gt;&lt;D xsi:type="xsd:double"&gt;3.21834761065463&lt;/D&gt;&lt;D xsi:type="xsd:double"&gt;3.13694667669542&lt;/D&gt;&lt;D xsi:type="xsd:double"&gt;3.10353845323133&lt;/D&gt;&lt;D xsi:type="xsd:double"&gt;3.03730209591308&lt;/D&gt;&lt;D xsi:type="xsd:double"&gt;2.93949209764196&lt;/D&gt;&lt;D xsi:type="xsd:double"&gt;3.89817707998636&lt;/D&gt;&lt;D xsi:type="xsd:double"&gt;3.40426873881295&lt;/D&gt;&lt;D xsi:type="xsd:double"&gt;3.23840019287633&lt;/D&gt;&lt;D xsi:type="xsd:double"&gt;3.17601842030721&lt;/D&gt;&lt;D xsi:type="xsd:double"&gt;3.0151502831315&lt;/D&gt;&lt;D xsi:type="xsd:double"&gt;2.92223152946556&lt;/D&gt;&lt;D xsi:type="xsd:double"&gt;2.89918818250058&lt;/D&gt;&lt;D xsi:type="xsd:double"&gt;2.90919364702241&lt;/D&gt;&lt;D xsi:type="xsd:double"&gt;2.89220062255283&lt;/D&gt;&lt;D xsi:type="xsd:double"&gt;2.91314693195398&lt;/D&gt;&lt;D xsi:type="xsd:double"&gt;2.8076706302203&lt;/D&gt;&lt;D xsi:type="xsd:double"&gt;2.80591910359979&lt;/D&gt;&lt;D xsi:type="xsd:double"&gt;2.85211612839531&lt;/D&gt;&lt;D xsi:type="xsd:double"&gt;2.75358214541574&lt;/D&gt;&lt;D xsi:type="xsd:double"&gt;2.79978336635796&lt;/D&gt;&lt;D xsi:type="xsd:double"&gt;2.6223880357757&lt;/D&gt;&lt;D xsi:type="xsd:double"&gt;2.60051607436453&lt;/D&gt;&lt;D xsi:type="xsd:double"&gt;2.55948076390396&lt;/D&gt;&lt;D xsi:type="xsd:double"&gt;2.63048266198272&lt;/D&gt;&lt;D xsi:type="xsd:double"&gt;2.7448620211098&lt;/D&gt;&lt;D xsi:type="xsd:double"&gt;2.56947660468959&lt;/D&gt;&lt;D xsi:type="xsd:double"&gt;2.58037771128618&lt;/D&gt;&lt;D xsi:type="xsd:double"&gt;2.59118106889758&lt;/D&gt;&lt;D xsi:type="xsd:double"&gt;2.74675653096951&lt;/D&gt;&lt;D xsi:type="xsd:double"&gt;2.9374052576004&lt;/D&gt;&lt;D xsi:type="xsd:double"&gt;2.75552927221923&lt;/D&gt;&lt;D xsi:type="xsd:double"&gt;3.01704548026965&lt;/D&gt;&lt;D xsi:type="xsd:double"&gt;3.12948282029368&lt;/D&gt;&lt;D xsi:type="xsd:double"&gt;3.13119801902118&lt;/D&gt;&lt;D xsi:type="xsd:double"&gt;3.06429911257959&lt;/D&gt;&lt;D xsi:type="xsd:double"&gt;3.14146851435475&lt;/D&gt;&lt;D xsi:type="xsd:double"&gt;3.4664133994123&lt;/D&gt;&lt;D xsi:type="xsd:double"&gt;3.09084637929833&lt;/D&gt;&lt;D xsi:type="xsd:double"&gt;3.14152334497321&lt;/D&gt;&lt;D xsi:type="xsd:double"&gt;3.07005186181735&lt;/D&gt;&lt;D xsi:type="xsd:double"&gt;3.09347390411903&lt;/D&gt;&lt;D xsi:type="xsd:double"&gt;3.24720786632931&lt;/D&gt;&lt;D xsi:type="xsd:double"&gt;3.12314197085657&lt;/D&gt;&lt;D xsi:type="xsd:double"&gt;3.06762147093331&lt;/D&gt;&lt;D xsi:type="xsd:double"&gt;3.16881014624157&lt;/D&gt;&lt;D xsi:type="xsd:double"&gt;3.20086312065791&lt;/D&gt;&lt;D xsi:type="xsd:double"&gt;3.21438809099203&lt;/D&gt;&lt;D xsi:type="xsd:double"&gt;3.29531005514057&lt;/D&gt;&lt;D xsi:type="xsd:double"&gt;3.34635735844811&lt;/D&gt;&lt;D xsi:type="xsd:double"&gt;3.49294969427173&lt;/D&gt;&lt;D xsi:type="xsd:double"&gt;3.31207276736258&lt;/D&gt;&lt;D xsi:type="xsd:double"&gt;3.27644494083802&lt;/D&gt;&lt;D xsi:type="xsd:double"&gt;3.37707589084005&lt;/D&gt;&lt;D xsi:type="xsd:double"&gt;3.21960264237729&lt;/D&gt;&lt;D xsi:type="xsd:double"&gt;3.3569118581579&lt;/D&gt;&lt;D xsi:type="xsd:double"&gt;3.27276741205932&lt;/D&gt;&lt;D xsi:type="xsd:double"&gt;3.17712202486185&lt;/D&gt;&lt;D xsi:type="xsd:double"&gt;3.14606420573512&lt;/D&gt;&lt;D xsi:type="xsd:double"&gt;3.2411424046748&lt;/D&gt;&lt;D xsi:type="xsd:double"&gt;3.19891368442206&lt;/D&gt;&lt;/FQL&gt;&lt;FQL&gt;&lt;Q&gt;EWG^FMA_PE(NTMA,-10AY,0,AM,"PORTAGG","MEANR")&lt;/Q&gt;&lt;R&gt;121&lt;/R&gt;&lt;C&gt;1&lt;/C&gt;&lt;D xsi:type="xsd:double"&gt;12.7640312246931&lt;/D&gt;&lt;D xsi:type="xsd:double"&gt;11.6096709554332&lt;/D&gt;&lt;D xsi:type="xsd:double"&gt;12.1570662450545&lt;/D&gt;&lt;D xsi:type="xsd:double"&gt;12.6140545513023&lt;/D&gt;&lt;D xsi:type="xsd:double"&gt;12.8380595956234&lt;/D&gt;&lt;D xsi:type="xsd:double"&gt;14.2381060003773&lt;/D&gt;&lt;D xsi:type="xsd:double"&gt;15.2974277836292&lt;/D&gt;&lt;D xsi:type="xsd:double"&gt;15.90603691566&lt;/D&gt;&lt;D xsi:type="xsd:double"&gt;14.3424563835108&lt;/D&gt;&lt;D xsi:type="xsd:double"&gt;13.7275961497461&lt;/D&gt;&lt;D xsi:type="xsd:double"&gt;13.7483321944471&lt;/D&gt;&lt;D xsi:type="xsd:double"&gt;13.1895348879273&lt;/D&gt;&lt;D xsi:type="xsd:double"&gt;12.2720804956214&lt;/D&gt;&lt;D xsi:type="xsd:double"&gt;12.4424743129648&lt;/D&gt;&lt;D xsi:type="xsd:double"&gt;13.4076054902511&lt;/D&gt;&lt;D xsi:type="xsd:double"&gt;12.9023751221756&lt;/D&gt;&lt;D xsi:type="xsd:double"&gt;12.3571624724247&lt;/D&gt;&lt;D xsi:type="xsd:double"&gt;11.3732567940769&lt;/D&gt;&lt;D xsi:type="xsd:double"&gt;12.5412986546212&lt;/D&gt;&lt;D xsi:type="xsd:double"&gt;12.434345122498&lt;/D&gt;&lt;D xsi:type="xsd:double"&gt;12.3728635915657&lt;/D&gt;&lt;D xsi:type="xsd:double"&gt;12.1514418532897&lt;/D&gt;&lt;D xsi:type="xsd:double"&gt;12.2908143615781&lt;/D&gt;&lt;D xsi:type="xsd:double"&gt;13.1512439580967&lt;/D&gt;&lt;D xsi:type="xsd:double"&gt;12.7809986131182&lt;/D&gt;&lt;D xsi:type="xsd:double"&gt;12.8523535172004&lt;/D&gt;&lt;D xsi:type="xsd:double"&gt;12.8149234703325&lt;/D&gt;&lt;D xsi:type="xsd:double"&gt;13.3684400085148&lt;/D&gt;&lt;D xsi:type="xsd:double"&gt;13.6521187237802&lt;/D&gt;&lt;D xsi:type="xsd:double"&gt;13.6297623685621&lt;/D&gt;&lt;D xsi:type="xsd:double"&gt;13.8574938465021&lt;/D&gt;&lt;D xsi:type="xsd:double"&gt;13.8551641580916&lt;/D&gt;&lt;D xsi:type="xsd:double"&gt;14.0443225095291&lt;/D&gt;&lt;D xsi:type="xsd:double"&gt;13.7331495934456&lt;/D&gt;&lt;D xsi:type="xsd:double"&gt;13.6034699366304&lt;/D&gt;&lt;D xsi:type="xsd:double"&gt;12.9152603873323&lt;/D&gt;&lt;D xsi:type="xsd:double"&gt;13.3741874532377&lt;/D&gt;&lt;D xsi:type="xsd:double"&gt;13.8052366540094&lt;/D&gt;&lt;D xsi:type="xsd:double"&gt;13.9711759856291&lt;/D&gt;&lt;D xsi:type="xsd:double"&gt;14.0449247283964&lt;/D&gt;&lt;D xsi:type="xsd:double"&gt;14.0563175615472&lt;/D&gt;&lt;D xsi:type="xsd:double"&gt;13.0049951129841&lt;/D&gt;&lt;D xsi:type="xsd:double"&gt;13.1506348513813&lt;/D&gt;&lt;D xsi:type="xsd:double"&gt;13.0395912049667&lt;/D&gt;&lt;D xsi:type="xsd:double"&gt;13.4341788607517&lt;/D&gt;&lt;D xsi:type="xsd:double"&gt;13.2950072443598&lt;/D&gt;&lt;D xsi:type="xsd:double"&gt;12.9399195371661&lt;/D&gt;&lt;D xsi:type="xsd:double"&gt;12.8581373553285&lt;/D&gt;&lt;D xsi:type="xsd:double"&gt;12.49374279486&lt;/D&gt;&lt;D xsi:type="xsd:double"&gt;11.8801994813437&lt;/D&gt;&lt;D xsi:type="xsd:double"&gt;11.595567225711&lt;/D&gt;&lt;D xsi:type="xsd:double"&gt;11.3462789431022&lt;/D&gt;&lt;D xsi:type="xsd:double"&gt;11.3205128750578&lt;/D&gt;&lt;D xsi:type="xsd:double"&gt;11.7252422186818&lt;/D&gt;&lt;D xsi:type="xsd:double"&gt;12.1443843444536&lt;/D&gt;&lt;D xsi:type="xsd:double"&gt;12.6627812798449&lt;/D&gt;&lt;D xsi:type="xsd:double"&gt;12.5783091446634&lt;/D&gt;&lt;D xsi:type="xsd:double"&gt;12.3942279973395&lt;/D&gt;&lt;D xsi:type="xsd:double"&gt;12.8080491134829&lt;/D&gt;&lt;D xsi:type="xsd:double"&gt;12.3265067591933&lt;/D&gt;&lt;D xsi:type="xsd:double"&gt;13.1065438748543&lt;/D&gt;&lt;D xsi:type="xsd:double"&gt;13.1175008100439&lt;/D&gt;&lt;D xsi:type="xsd:double"&gt;13.9404446690038&lt;/D&gt;&lt;D xsi:type="xsd:double"&gt;14.0866331180923&lt;/D&gt;&lt;D xsi:type="xsd:double"&gt;14.3552463604081&lt;/D&gt;&lt;D xsi:type="xsd:double"&gt;14.5872054217011&lt;/D&gt;&lt;D xsi:type="xsd:double"&gt;9.88400238449958&lt;/D&gt;&lt;D xsi:type="xsd:double"&gt;13.5012910233363&lt;/D&gt;&lt;D xsi:type="xsd:double"&gt;15.3680815976263&lt;/D&gt;&lt;D xsi:type="xsd:double"&gt;17.3288670006862&lt;/D&gt;&lt;D xsi:type="xsd:double"&gt;18.3088966874919&lt;/D&gt;&lt;D xsi:type="xsd:double"&gt;18.2780227561019&lt;/D&gt;&lt;D xsi:type="xsd:double"&gt;17.7496713341572&lt;/D&gt;&lt;D xsi:type="xsd:double"&gt;17.047609236403&lt;/D&gt;&lt;D xsi:type="xsd:double"&gt;16.0125769527074&lt;/D&gt;&lt;D xsi:type="xsd:double"&gt;15.7093616352893&lt;/D&gt;&lt;D xsi:type="xsd:double"&gt;16.1856666965332&lt;/D&gt;&lt;D xsi:type="xsd:double"&gt;15.8623852203609&lt;/D&gt;&lt;D xsi:type="xsd:double"&gt;15.8912871550136&lt;/D&gt;&lt;D xsi:type="xsd:double"&gt;16.1346897357383&lt;/D&gt;&lt;D xsi:type="xsd:double"&gt;14.7163268117849&lt;/D&gt;&lt;D xsi:type="xsd:double"&gt;15.0185377861553&lt;/D&gt;&lt;D xsi:type="xsd:double"&gt;14.7917183333753&lt;/D&gt;&lt;D xsi:type="xsd:double"&gt;14.3939473892796&lt;/D&gt;&lt;D xsi:type="xsd:double"&gt;14.027002608384&lt;/D&gt;&lt;D xsi:type="xsd:double"&gt;13.4267799285698&lt;/D&gt;&lt;D xsi:type="xsd:double"&gt;13.8013981351481&lt;/D&gt;&lt;D xsi:type="xsd:double"&gt;13.2990535981244&lt;/D&gt;&lt;D xsi:type="xsd:double"&gt;13.4197705137938&lt;/D&gt;&lt;D xsi:type="xsd:double"&gt;12.8248312926141&lt;/D&gt;&lt;D xsi:type="xsd:double"&gt;11.0770534048936&lt;/D&gt;&lt;D xsi:type="xsd:double"&gt;11.3233544919676&lt;/D&gt;&lt;D xsi:type="xsd:double"&gt;10.6205830617991&lt;/D&gt;&lt;D xsi:type="xsd:double"&gt;10.4900520455481&lt;/D&gt;&lt;D xsi:type="xsd:double"&gt;9.83537011771045&lt;/D&gt;&lt;D xsi:type="xsd:double"&gt;10.3435591734168&lt;/D&gt;&lt;D xsi:type="xsd:double"&gt;10.0375515104043&lt;/D&gt;&lt;D xsi:type="xsd:double"&gt;9.00030534260339&lt;/D&gt;&lt;D xsi:type="xsd:double"&gt;10.7045980218153&lt;/D&gt;&lt;D xsi:type="xsd:double"&gt;10.6594291502862&lt;/D&gt;&lt;D xsi:type="xsd:double"&gt;11.4017312797765&lt;/D&gt;&lt;D xsi:type="xsd:double"&gt;11.6378126646984&lt;/D&gt;&lt;D xsi:type="xsd:double"&gt;11.4717174656139&lt;/D&gt;&lt;D xsi:type="xsd:double"&gt;11.3721306958332&lt;/D&gt;&lt;D xsi:type="xsd:double"&gt;11.0469310197081&lt;/D&gt;&lt;D xsi:type="xsd:double"&gt;10.860435403345&lt;/D&gt;&lt;D xsi:type="xsd:double"&gt;10.7347667098842&lt;/D&gt;&lt;D xsi:type="xsd:double"&gt;10.6329892237215&lt;/D&gt;&lt;D xsi:type="xsd:double"&gt;10.5586356518809&lt;/D&gt;&lt;D xsi:type="xsd:double"&gt;10.3132531325809&lt;/D&gt;&lt;D xsi:type="xsd:double"&gt;10.2562202091249&lt;/D&gt;&lt;D xsi:type="xsd:double"&gt;11.2403623659486&lt;/D&gt;&lt;D xsi:type="xsd:double"&gt;11.1117438093792&lt;/D&gt;&lt;D xsi:type="xsd:double"&gt;11.594247413869&lt;/D&gt;&lt;D xsi:type="xsd:double"&gt;12.2127037335875&lt;/D&gt;&lt;D xsi:type="xsd:double"&gt;11.9633744823997&lt;/D&gt;&lt;D xsi:type="xsd:double"&gt;12.2298676344571&lt;/D&gt;&lt;D xsi:type="xsd:double"&gt;12.0028673870074&lt;/D&gt;&lt;D xsi:type="xsd:double"&gt;12.0832177812169&lt;/D&gt;&lt;D xsi:type="xsd:double"&gt;11.3571663512927&lt;/D&gt;&lt;D xsi:type="xsd:double"&gt;11.9514489729844&lt;/D&gt;&lt;/FQL&gt;&lt;FQL&gt;&lt;Q&gt;EWA^FMA_PE(LTMA,-10AY,0,AM,"PORTAGG","MEANR")&lt;/Q&gt;&lt;R&gt;121&lt;/R&gt;&lt;C&gt;1&lt;/C&gt;&lt;D xsi:type="xsd:double"&gt;15.2487152257446&lt;/D&gt;&lt;D xsi:type="xsd:double"&gt;14.5620837773082&lt;/D&gt;&lt;D xsi:type="xsd:double"&gt;15.136215117403&lt;/D&gt;&lt;D xsi:type="xsd:double"&gt;14.1659501262923&lt;/D&gt;&lt;D xsi:type="xsd:double"&gt;14.8401334024556&lt;/D&gt;&lt;D xsi:type="xsd:double"&gt;15.5755879554662&lt;/D&gt;&lt;D xsi:type="xsd:double"&gt;16.1744322410386&lt;/D&gt;&lt;D xsi:type="xsd:double"&gt;16.3754703964034&lt;/D&gt;&lt;D xsi:type="xsd:double"&gt;16.2278065536212&lt;/D&gt;&lt;D xsi:type="xsd:double"&gt;15.9774469485795&lt;/D&gt;&lt;D xsi:type="xsd:double"&gt;15.8603446039008&lt;/D&gt;&lt;D xsi:type="xsd:double"&gt;15.7698913112468&lt;/D&gt;&lt;D xsi:type="xsd:double"&gt;15.2345937139231&lt;/D&gt;&lt;D xsi:type="xsd:double"&gt;15.6623604195213&lt;/D&gt;&lt;D xsi:type="xsd:double"&gt;15.3160400721795&lt;/D&gt;&lt;D xsi:type="xsd:double"&gt;15.1460539267285&lt;/D&gt;&lt;D xsi:type="xsd:double"&gt;14.8181427924261&lt;/D&gt;&lt;D xsi:type="xsd:double"&gt;14.5687737263046&lt;/D&gt;&lt;D xsi:type="xsd:double"&gt;15.1551611205159&lt;/D&gt;&lt;D xsi:type="xsd:double"&gt;15.09983833373&lt;/D&gt;&lt;D xsi:type="xsd:double"&gt;15.6535108973289&lt;/D&gt;&lt;D xsi:type="xsd:double"&gt;15.7523770220437&lt;/D&gt;&lt;D xsi:type="xsd:double"&gt;15.9878021234661&lt;/D&gt;&lt;D xsi:type="xsd:double"&gt;16.609676108332&lt;/D&gt;&lt;D xsi:type="xsd:double"&gt;16.0872997894956&lt;/D&gt;&lt;D xsi:type="xsd:double"&gt;16.8958320270915&lt;/D&gt;&lt;D xsi:type="xsd:double"&gt;16.9991673123515&lt;/D&gt;&lt;D xsi:type="xsd:double"&gt;17.5128082160809&lt;/D&gt;&lt;D xsi:type="xsd:double"&gt;18.0538019435176&lt;/D&gt;&lt;D xsi:type="xsd:double"&gt;17.7663985794786&lt;/D&gt;&lt;D xsi:type="xsd:double"&gt;17.486200019872&lt;/D&gt;&lt;D xsi:type="xsd:double"&gt;17.3610581461155&lt;/D&gt;&lt;D xsi:type="xsd:double"&gt;17.1268254270935&lt;/D&gt;&lt;D xsi:type="xsd:double"&gt;16.7547858197257&lt;/D&gt;&lt;D xsi:type="xsd:double"&gt;16.674351975152&lt;/D&gt;&lt;D xsi:type="xsd:double"&gt;16.6679885377975&lt;/D&gt;&lt;D xsi:type="xsd:double"&gt;16.6213520560459&lt;/D&gt;&lt;D xsi:type="xsd:double"&gt;16.4809055200265&lt;/D&gt;&lt;D xsi:type="xsd:double"&gt;16.8909540358367&lt;/D&gt;&lt;D xsi:type="xsd:double"&gt;16.6554081499574&lt;/D&gt;&lt;D xsi:type="xsd:double"&gt;16.7844566738707&lt;/D&gt;&lt;D xsi:type="xsd:double"&gt;16.0855950501654&lt;/D&gt;&lt;D xsi:type="xsd:double"&gt;16.5128456623047&lt;/D&gt;&lt;D xsi:type="xsd:double"&gt;16.2685253110546&lt;/D&gt;&lt;D xsi:type="xsd:double"&gt;16.3708513830814&lt;/D&gt;&lt;D xsi:type="xsd:double"&gt;16.1564894944532&lt;/D&gt;&lt;D xsi:type="xsd:double"&gt;16.3279218180506&lt;/D&gt;&lt;D xsi:type="xsd:double"&gt;16.3409066884196&lt;/D&gt;&lt;D xsi:type="xsd:double"&gt;16.0301555317657&lt;/D&gt;&lt;D xsi:type="xsd:double"&gt;15.414780971712&lt;/D&gt;&lt;D xsi:type="xsd:double"&gt;15.5030560514526&lt;/D&gt;&lt;D xsi:type="xsd:double"&gt;14.7663811297647&lt;/D&gt;&lt;D xsi:type="xsd:double"&gt;14.9955251256875&lt;/D&gt;&lt;D xsi:type="xsd:double"&gt;15.6980843806899&lt;/D&gt;&lt;D xsi:type="xsd:double"&gt;15.8697096477177&lt;/D&gt;&lt;D xsi:type="xsd:double"&gt;15.8579386987641&lt;/D&gt;&lt;D xsi:type="xsd:double"&gt;15.8579948762101&lt;/D&gt;&lt;D xsi:type="xsd:double"&gt;16.0936253395944&lt;/D&gt;&lt;D xsi:type="xsd:double"&gt;16.2652980835206&lt;/D&gt;&lt;D xsi:type="xsd:double"&gt;16.2766615094056&lt;/D&gt;&lt;D xsi:type="xsd:double"&gt;16.6606790419859&lt;/D&gt;&lt;D xsi:type="xsd:double"&gt;16.8178855295161&lt;/D&gt;&lt;D xsi:type="xsd:double"&gt;17.5321612662565&lt;/D&gt;&lt;D xsi:type="xsd:double"&gt;17.6195992512161&lt;/D&gt;&lt;D xsi:type="xsd:double"&gt;18.3003286942208&lt;/D&gt;&lt;D xsi:type="xsd:double"&gt;18.6977679069197&lt;/D&gt;&lt;D xsi:type="xsd:double"&gt;16.3710006787113&lt;/D&gt;&lt;D xsi:type="xsd:double"&gt;16.7400888471021&lt;/D&gt;&lt;D xsi:type="xsd:double"&gt;17.3834256634094&lt;/D&gt;&lt;D xsi:type="xsd:double"&gt;18.298234693611&lt;/D&gt;&lt;D xsi:type="xsd:double"&gt;18.5377595060374&lt;/D&gt;&lt;D xsi:type="xsd:double"&gt;19.596484617357&lt;/D&gt;&lt;D xsi:type="xsd:double"&gt;19.2094293074221&lt;/D&gt;&lt;D xsi:type="xsd:double"&gt;19.9831125409857&lt;/D&gt;&lt;D xsi:type="xsd:double"&gt;21.2222427035535&lt;/D&gt;&lt;D xsi:type="xsd:double"&gt;22.5284612472882&lt;/D&gt;&lt;D xsi:type="xsd:double"&gt;23.3100508322941&lt;/D&gt;&lt;D xsi:type="xsd:double"&gt;22.9374277053511&lt;/D&gt;&lt;D xsi:type="xsd:double"&gt;21.652438995315&lt;/D&gt;&lt;D xsi:type="xsd:double"&gt;21.2421451385653&lt;/D&gt;&lt;D xsi:type="xsd:double"&gt;20.8238633595929&lt;/D&gt;&lt;D xsi:type="xsd:double"&gt;20.5733404179039&lt;/D&gt;&lt;D xsi:type="xsd:double"&gt;19.6150047634779&lt;/D&gt;&lt;D xsi:type="xsd:double"&gt;19.27790349889&lt;/D&gt;&lt;D xsi:type="xsd:double"&gt;18.7883007690196&lt;/D&gt;&lt;D xsi:type="xsd:double"&gt;18.5668297821943&lt;/D&gt;&lt;D xsi:type="xsd:double"&gt;18.4226841181175&lt;/D&gt;&lt;D xsi:type="xsd:double"&gt;17.8301644748902&lt;/D&gt;&lt;D xsi:type="xsd:double"&gt;17.7734625553985&lt;/D&gt;&lt;D xsi:type="xsd:double"&gt;16.1147456219337&lt;/D&gt;&lt;D xsi:type="xsd:double"&gt;15.6568677057312&lt;/D&gt;&lt;D xsi:type="xsd:double"&gt;15.6849094902744&lt;/D&gt;&lt;D xsi:type="xsd:double"&gt;14.9690741438486&lt;/D&gt;&lt;D xsi:type="xsd:double"&gt;14.6351382967239&lt;/D&gt;&lt;D xsi:type="xsd:double"&gt;14.0061192809912&lt;/D&gt;&lt;D xsi:type="xsd:double"&gt;14.6190928832466&lt;/D&gt;&lt;D xsi:type="xsd:double"&gt;14.2569365901982&lt;/D&gt;&lt;D xsi:type="xsd:double"&gt;13.2384113330108&lt;/D&gt;&lt;D xsi:type="xsd:double"&gt;14.1967677114663&lt;/D&gt;&lt;D xsi:type="xsd:double"&gt;14.1819103384296&lt;/D&gt;&lt;D xsi:type="xsd:double"&gt;14.3951624337304&lt;/D&gt;&lt;D xsi:type="xsd:double"&gt;14.6603986014135&lt;/D&gt;&lt;D xsi:type="xsd:double"&gt;14.2048637400215&lt;/D&gt;&lt;D xsi:type="xsd:double"&gt;14.3514546397836&lt;/D&gt;&lt;D xsi:type="xsd:double"&gt;14.3444266458699&lt;/D&gt;&lt;D xsi:type="xsd:double"&gt;14.413139750309&lt;/D&gt;&lt;D xsi:type="xsd:double"&gt;14.6275892259261&lt;/D&gt;&lt;D xsi:type="xsd:double"&gt;15.0102017999146&lt;/D&gt;&lt;D xsi:type="xsd:double"&gt;15.0470350097595&lt;/D&gt;&lt;D xsi:type="xsd:double"&gt;14.7651711818121&lt;/D&gt;&lt;D xsi:type="xsd:double"&gt;14.8443256761663&lt;/D&gt;&lt;D xsi:type="xsd:double"&gt;15.4778892395094&lt;/D&gt;&lt;D xsi:type="xsd:double"&gt;16.2672466509926&lt;/D&gt;&lt;D xsi:type="xsd:double"&gt;16.4140406122555&lt;/D&gt;&lt;D xsi:type="xsd:double"&gt;16.6122230499967&lt;/D&gt;&lt;D xsi:type="xsd:double"&gt;16.6264193404382&lt;/D&gt;&lt;D xsi:type="xsd:double"&gt;16.6778123438373&lt;/D&gt;&lt;D xsi:type="xsd:double"&gt;16.7707884786433&lt;/D&gt;&lt;D xsi:type="xsd:double"&gt;17.1494644923341&lt;/D&gt;&lt;D xsi:type="xsd:double"&gt;17.0396097339323&lt;/D&gt;&lt;D xsi:type="xsd:double"&gt;17.4869998219664&lt;/D&gt;&lt;/FQL&gt;&lt;FQL&gt;&lt;Q&gt;WL-FDS^FG_PRICE_CHANGE(0,-1AM)&lt;/Q&gt;&lt;R&gt;1&lt;/R&gt;&lt;C&gt;1&lt;/C&gt;&lt;D xsi:type="xsd:double"&gt;3.98536773199847&lt;/D&gt;&lt;/FQL&gt;&lt;FQL&gt;&lt;Q&gt;NI-FDS^FG_PRICE_CHANGE(0,-1AM)&lt;/Q&gt;&lt;R&gt;1&lt;/R&gt;&lt;C&gt;1&lt;/C&gt;&lt;D xsi:type="xsd:double"&gt;-0.345260514752044&lt;/D&gt;&lt;/FQL&gt;&lt;FQL&gt;&lt;Q&gt;CPALM-FDS^FG_PRICE_CHANGE(0,-1AM)&lt;/Q&gt;&lt;R&gt;1&lt;/R&gt;&lt;C&gt;1&lt;/C&gt;&lt;D xsi:type="xsd:double"&gt;4.96083550913837&lt;/D&gt;&lt;/FQL&gt;&lt;FQL&gt;&lt;Q&gt;BRENT-FDS^FG_PRICE_CHANGE(0,-1AM)&lt;/Q&gt;&lt;R&gt;1&lt;/R&gt;&lt;C&gt;1&lt;/C&gt;&lt;D xsi:type="xsd:double"&gt;0&lt;/D&gt;&lt;/FQL&gt;&lt;FQL&gt;&lt;Q&gt;TIOS-FDS^FG_PRICE_CHANGE(0,-1AM)&lt;/Q&gt;&lt;R&gt;1&lt;/R&gt;&lt;C&gt;1&lt;/C&gt;&lt;D xsi:type="xsd:double"&gt;-7.55935233932651&lt;/D&gt;&lt;/FQL&gt;&lt;FQL&gt;&lt;Q&gt;FC0000CH^FG_PRICE(0)&lt;/Q&gt;&lt;R&gt;1&lt;/R&gt;&lt;C&gt;1&lt;/C&gt;&lt;D xsi:type="xsd:double"&gt;345.68753&lt;/D&gt;&lt;/FQL&gt;&lt;FQL&gt;&lt;Q&gt;FC0000AU^FG_PRICE(0)&lt;/Q&gt;&lt;R&gt;1&lt;/R&gt;&lt;C&gt;1&lt;/C&gt;&lt;D xsi:type="xsd:double"&gt;375.98138&lt;/D&gt;&lt;/FQL&gt;&lt;FQL&gt;&lt;Q&gt;SPY^FG_COMPANY_NAME&lt;/Q&gt;&lt;R&gt;1&lt;/R&gt;&lt;C&gt;1&lt;/C&gt;&lt;D xsi:type="xsd:string"&gt;SPDR S&amp;amp;P 500 ETF Trust&lt;/D&gt;&lt;/FQL&gt;&lt;FQL&gt;&lt;Q&gt;EWL^FMA_ROE(NTMA,-20AY,NOW,FY,"PORTAGG","MEANR")&lt;/Q&gt;&lt;R&gt;20&lt;/R&gt;&lt;C&gt;1&lt;/C&gt;&lt;D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xsi:type="xsd:string"&gt;Switzerland&lt;/D&gt;&lt;/FQL&gt;&lt;FQL&gt;&lt;Q&gt;USDUSD^FG_PRICE_CHANGE(0,-6AM)&lt;/Q&gt;&lt;R&gt;1&lt;/R&gt;&lt;C&gt;1&lt;/C&gt;&lt;D xsi:type="xsd:double"&gt;0&lt;/D&gt;&lt;/FQL&gt;&lt;FQL&gt;&lt;Q&gt;USDSEK^FG_PRICE_CHANGE(0,-6AM)&lt;/Q&gt;&lt;R&gt;1&lt;/R&gt;&lt;C&gt;1&lt;/C&gt;&lt;D xsi:type="xsd:double"&gt;0.7349014&lt;/D&gt;&lt;/FQL&gt;&lt;FQL&gt;&lt;Q&gt;USDCHF^FG_PRICE_CHANGE(0,-6AM)&lt;/Q&gt;&lt;R&gt;1&lt;/R&gt;&lt;C&gt;1&lt;/C&gt;&lt;D xsi:type="xsd:double"&gt;-2.7668655&lt;/D&gt;&lt;/FQL&gt;&lt;FQL&gt;&lt;Q&gt;QQQ^FG_COMPANY_NAME&lt;/Q&gt;&lt;R&gt;1&lt;/R&gt;&lt;C&gt;1&lt;/C&gt;&lt;D xsi:type="xsd:string"&gt;Invesco QQQ Trust Series I&lt;/D&gt;&lt;/FQL&gt;&lt;FQL&gt;&lt;Q&gt;EWJ^FMA_ROE(NTMA,-20AY,NOW,FY,"PORTAGG","MEANR")&lt;/Q&gt;&lt;R&gt;20&lt;/R&gt;&lt;C&gt;1&lt;/C&gt;&lt;D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xsi:type="xsd:double"&gt;8.35596279152373&lt;/D&gt;&lt;D xsi:type="xsd:double"&gt;7.43767998389654&lt;/D&gt;&lt;D xsi:type="xsd:double"&gt;9.22022085165367&lt;/D&gt;&lt;D xsi:type="xsd:double"&gt;9.22544557136733&lt;/D&gt;&lt;D xsi:type="xsd:double"&gt;9.29976871138421&lt;/D&gt;&lt;/FQL&gt;&lt;FQL&gt;&lt;Q&gt;TRYQA10Y-FDS^FG_YIELD(-10AY,0,Y,,"YTM")&lt;/Q&gt;&lt;R&gt;10&lt;/R&gt;&lt;C&gt;1&lt;/C&gt;&lt;D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xsi:type="xsd:double"&gt;0.703&lt;/D&gt;&lt;/FQL&gt;&lt;FQL&gt;&lt;Q&gt;EWN^FG_PRICE(0)&lt;/Q&gt;&lt;R&gt;1&lt;/R&gt;&lt;C&gt;1&lt;/C&gt;&lt;D xsi:type="xsd:double"&gt;49.09&lt;/D&gt;&lt;/FQL&gt;&lt;FQL&gt;&lt;Q&gt;EWU^FG_PRICE(0)&lt;/Q&gt;&lt;R&gt;1&lt;/R&gt;&lt;C&gt;1&lt;/C&gt;&lt;D xsi:type="xsd:double"&gt;36.79&lt;/D&gt;&lt;/FQL&gt;&lt;FQL&gt;&lt;Q&gt;EWC^FG_PRICE(0)&lt;/Q&gt;&lt;R&gt;1&lt;/R&gt;&lt;C&gt;1&lt;/C&gt;&lt;D xsi:type="xsd:double"&gt;40.4&lt;/D&gt;&lt;/FQL&gt;&lt;FQL&gt;&lt;Q&gt;EWU^FG_COMPANY_NAME&lt;/Q&gt;&lt;R&gt;1&lt;/R&gt;&lt;C&gt;1&lt;/C&gt;&lt;D xsi:type="xsd:string"&gt;iShares MSCI United Kingdom ETF&lt;/D&gt;&lt;/FQL&gt;&lt;FQL&gt;&lt;Q&gt;SPY^FG_TOTAL_RETURNC(0,-12AM)&lt;/Q&gt;&lt;R&gt;1&lt;/R&gt;&lt;C&gt;1&lt;/C&gt;&lt;D xsi:type="xsd:double"&gt;27.122402&lt;/D&gt;&lt;/FQL&gt;&lt;FQL&gt;&lt;Q&gt;EWL^FG_TOTAL_RETURNC(0,-3AM)&lt;/Q&gt;&lt;R&gt;1&lt;/R&gt;&lt;C&gt;1&lt;/C&gt;&lt;D xsi:type="xsd:double"&gt;4.139471&lt;/D&gt;&lt;/FQL&gt;&lt;FQL&gt;&lt;Q&gt;EWG^P_PRICE(0)/P_PRICE_HIGH_PR(0,,,,,,"PRICE","INTRA","52W")&lt;/Q&gt;&lt;R&gt;1&lt;/R&gt;&lt;C&gt;1&lt;/C&gt;&lt;D xsi:type="xsd:double"&gt;0.9811436&lt;/D&gt;&lt;/FQL&gt;&lt;FQL&gt;&lt;Q&gt;CAGDPY@CH^EE_ACTUAL_ANNUAL(MED,+1)&lt;/Q&gt;&lt;R&gt;1&lt;/R&gt;&lt;C&gt;1&lt;/C&gt;&lt;D xsi:type="xsd:double"&gt;8&lt;/D&gt;&lt;/FQL&gt;&lt;FQL&gt;&lt;Q&gt;CC_JP^FG_COMPANY_NAME&lt;/Q&gt;&lt;R&gt;1&lt;/R&gt;&lt;C&gt;1&lt;/C&gt;&lt;D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xsi:type="xsd:double"&gt;0.1203537&lt;/D&gt;&lt;/FQL&gt;&lt;FQL&gt;&lt;Q&gt;USDCHF^FG_PRICE_CHANGE(0,-3AM)&lt;/Q&gt;&lt;R&gt;1&lt;/R&gt;&lt;C&gt;1&lt;/C&gt;&lt;D xsi:type="xsd:double"&gt;-4.1474876&lt;/D&gt;&lt;/FQL&gt;&lt;FQL&gt;&lt;Q&gt;USDEUR^FG_PRICE_CHANGE(0,-3AM)&lt;/Q&gt;&lt;R&gt;1&lt;/R&gt;&lt;C&gt;1&lt;/C&gt;&lt;D xsi:type="xsd:double"&gt;-1.7436624&lt;/D&gt;&lt;/FQL&gt;&lt;FQL&gt;&lt;Q&gt;USDAUD^FG_PRICE_CHANGE(0,-3AM)&lt;/Q&gt;&lt;R&gt;1&lt;/R&gt;&lt;C&gt;1&lt;/C&gt;&lt;D xsi:type="xsd:double"&gt;0.014948845&lt;/D&gt;&lt;/FQL&gt;&lt;FQL&gt;&lt;Q&gt;EWQ^FMA_EPS(NTMA,-20AY,0,CY,,"PORTAGG","MEANR")&lt;/Q&gt;&lt;R&gt;20&lt;/R&gt;&lt;C&gt;1&lt;/C&gt;&lt;D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xsi:type="xsd:double"&gt;2.19630177800995&lt;/D&gt;&lt;D xsi:type="xsd:double"&gt;1.85069172426398&lt;/D&gt;&lt;D xsi:type="xsd:double"&gt;2.46019919984586&lt;/D&gt;&lt;D xsi:type="xsd:double"&gt;2.80188925929963&lt;/D&gt;&lt;D xsi:type="xsd:double"&gt;2.91976645117067&lt;/D&gt;&lt;/FQL&gt;&lt;FQL&gt;&lt;Q&gt;QQQ^P_PRICE_RETURNS_PR('52W',2,-10AY,0,AM)&lt;/Q&gt;&lt;R&gt;121&lt;/R&gt;&lt;C&gt;1&lt;/C&gt;&lt;D xsi:type="xsd:double"&gt;29.483116&lt;/D&gt;&lt;D xsi:type="xsd:double"&gt;21.90807&lt;/D&gt;&lt;D xsi:type="xsd:double"&gt;25.963343&lt;/D&gt;&lt;D xsi:type="xsd:double"&gt;22.62621&lt;/D&gt;&lt;D xsi:type="xsd:double"&gt;18.103241&lt;/D&gt;&lt;D xsi:type="xsd:double"&gt;20.964622&lt;/D&gt;&lt;D xsi:type="xsd:double"&gt;18.129206&lt;/D&gt;&lt;D xsi:type="xsd:double"&gt;28.021503&lt;/D&gt;&lt;D xsi:type="xsd:double"&gt;23.51426&lt;/D&gt;&lt;D xsi:type="xsd:double"&gt;19.454002&lt;/D&gt;&lt;D xsi:type="xsd:double"&gt;14.942705&lt;/D&gt;&lt;D xsi:type="xsd:double"&gt;17.067242&lt;/D&gt;&lt;D xsi:type="xsd:double"&gt;6.71314&lt;/D&gt;&lt;D xsi:type="xsd:double"&gt;14.30031&lt;/D&gt;&lt;D xsi:type="xsd:double"&gt;10.532892&lt;/D&gt;&lt;D xsi:type="xsd:double"&gt;7.8887105&lt;/D&gt;&lt;D xsi:type="xsd:double"&gt;4.9914956&lt;/D&gt;&lt;D xsi:type="xsd:double"&gt;-6.583029&lt;/D&gt;&lt;D xsi:type="xsd:double"&gt;2.348566&lt;/D&gt;&lt;D xsi:type="xsd:double"&gt;2.7413964&lt;/D&gt;&lt;D xsi:type="xsd:double"&gt;-0.68250895&lt;/D&gt;&lt;D xsi:type="xsd:double"&gt;0.58237314&lt;/D&gt;&lt;D xsi:type="xsd:double"&gt;4.735756&lt;/D&gt;&lt;D xsi:type="xsd:double"&gt;7.2407603&lt;/D&gt;&lt;D xsi:type="xsd:double"&gt;11.435699&lt;/D&gt;&lt;D xsi:type="xsd:double"&gt;11.198974&lt;/D&gt;&lt;D xsi:type="xsd:double"&gt;3.5098672&lt;/D&gt;&lt;D xsi:type="xsd:double"&gt;8.589983&lt;/D&gt;&lt;D xsi:type="xsd:double"&gt;17.59634&lt;/D&gt;&lt;D xsi:type="xsd:double"&gt;33.212326&lt;/D&gt;&lt;D xsi:type="xsd:double"&gt;26.94229&lt;/D&gt;&lt;D xsi:type="xsd:double"&gt;20.780432&lt;/D&gt;&lt;D xsi:type="xsd:double"&gt;32.236908&lt;/D&gt;&lt;D xsi:type="xsd:double"&gt;29.118896&lt;/D&gt;&lt;D xsi:type="xsd:double"&gt;27.503777&lt;/D&gt;&lt;D xsi:type="xsd:double"&gt;22.58234&lt;/D&gt;&lt;D xsi:type="xsd:double"&gt;26.993048&lt;/D&gt;&lt;D xsi:type="xsd:double"&gt;27.108395&lt;/D&gt;&lt;D xsi:type="xsd:double"&gt;34.09926&lt;/D&gt;&lt;D xsi:type="xsd:double"&gt;32.187305&lt;/D&gt;&lt;D xsi:type="xsd:double"&gt;35.237564&lt;/D&gt;&lt;D xsi:type="xsd:double"&gt;25.859081&lt;/D&gt;&lt;D xsi:type="xsd:double"&gt;33.699738&lt;/D&gt;&lt;D xsi:type="xsd:double"&gt;24.977135&lt;/D&gt;&lt;D xsi:type="xsd:double"&gt;23.60481&lt;/D&gt;&lt;D xsi:type="xsd:double"&gt;27.385246&lt;/D&gt;&lt;D xsi:type="xsd:double"&gt;28.580332&lt;/D&gt;&lt;D xsi:type="xsd:double"&gt;29.037142&lt;/D&gt;&lt;D xsi:type="xsd:double"&gt;25.877274&lt;/D&gt;&lt;D xsi:type="xsd:double"&gt;18.874311&lt;/D&gt;&lt;D xsi:type="xsd:double"&gt;9.063732&lt;/D&gt;&lt;D xsi:type="xsd:double"&gt;6.8271995&lt;/D&gt;&lt;D xsi:type="xsd:double"&gt;-0.75089335&lt;/D&gt;&lt;D xsi:type="xsd:double"&gt;8.485603&lt;/D&gt;&lt;D xsi:type="xsd:double"&gt;1.787746&lt;/D&gt;&lt;D xsi:type="xsd:double"&gt;15.559519&lt;/D&gt;&lt;D xsi:type="xsd:double"&gt;10.01761&lt;/D&gt;&lt;D xsi:type="xsd:double"&gt;4.605973&lt;/D&gt;&lt;D xsi:type="xsd:double"&gt;8.786821&lt;/D&gt;&lt;D xsi:type="xsd:double"&gt;3.018093&lt;/D&gt;&lt;D xsi:type="xsd:double"&gt;6.7620754&lt;/D&gt;&lt;D xsi:type="xsd:double"&gt;13.697254&lt;/D&gt;&lt;D xsi:type="xsd:double"&gt;22.25964&lt;/D&gt;&lt;D xsi:type="xsd:double"&gt;26.246094&lt;/D&gt;&lt;D xsi:type="xsd:double"&gt;36.549603&lt;/D&gt;&lt;D xsi:type="xsd:double"&gt;38.216125&lt;/D&gt;&lt;D xsi:type="xsd:double"&gt;1.758182&lt;/D&gt;&lt;D xsi:type="xsd:double"&gt;9.808922&lt;/D&gt;&lt;D xsi:type="xsd:double"&gt;21.090305&lt;/D&gt;&lt;D xsi:type="xsd:double"&gt;30.467583&lt;/D&gt;&lt;D xsi:type="xsd:double"&gt;38.187862&lt;/D&gt;&lt;D xsi:type="xsd:double"&gt;48.65637&lt;/D&gt;&lt;D xsi:type="xsd:double"&gt;41.675793&lt;/D&gt;&lt;D xsi:type="xsd:double"&gt;55.268192&lt;/D&gt;&lt;D xsi:type="xsd:double"&gt;44.168507&lt;/D&gt;&lt;D xsi:type="xsd:double"&gt;48.35974&lt;/D&gt;&lt;D xsi:type="xsd:double"&gt;44.741867&lt;/D&gt;&lt;D xsi:type="xsd:double"&gt;44.640957&lt;/D&gt;&lt;D xsi:type="xsd:double"&gt;79.1736&lt;/D&gt;&lt;D xsi:type="xsd:double"&gt;68.66037&lt;/D&gt;&lt;D xsi:type="xsd:double"&gt;43.556534&lt;/D&gt;&lt;D xsi:type="xsd:double"&gt;46.726643&lt;/D&gt;&lt;D xsi:type="xsd:double"&gt;38.074566&lt;/D&gt;&lt;D xsi:type="xsd:double"&gt;35.95761&lt;/D&gt;&lt;D xsi:type="xsd:double"&gt;39.063583&lt;/D&gt;&lt;D xsi:type="xsd:double"&gt;21.906399&lt;/D&gt;&lt;D xsi:type="xsd:double"&gt;37.5908&lt;/D&gt;&lt;D xsi:type="xsd:double"&gt;32.26881&lt;/D&gt;&lt;D xsi:type="xsd:double"&gt;23.986351&lt;/D&gt;&lt;D xsi:type="xsd:double"&gt;4.230273&lt;/D&gt;&lt;D xsi:type="xsd:double"&gt;2.491641&lt;/D&gt;&lt;D xsi:type="xsd:double"&gt;1.3119578&lt;/D&gt;&lt;D xsi:type="xsd:double"&gt;-7.6796236&lt;/D&gt;&lt;D xsi:type="xsd:double"&gt;-14.725161&lt;/D&gt;&lt;D xsi:type="xsd:double"&gt;-20.581543&lt;/D&gt;&lt;D xsi:type="xsd:double"&gt;-9.606457&lt;/D&gt;&lt;D xsi:type="xsd:double"&gt;-17.02798&lt;/D&gt;&lt;D xsi:type="xsd:double"&gt;-25.998491&lt;/D&gt;&lt;D xsi:type="xsd:double"&gt;-25.818407&lt;/D&gt;&lt;D xsi:type="xsd:double"&gt;-27.80304&lt;/D&gt;&lt;D xsi:type="xsd:double"&gt;-27.42998&lt;/D&gt;&lt;D xsi:type="xsd:double"&gt;-15.771079&lt;/D&gt;&lt;D xsi:type="xsd:double"&gt;-12.2559185&lt;/D&gt;&lt;D xsi:type="xsd:double"&gt;-7.074499&lt;/D&gt;&lt;D xsi:type="xsd:double"&gt;12.49094&lt;/D&gt;&lt;D xsi:type="xsd:double"&gt;25.761234&lt;/D&gt;&lt;D xsi:type="xsd:double"&gt;31.178236&lt;/D&gt;&lt;D xsi:type="xsd:double"&gt;13.81681&lt;/D&gt;&lt;D xsi:type="xsd:double"&gt;20.825886&lt;/D&gt;&lt;D xsi:type="xsd:double"&gt;41.798748&lt;/D&gt;&lt;D xsi:type="xsd:double"&gt;34.736073&lt;/D&gt;&lt;D xsi:type="xsd:double"&gt;40.55058&lt;/D&gt;&lt;D xsi:type="xsd:double"&gt;47.780643&lt;/D&gt;&lt;D xsi:type="xsd:double"&gt;46.259426&lt;/D&gt;&lt;D xsi:type="xsd:double"&gt;54.814373&lt;/D&gt;&lt;D xsi:type="xsd:double"&gt;40.936375&lt;/D&gt;&lt;D xsi:type="xsd:double"&gt;36.864864&lt;/D&gt;&lt;D xsi:type="xsd:double"&gt;32.404804&lt;/D&gt;&lt;D xsi:type="xsd:double"&gt;33.63812&lt;/D&gt;&lt;D xsi:type="xsd:double"&gt;24.09631&lt;/D&gt;&lt;D xsi:type="xsd:double"&gt;27.814793&lt;/D&gt;&lt;/FQL&gt;&lt;FQL&gt;&lt;Q&gt;EWL^FG_TOTAL_RETURNC(-10AY,0,AM)&lt;/Q&gt;&lt;R&gt;121&lt;/R&gt;&lt;C&gt;1&lt;/C&gt;&lt;D xsi:type="xsd:double"&gt;1.9283772&lt;/D&gt;&lt;D xsi:type="xsd:double"&gt;-8.078074&lt;/D&gt;&lt;D xsi:type="xsd:double"&gt;5.651748&lt;/D&gt;&lt;D xsi:type="xsd:double"&gt;-0.89672804&lt;/D&gt;&lt;D xsi:type="xsd:double"&gt;-1.7160654&lt;/D&gt;&lt;D xsi:type="xsd:double"&gt;4.126978&lt;/D&gt;&lt;D xsi:type="xsd:double"&gt;-1.3109744&lt;/D&gt;&lt;D xsi:type="xsd:double"&gt;6.30213&lt;/D&gt;&lt;D xsi:type="xsd:double"&gt;2.0052314&lt;/D&gt;&lt;D xsi:type="xsd:double"&gt;-0.62677264&lt;/D&gt;&lt;D xsi:type="xsd:double"&gt;-0.19480586&lt;/D&gt;&lt;D xsi:type="xsd:double"&gt;-1.9999981&lt;/D&gt;&lt;D xsi:type="xsd:double"&gt;-4.6518564&lt;/D&gt;&lt;D xsi:type="xsd:double"&gt;0.28328896&lt;/D&gt;&lt;D xsi:type="xsd:double"&gt;-2.950412&lt;/D&gt;&lt;D xsi:type="xsd:double"&gt;-1.3260007&lt;/D&gt;&lt;D xsi:type="xsd:double"&gt;-2.9498518&lt;/D&gt;&lt;D xsi:type="xsd:double"&gt;-4.8632264&lt;/D&gt;&lt;D xsi:type="xsd:double"&gt;5.7152987&lt;/D&gt;&lt;D xsi:type="xsd:double"&gt;1.3095975&lt;/D&gt;&lt;D xsi:type="xsd:double"&gt;0.23201704&lt;/D&gt;&lt;D xsi:type="xsd:double"&gt;-0.066137314&lt;/D&gt;&lt;D xsi:type="xsd:double"&gt;0.48794746&lt;/D&gt;&lt;D xsi:type="xsd:double"&gt;3.8877606&lt;/D&gt;&lt;D xsi:type="xsd:double"&gt;0.032544136&lt;/D&gt;&lt;D xsi:type="xsd:double"&gt;-3.1229615&lt;/D&gt;&lt;D xsi:type="xsd:double"&gt;-2.014774&lt;/D&gt;&lt;D xsi:type="xsd:double"&gt;-0.68540573&lt;/D&gt;&lt;D xsi:type="xsd:double"&gt;4.965377&lt;/D&gt;&lt;D xsi:type="xsd:double"&gt;1.4144778&lt;/D&gt;&lt;D xsi:type="xsd:double"&gt;2.238083&lt;/D&gt;&lt;D xsi:type="xsd:double"&gt;2.030456&lt;/D&gt;&lt;D xsi:type="xsd:double"&gt;6.3432813&lt;/D&gt;&lt;D xsi:type="xsd:double"&gt;0.23391247&lt;/D&gt;&lt;D xsi:type="xsd:double"&gt;2.5254369&lt;/D&gt;&lt;D xsi:type="xsd:double"&gt;-1.1915147&lt;/D&gt;&lt;D xsi:type="xsd:double"&gt;2.7941227&lt;/D&gt;&lt;D xsi:type="xsd:double"&gt;1.0300398&lt;/D&gt;&lt;D xsi:type="xsd:double"&gt;-3.2851875&lt;/D&gt;&lt;D xsi:type="xsd:double"&gt;2.2547483&lt;/D&gt;&lt;D xsi:type="xsd:double"&gt;4.6105385&lt;/D&gt;&lt;D xsi:type="xsd:double"&gt;-3.996712&lt;/D&gt;&lt;D xsi:type="xsd:double"&gt;0.25663376&lt;/D&gt;&lt;D xsi:type="xsd:double"&gt;-2.275312&lt;/D&gt;&lt;D xsi:type="xsd:double"&gt;0.40744543&lt;/D&gt;&lt;D xsi:type="xsd:double"&gt;-1.7970979&lt;/D&gt;&lt;D xsi:type="xsd:double"&gt;0.32918453&lt;/D&gt;&lt;D xsi:type="xsd:double"&gt;2.6236415&lt;/D&gt;&lt;D xsi:type="xsd:double"&gt;1.6749859&lt;/D&gt;&lt;D xsi:type="xsd:double"&gt;-6.069362&lt;/D&gt;&lt;D xsi:type="xsd:double"&gt;0.9846091&lt;/D&gt;&lt;D xsi:type="xsd:double"&gt;-0.24374723&lt;/D&gt;&lt;D xsi:type="xsd:double"&gt;0.27489662&lt;/D&gt;&lt;D xsi:type="xsd:double"&gt;1.58391&lt;/D&gt;&lt;D xsi:type="xsd:double"&gt;3.1184435&lt;/D&gt;&lt;D xsi:type="xsd:double"&gt;3.5475492&lt;/D&gt;&lt;D xsi:type="xsd:double"&gt;0.36506653&lt;/D&gt;&lt;D xsi:type="xsd:double"&gt;4.5886993&lt;/D&gt;&lt;D xsi:type="xsd:double"&gt;0.90829134&lt;/D&gt;&lt;D xsi:type="xsd:double"&gt;0.86580515&lt;/D&gt;&lt;D xsi:type="xsd:double"&gt;2.2264004&lt;/D&gt;&lt;D xsi:type="xsd:double"&gt;-1.8367887&lt;/D&gt;&lt;D xsi:type="xsd:double"&gt;3.07405&lt;/D&gt;&lt;D xsi:type="xsd:double"&gt;2.2302866&lt;/D&gt;&lt;D xsi:type="xsd:double"&gt;2.4606824&lt;/D&gt;&lt;D xsi:type="xsd:double"&gt;4.010892&lt;/D&gt;&lt;D xsi:type="xsd:double"&gt;-24.041891&lt;/D&gt;&lt;D xsi:type="xsd:double"&gt;13.694763&lt;/D&gt;&lt;D xsi:type="xsd:double"&gt;2.0396948&lt;/D&gt;&lt;D xsi:type="xsd:double"&gt;4.2949796&lt;/D&gt;&lt;D xsi:type="xsd:double"&gt;5.8374286&lt;/D&gt;&lt;D xsi:type="xsd:double"&gt;3.8796306&lt;/D&gt;&lt;D xsi:type="xsd:double"&gt;1.1491537&lt;/D&gt;&lt;D xsi:type="xsd:double"&gt;0.7337332&lt;/D&gt;&lt;D xsi:type="xsd:double"&gt;-0.5874038&lt;/D&gt;&lt;D xsi:type="xsd:double"&gt;2.88347&lt;/D&gt;&lt;D xsi:type="xsd:double"&gt;4.4883013&lt;/D&gt;&lt;D xsi:type="xsd:double"&gt;-0.21997094&lt;/D&gt;&lt;D xsi:type="xsd:double"&gt;-3.1084657&lt;/D&gt;&lt;D xsi:type="xsd:double"&gt;4.596138&lt;/D&gt;&lt;D xsi:type="xsd:double"&gt;0.32629967&lt;/D&gt;&lt;D xsi:type="xsd:double"&gt;9.617508&lt;/D&gt;&lt;D xsi:type="xsd:double"&gt;-0.02014041&lt;/D&gt;&lt;D xsi:type="xsd:double"&gt;1.8134117&lt;/D&gt;&lt;D xsi:type="xsd:double"&gt;-2.2560835&lt;/D&gt;&lt;D xsi:type=</t>
        </r>
      </text>
    </comment>
    <comment ref="A7" authorId="0" shapeId="0" xr:uid="{24FA208F-7D96-4134-B4B3-F0166599752A}">
      <text>
        <r>
          <rPr>
            <b/>
            <sz val="9"/>
            <color indexed="81"/>
            <rFont val="Tahoma"/>
            <charset val="1"/>
          </rPr>
          <t>"xsd:double"&gt;-4.2316256&lt;/D&gt;&lt;D xsi:type="xsd:double"&gt;7.9704046&lt;/D&gt;&lt;D xsi:type="xsd:double"&gt;0.33288002&lt;/D&gt;&lt;D xsi:type="xsd:double"&gt;0.8391857&lt;/D&gt;&lt;D xsi:type="xsd:double"&gt;-5.844778&lt;/D&gt;&lt;D xsi:type="xsd:double"&gt;-7.173693&lt;/D&gt;&lt;D xsi:type="xsd:double"&gt;9.189547&lt;/D&gt;&lt;D xsi:type="xsd:double"&gt;-12.81687&lt;/D&gt;&lt;D xsi:type="xsd:double"&gt;-2.3745835&lt;/D&gt;&lt;D xsi:type="xsd:double"&gt;0.19450188&lt;/D&gt;&lt;D xsi:type="xsd:double"&gt;6.7702055&lt;/D&gt;&lt;D xsi:type="xsd:double"&gt;-4.318184&lt;/D&gt;&lt;D xsi:type="xsd:double"&gt;-12.32779&lt;/D&gt;&lt;D xsi:type="xsd:double"&gt;17.339479999999998&lt;/D&gt;&lt;D xsi:type="xsd:double"&gt;-1.1313796&lt;/D&gt;&lt;D xsi:type="xsd:double"&gt;3.8066387&lt;/D&gt;&lt;D xsi:type="xsd:double"&gt;-0.26996136&lt;/D&gt;&lt;D xsi:type="xsd:double"&gt;-3.3386052&lt;/D&gt;&lt;D xsi:type="xsd:double"&gt;9.05484&lt;/D&gt;&lt;D xsi:type="xsd:double"&gt;3.4667253&lt;/D&gt;&lt;D xsi:type="xsd:double"&gt;-3.3166647&lt;/D&gt;&lt;D xsi:type="xsd:double"&gt;1.9466281&lt;/D&gt;&lt;D xsi:type="xsd:double"&gt;-0.23600459&lt;/D&gt;&lt;D xsi:type="xsd:double"&gt;-2.838707&lt;/D&gt;&lt;D xsi:type="xsd:double"&gt;-2.6339054&lt;/D&gt;&lt;D xsi:type="xsd:double"&gt;-2.09139&lt;/D&gt;&lt;D xsi:type="xsd:double"&gt;7.8244686&lt;/D&gt;&lt;D xsi:type="xsd:double"&gt;3.1007767&lt;/D&gt;&lt;D xsi:type="xsd:double"&gt;-2.7986646&lt;/D&gt;&lt;D xsi:type="xsd:double"&gt;4.7056317&lt;/D&gt;&lt;D xsi:type="xsd:double"&gt;-6.484711&lt;/D&gt;&lt;D xsi:type="xsd:double"&gt;5.2007914&lt;/D&gt;&lt;D xsi:type="xsd:double"&gt;4.440403&lt;/D&gt;&lt;D xsi:type="xsd:double"&gt;1.4885783&lt;/D&gt;&lt;D xsi:type="xsd:double"&gt;-0.5224049&lt;/D&gt;&lt;D xsi:type="xsd:double"&gt;3.1508803&lt;/D&gt;&lt;/FQL&gt;&lt;FQL&gt;&lt;Q&gt;EWG^FMA_DIV_YLD(NTMA,-10AY,0,AM,"PORTAGG","MEANR")&lt;/Q&gt;&lt;R&gt;121&lt;/R&gt;&lt;C&gt;1&lt;/C&gt;&lt;D xsi:type="xsd:double"&gt;3.12056939103687&lt;/D&gt;&lt;D xsi:type="xsd:double"&gt;3.44366313081434&lt;/D&gt;&lt;D xsi:type="xsd:double"&gt;3.35514851608057&lt;/D&gt;&lt;D xsi:type="xsd:double"&gt;3.25471664018052&lt;/D&gt;&lt;D xsi:type="xsd:double"&gt;3.20075412290203&lt;/D&gt;&lt;D xsi:type="xsd:double"&gt;2.89301565369886&lt;/D&gt;&lt;D xsi:type="xsd:double"&gt;2.69978004973322&lt;/D&gt;&lt;D xsi:type="xsd:double"&gt;2.60633719784107&lt;/D&gt;&lt;D xsi:type="xsd:double"&gt;2.88918063977312&lt;/D&gt;&lt;D xsi:type="xsd:double"&gt;3.01079436468088&lt;/D&gt;&lt;D xsi:type="xsd:double"&gt;2.99985936476937&lt;/D&gt;&lt;D xsi:type="xsd:double"&gt;3.12805273769316&lt;/D&gt;&lt;D xsi:type="xsd:double"&gt;3.37282846320245&lt;/D&gt;&lt;D xsi:type="xsd:double"&gt;3.30291475040648&lt;/D&gt;&lt;D xsi:type="xsd:double"&gt;3.00596579368355&lt;/D&gt;&lt;D xsi:type="xsd:double"&gt;3.14603142088753&lt;/D&gt;&lt;D xsi:type="xsd:double"&gt;3.27180130624402&lt;/D&gt;&lt;D xsi:type="xsd:double"&gt;3.66381175684841&lt;/D&gt;&lt;D xsi:type="xsd:double"&gt;3.33529131160523&lt;/D&gt;&lt;D xsi:type="xsd:double"&gt;3.36822221312747&lt;/D&gt;&lt;D xsi:type="xsd:double"&gt;3.37291004548807&lt;/D&gt;&lt;D xsi:type="xsd:double"&gt;3.4186106729556&lt;/D&gt;&lt;D xsi:type="xsd:double"&gt;3.38692117990219&lt;/D&gt;&lt;D xsi:type="xsd:double"&gt;3.14439179500874&lt;/D&gt;&lt;D xsi:type="xsd:double"&gt;3.22950613744613&lt;/D&gt;&lt;D xsi:type="xsd:double"&gt;3.15511965368567&lt;/D&gt;&lt;D xsi:type="xsd:double"&gt;3.17717326560003&lt;/D&gt;&lt;D xsi:type="xsd:double"&gt;3.03888678766142&lt;/D&gt;&lt;D xsi:type="xsd:double"&gt;2.97034234684559&lt;/D&gt;&lt;D xsi:type="xsd:double"&gt;2.97462062373004&lt;/D&gt;&lt;D xsi:type="xsd:double"&gt;2.95471489324386&lt;/D&gt;&lt;D xsi:type="xsd:double"&gt;2.93138950945844&lt;/D&gt;&lt;D xsi:type="xsd:double"&gt;2.87009759506073&lt;/D&gt;&lt;D xsi:type="xsd:double"&gt;2.9352132266606&lt;/D&gt;&lt;D xsi:type="xsd:double"&gt;2.9713153129585&lt;/D&gt;&lt;D xsi:type="xsd:double"&gt;3.13089452200739&lt;/D&gt;&lt;D xsi:type="xsd:double"&gt;3.04623131165303&lt;/D&gt;&lt;D xsi:type="xsd:double"&gt;2.95234341850959&lt;/D&gt;&lt;D xsi:type="xsd:double"&gt;2.92047883043325&lt;/D&gt;&lt;D xsi:type="xsd:double"&gt;2.89152022832613&lt;/D&gt;&lt;D xsi:type="xsd:double"&gt;2.8856312831675&lt;/D&gt;&lt;D xsi:type="xsd:double"&gt;3.15711985329324&lt;/D&gt;&lt;D xsi:type="xsd:double"&gt;3.1338583202328&lt;/D&gt;&lt;D xsi:type="xsd:double"&gt;3.19024137189514&lt;/D&gt;&lt;D xsi:type="xsd:double"&gt;3.09773286075758&lt;/D&gt;&lt;D xsi:type="xsd:double"&gt;3.12952456817118&lt;/D&gt;&lt;D xsi:type="xsd:double"&gt;3.22459982078822&lt;/D&gt;&lt;D xsi:type="xsd:double"&gt;3.25195249270802&lt;/D&gt;&lt;D xsi:type="xsd:double"&gt;3.35171880434331&lt;/D&gt;&lt;D xsi:type="xsd:double"&gt;3.54638743823307&lt;/D&gt;&lt;D xsi:type="xsd:double"&gt;3.65173122836701&lt;/D&gt;&lt;D xsi:type="xsd:double"&gt;3.80102920715561&lt;/D&gt;&lt;D xsi:type="xsd:double"&gt;3.82866141842785&lt;/D&gt;&lt;D xsi:type="xsd:double"&gt;3.7330560410591&lt;/D&gt;&lt;D xsi:type="xsd:double"&gt;3.61833336310376&lt;/D&gt;&lt;D xsi:type="xsd:double"&gt;3.47734890093575&lt;/D&gt;&lt;D xsi:type="xsd:double"&gt;3.50930678667879&lt;/D&gt;&lt;D xsi:type="xsd:double"&gt;3.5669456967906&lt;/D&gt;&lt;D xsi:type="xsd:double"&gt;3.48411784281128&lt;/D&gt;&lt;D xsi:type="xsd:double"&gt;3.61313744232257&lt;/D&gt;&lt;D xsi:type="xsd:double"&gt;3.38635899486683&lt;/D&gt;&lt;D xsi:type="xsd:double"&gt;3.37765149597833&lt;/D&gt;&lt;D xsi:type="xsd:double"&gt;3.12546103615644&lt;/D&gt;&lt;D xsi:type="xsd:double"&gt;3.10218278295896&lt;/D&gt;&lt;D xsi:type="xsd:double"&gt;3.05129721228659&lt;/D&gt;&lt;D xsi:type="xsd:double"&gt;2.99354214544229&lt;/D&gt;&lt;D xsi:type="xsd:double"&gt;4.47217782289457&lt;/D&gt;&lt;D xsi:type="xsd:double"&gt;3.58605127018635&lt;/D&gt;&lt;D xsi:type="xsd:double"&gt;3.33853099025199&lt;/D&gt;&lt;D xsi:type="xsd:double"&gt;2.98053909761156&lt;/D&gt;&lt;D xsi:type="xsd:double"&gt;2.85308277595171&lt;/D&gt;&lt;D xsi:type="xsd:double"&gt;2.79067933816852&lt;/D&gt;&lt;D xsi:type="xsd:double"&gt;2.79508690718946&lt;/D&gt;&lt;D xsi:type="xsd:double"&gt;2.7832577514764&lt;/D&gt;&lt;D xsi:type="xsd:double"&gt;2.86404234432325&lt;/D&gt;&lt;D xsi:type="xsd:double"&gt;2.82475335742733&lt;/D&gt;&lt;D xsi:type="xsd:double"&gt;2.71262104033939&lt;/D&gt;&lt;D xsi:type="xsd:double"&gt;2.72719660767588&lt;/D&gt;&lt;D xsi:type="xsd:double"&gt;2.75622450019717&lt;/D&gt;&lt;D xsi:type="xsd:double"&gt;2.69827494539399&lt;/D&gt;&lt;D xsi:type="xsd:double"&gt;2.84728270906474&lt;/D&gt;&lt;D xsi:type="xsd:double"&gt;2.77464175476478&lt;/D&gt;&lt;D xsi:type="xsd:double"&gt;2.78049017835988&lt;/D&gt;&lt;D xsi:type="xsd:double"&gt;2.81980756835974&lt;/D&gt;&lt;D xsi:type="xsd:double"&gt;2.87354650222325&lt;/D&gt;&lt;D xsi:type="xsd:double"&gt;3.00076710814313&lt;/D&gt;&lt;D xsi:type="xsd:double"&gt;2.93907158194582&lt;/D&gt;&lt;D xsi:type="xsd:double"&gt;3.05881481150264&lt;/D&gt;&lt;D xsi:type="xsd:double"&gt;3.04492314702925&lt;/D&gt;&lt;D xsi:type="xsd:double"&gt;3.20265534385878&lt;/D&gt;&lt;D xsi:type="xsd:double"&gt;3.68999096418112&lt;/D&gt;&lt;D xsi:type="xsd:double"&gt;3.62609949108835&lt;/D&gt;&lt;D xsi:type="xsd:double"&gt;3.89030610529343&lt;/D&gt;&lt;D xsi:type="xsd:double"&gt;3.91619842455651&lt;/D&gt;&lt;D xsi:type="xsd:double"&gt;4.18199262616591&lt;/D&gt;&lt;D xsi:type="xsd:double"&gt;3.91826729961644&lt;/D&gt;&lt;D xsi:type="xsd:double"&gt;4.0173575378529&lt;/D&gt;&lt;D xsi:type="xsd:double"&gt;4.47281905157479&lt;/D&gt;&lt;D xsi:type="xsd:double"&gt;3.80626273294324&lt;/D&gt;&lt;D xsi:type="xsd:double"&gt;3.76083163475118&lt;/D&gt;&lt;D xsi:type="xsd:double"&gt;3.5407362868142&lt;/D&gt;&lt;D xsi:type="xsd:double"&gt;3.48208167722459&lt;/D&gt;&lt;D xsi:type="xsd:double"&gt;3.53772356850636&lt;/D&gt;&lt;D xsi:type="xsd:double"&gt;3.52931596509768&lt;/D&gt;&lt;D xsi:type="xsd:double"&gt;3.58322180204801&lt;/D&gt;&lt;D xsi:type="xsd:double"&gt;3.61210486795675&lt;/D&gt;&lt;D xsi:type="xsd:double"&gt;3.66444988495483&lt;/D&gt;&lt;D xsi:type="xsd:double"&gt;3.72068936754222&lt;/D&gt;&lt;D xsi:type="xsd:double"&gt;3.76050153975418&lt;/D&gt;&lt;D xsi:type="xsd:double"&gt;3.8586185369938&lt;/D&gt;&lt;D xsi:type="xsd:double"&gt;3.88352137955856&lt;/D&gt;&lt;D xsi:type="xsd:double"&gt;3.54248951316506&lt;/D&gt;&lt;D xsi:type="xsd:double"&gt;3.59782287993812&lt;/D&gt;&lt;D xsi:type="xsd:double"&gt;3.51775870416046&lt;/D&gt;&lt;D xsi:type="xsd:double"&gt;3.29216557325324&lt;/D&gt;&lt;D xsi:type="xsd:double"&gt;3.35546372313263&lt;/D&gt;&lt;D xsi:type="xsd:double"&gt;3.28456189540082&lt;/D&gt;&lt;D xsi:type="xsd:double"&gt;3.34378900008713&lt;/D&gt;&lt;D xsi:type="xsd:double"&gt;3.33496576447237&lt;/D&gt;&lt;D xsi:type="xsd:double"&gt;3.55466943367072&lt;/D&gt;&lt;D xsi:type="xsd:double"&gt;3.39266638101108&lt;/D&gt;&lt;/FQL&gt;&lt;FQL&gt;&lt;Q&gt;EWA^FMA_PE(NTMA,-10AY,0,AM,"PORTAGG","MEANR")&lt;/Q&gt;&lt;R&gt;121&lt;/R&gt;&lt;C&gt;1&lt;/C&gt;&lt;D xsi:type="xsd:double"&gt;14.5786822689824&lt;/D&gt;&lt;D xsi:type="xsd:double"&gt;13.6405203794069&lt;/D&gt;&lt;D xsi:type="xsd:double"&gt;14.3962158365271&lt;/D&gt;&lt;D xsi:type="xsd:double"&gt;13.8352476645141&lt;/D&gt;&lt;D xsi:type="xsd:double"&gt;14.64791689133&lt;/D&gt;&lt;D xsi:type="xsd:double"&gt;15.6592435782353&lt;/D&gt;&lt;D xsi:type="xsd:double"&gt;16.0085147287108&lt;/D&gt;&lt;D xsi:type="xsd:double"&gt;16.5830151988825&lt;/D&gt;&lt;D xsi:type="xsd:double"&gt;15.9335752240639&lt;/D&gt;&lt;D xsi:type="xsd:double"&gt;15.2840573795958&lt;/D&gt;&lt;D xsi:type="xsd:double"&gt;15.1095200696876&lt;/D&gt;&lt;D xsi:type="xsd:double"&gt;14.9714585996165&lt;/D&gt;&lt;D xsi:type="xsd:double"&gt;14.3028006920765&lt;/D&gt;&lt;D xsi:type="xsd:double"&gt;15.0273728852878&lt;/D&gt;&lt;D xsi:type="xsd:double"&gt;14.7750249841819&lt;/D&gt;&lt;D xsi:type="xsd:double"&gt;14.7746093515713&lt;/D&gt;&lt;D xsi:type="xsd:double"&gt;14.6468304387669&lt;/D&gt;&lt;D xsi:type="xsd:double"&gt;14.5938031739194&lt;/D&gt;&lt;D xsi:type="xsd:double"&gt;16.1166036707772&lt;/D&gt;&lt;D xsi:type="xsd:double"&gt;15.3391071384497&lt;/D&gt;&lt;D xsi:type="xsd:double"&gt;16.5094724984519&lt;/D&gt;&lt;D xsi:type="xsd:double"&gt;16.2466950378194&lt;/D&gt;&lt;D xsi:type="xsd:double"&gt;16.2083284063373&lt;/D&gt;&lt;D xsi:type="xsd:double"&gt;16.8040362042355&lt;/D&gt;&lt;D xsi:type="xsd:double"&gt;15.6861262609662&lt;/D&gt;&lt;D xsi:type="xsd:double"&gt;16.3118851379562&lt;/D&gt;&lt;D xsi:type="xsd:double"&gt;15.9164664958631&lt;/D&gt;&lt;D xsi:type="xsd:double"&gt;15.867868480497&lt;/D&gt;&lt;D xsi:type="xsd:double"&gt;16.0664512816996&lt;/D&gt;&lt;D xsi:type="xsd:double"&gt;15.8687074156165&lt;/D&gt;&lt;D xsi:type="xsd:double"&gt;15.8277049015119&lt;/D&gt;&lt;D xsi:type="xsd:double"&gt;15.9602261679019&lt;/D&gt;&lt;D xsi:type="xsd:double"&gt;15.6329438891962&lt;/D&gt;&lt;D xsi:type="xsd:double"&gt;15.1662563586897&lt;/D&gt;&lt;D xsi:type="xsd:double"&gt;15.3160926188513&lt;/D&gt;&lt;D xsi:type="xsd:double"&gt;15.5353954973803&lt;/D&gt;&lt;D xsi:type="xsd:double"&gt;15.6890193841223&lt;/D&gt;&lt;D xsi:type="xsd:double"&gt;15.6131606097489&lt;/D&gt;&lt;D xsi:type="xsd:double"&gt;16.131743422553&lt;/D&gt;&lt;D xsi:type="xsd:double"&gt;15.9055782976178&lt;/D&gt;&lt;D xsi:type="xsd:double"&gt;15.9867360248566&lt;/D&gt;&lt;D xsi:type="xsd:double"&gt;15.111972452571&lt;/D&gt;&lt;D xsi:type="xsd:double"&gt;15.5024560124711&lt;/D&gt;&lt;D xsi:type="xsd:double"&gt;14.9019446492876&lt;/D&gt;&lt;D xsi:type="xsd:double"&gt;15.5073397881885&lt;/D&gt;&lt;D xsi:type="xsd:double"&gt;15.1246205674159&lt;/D&gt;&lt;D xsi:type="xsd:double"&gt;15.5932783343739&lt;/D&gt;&lt;D xsi:type="xsd:double"&gt;15.6011103556455&lt;/D&gt;&lt;D xsi:type="xsd:double"&gt;15.2218208147648&lt;/D&gt;&lt;D xsi:type="xsd:double"&gt;14.4148796462855&lt;/D&gt;&lt;D xsi:type="xsd:double"&gt;14.6559846940415&lt;/D&gt;&lt;D xsi:type="xsd:double"&gt;14.0388812994747&lt;/D&gt;&lt;D xsi:type="xsd:double"&gt;14.4239379752127&lt;/D&gt;&lt;D xsi:type="xsd:double"&gt;15.0729683064486&lt;/D&gt;&lt;D xsi:type="xsd:double"&gt;15.2230717235729&lt;/D&gt;&lt;D xsi:type="xsd:double"&gt;15.3265918464317&lt;/D&gt;&lt;D xsi:type="xsd:double"&gt;15.3891090344512&lt;/D&gt;&lt;D xsi:type="xsd:double"&gt;15.9086635169961&lt;/D&gt;&lt;D xsi:type="xsd:double"&gt;16.129652036632&lt;/D&gt;&lt;D xsi:type="xsd:double"&gt;15.9783761228823&lt;/D&gt;&lt;D xsi:type="xsd:double"&gt;16.4950832764934&lt;/D&gt;&lt;D xsi:type="xsd:double"&gt;16.5104808010076&lt;/D&gt;&lt;D xsi:type="xsd:double"&gt;17.2031009315397&lt;/D&gt;&lt;D xsi:type="xsd:double"&gt;17.1511639357105&lt;/D&gt;&lt;D xsi:type="xsd:double"&gt;17.697331403597&lt;/D&gt;&lt;D xsi:type="xsd:double"&gt;18.1358270600836&lt;/D&gt;&lt;D xsi:type="xsd:double"&gt;13.6271110895491&lt;/D&gt;&lt;D xsi:type="xsd:double"&gt;15.7640648566904&lt;/D&gt;&lt;D xsi:type="xsd:double"&gt;17.3044076109992&lt;/D&gt;&lt;D xsi:type="xsd:double"&gt;18.8959418188059&lt;/D&gt;&lt;D xsi:type="xsd:double"&gt;18.816503994584&lt;/D&gt;&lt;D xsi:type="xsd:double"&gt;19.6387830053441&lt;/D&gt;&lt;D xsi:type="xsd:double"&gt;18.4732198250566&lt;/D&gt;&lt;D xsi:type="xsd:double"&gt;18.8284496123094&lt;/D&gt;&lt;D xsi:type="xsd:double"&gt;19.1132990679104&lt;/D&gt;&lt;D xsi:type="xsd:double"&gt;19.2541317687007&lt;/D&gt;&lt;D xsi:type="xsd:double"&gt;19.2641639436761&lt;/D&gt;&lt;D xsi:type="xsd:double"&gt;19.0516314575525&lt;/D&gt;&lt;D xsi:type="xsd:double"&gt;18.0587420896494&lt;/D&gt;&lt;D xsi:type="xsd:double"&gt;17.9541517204804&lt;/D&gt;&lt;D xsi:type="xsd:double"&gt;17.8124749751315&lt;/D&gt;&lt;D xsi:type="xsd:double"&gt;18.1272075786617&lt;/D&gt;&lt;D xsi:type="xsd:double"&gt;17.0711859555201&lt;/D&gt;&lt;D xsi:type="xsd:double"&gt;17.1983809084772&lt;/D&gt;&lt;D xsi:type="xsd:double"&gt;17.0164735625138&lt;/D&gt;&lt;D xsi:type="xsd:double"&gt;17.2253780552835&lt;/D&gt;&lt;D xsi:type="xsd:double"&gt;17.5305935160984&lt;/D&gt;&lt;D xsi:type="xsd:double"&gt;17.2270474759571&lt;/D&gt;&lt;D xsi:type="xsd:double"&gt;17.5480506238445&lt;/D&gt;&lt;D xsi:type="xsd:double"&gt;15.9710431822148&lt;/D&gt;&lt;D xsi:type="xsd:double"&gt;15.4753693276565&lt;/D&gt;&lt;D xsi:type="xsd:double"&gt;15.7492598229857&lt;/D&gt;&lt;D xsi:type="xsd:double"&gt;13.8078783842937&lt;/D&gt;&lt;D xsi:type="xsd:double"&gt;13.4533685306735&lt;/D&gt;&lt;D xsi:type="xsd:double"&gt;12.7441850154037&lt;/D&gt;&lt;D xsi:type="xsd:double"&gt;14.1165804759574&lt;/D&gt;&lt;D xsi:type="xsd:double"&gt;13.8585344193819&lt;/D&gt;&lt;D xsi:type="xsd:double"&gt;12.7474426664545&lt;/D&gt;&lt;D xsi:type="xsd:double"&gt;14.2695304008116&lt;/D&gt;&lt;D xsi:type="xsd:double"&gt;14.2775849691744&lt;/D&gt;&lt;D xsi:type="xsd:double"&gt;14.4504125998902&lt;/D&gt;&lt;D xsi:type="xsd:double"&gt;14.8224426982472&lt;/D&gt;&lt;D xsi:type="xsd:double"&gt;14.1321606836372&lt;/D&gt;&lt;D xsi:type="xsd:double"&gt;14.6887211393044&lt;/D&gt;&lt;D xsi:type="xsd:double"&gt;14.5721761784515&lt;/D&gt;&lt;D xsi:type="xsd:double"&gt;14.6177671775945&lt;/D&gt;&lt;D xsi:type="xsd:double"&gt;14.912848639578&lt;/D&gt;&lt;D xsi:type="xsd:double"&gt;15.4037629438541&lt;/D&gt;&lt;D xsi:type="xsd:double"&gt;15.3481911145053&lt;/D&gt;&lt;D xsi:type="xsd:double"&gt;14.8058081889544&lt;/D&gt;&lt;D xsi:type="xsd:double"&gt;14.7527074569694&lt;/D&gt;&lt;D xsi:type="xsd:double"&gt;15.4319988448747&lt;/D&gt;&lt;D xsi:type="xsd:double"&gt;16.1767249468596&lt;/D&gt;&lt;D xsi:type="xsd:double"&gt;16.3271568408615&lt;/D&gt;&lt;D xsi:type="xsd:double"&gt;16.5739151463617&lt;/D&gt;&lt;D xsi:type="xsd:double"&gt;16.5524983148834&lt;/D&gt;&lt;D xsi:type="xsd:double"&gt;16.6287835251922&lt;/D&gt;&lt;D xsi:type="xsd:double"&gt;16.7510098030898&lt;/D&gt;&lt;D xsi:type="xsd:double"&gt;17.3584090466647&lt;/D&gt;&lt;D xsi:type="xsd:double"&gt;17.0229650555738&lt;/D&gt;&lt;D xsi:type="xsd:double"&gt;17.6907421167543&lt;/D&gt;&lt;/FQL&gt;&lt;FQL&gt;&lt;Q&gt;ENZL^JULIAN(FMA_DIV_YLD(LTMA,-10AY,0,AM,"PORTAGG","MEANR").DATES)&lt;/Q&gt;&lt;R&gt;121&lt;/R&gt;&lt;C&gt;1&lt;/C&gt;&lt;D xsi:type="xsd:long"&gt;41894&lt;/D&gt;&lt;D xsi:type="xsd:long"&gt;41922&lt;/D&gt;&lt;D xsi:type="xsd:long"&gt;41955&lt;/D&gt;&lt;D xsi:type="xsd:long"&gt;41985&lt;/D&gt;&lt;D xsi:type="xsd:long"&gt;42016&lt;/D&gt;&lt;D xsi:type="xsd:long"&gt;42047&lt;/D&gt;&lt;D xsi:type="xsd:long"&gt;42075&lt;/D&gt;&lt;D xsi:type="xsd:long"&gt;42104&lt;/D&gt;&lt;D xsi:type="xsd:long"&gt;42136&lt;/D&gt;&lt;D xsi:type="xsd:long"&gt;42167&lt;/D&gt;&lt;D xsi:type="xsd:long"&gt;42195&lt;/D&gt;&lt;D xsi:type="xsd:long"&gt;42228&lt;/D&gt;&lt;D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xsi:type="xsd:long"&gt;45546&lt;/D&gt;&lt;/FQL&gt;&lt;FQL&gt;&lt;Q&gt;WL-FDS^FG_PRICE(0)&lt;/Q&gt;&lt;R&gt;1&lt;/R&gt;&lt;C&gt;1&lt;/C&gt;&lt;D xsi:type="xsd:double"&gt;540.1&lt;/D&gt;&lt;/FQL&gt;&lt;FQL&gt;&lt;Q&gt;NI-FDS^FG_PRICE(0)&lt;/Q&gt;&lt;R&gt;1&lt;/R&gt;&lt;C&gt;1&lt;/C&gt;&lt;D xsi:type="xsd:double"&gt;15875&lt;/D&gt;&lt;/FQL&gt;&lt;FQL&gt;&lt;Q&gt;CPALM-FDS^FG_PRICE(0)&lt;/Q&gt;&lt;R&gt;1&lt;/R&gt;&lt;C&gt;1&lt;/C&gt;&lt;D xsi:type="xsd:double"&gt;4020&lt;/D&gt;&lt;/FQL&gt;&lt;FQL&gt;&lt;Q&gt;BRENT-FDS^FG_PRICE(0)&lt;/Q&gt;&lt;R&gt;1&lt;/R&gt;&lt;C&gt;1&lt;/C&gt;&lt;D xsi:type="xsd:double"&gt;85.86&lt;/D&gt;&lt;/FQL&gt;&lt;FQL&gt;&lt;Q&gt;TIOS-FDS^FG_PRICE(0)&lt;/Q&gt;&lt;R&gt;1&lt;/R&gt;&lt;C&gt;1&lt;/C&gt;&lt;D xsi:type="xsd:double"&gt;93.06&lt;/D&gt;&lt;/FQL&gt;&lt;FQL&gt;&lt;Q&gt;EWJ^PERCENT_CHANGE(FMA_EPS(+1,0,,,,"PORTAGG","MEAN"),FMA_EPS(+1,-1AM,,,,"PORTAGG","MEAN"))&lt;/Q&gt;&lt;R&gt;1&lt;/R&gt;&lt;C&gt;1&lt;/C&gt;&lt;D xsi:type="xsd:double"&gt;1.54321458427339&lt;/D&gt;&lt;/FQL&gt;&lt;FQL&gt;&lt;Q&gt;VWO^FG_TOTAL_RETURNC(0,-1AM)&lt;/Q&gt;&lt;R&gt;1&lt;/R&gt;&lt;C&gt;1&lt;/C&gt;&lt;D xsi:type="xsd:double"&gt;1.1888385&lt;/D&gt;&lt;/FQL&gt;&lt;FQL&gt;&lt;Q&gt;EWI^FG_TOTAL_RETURNC(0,-6AM)&lt;/Q&gt;&lt;R&gt;1&lt;/R&gt;&lt;C&gt;1&lt;/C&gt;&lt;D xsi:type="xsd:double"&gt;5.324638&lt;/D&gt;&lt;/FQL&gt;&lt;FQL&gt;&lt;Q&gt;EWN^P_PRICE(0)/P_PRICE_LOW_PR(0,,,,,,"PRICE","INTRA","52W")-1&lt;/Q&gt;&lt;R&gt;1&lt;/R&gt;&lt;C&gt;1&lt;/C&gt;&lt;D xsi:type="xsd:double"&gt;0.35271418&lt;/D&gt;&lt;/FQL&gt;&lt;FQL&gt;&lt;Q&gt;EWQ^FMA_PCT_ABOVE_MAVG(200,0,,,,"PORTAGG")&lt;/Q&gt;&lt;R&gt;1&lt;/R&gt;&lt;C&gt;1&lt;/C&gt;&lt;D xsi:type="xsd:double"&gt;47.5409836065574&lt;/D&gt;&lt;/FQL&gt;&lt;FQL&gt;&lt;Q&gt;QQQ^PERCENT_CHANGE(FMA_EPS(+1,0,,,,"PORTAGG","MEAN"),FMA_EPS(+1,-3AM,,,,"PORTAGG","MEAN"))&lt;/Q&gt;&lt;R&gt;1&lt;/R&gt;&lt;C&gt;1&lt;/C&gt;&lt;D xsi:type="xsd:double"&gt;-4.43644044602911&lt;/D&gt;&lt;/FQL&gt;&lt;FQL&gt;&lt;Q&gt;EWG^FMA_ROE(NTMA,-20AY,NOW,FY,"PORTAGG","MEANR")&lt;/Q&gt;&lt;R&gt;20&lt;/R&gt;&lt;C&gt;1&lt;/C&gt;&lt;D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xsi:type="xsd:double"&gt;11.93889064433&lt;/D&gt;&lt;/FQL&gt;&lt;FQL&gt;&lt;Q&gt;TRYUS10Y-FDS^FG_YIELD(-10AY,0,Y,,"YTM")&lt;/Q&gt;&lt;R&gt;10&lt;/R&gt;&lt;C&gt;1&lt;/C&gt;&lt;D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xsi:type="xsd:long"&gt;45289&lt;/D&gt;&lt;/FQL&gt;&lt;FQL&gt;&lt;Q&gt;CC_DE^FG_COMPANY_NAME&lt;/Q&gt;&lt;R&gt;1&lt;/R&gt;&lt;C&gt;1&lt;/C&gt;&lt;D xsi:type="xsd:string"&gt;Germany&lt;/D&gt;&lt;/FQL&gt;&lt;FQL&gt;&lt;Q&gt;COPP-FDS^MAX(FG_PRICE(0,-5AY))&lt;/Q&gt;&lt;R&gt;1&lt;/R&gt;&lt;C&gt;1&lt;/C&gt;&lt;D xsi:type="xsd:double"&gt;5.119&lt;/D&gt;&lt;/FQL&gt;&lt;FQL&gt;&lt;Q&gt;CAGDPY@CH^EE_ACTUAL_ANNUAL(MED,0)&lt;/Q&gt;&lt;R&gt;1&lt;/R&gt;&lt;C&gt;1&lt;/C&gt;&lt;D xsi:type="xsd:double"&gt;6.90622571605503&lt;/D&gt;&lt;/FQL&gt;&lt;FQL&gt;&lt;Q&gt;USDSEK^FG_PRICE_CHANGE(0,-1AM)&lt;/Q&gt;&lt;R&gt;1&lt;/R&gt;&lt;C&gt;1&lt;/C&gt;&lt;D xsi:type="xsd:double"&gt;-1.9216835&lt;/D&gt;&lt;/FQL&gt;&lt;FQL&gt;&lt;Q&gt;USDCHF^FG_PRICE_CHANGE(0,-1AM)&lt;/Q&gt;&lt;R&gt;1&lt;/R&gt;&lt;C&gt;1&lt;/C&gt;&lt;D xsi:type="xsd:double"&gt;-1.6469896&lt;/D&gt;&lt;/FQL&gt;&lt;FQL&gt;&lt;Q&gt;USDEUR^FG_PRICE_CHANGE(0,-1AM)&lt;/Q&gt;&lt;R&gt;1&lt;/R&gt;&lt;C&gt;1&lt;/C&gt;&lt;D xsi:type="xsd:double"&gt;-0.9827852&lt;/D&gt;&lt;/FQL&gt;&lt;FQL&gt;&lt;Q&gt;USDAUD^FG_PRICE_CHANGE(0,-1AM)&lt;/Q&gt;&lt;R&gt;1&lt;/R&gt;&lt;C&gt;1&lt;/C&gt;&lt;D xsi:type="xsd:double"&gt;-1.3524592&lt;/D&gt;&lt;/FQL&gt;&lt;FQL&gt;&lt;Q&gt;SPY^FMA_EPS(NTMA,-20AY,0,CY,,"PORTAGG","MEANR")&lt;/Q&gt;&lt;R&gt;20&lt;/R&gt;&lt;C&gt;1&lt;/C&gt;&lt;D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xsi:type="xsd:double"&gt;22.2767073851685&lt;/D&gt;&lt;D xsi:type="xsd:double"&gt;22.9687104615331&lt;/D&gt;&lt;D xsi:type="xsd:double"&gt;24.3449867619937&lt;/D&gt;&lt;/FQL&gt;&lt;FQL&gt;&lt;Q&gt;EWU^P_PRICE_RETURNS_PR('52W',2,-10AY,0,AM)&lt;/Q&gt;&lt;R&gt;121&lt;/R&gt;&lt;C&gt;1&lt;/C&gt;&lt;D xsi:type="xsd:double"&gt;8.541322&lt;/D&gt;&lt;D xsi:type="xsd:double"&gt;0.6505251&lt;/D&gt;&lt;D xsi:type="xsd:double"&gt;0.14212132&lt;/D&gt;&lt;D xsi:type="xsd:double"&gt;-4.859805&lt;/D&gt;&lt;D xsi:type="xsd:double"&gt;-9.751987&lt;/D&gt;&lt;D xsi:type="xsd:double"&gt;-2.4921417&lt;/D&gt;&lt;D xsi:type="xsd:double"&gt;-5.8703003&lt;/D&gt;&lt;D xsi:type="xsd:double"&gt;-3.382969&lt;/D&gt;&lt;D xsi:type="xsd:double"&gt;-3.891033&lt;/D&gt;&lt;D xsi:type="xsd:double"&gt;-5.941921&lt;/D&gt;&lt;D xsi:type="xsd:double"&gt;-7.693529&lt;/D&gt;&lt;D xsi:type="xsd:double"&gt;-5.1899195&lt;/D&gt;&lt;D xsi:type="xsd:double"&gt;-12.090075&lt;/D&gt;&lt;D xsi:type="xsd:double"&gt;-1.0287046&lt;/D&gt;&lt;D xsi:type="xsd:double"&gt;-8.362854&lt;/D&gt;&lt;D xsi:type="xsd:double"&gt;-8.3966255&lt;/D&gt;&lt;D xsi:type="xsd:double"&gt;-10.667503&lt;/D&gt;&lt;D xsi:type="xsd:double"&gt;-19.211079&lt;/D&gt;&lt;D xsi:type="xsd:double"&gt;-9.371752&lt;/D&gt;&lt;D xsi:type="xsd:double"&gt;-11.586076&lt;/D&gt;&lt;D xsi:type="xsd:double"&gt;-16.375244&lt;/D&gt;&lt;D xsi:type="xsd:double"&gt;-15.454971&lt;/D&gt;&lt;D xsi:type="xsd:double"&gt;-12.224388&lt;/D&gt;&lt;D xsi:type="xsd:double"&gt;-10.489904&lt;/D&gt;&lt;D xsi:type="xsd:double"&gt;-1.8989623&lt;/D&gt;&lt;D xsi:type="xsd:double"&gt;-9.274244&lt;/D&gt;&lt;D xsi:type="xsd:double"&gt;-8.015739&lt;/D&gt;&lt;D xsi:type="xsd:double"&gt;0.2827525&lt;/D&gt;&lt;D xsi:type="xsd:double"&gt;7.7469707&lt;/D&gt;&lt;D xsi:type="xsd:double"&gt;14.896059&lt;/D&gt;&lt;D xsi:type="xsd:double"&gt;6.9957137&lt;/D&gt;&lt;D xsi:type="xsd:double"&gt;6.899655&lt;/D&gt;&lt;D xsi:type="xsd:double"&gt;12.077737&lt;/D&gt;&lt;D xsi:type="xsd:double"&gt;13.0921&lt;/D&gt;&lt;D xsi:type="xsd:double"&gt;11.934126&lt;/D&gt;&lt;D xsi:type="xsd:double"&gt;9.899402&lt;/D&gt;&lt;D xsi:type="xsd:double"&gt;12.812889&lt;/D&gt;&lt;D xsi:type="xsd:double"&gt;20.16244&lt;/D&gt;&lt;D xsi:type="xsd:double"&gt;18.155396&lt;/D&gt;&lt;D xsi:type="xsd:double"&gt;17.747105&lt;/D&gt;&lt;D xsi:type="xsd:double"&gt;23.670244&lt;/D&gt;&lt;D xsi:type="xsd:double"&gt;13.469851&lt;/D&gt;&lt;D xsi:type="xsd:double"&gt;15.230775&lt;/D&gt;&lt;D xsi:type="xsd:double"&gt;15.696753&lt;/D&gt;&lt;D xsi:type="xsd:double"&gt;12.961149&lt;/D&gt;&lt;D xsi:type="xsd:double"&gt;11.338318&lt;/D&gt;&lt;D xsi:type="xsd:double"&gt;9.308588&lt;/D&gt;&lt;D xsi:type="xsd:double"&gt;5.3990126&lt;/D&gt;&lt;D xsi:type="xsd:double"&gt;-0.08478165&lt;/D&gt;&lt;D xsi:type="xsd:double"&gt;-4.330367&lt;/D&gt;&lt;D xsi:type="xsd:double"&gt;-4.269278&lt;/D&gt;&lt;D xsi:type="xsd:double"&gt;-9.646618&lt;/D&gt;&lt;D xsi:type="xsd:double"&gt;-12.547672&lt;/D&gt;&lt;D xsi:type="xsd:double"&gt;-4.2547584&lt;/D&gt;&lt;D xsi:type="xsd:double"&gt;-2.8815508&lt;/D&gt;&lt;D xsi:type="xsd:double"&gt;-2.0499349&lt;/D&gt;&lt;D xsi:type="xsd:double"&gt;-5.9817553&lt;/D&gt;&lt;D xsi:type="xsd:double"&gt;-5.8823824&lt;/D&gt;&lt;D xsi:type="xsd:double"&gt;-3.4241378&lt;/D&gt;&lt;D xsi:type="xsd:double"&gt;-7.810521&lt;/D&gt;&lt;D xsi:type="xsd:double"&gt;-0.9738505&lt;/D&gt;&lt;D xsi:type="xsd:double"&gt;2.826035&lt;/D&gt;&lt;D xsi:type="xsd:double"&gt;7.6767683&lt;/D&gt;&lt;D xsi:type="xsd:double"&gt;13.899862&lt;/D&gt;&lt;D xsi:type="xsd:double"&gt;14.845991&lt;/D&gt;&lt;D xsi:type="xsd:double"&gt;9.427142&lt;/D&gt;&lt;D xsi:type="xsd:double"&gt;-26.038128&lt;/D&gt;&lt;D xsi:type="xsd:double"&gt;-22.542137&lt;/D&gt;&lt;D xsi:type="xsd:double"&gt;-21.380638&lt;/D&gt;&lt;D xsi:type="xsd:double"&gt;-16.306288&lt;/D&gt;&lt;D xsi:type="xsd:double"&gt;-16.590618&lt;/D&gt;&lt;D xsi:type="xsd:double"&gt;-5.245471&lt;/D&gt;&lt;D xsi:type="xsd:double"&gt;-14.285147&lt;/D&gt;&lt;D xsi:type="xsd:double"&gt;-13.61767&lt;/D&gt;&lt;D xsi:type="xsd:double"&gt;-11.824465&lt;/D&gt;&lt;D xsi:type="xsd:double"&gt;-8.041233&lt;/D&gt;&lt;D xsi:type="xsd:double"&gt;-5.7478786&lt;/D&gt;&lt;D xsi:type="xsd:double"&gt;-5.746472&lt;/D&gt;&lt;D xsi:type="xsd:double"&gt;42.03029&lt;/D&gt;&lt;D xsi:type="xsd:double"&gt;31.563807&lt;/D&gt;&lt;D xsi:type="xsd:double"&gt;37.579857&lt;/D&gt;&lt;D xsi:type="xsd:double"&gt;37.132133&lt;/D&gt;&lt;D xsi:type="xsd:double"&gt;31.085575&lt;/D&gt;&lt;D xsi:type="xsd:double"&gt;25.85733&lt;/D&gt;&lt;D xsi:type="xsd:double"&gt;30.87703&lt;/D&gt;&lt;D xsi:type="xsd:double"&gt;27.771616&lt;/D&gt;&lt;D xsi:type="xsd:double"&gt;23.624956&lt;/D&gt;&lt;D xsi:type="xsd:double"&gt;14.4908905&lt;/D&gt;&lt;D xsi:type="xsd:double"&gt;16.877483&lt;/D&gt;&lt;D xsi:type="xsd:double"&gt;19.584667&lt;/D&gt;&lt;D xsi:type="xsd:double"&gt;3.9938807&lt;/D&gt;&lt;D xsi:type="xsd:double"&gt;9.873438&lt;/D&gt;&lt;D xsi:type="xsd:double"&gt;-4.1372957&lt;/D&gt;&lt;D xsi:type="xsd:double"&gt;-3.6018848&lt;/D&gt;&lt;D xsi:type="xsd:double"&gt;-8.062304&lt;/D&gt;&lt;D xsi:type="xsd:double"&gt;-2.4426281&lt;/D&gt;&lt;D xsi:type="xsd:double"&gt;-4.7570467&lt;/D&gt;&lt;D xsi:type="xsd:double"&gt;-17.230766&lt;/D&gt;&lt;D xsi:type="xsd:double"&gt;-6.810397&lt;/D&gt;&lt;D xsi:type="xsd:double"&gt;-0.2349019&lt;/D&gt;&lt;D xsi:type="xsd:double"&gt;-3.1058788&lt;/D&gt;&lt;D xsi:type="xsd:double"&gt;-3.357774&lt;/D&gt;&lt;D xsi:type="xsd:double"&gt;2.903378&lt;/D&gt;&lt;D xsi:type="xsd:double"&gt;2.6536703&lt;/D&gt;&lt;D xsi:type="xsd:double"&gt;12.35634&lt;/D&gt;&lt;D xsi:type="xsd:double"&gt;7.2541237&lt;/D&gt;&lt;D xsi:type="xsd:double"&gt;15.066791&lt;/D&gt;&lt;D xsi:type="xsd:double"&gt;8.125603&lt;/D&gt;&lt;D xsi:type="xsd:double"&gt;11.141181&lt;/D&gt;&lt;D xsi:type="xsd:double"&gt;26.787971&lt;/D&gt;&lt;D xsi:type="xsd:double"&gt;7.80946&lt;/D&gt;&lt;D xsi:type="xsd:double"&gt;7.0131063&lt;/D&gt;&lt;D xsi:type="xsd:double"&gt;5.545926&lt;/D&gt;&lt;D xsi:type="xsd:double"&gt;3.7417293&lt;/D&gt;&lt;D xsi:type="xsd:double"&gt;11.127531&lt;/D&gt;&lt;D xsi:type="xsd:double"&gt;5.162668&lt;/D&gt;&lt;D xsi:type="xsd:double"&gt;12.204254&lt;/D&gt;&lt;D xsi:type="xsd:double"&gt;15.286851&lt;/D&gt;&lt;D xsi:type="xsd:double"&gt;15.848637&lt;/D&gt;&lt;D xsi:type="xsd:double"&gt;13.965881&lt;/D&gt;&lt;D xsi:type="xsd:double"&gt;19.881367&lt;/D&gt;&lt;/FQL&gt;&lt;FQL&gt;&lt;Q&gt;EWJ^FG_TOTAL_RETURNC(-10AY,0,AM)&lt;/Q&gt;&lt;R&gt;121&lt;/R&gt;&lt;C&gt;1&lt;/C&gt;&lt;D xsi:type="xsd:double"&gt;-0.33812523&lt;/D&gt;&lt;D xsi:type="xsd:double"&gt;-6.5309525&lt;/D&gt;&lt;D xsi:type="xsd:double"&gt;5.8983684&lt;/D&gt;&lt;D xsi:type="xsd:double"&gt;-2.6563883&lt;/D&gt;&lt;D xsi:type="xsd:double"&gt;-1.8022716&lt;/D&gt;&lt;D xsi:type="xsd:double"&gt;6.311989&lt;/D&gt;&lt;D xsi:type="xsd:double"&gt;5.7676077&lt;/D&gt;&lt;D xsi:type="xsd:double"&gt;3.76904&lt;/D&gt;&lt;D xsi:type="xsd:double"&gt;-0.11591315&lt;/D&gt;&lt;D xsi:type="xsd:double"&gt;0.27079582&lt;/D&gt;&lt;D xsi:type="xsd:double"&gt;-1.8219769&lt;/D&gt;&lt;D xsi:type="xsd:double"&gt;1.2638211&lt;/D&gt;&lt;D xsi:type="xsd:double"&gt;-8.4243355&lt;/D&gt;&lt;D xsi:type="xsd:double"&gt;3.2367945&lt;/D&gt;&lt;D xsi:type="xsd:double"&gt;2.392733&lt;/D&gt;&lt;D xsi:type="xsd:double"&gt;-3.2232046&lt;/D&gt;&lt;D xsi:type="xsd:double"&gt;-3.884852&lt;/D&gt;&lt;D xsi:type="xsd:double"&gt;-9.162307&lt;/D&gt;&lt;D xsi:type="xsd:double"&gt;10.758888&lt;/D&gt;&lt;D xsi:type="xsd:double"&gt;-0.08672476&lt;/D&gt;&lt;D xsi:type="xsd:double"&gt;1.4756918&lt;/D&gt;&lt;D xsi:type="xsd:double"&gt;-0.34217238&lt;/D&gt;&lt;D xsi:type="xsd:double"&gt;3.129506&lt;/D&gt;&lt;D xsi:type="xsd:double"&gt;3.4395933&lt;/D&gt;&lt;D xsi:type="xsd:double"&gt;0.8110285&lt;/D&gt;&lt;D xsi:type="xsd:double"&gt;-0.5631566&lt;/D&gt;&lt;D xsi:type="xsd:double"&gt;0.12136698&lt;/D&gt;&lt;D xsi:type="xsd:double"&gt;2.525258&lt;/D&gt;&lt;D xsi:type="xsd:double"&gt;0.81402063&lt;/D&gt;&lt;D xsi:type="xsd:double"&gt;1.6017437&lt;/D&gt;&lt;D xsi:type="xsd:double"&gt;-0.07785559&lt;/D&gt;&lt;D xsi:type="xsd:double"&gt;-0.5843401&lt;/D&gt;&lt;D xsi:type="xsd:double"&gt;2.6057959&lt;/D&gt;&lt;D xsi:type="xsd:double"&gt;3.60893&lt;/D&gt;&lt;D xsi:type="xsd:double"&gt;-0.6356418&lt;/D&gt;&lt;D xsi:type="xsd:double"&gt;0.93336105&lt;/D&gt;&lt;D xsi:type="xsd:double"&gt;2.2008538&lt;/D&gt;&lt;D xsi:type="xsd:double"&gt;2.5696754&lt;/D&gt;&lt;D xsi:type="xsd:double"&gt;4.234302&lt;/D&gt;&lt;D xsi:type="xsd:double"&gt;1.4048696&lt;/D&gt;&lt;D xsi:type="xsd:double"&gt;6.6352963&lt;/D&gt;&lt;D xsi:type="xsd:double"&gt;-5.1055727&lt;/D&gt;&lt;D xsi:type="xsd:double"&gt;0.7638693&lt;/D&gt;&lt;D xsi:type="xsd:double"&gt;-0.74159503&lt;/D&gt;&lt;D xsi:type="xsd:double"&gt;1.7433167&lt;/D&gt;&lt;D xsi:type="xsd:double"&gt;-1.0280609&lt;/D&gt;&lt;D xsi:type="xsd:double"&gt;-5.2322626&lt;/D&gt;&lt;D xsi:type="xsd:double"&gt;0.8241296&lt;/D&gt;&lt;D xsi:type="xsd:double"&gt;-0.81739426&lt;/D&gt;&lt;D xsi:type="xsd:double"&gt;-0.52603483&lt;/D&gt;&lt;D xsi:type="xsd:double"&gt;-4.1953144&lt;/D&gt;&lt;D xsi:type="xsd:double"&gt;-1.1407554&lt;/D&gt;&lt;D xsi:type="xsd:double"&gt;-0.89369416&lt;/D&gt;&lt;D xsi:type="xsd:double"&gt;1.646483&lt;/D&gt;&lt;D xsi:type="xsd:double"&gt;0.6516576&lt;/D&gt;&lt;D xsi:type="xsd:double"&gt;1.8497944&lt;/D&gt;&lt;D xsi:type="xsd:double"&gt;-1.7980397&lt;/D&gt;&lt;D xsi:type="xsd:double"&gt;0.24043322&lt;/D&gt;&lt;D xsi:type="xsd:double"&gt;2.564919&lt;/D&gt;&lt;D xsi:type="xsd:double"&gt;-3.6848783&lt;/D&gt;&lt;D xsi:type="xsd:double"&gt;5.9366703&lt;/D&gt;&lt;D xsi:type="xsd:double"&gt;1.6723037&lt;/D&gt;&lt;D xsi:type="xsd:double"&gt;4.829395&lt;/D&gt;&lt;D xsi:type="xsd:double"&gt;1.1016488&lt;/D&gt;&lt;D xsi:type="xsd:double"&gt;-0.56654215&lt;/D&gt;&lt;D xsi:type="xsd:double"&gt;-0.18481016&lt;/D&gt;&lt;D xsi:type="xsd:double"&gt;-24.591822&lt;/D&gt;&lt;D xsi:type="xsd:double"&gt;12.455357&lt;/D&gt;&lt;D xsi:type="xsd:double"&gt;3.5133004&lt;/D&gt;&lt;D xsi:type="xsd:double"&gt;7.651007&lt;/D&gt;&lt;D xsi:type="xsd:double"&gt;0.17329454&lt;/D&gt;&lt;D xsi:type="xsd:double"&gt;3.8358092&lt;/D&gt;&lt;D xsi:type="xsd:double"&gt;1.070261&lt;/D&gt;&lt;D xsi:type="xsd:double"&gt;1.8275023&lt;/D&gt;&lt;D xsi:type="xsd:double"&gt;4.813826&lt;/D&gt;&lt;D xsi:type="xsd:double"&gt;5.536878&lt;/D&gt;&lt;D xsi:type="xsd:double"&gt;5.034697&lt;/D&gt;&lt;D xsi:type="xsd:double"&gt;3.6956549&lt;/D&gt;&lt;D xsi:type="xsd:double"&gt;-3.6477983&lt;/D&gt;&lt;D xsi:type="xsd:double"&gt;0.43514967&lt;/D&gt;&lt;D xsi:type="xsd:double"&gt;-5.5025935&lt;/D&gt;&lt;D xsi:type="xsd:double"&gt;6.0455203&lt;/D&gt;&lt;D xsi:type="xsd:double"&gt;-0.36295056&lt;/D&gt;&lt;D xsi:type="xsd:double"&gt;-0.29141307&lt;/D&gt;&lt;D xsi:type="xsd:double"&gt;6.4006925&lt;/D&gt;&lt;D xsi:type="xsd:double"&gt;-6.9907904&lt;/D&gt;&lt;D xsi:type="xsd:double"&gt;3.4849405&lt;/D&gt;&lt;D xsi:type="xsd:double"&gt;-2.354455&lt;/D&gt;&lt;D xsi:type="xsd:double"&gt;0.6762266&lt;/D&gt;&lt;D xsi:type="xsd:double"&gt;-5.9273424&lt;/D&gt;&lt;D xsi:type="xsd:double"&gt;-8.474046&lt;/D&gt;&lt;D xsi:type="xsd:double"&gt;-1.3836741&lt;/D&gt;&lt;D xsi:type="xsd:double"&gt;-4.417115&lt;/D&gt;&lt;D xsi:type="xsd:double"&gt;0.26462078&lt;/D&gt;&lt;D xsi:type="xsd:double"&gt;-3.248775&lt;/D&gt;&lt;D xsi:type="xsd:double"&gt;7.583475&lt;/D&gt;&lt;D xsi:type="xsd:double"&gt;-6.9086432&lt;/D&gt;&lt;D xsi:type="xsd:double"&gt;-8.19363&lt;/D&gt;&lt;D xsi:type="xsd:double"&gt;12.720549&lt;/D&gt;&lt;D xsi:type="xsd:double"&gt;0.56425333&lt;/D&gt;&lt;D xsi:type="xsd:double"&gt;2.5441408&lt;/D&gt;&lt;D xsi:type="xsd:double"&gt;2.8126717&lt;/D&gt;&lt;D xsi:type="xsd:double"&gt;-2.3055732&lt;/D&gt;&lt;D xsi:type="xsd:double"&gt;2.2719264&lt;/D&gt;&lt;D xsi:type="xsd:double"&gt;3.6679864&lt;/D&gt;&lt;D xsi:type="xsd:double"&gt;4.737544&lt;/D&gt;&lt;D xsi:type="xsd:double"&gt;-0.5749881&lt;/D&gt;&lt;D xsi:type="xsd:double"&gt;-1.4136553&lt;/D&gt;&lt;D xsi:type="xsd:double"&gt;1.5316963&lt;/D&gt;&lt;D xsi:type="xsd:double"&gt;-3.1776607&lt;/D&gt;&lt;D xsi:type="xsd:double"&gt;0.2320528&lt;/D&gt;&lt;D xsi:type="xsd:double"&gt;4.266572&lt;/D&gt;&lt;D xsi:type="xsd:double"&gt;6.8458796&lt;/D&gt;&lt;D xsi:type="xsd:double"&gt;0.81288815&lt;/D&gt;&lt;D xsi:type="xsd:double"&gt;4.494548&lt;/D&gt;&lt;D xsi:type="xsd:double"&gt;-1.3146698&lt;/D&gt;&lt;D xsi:type="xsd:double"&gt;-1.6072989&lt;/D&gt;&lt;D xsi:type="xsd:double"&gt;1.3997436&lt;/D&gt;&lt;D xsi:type="xsd:double"&gt;4.401231&lt;/D&gt;&lt;D xsi:type="xsd:double"&gt;-7.9411745&lt;/D&gt;&lt;D xsi:type="xsd:double"&gt;6.8766117&lt;/D&gt;&lt;/FQL&gt;&lt;FQL&gt;&lt;Q&gt;EWC^FMA_DIV_YLD(NTMA,-10AY,0,AM,"PORTAGG","MEANR")&lt;/Q&gt;&lt;R&gt;121&lt;/R&gt;&lt;C&gt;1&lt;/C&gt;&lt;D xsi:type="xsd:double"&gt;2.75966064471016&lt;/D&gt;&lt;D xsi:type="xsd:double"&gt;3.03806498908146&lt;/D&gt;&lt;D xsi:type="xsd:double"&gt;2.92094222220129&lt;/D&gt;&lt;D xsi:type="xsd:double"&gt;3.12805441277927&lt;/D&gt;&lt;D xsi:type="xsd:double"&gt;3.02689698795827&lt;/D&gt;&lt;D xsi:type="xsd:double"&gt;2.85044732707925&lt;/D&gt;&lt;D xsi:type="xsd:double"&gt;2.94071419321953&lt;/D&gt;&lt;D xsi:type="xsd:double"&gt;2.82223793524456&lt;/D&gt;&lt;D xsi:type="xsd:double"&gt;2.88477505659302&lt;/D&gt;&lt;D xsi:type="xsd:double"&gt;2.95679757740146&lt;/D&gt;&lt;D xsi:type="xsd:double"&gt;3.04958986768268&lt;/D&gt;&lt;D xsi:type="xsd:double"&gt;3.09741540644277&lt;/D&gt;&lt;D xsi:type="xsd:double"&gt;3.25702790268895&lt;/D&gt;&lt;D xsi:type="xsd:double"&gt;3.1555999290923&lt;/D&gt;&lt;D xsi:type="xsd:double"&gt;3.36910430218134&lt;/D&gt;&lt;D xsi:type="xsd:double"&gt;3.4645427904955&lt;/D&gt;&lt;D xsi:type="xsd:double"&gt;3.5493502970217&lt;/D&gt;&lt;D xsi:type="xsd:double"&gt;3.45973871518972&lt;/D&gt;&lt;D xsi:type="xsd:double"&gt;3.13247927740252&lt;/D&gt;&lt;D xsi:type="xsd:double"&gt;3.13372514058337&lt;/D&gt;&lt;D xsi:type="xsd:double"&gt;3.10000158584522&lt;/D&gt;&lt;D xsi:type="xsd:double"&gt;3.06615960829041&lt;/D&gt;&lt;D xsi:type="xsd:double"&gt;2.99857484681861&lt;/D&gt;&lt;D xsi:type="xsd:double"&gt;2.94639855111516&lt;/D&gt;&lt;D xsi:type="xsd:double"&gt;2.97570796790519&lt;/D&gt;&lt;D xsi:type="xsd:double"&gt;2.95623101965284&lt;/D&gt;&lt;D xsi:type="xsd:double"&gt;2.96792492493677&lt;/D&gt;&lt;D xsi:type="xsd:double"&gt;2.83964009401737&lt;/D&gt;&lt;D xsi:type="xsd:double"&gt;2.82610963098224&lt;/D&gt;&lt;D xsi:type="xsd:double"&gt;2.79808431904578&lt;/D&gt;&lt;D xsi:type="xsd:double"&gt;2.90463250433504&lt;/D&gt;&lt;D xsi:type="xsd:double"&gt;2.91467882654973&lt;/D&gt;&lt;D xsi:type="xsd:double"&gt;2.95319853189571&lt;/D&gt;&lt;D xsi:type="xsd:double"&gt;2.99892797441407&lt;/D&gt;&lt;D xsi:type="xsd:double"&gt;3.0506407774752&lt;/D&gt;&lt;D xsi:type="xsd:double"&gt;3.07048197542642&lt;/D&gt;&lt;D xsi:type="xsd:double"&gt;3.08506246800203&lt;/D&gt;&lt;D xsi:type="xsd:double"&gt;2.96468376358089&lt;/D&gt;&lt;D xsi:type="xsd:double"&gt;2.</t>
        </r>
      </text>
    </comment>
    <comment ref="A8" authorId="0" shapeId="0" xr:uid="{24CB17BA-BD6D-4AA0-AEF9-ED13EF5BAC37}">
      <text>
        <r>
          <rPr>
            <b/>
            <sz val="9"/>
            <color indexed="81"/>
            <rFont val="Tahoma"/>
            <charset val="1"/>
          </rPr>
          <t>91112632064467&lt;/D&gt;&lt;D xsi:type="xsd:double"&gt;2.90837106858369&lt;/D&gt;&lt;D xsi:type="xsd:double"&gt;2.89618561555678&lt;/D&gt;&lt;D xsi:type="xsd:double"&gt;3.15269301483399&lt;/D&gt;&lt;D xsi:type="xsd:double"&gt;3.12863450242762&lt;/D&gt;&lt;D xsi:type="xsd:double"&gt;3.21710613872896&lt;/D&gt;&lt;D xsi:type="xsd:double"&gt;3.08208078040371&lt;/D&gt;&lt;D xsi:type="xsd:double"&gt;3.05751302606067&lt;/D&gt;&lt;D xsi:type="xsd:double"&gt;3.02867918989392&lt;/D&gt;&lt;D xsi:type="xsd:double"&gt;3.08437433543814&lt;/D&gt;&lt;D xsi:type="xsd:double"&gt;3.17749368484799&lt;/D&gt;&lt;D xsi:type="xsd:double"&gt;3.33450563755827&lt;/D&gt;&lt;D xsi:type="xsd:double"&gt;3.40014395851649&lt;/D&gt;&lt;D xsi:type="xsd:double"&gt;3.48598230477185&lt;/D&gt;&lt;D xsi:type="xsd:double"&gt;3.4558842174348&lt;/D&gt;&lt;D xsi:type="xsd:double"&gt;3.32262525725071&lt;/D&gt;&lt;D xsi:type="xsd:double"&gt;3.2655129129495&lt;/D&gt;&lt;D xsi:type="xsd:double"&gt;3.19934838128118&lt;/D&gt;&lt;D xsi:type="xsd:double"&gt;3.27174218037938&lt;/D&gt;&lt;D xsi:type="xsd:double"&gt;3.34973268889086&lt;/D&gt;&lt;D xsi:type="xsd:double"&gt;3.30692696175914&lt;/D&gt;&lt;D xsi:type="xsd:double"&gt;3.414924054952&lt;/D&gt;&lt;D xsi:type="xsd:double"&gt;3.33166387892037&lt;/D&gt;&lt;D xsi:type="xsd:double"&gt;3.36744233887423&lt;/D&gt;&lt;D xsi:type="xsd:double"&gt;3.2619463238923&lt;/D&gt;&lt;D xsi:type="xsd:double"&gt;3.26848811591857&lt;/D&gt;&lt;D xsi:type="xsd:double"&gt;3.23733811628138&lt;/D&gt;&lt;D xsi:type="xsd:double"&gt;3.19588402100022&lt;/D&gt;&lt;D xsi:type="xsd:double"&gt;4.65579113689524&lt;/D&gt;&lt;D xsi:type="xsd:double"&gt;4.06022600286676&lt;/D&gt;&lt;D xsi:type="xsd:double"&gt;3.75002209756341&lt;/D&gt;&lt;D xsi:type="xsd:double"&gt;3.60569962418801&lt;/D&gt;&lt;D xsi:type="xsd:double"&gt;3.51201113177813&lt;/D&gt;&lt;D xsi:type="xsd:double"&gt;3.32781465605543&lt;/D&gt;&lt;D xsi:type="xsd:double"&gt;3.40981523896615&lt;/D&gt;&lt;D xsi:type="xsd:double"&gt;3.36135508717773&lt;/D&gt;&lt;D xsi:type="xsd:double"&gt;3.34994395079517&lt;/D&gt;&lt;D xsi:type="xsd:double"&gt;3.11411761245382&lt;/D&gt;&lt;D xsi:type="xsd:double"&gt;3.02524076474673&lt;/D&gt;&lt;D xsi:type="xsd:double"&gt;2.93004478567325&lt;/D&gt;&lt;D xsi:type="xsd:double"&gt;2.84287861092634&lt;/D&gt;&lt;D xsi:type="xsd:double"&gt;2.76446526168107&lt;/D&gt;&lt;D xsi:type="xsd:double"&gt;2.77046870981719&lt;/D&gt;&lt;D xsi:type="xsd:double"&gt;2.57534671046452&lt;/D&gt;&lt;D xsi:type="xsd:double"&gt;2.70723978714671&lt;/D&gt;&lt;D xsi:type="xsd:double"&gt;2.69182153397342&lt;/D&gt;&lt;D xsi:type="xsd:double"&gt;2.74572303100371&lt;/D&gt;&lt;D xsi:type="xsd:double"&gt;2.78158851109531&lt;/D&gt;&lt;D xsi:type="xsd:double"&gt;2.66321960477882&lt;/D&gt;&lt;D xsi:type="xsd:double"&gt;2.83914609760133&lt;/D&gt;&lt;D xsi:type="xsd:double"&gt;2.75127126790697&lt;/D&gt;&lt;D xsi:type="xsd:double"&gt;2.76645078205049&lt;/D&gt;&lt;D xsi:type="xsd:double"&gt;2.8501377418735&lt;/D&gt;&lt;D xsi:type="xsd:double"&gt;2.86361718777684&lt;/D&gt;&lt;D xsi:type="xsd:double"&gt;3.25631521737739&lt;/D&gt;&lt;D xsi:type="xsd:double"&gt;3.18696515705101&lt;/D&gt;&lt;D xsi:type="xsd:double"&gt;3.47098214236896&lt;/D&gt;&lt;D xsi:type="xsd:double"&gt;3.25785974228348&lt;/D&gt;&lt;D xsi:type="xsd:double"&gt;3.34858875248496&lt;/D&gt;&lt;D xsi:type="xsd:double"&gt;3.69326146530109&lt;/D&gt;&lt;D xsi:type="xsd:double"&gt;3.32398466028586&lt;/D&gt;&lt;D xsi:type="xsd:double"&gt;3.37414517269948&lt;/D&gt;&lt;D xsi:type="xsd:double"&gt;3.38342420417505&lt;/D&gt;&lt;D xsi:type="xsd:double"&gt;3.26745664865501&lt;/D&gt;&lt;D xsi:type="xsd:double"&gt;3.41794893296589&lt;/D&gt;&lt;D xsi:type="xsd:double"&gt;3.27691008443556&lt;/D&gt;&lt;D xsi:type="xsd:double"&gt;3.2614318114768&lt;/D&gt;&lt;D xsi:type="xsd:double"&gt;3.31381658780957&lt;/D&gt;&lt;D xsi:type="xsd:double"&gt;3.25506989034106&lt;/D&gt;&lt;D xsi:type="xsd:double"&gt;3.42131501979747&lt;/D&gt;&lt;D xsi:type="xsd:double"&gt;3.50203446060112&lt;/D&gt;&lt;D xsi:type="xsd:double"&gt;3.64650717629948&lt;/D&gt;&lt;D xsi:type="xsd:double"&gt;3.59877422021845&lt;/D&gt;&lt;D xsi:type="xsd:double"&gt;3.48179208307702&lt;/D&gt;&lt;D xsi:type="xsd:double"&gt;3.35326932319967&lt;/D&gt;&lt;D xsi:type="xsd:double"&gt;3.31344557393914&lt;/D&gt;&lt;D xsi:type="xsd:double"&gt;3.15969039114029&lt;/D&gt;&lt;D xsi:type="xsd:double"&gt;3.13166810879019&lt;/D&gt;&lt;D xsi:type="xsd:double"&gt;3.05828426318072&lt;/D&gt;&lt;D xsi:type="xsd:double"&gt;3.32774074459964&lt;/D&gt;&lt;D xsi:type="xsd:double"&gt;3.24559924482645&lt;/D&gt;&lt;D xsi:type="xsd:double"&gt;3.28372373484009&lt;/D&gt;&lt;D xsi:type="xsd:double"&gt;3.15601459672076&lt;/D&gt;&lt;/FQL&gt;&lt;FQL&gt;&lt;Q&gt;ENZL^FMA_PE(NTMA,-10AY,0,AM,"PORTAGG","MEANR")&lt;/Q&gt;&lt;R&gt;121&lt;/R&gt;&lt;C&gt;1&lt;/C&gt;&lt;D xsi:type="xsd:double"&gt;17.1659816472428&lt;/D&gt;&lt;D xsi:type="xsd:double"&gt;17.079922742083&lt;/D&gt;&lt;D xsi:type="xsd:double"&gt;18.142883485267&lt;/D&gt;&lt;D xsi:type="xsd:double"&gt;18.0288878184422&lt;/D&gt;&lt;D xsi:type="xsd:double"&gt;18.5336500691986&lt;/D&gt;&lt;D xsi:type="xsd:double"&gt;18.9410156078402&lt;/D&gt;&lt;D xsi:type="xsd:double"&gt;19.1358357841957&lt;/D&gt;&lt;D xsi:type="xsd:double"&gt;18.4018745260032&lt;/D&gt;&lt;D xsi:type="xsd:double"&gt;18.2525529130887&lt;/D&gt;&lt;D xsi:type="xsd:double"&gt;18.2507511166599&lt;/D&gt;&lt;D xsi:type="xsd:double"&gt;17.8056121259202&lt;/D&gt;&lt;D xsi:type="xsd:double"&gt;17.846609866253&lt;/D&gt;&lt;D xsi:type="xsd:double"&gt;17.3210124041124&lt;/D&gt;&lt;D xsi:type="xsd:double"&gt;17.1709261727267&lt;/D&gt;&lt;D xsi:type="xsd:double"&gt;18.0111607131379&lt;/D&gt;&lt;D xsi:type="xsd:double"&gt;18.0727813724927&lt;/D&gt;&lt;D xsi:type="xsd:double"&gt;17.6054367220539&lt;/D&gt;&lt;D xsi:type="xsd:double"&gt;16.7380149465432&lt;/D&gt;&lt;D xsi:type="xsd:double"&gt;18.153055509205&lt;/D&gt;&lt;D xsi:type="xsd:double"&gt;18.3617903494346&lt;/D&gt;&lt;D xsi:type="xsd:double"&gt;19.2463761868347&lt;/D&gt;&lt;D xsi:type="xsd:double"&gt;19.3258585251587&lt;/D&gt;&lt;D xsi:type="xsd:double"&gt;19.5612250136405&lt;/D&gt;&lt;D xsi:type="xsd:double"&gt;20.3174118407016&lt;/D&gt;&lt;D xsi:type="xsd:double"&gt;20.4086499233611&lt;/D&gt;&lt;D xsi:type="xsd:double"&gt;19.469758131787&lt;/D&gt;&lt;D xsi:type="xsd:double"&gt;18.2548768664489&lt;/D&gt;&lt;D xsi:type="xsd:double"&gt;18.4606993837231&lt;/D&gt;&lt;D xsi:type="xsd:double"&gt;18.9903546810757&lt;/D&gt;&lt;D xsi:type="xsd:double"&gt;19.171644371051&lt;/D&gt;&lt;D xsi:type="xsd:double"&gt;18.9561938524949&lt;/D&gt;&lt;D xsi:type="xsd:double"&gt;19.1824923938978&lt;/D&gt;&lt;D xsi:type="xsd:double"&gt;19.6615443414974&lt;/D&gt;&lt;D xsi:type="xsd:double"&gt;19.3049160093701&lt;/D&gt;&lt;D xsi:type="xsd:double"&gt;19.3690421430789&lt;/D&gt;&lt;D xsi:type="xsd:double"&gt;19.8077907127297&lt;/D&gt;&lt;D xsi:type="xsd:double"&gt;19.9159172733529&lt;/D&gt;&lt;D xsi:type="xsd:double"&gt;20.0044463773052&lt;/D&gt;&lt;D xsi:type="xsd:double"&gt;20.02579298852&lt;/D&gt;&lt;D xsi:type="xsd:double"&gt;20.6381313257853&lt;/D&gt;&lt;D xsi:type="xsd:double"&gt;20.4087889258835&lt;/D&gt;&lt;D xsi:type="xsd:double"&gt;19.1525456109406&lt;/D&gt;&lt;D xsi:type="xsd:double"&gt;20.5032806984209&lt;/D&gt;&lt;D xsi:type="xsd:double"&gt;20.0897368699717&lt;/D&gt;&lt;D xsi:type="xsd:double"&gt;20.5529675364946&lt;/D&gt;&lt;D xsi:type="xsd:double"&gt;21.2396297840569&lt;/D&gt;&lt;D xsi:type="xsd:double"&gt;21.1372366810404&lt;/D&gt;&lt;D xsi:type="xsd:double"&gt;21.2686264981258&lt;/D&gt;&lt;D xsi:type="xsd:double"&gt;21.5287911840958&lt;/D&gt;&lt;D xsi:type="xsd:double"&gt;20.3722606214412&lt;/D&gt;&lt;D xsi:type="xsd:double"&gt;20.5941325599389&lt;/D&gt;&lt;D xsi:type="xsd:double"&gt;19.9484283144303&lt;/D&gt;&lt;D xsi:type="xsd:double"&gt;20.3463813494912&lt;/D&gt;&lt;D xsi:type="xsd:double"&gt;21.2285439035236&lt;/D&gt;&lt;D xsi:type="xsd:double"&gt;21.6944631044808&lt;/D&gt;&lt;D xsi:type="xsd:double"&gt;22.1372194626763&lt;/D&gt;&lt;D xsi:type="xsd:double"&gt;22.8659273154711&lt;/D&gt;&lt;D xsi:type="xsd:double"&gt;23.0182093797567&lt;/D&gt;&lt;D xsi:type="xsd:double"&gt;24.3683662054496&lt;/D&gt;&lt;D xsi:type="xsd:double"&gt;24.6351604642155&lt;/D&gt;&lt;D xsi:type="xsd:double"&gt;26.0384452397784&lt;/D&gt;&lt;D xsi:type="xsd:double"&gt;25.2651989769261&lt;/D&gt;&lt;D xsi:type="xsd:double"&gt;24.9048001586434&lt;/D&gt;&lt;D xsi:type="xsd:double"&gt;25.6089909455357&lt;/D&gt;&lt;D xsi:type="xsd:double"&gt;25.78077041741&lt;/D&gt;&lt;D xsi:type="xsd:double"&gt;26.9322327062607&lt;/D&gt;&lt;D xsi:type="xsd:double"&gt;23.5732251090404&lt;/D&gt;&lt;D xsi:type="xsd:double"&gt;26.4067438196473&lt;/D&gt;&lt;D xsi:type="xsd:double"&gt;30.8005755327593&lt;/D&gt;&lt;D xsi:type="xsd:double"&gt;29.9774854899252&lt;/D&gt;&lt;D xsi:type="xsd:double"&gt;31.4972709052866&lt;/D&gt;&lt;D xsi:type="xsd:double"&gt;31.7279134633059&lt;/D&gt;&lt;D xsi:type="xsd:double"&gt;32.1004820471733&lt;/D&gt;&lt;D xsi:type="xsd:double"&gt;33.2754902096089&lt;/D&gt;&lt;D xsi:type="xsd:double"&gt;33.0836386887494&lt;/D&gt;&lt;D xsi:type="xsd:double"&gt;33.229776290467&lt;/D&gt;&lt;D xsi:type="xsd:double"&gt;34.0969450264375&lt;/D&gt;&lt;D xsi:type="xsd:double"&gt;31.9788038876862&lt;/D&gt;&lt;D xsi:type="xsd:double"&gt;32.2025418379061&lt;/D&gt;&lt;D xsi:type="xsd:double"&gt;31.9745891745728&lt;/D&gt;&lt;D xsi:type="xsd:double"&gt;32.7782304274346&lt;/D&gt;&lt;D xsi:type="xsd:double"&gt;33.1492931193202&lt;/D&gt;&lt;D xsi:type="xsd:double"&gt;34.4739262316381&lt;/D&gt;&lt;D xsi:type="xsd:double"&gt;33.5162678471319&lt;/D&gt;&lt;D xsi:type="xsd:double"&gt;34.6885777250705&lt;/D&gt;&lt;D xsi:type="xsd:double"&gt;33.6218733340719&lt;/D&gt;&lt;D xsi:type="xsd:double"&gt;33.0293827518222&lt;/D&gt;&lt;D xsi:type="xsd:double"&gt;32.437050414225&lt;/D&gt;&lt;D xsi:type="xsd:double"&gt;31.5743173922095&lt;/D&gt;&lt;D xsi:type="xsd:double"&gt;30.002821874121&lt;/D&gt;&lt;D xsi:type="xsd:double"&gt;28.6664040408046&lt;/D&gt;&lt;D xsi:type="xsd:double"&gt;28.1434979654517&lt;/D&gt;&lt;D xsi:type="xsd:double"&gt;27.6579097829057&lt;/D&gt;&lt;D xsi:type="xsd:double"&gt;26.025025820899&lt;/D&gt;&lt;D xsi:type="xsd:double"&gt;25.8644867340662&lt;/D&gt;&lt;D xsi:type="xsd:double"&gt;26.4242316214815&lt;/D&gt;&lt;D xsi:type="xsd:double"&gt;27.0524929088064&lt;/D&gt;&lt;D xsi:type="xsd:double"&gt;23.4995834769057&lt;/D&gt;&lt;D xsi:type="xsd:double"&gt;23.5166884132962&lt;/D&gt;&lt;D xsi:type="xsd:double"&gt;23.0771193417577&lt;/D&gt;&lt;D xsi:type="xsd:double"&gt;23.4334289760436&lt;/D&gt;&lt;D xsi:type="xsd:double"&gt;24.4308318321944&lt;/D&gt;&lt;D xsi:type="xsd:double"&gt;23.1128691838479&lt;/D&gt;&lt;D xsi:type="xsd:double"&gt;23.4486129184642&lt;/D&gt;&lt;D xsi:type="xsd:double"&gt;23.5461593745766&lt;/D&gt;&lt;D xsi:type="xsd:double"&gt;20.5386141066995&lt;/D&gt;&lt;D xsi:type="xsd:double"&gt;20.9204790172017&lt;/D&gt;&lt;D xsi:type="xsd:double"&gt;20.5081165159715&lt;/D&gt;&lt;D xsi:type="xsd:double"&gt;20.2173507224736&lt;/D&gt;&lt;D xsi:type="xsd:double"&gt;19.9147813918784&lt;/D&gt;&lt;D xsi:type="xsd:double"&gt;20.0927422706748&lt;/D&gt;&lt;D xsi:type="xsd:double"&gt;21.6587796998886&lt;/D&gt;&lt;D xsi:type="xsd:double"&gt;22.9520355266951&lt;/D&gt;&lt;D xsi:type="xsd:double"&gt;21.9077753259783&lt;/D&gt;&lt;D xsi:type="xsd:double"&gt;24.7430603020988&lt;/D&gt;&lt;D xsi:type="xsd:double"&gt;24.9411611073298&lt;/D&gt;&lt;D xsi:type="xsd:double"&gt;25.1440976663788&lt;/D&gt;&lt;D xsi:type="xsd:double"&gt;24.0138315581614&lt;/D&gt;&lt;D xsi:type="xsd:double"&gt;24.9002022201437&lt;/D&gt;&lt;D xsi:type="xsd:double"&gt;25.3620868207182&lt;/D&gt;&lt;D xsi:type="xsd:double"&gt;24.080723711179&lt;/D&gt;&lt;/FQL&gt;&lt;FQL&gt;&lt;Q&gt;DDR3512M-FDS^MAX(FG_PRICE(0,-5AY))&lt;/Q&gt;&lt;R&gt;1&lt;/R&gt;&lt;C&gt;1&lt;/C&gt;&lt;D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xsi:type="xsd:double"&gt;14.2525&lt;/D&gt;&lt;/FQL&gt;&lt;FQL&gt;&lt;Q&gt;EWL^FG_COMPANY_NAME&lt;/Q&gt;&lt;R&gt;1&lt;/R&gt;&lt;C&gt;1&lt;/C&gt;&lt;D xsi:type="xsd:string"&gt;iShares MSCI Switzerland ETF&lt;/D&gt;&lt;/FQL&gt;&lt;FQL&gt;&lt;Q&gt;EWC^FMA_ROE(NTMA,-20AY,NOW,FY,"PORTAGG","MEANR")&lt;/Q&gt;&lt;R&gt;20&lt;/R&gt;&lt;C&gt;1&lt;/C&gt;&lt;D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xsi:type="xsd:double"&gt;14.002940310619&lt;/D&gt;&lt;D xsi:type="xsd:double"&gt;13.1491479008301&lt;/D&gt;&lt;/FQL&gt;&lt;FQL&gt;&lt;Q&gt;TIPSCL10Y-FDS^FG_YIELD(-10AY,0,Y,,"YTM")&lt;/Q&gt;&lt;R&gt;10&lt;/R&gt;&lt;C&gt;1&lt;/C&gt;&lt;D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xsi:type="xsd:string"&gt;@NA&lt;/D&gt;&lt;/FQL&gt;&lt;FQL&gt;&lt;Q&gt;CAGDPY@IT^EE_ACTUAL_ANNUAL(MED,+1)&lt;/Q&gt;&lt;R&gt;1&lt;/R&gt;&lt;C&gt;1&lt;/C&gt;&lt;D xsi:type="xsd:double"&gt;1.1&lt;/D&gt;&lt;/FQL&gt;&lt;FQL&gt;&lt;Q&gt;CAGDPY@JP^EE_ACTUAL_ANNUAL(MED,+1)&lt;/Q&gt;&lt;R&gt;1&lt;/R&gt;&lt;C&gt;1&lt;/C&gt;&lt;D xsi:type="xsd:double"&gt;3.9&lt;/D&gt;&lt;/FQL&gt;&lt;FQL&gt;&lt;Q&gt;CC_CA^FG_COMPANY_NAME&lt;/Q&gt;&lt;R&gt;1&lt;/R&gt;&lt;C&gt;1&lt;/C&gt;&lt;D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xsi:type="xsd:double"&gt;-7.253557&lt;/D&gt;&lt;/FQL&gt;&lt;FQL&gt;&lt;Q&gt;USDCHF^FG_PRICE_CHANGE(0,-1AY)&lt;/Q&gt;&lt;R&gt;1&lt;/R&gt;&lt;C&gt;1&lt;/C&gt;&lt;D xsi:type="xsd:double"&gt;-4.3461204&lt;/D&gt;&lt;/FQL&gt;&lt;FQL&gt;&lt;Q&gt;USDEUR^FG_PRICE_CHANGE(0,-1AY)&lt;/Q&gt;&lt;R&gt;1&lt;/R&gt;&lt;C&gt;1&lt;/C&gt;&lt;D xsi:type="xsd:double"&gt;-2.9574215&lt;/D&gt;&lt;/FQL&gt;&lt;FQL&gt;&lt;Q&gt;USDAUD^FG_PRICE_CHANGE(0,-1AY)&lt;/Q&gt;&lt;R&gt;1&lt;/R&gt;&lt;C&gt;1&lt;/C&gt;&lt;D xsi:type="xsd:double"&gt;-4.109687&lt;/D&gt;&lt;/FQL&gt;&lt;FQL&gt;&lt;Q&gt;QQQ^FMA_EPS(NTMA,-20AY,0,CY,,"PORTAGG","MEANR")&lt;/Q&gt;&lt;R&gt;20&lt;/R&gt;&lt;C&gt;1&lt;/C&gt;&lt;D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xsi:type="xsd:double"&gt;16.3243000822322&lt;/D&gt;&lt;/FQL&gt;&lt;FQL&gt;&lt;Q&gt;EWL^P_PRICE_RETURNS_PR('52W',2,-10AY,0,AM)&lt;/Q&gt;&lt;R&gt;121&lt;/R&gt;&lt;C&gt;1&lt;/C&gt;&lt;D xsi:type="xsd:double"&gt;11.946392&lt;/D&gt;&lt;D xsi:type="xsd:double"&gt;1.9650459&lt;/D&gt;&lt;D xsi:type="xsd:double"&gt;3.6117196&lt;/D&gt;&lt;D xsi:type="xsd:double"&gt;4.6156883&lt;/D&gt;&lt;D xsi:type="xsd:double"&gt;-2.4404526&lt;/D&gt;&lt;D xsi:type="xsd:double"&gt;1.0504127&lt;/D&gt;&lt;D xsi:type="xsd:double"&gt;-2.9344618&lt;/D&gt;&lt;D xsi:type="xsd:double"&gt;2.5365233&lt;/D&gt;&lt;D xsi:type="xsd:double"&gt;2.2981524&lt;/D&gt;&lt;D xsi:type="xsd:double"&gt;1.6569734&lt;/D&gt;&lt;D xsi:type="xsd:double"&gt;2.6904225&lt;/D&gt;&lt;D xsi:type="xsd:double"&gt;4.425502&lt;/D&gt;&lt;D xsi:type="xsd:double"&gt;-2.5500536&lt;/D&gt;&lt;D xsi:type="xsd:double"&gt;6.5695643&lt;/D&gt;&lt;D xsi:type="xsd:double"&gt;-2.1073282&lt;/D&gt;&lt;D xsi:type="xsd:double"&gt;-3.969562&lt;/D&gt;&lt;D xsi:type="xsd:double"&gt;-3.7549138&lt;/D&gt;&lt;D xsi:type="xsd:double"&gt;-12.0646&lt;/D&gt;&lt;D xsi:type="xsd:double"&gt;-4.804039&lt;/D&gt;&lt;D xsi:type="xsd:double"&gt;-10.227907&lt;/D&gt;&lt;D xsi:type="xsd:double"&gt;-11.788458&lt;/D&gt;&lt;D xsi:type="xsd:double"&gt;-11.972207&lt;/D&gt;&lt;D xsi:type="xsd:double"&gt;-10.683948&lt;/D&gt;&lt;D xsi:type="xsd:double"&gt;-5.3179083&lt;/D&gt;&lt;D xsi:type="xsd:double"&gt;-0.6662309&lt;/D&gt;&lt;D xsi:type="xsd:double"&gt;-4.0402293&lt;/D&gt;&lt;D xsi:type="xsd:double"&gt;-4.046088&lt;/D&gt;&lt;D xsi:type="xsd:double"&gt;-2.4861217&lt;/D&gt;&lt;D xsi:type="xsd:double"&gt;5.466926&lt;/D&gt;&lt;D xsi:type="xsd:double"&gt;12.506151&lt;/D&gt;&lt;D xsi:type="xsd:double"&gt;10.660601&lt;/D&gt;&lt;D xsi:type="xsd:double"&gt;9.501958&lt;/D&gt;&lt;D xsi:type="xsd:double"&gt;16.178417&lt;/D&gt;&lt;D xsi:type="xsd:double"&gt;16.527248&lt;/D&gt;&lt;D xsi:type="xsd:double"&gt;18.889952&lt;/D&gt;&lt;D xsi:type="xsd:double"&gt;13.0772&lt;/D&gt;&lt;D xsi:type="xsd:double"&gt;16.198885&lt;/D&gt;&lt;D xsi:type="xsd:double"&gt;21.1802&lt;/D&gt;&lt;D xsi:type="xsd:double"&gt;18.835281&lt;/D&gt;&lt;D xsi:type="xsd:double"&gt;23.150015&lt;/D&gt;&lt;D xsi:type="xsd:double"&gt;22.733711&lt;/D&gt;&lt;D xsi:type="xsd:double"&gt;16.184986&lt;/D&gt;&lt;D xsi:type="xsd:double"&gt;13.933229&lt;/D&gt;&lt;D xsi:type="xsd:double"&gt;9.125161&lt;/D&gt;&lt;D xsi:type="xsd:double"&gt;3.8845658&lt;/D&gt;&lt;D xsi:type="xsd:double"&gt;0.94629526&lt;/D&gt;&lt;D xsi:type="xsd:double"&gt;-1.2161314&lt;/D&gt;&lt;D xsi:type="xsd:double"&gt;2.3272038&lt;/D&gt;&lt;D xsi:type="xsd:double"&gt;1.48108&lt;/D&gt;&lt;D xsi:type="xsd:double"&gt;-5.6500196&lt;/D&gt;&lt;D xsi:type="xsd:double"&gt;-1.4846206&lt;/D&gt;&lt;D xsi:type="xsd:double"&gt;-3.8917482&lt;/D&gt;&lt;D xsi:type="xsd:double"&gt;-7.009506&lt;/D&gt;&lt;D xsi:type="xsd:double"&gt;-2.51984&lt;/D&gt;&lt;D xsi:type="xsd:double"&gt;0.26272535&lt;/D&gt;&lt;D xsi:type="xsd:double"&gt;6.2368035&lt;/D&gt;&lt;D xsi:type="xsd:double"&gt;6.624639&lt;/D&gt;&lt;D xsi:type="xsd:double"&gt;13.097262&lt;/D&gt;&lt;D xsi:type="xsd:double"&gt;13.750065&lt;/D&gt;&lt;D xsi:type="xsd:double"&gt;11.801636&lt;/D&gt;&lt;D xsi:type="xsd:double"&gt;12.407959&lt;/D&gt;&lt;D xsi:type="xsd:double"&gt;17.872084&lt;/D&gt;&lt;D xsi:type="xsd:double"&gt;19.903719&lt;/D&gt;&lt;D xsi:type="xsd:double"&gt;22.87743&lt;/D&gt;&lt;D xsi:type="xsd:double"&gt;25.441265&lt;/D&gt;&lt;D xsi:type="xsd:double"&gt;28.555607&lt;/D&gt;&lt;D xsi:type="xsd:double"&gt;-5.3046107&lt;/D&gt;&lt;D xsi:type="xsd:double"&gt;3.6839724&lt;/D&gt;&lt;D xsi:type="xsd:double"&gt;5.709994&lt;/D&gt;&lt;D xsi:type="xsd:double"&gt;5.413127&lt;/D&gt;&lt;D xsi:type="xsd:double"&gt;9.878564&lt;/D&gt;&lt;D xsi:type="xsd:double"&gt;13.865889&lt;/D&gt;&lt;D xsi:type="xsd:double"&gt;13.111186&lt;/D&gt;&lt;D xsi:type="xsd:double"&gt;15.616274&lt;/D&gt;&lt;D xsi:type="xsd:double"&gt;11.509287&lt;/D&gt;&lt;D xsi:type="xsd:double"&gt;12.938011&lt;/D&gt;&lt;D xsi:type="xsd:double"&gt;14.442539&lt;/D&gt;&lt;D xsi:type="xsd:double"&gt;9.787345&lt;/D&gt;&lt;D xsi:type="xsd:double"&gt;40.04383&lt;/D&gt;&lt;D xsi:type="xsd:double"&gt;28.836573&lt;/D&gt;&lt;D xsi:type="xsd:double"&gt;26.673222&lt;/D&gt;&lt;D xsi:type="xsd:double"&gt;34.390842&lt;/D&gt;&lt;D xsi:type="xsd:double"&gt;25.769281&lt;/D&gt;&lt;D xsi:type="xsd:double"&gt;23.26765&lt;/D&gt;&lt;D xsi:type="xsd:double"&gt;20.48664&lt;/D&gt;&lt;D xsi:type="xsd:double"&gt;13.24625&lt;/D&gt;&lt;D xsi:type="xsd:double"&gt;22.994923&lt;/D&gt;&lt;D xsi:type="xsd:double"&gt;20.056057&lt;/D&gt;&lt;D xsi:type="xsd:double"&gt;15.756798&lt;/D&gt;&lt;D xsi:type="xsd:double"&gt;9.183205&lt;/D&gt;&lt;D xsi:type="xsd:double"&gt;4.0564775&lt;/D&gt;&lt;D xsi:type="xsd:double"&gt;9.244097&lt;/D&gt;&lt;D xsi:type="xsd:double"&gt;-5.0673428&lt;/D&gt;&lt;D xsi:type="xsd:double"&gt;-15.38474&lt;/D&gt;&lt;D xsi:type="xsd:double"&gt;-15.271414&lt;/D&gt;&lt;D xsi:type="xsd:double"&gt;-11.146397&lt;/D&gt;&lt;D xsi:type="xsd:double"&gt;-13.020945&lt;/D&gt;&lt;D xsi:type="xsd:double"&gt;-20.374065&lt;/D&gt;&lt;D xsi:type="xsd:double"&gt;-12.918925&lt;/D&gt;&lt;D xsi:type="xsd:double"&gt;-14.727461&lt;/D&gt;&lt;D xsi:type="xsd:double"&gt;-12.2181&lt;/D&gt;&lt;D xsi:type="xsd:double"&gt;-7.665944&lt;/D&gt;&lt;D xsi:type="xsd:double"&gt;-4.4069586&lt;/D&gt;&lt;D xsi:type="xsd:double"&gt;-3.298676&lt;/D&gt;&lt;D xsi:type="xsd:double"&gt;14.762676&lt;/D&gt;&lt;D xsi:type="xsd:double"&gt;13.655222&lt;/D&gt;&lt;D xsi:type="xsd:double"&gt;15.642727&lt;/D&gt;&lt;D xsi:type="xsd:double"&gt;8.5724945&lt;/D&gt;&lt;D xsi:type="xsd:double"&gt;9.725105&lt;/D&gt;&lt;D xsi:type="xsd:double"&gt;21.857357&lt;/D&gt;&lt;D xsi:type="xsd:double"&gt;4.774916&lt;/D&gt;&lt;D xsi:type="xsd:double"&gt;10.888731&lt;/D&gt;&lt;D xsi:type="xsd:double"&gt;10.134708&lt;/D&gt;&lt;D xsi:type="xsd:double"&gt;7.3422074&lt;/D&gt;&lt;D xsi:type="xsd:double"&gt;16.275288&lt;/D&gt;&lt;D xsi:type="xsd:double"&gt;-0.29313564&lt;/D&gt;&lt;D xsi:type="xsd:double"&gt;1.3360023&lt;/D&gt;&lt;D xsi:type="xsd:double"&gt;9.51165&lt;/D&gt;&lt;D xsi:type="xsd:double"&gt;9.019613&lt;/D&gt;&lt;D xsi:type="xsd:double"&gt;8.706641&lt;/D&gt;&lt;D xsi:type="xsd:double"&gt;15.407955&lt;/D&gt;&lt;/FQL&gt;&lt;FQL&gt;&lt;Q&gt;EWG^FG_TOTAL_RETURNC(-10AY,0,AM)&lt;/Q&gt;&lt;R&gt;121&lt;/R&gt;&lt;C&gt;1&lt;/C&gt;&lt;D xsi:type="xsd:double"&gt;2.4769902&lt;/D&gt;&lt;D xsi:type="xsd:double"&gt;-11.187845&lt;/D&gt;&lt;D xsi:type="xsd:double"&gt;4.004669&lt;/D&gt;&lt;D xsi:type="xsd:double"&gt;3.3270955&lt;/D&gt;&lt;D xsi:type="xsd:double"&gt;-2.6410997&lt;/D&gt;&lt;D xsi:type="xsd:double"&gt;8.5098505&lt;/D&gt;&lt;D xsi:type="xsd:double"&gt;0.23972988&lt;/D&gt;&lt;D xsi:type="xsd:double"&gt;4.3730736&lt;/D&gt;&lt;D xsi:type="xsd:double"&gt;-2.3240566&lt;/D&gt;&lt;D xsi:type="xsd:double"&gt;-2.1447718&lt;/D&gt;&lt;D xsi:type="xsd:double"&gt;0.65538883&lt;/D&gt;&lt;D xsi:type="xsd:double"&gt;-2.4575949&lt;/D&gt;&lt;D xsi:type="xsd:double"&gt;-6.032652&lt;/D&gt;&lt;D xsi:type="xsd:double"&gt;-0.90634227&lt;/D&gt;&lt;D xsi:type="xsd:double"&gt;0.26676655&lt;/D&gt;&lt;D xsi:type="xsd:double"&gt;-2.0144403&lt;/D&gt;&lt;D xsi:type="xsd:double"&gt;-3.5298645&lt;/D&gt;&lt;D xsi:type="xsd:double"&gt;-7.0365906&lt;/D&gt;&lt;D xsi:type="xsd:double"&gt;8.607268&lt;/D&gt;&lt;D xsi:type="xsd:double"&gt;1.274395&lt;/D&gt;&lt;D xsi:type="xsd:double"&gt;0.707829&lt;/D&gt;&lt;D xsi:type="xsd:double"&gt;-1.79618&lt;/D&gt;&lt;D xsi:type="xsd:double"&gt;-0.5838752&lt;/D&gt;&lt;D xsi:type="xsd:double"&gt;8.562064&lt;/D&gt;&lt;D xsi:type="xsd:double"&gt;-0.9433985&lt;/D&gt;&lt;D xsi:type="xsd:double"&gt;-1.7904758&lt;/D&gt;&lt;D xsi:type="xsd:double"&gt;-1.1249065&lt;/D&gt;&lt;D xsi:type="xsd:double"&gt;2.4323344&lt;/D&gt;&lt;D xsi:type="xsd:double"&gt;3.405869&lt;/D&gt;&lt;D xsi:type="xsd:double"&gt;1.1856198&lt;/D&gt;&lt;D xsi:type="xsd:double"&gt;2.7096272&lt;/D&gt;&lt;D xsi:type="xsd:double"&gt;1.2477756&lt;/D&gt;&lt;D xsi:type="xsd:double"&gt;7.535219&lt;/D&gt;&lt;D xsi:type="xsd:double"&gt;1.899147&lt;/D&gt;&lt;D xsi:type="xsd:double"&gt;1.0629892&lt;/D&gt;&lt;D xsi:type="xsd:double"&gt;-1.4586747&lt;/D&gt;&lt;D xsi:type="xsd:double"&gt;5.3289533&lt;/D&gt;&lt;D xsi:type="xsd:double"&gt;2.5609016&lt;/D&gt;&lt;D xsi:type="xsd:double"&gt;-0.30450225&lt;/D&gt;&lt;D xsi:type="xsd:double"&gt;1.0079384&lt;/D&gt;&lt;D xsi:type="xsd:double"&gt;4.6177983&lt;/D&gt;&lt;D xsi:type="xsd:double"&gt;-5.7084856&lt;/D&gt;&lt;D xsi:type="xsd:double"&gt;1.2292504&lt;/D&gt;&lt;D xsi:type="xsd:double"&gt;-0.42501092&lt;/D&gt;&lt;D xsi:type="xsd:double"&gt;1.0670781&lt;/D&gt;&lt;D xsi:type="xsd:double"&gt;-2.5037766&lt;/D&gt;&lt;D xsi:type="xsd:double"&gt;-3.2259464&lt;/D&gt;&lt;D xsi:type="xsd:double"&gt;-2.6850104&lt;/D&gt;&lt;D xsi:type="xsd:double"&gt;-0.9084761&lt;/D&gt;&lt;D xsi:type="xsd:double"&gt;-5.093378&lt;/D&gt;&lt;D xsi:type="xsd:double"&gt;-4.508048&lt;/D&gt;&lt;D xsi:type="xsd:double"&gt;-2.5477707&lt;/D&gt;&lt;D xsi:type="xsd:double"&gt;0.4229188&lt;/D&gt;&lt;D xsi:type="xsd:double"&gt;0.91882944&lt;/D&gt;&lt;D xsi:type="xsd:double"&gt;2.769351&lt;/D&gt;&lt;D xsi:type="xsd:double"&gt;4.171276&lt;/D&gt;&lt;D xsi:type="xsd:double"&gt;0.42523146&lt;/D&gt;&lt;D xsi:type="xsd:double"&gt;-1.5525758&lt;/D&gt;&lt;D xsi:type="xsd:double"&gt;1.7464519&lt;/D&gt;&lt;D xsi:type="xsd:double"&gt;-5.8631897&lt;/D&gt;&lt;D xsi:type="xsd:double"&gt;5.382538&lt;/D&gt;&lt;D xsi:type="xsd:double"&gt;-0.43779016&lt;/D&gt;&lt;D xsi:type="xsd:double"&gt;6.046164&lt;/D&gt;&lt;D xsi:type="xsd:double"&gt;1.3476133&lt;/D&gt;&lt;D xsi:type="xsd:double"&gt;1.4660716&lt;/D&gt;&lt;D xsi:type="xsd:double"&gt;-0.20161271&lt;/D&gt;&lt;D xsi:type="xsd:double"&gt;-31.885523&lt;/D&gt;&lt;D xsi:type="xsd:double"&gt;13.890266&lt;/D&gt;&lt;D xsi:type="xsd:double"&gt;0.08679628&lt;/D&gt;&lt;D xsi:type="xsd:double"&gt;16.305292&lt;/D&gt;&lt;D xsi:type="xsd:double"&gt;5.7145&lt;/D&gt;&lt;D xsi:type="xsd:double"&gt;6.9850326&lt;/D&gt;&lt;D xsi:type="xsd:double"&gt;0.9660244&lt;/D&gt;&lt;D xsi:type="xsd:double"&gt;0.32992363&lt;/D&gt;&lt;D xsi:type="xsd:double"&gt;-3.058207&lt;/D&gt;&lt;D xsi:type="xsd:double"&gt;4.81683&lt;/D&gt;&lt;D xsi:type="xsd:double"&gt;6.339252&lt;/D&gt;&lt;D xsi:type="xsd:double"&gt;1.5408278&lt;/D&gt;&lt;D xsi:type="xsd:double"&gt;0.72836876&lt;/D&gt;&lt;D xsi:type="xsd:double"&gt;4.127753&lt;/D&gt;&lt;D xsi:type="xsd:double"&gt;-0.52083135&lt;/D&gt;&lt;D xsi:type="xsd:double"&gt;5.367148&lt;/D&gt;&lt;D xsi:type="xsd:double"&gt;-1.3475537&lt;/D&gt;&lt;D xsi:type="xsd:double"&gt;-0.1707375&lt;/D&gt;&lt;D xsi:type="xsd:double"&gt;-1.7103851&lt;/D&gt;&lt;D xsi:type="xsd:double"&gt;-5.684453&lt;/D&gt;&lt;D xsi:type="xsd:double"&gt;4.8892975&lt;/D&gt;&lt;D xsi:type="xsd:double"&gt;-4.1923227&lt;/D&gt;&lt;D xsi:type="xsd:double"&gt;3.4269214&lt;/D&gt;&lt;D xsi:type="xsd:double"&gt;-5.7893157&lt;/D&gt;&lt;D xsi:type="xsd:double"&gt;-15.394365&lt;/D&gt;&lt;D xsi:type="xsd:double"&gt;1.3103724&lt;/D&gt;&lt;D xsi:type="xsd:double"&gt;-7.243162&lt;/D&gt;&lt;D xsi:type="xsd:double"&gt;1.9830704&lt;/D&gt;&lt;D xsi:type="xsd:double"&gt;-11.759967&lt;/D&gt;&lt;D xsi:type="xsd:double"&gt;10.451853&lt;/D&gt;&lt;D xsi:type="xsd:double"&gt;-4.7520695&lt;/D&gt;&lt;D xsi:type="xsd:double"&gt;-14.403468&lt;/D&gt;&lt;D xsi:type="xsd:double"&gt;25.84896&lt;/D&gt;&lt;D xsi:type="xsd:double"&gt;1.8525958&lt;/D&gt;&lt;D xsi:type="xsd:double"&gt;9.843147&lt;/D&gt;&lt;D xsi:type="xsd:double"&gt;0&lt;/D&gt;&lt;D xsi:type="xsd:double"&gt;-1.6924798&lt;/D&gt;&lt;D xsi:type="xsd:double"&gt;5.567765&lt;/D&gt;&lt;D xsi:type="xsd:double"&gt;0.10409355&lt;/D&gt;&lt;D xsi:type="xsd:double"&gt;0.21730661&lt;/D&gt;&lt;D xsi:type="xsd:double"&gt;2.594173&lt;/D&gt;&lt;D xsi:type="xsd:double"&gt;-2.6324928&lt;/D&gt;&lt;D xsi:type="xsd:double"&gt;-3.2017112&lt;/D&gt;&lt;D xsi:type="xsd:double"&gt;-4.152882&lt;/D&gt;&lt;D xsi:type="xsd:double"&gt;0.99693537&lt;/D&gt;&lt;D xsi:type="xsd:double"&gt;10.478365&lt;/D&gt;&lt;D xsi:type="xsd:double"&gt;0.41761398&lt;/D&gt;&lt;D xsi:type="xsd:double"&gt;0.410676&lt;/D&gt;&lt;D xsi:type="xsd:double"&gt;7.089293&lt;/D&gt;&lt;D xsi:type="xsd:double"&gt;-3.7237406&lt;/D&gt;&lt;D xsi:type="xsd:double"&gt;6.3801646&lt;/D&gt;&lt;D xsi:type="xsd:double"&gt;-0.17626882&lt;/D&gt;&lt;D xsi:type="xsd:double"&gt;1.8181801&lt;/D&gt;&lt;D xsi:type="xsd:double"&gt;-5.7017508&lt;/D&gt;&lt;D xsi:type="xsd:double"&gt;6.744194&lt;/D&gt;&lt;/FQL&gt;&lt;FQL&gt;&lt;Q&gt;EWA^FMA_DIV_YLD(NTMA,-10AY,0,AM,"PORTAGG","MEANR")&lt;/Q&gt;&lt;R&gt;121&lt;/R&gt;&lt;C&gt;1&lt;/C&gt;&lt;D xsi:type="xsd:double"&gt;4.8052723800259&lt;/D&gt;&lt;D xsi:type="xsd:double"&gt;5.16716047928794&lt;/D&gt;&lt;D xsi:type="xsd:double"&gt;4.90071254128583&lt;/D&gt;&lt;D xsi:type="xsd:double"&gt;5.14562330070198&lt;/D&gt;&lt;D xsi:type="xsd:double"&gt;4.96822011743213&lt;/D&gt;&lt;D xsi:type="xsd:double"&gt;4.73605108357419&lt;/D&gt;&lt;D xsi:type="xsd:double"&gt;4.64051823191847&lt;/D&gt;&lt;D xsi:type="xsd:double"&gt;4.54105170690197&lt;/D&gt;&lt;D xsi:type="xsd:double"&gt;4.73007998441137&lt;/D&gt;&lt;D xsi:type="xsd:double"&gt;4.90949735949374&lt;/D&gt;&lt;D xsi:type="xsd:double"&gt;4.96635628879482&lt;/D&gt;&lt;D xsi:type="xsd:double"&gt;5.09118542193882&lt;/D&gt;&lt;D xsi:type="xsd:double"&gt;5.44583403731053&lt;/D&gt;&lt;D xsi:type="xsd:double"&gt;5.19728990830332&lt;/D&gt;&lt;D xsi:type="xsd:double"&gt;5.33945108055285&lt;/D&gt;&lt;D xsi:type="xsd:double"&gt;5.40701911427671&lt;/D&gt;&lt;D xsi:type="xsd:double"&gt;5.53075056602282&lt;/D&gt;&lt;D xsi:type="xsd:double"&gt;5.3109486475608&lt;/D&gt;&lt;D xsi:type="xsd:double"&gt;4.7275102218109&lt;/D&gt;&lt;D xsi:type="xsd:double"&gt;4.94151181975332&lt;/D&gt;&lt;D xsi:type="xsd:double"&gt;4.57261980798458&lt;/D&gt;&lt;D xsi:type="xsd:double"&gt;4.60917488292773&lt;/D&gt;&lt;D xsi:type="xsd:double"&gt;4.58716124769702&lt;/D&gt;&lt;D xsi:type="xsd:double"&gt;4.45046731935085&lt;/D&gt;&lt;D xsi:type="xsd:double"&gt;4.73146280004429&lt;/D&gt;&lt;D xsi:type="xsd:double"&gt;4.51030135442244&lt;/D&gt;&lt;D xsi:type="xsd:double"&gt;4.59867088536719&lt;/D&gt;&lt;D xsi:type="xsd:double"&gt;4.5320550131676&lt;/D&gt;&lt;D xsi:type="xsd:double"&gt;4.44190146325057&lt;/D&gt;&lt;D xsi:type="xsd:double"&gt;4.5227661126483&lt;/D&gt;&lt;D xsi:type="xsd:double"&gt;4.53558253191133&lt;/D&gt;&lt;D xsi:type="xsd:double"&gt;4.47018728395385&lt;/D&gt;&lt;D xsi:type="xsd:double"&gt;4.56118458433826&lt;/D&gt;&lt;D xsi:type="xsd:double"&gt;4.69485326570209&lt;/D&gt;&lt;D xsi:type="xsd:double"&gt;4.65896063645161&lt;/D&gt;&lt;D xsi:type="xsd:double"&gt;4.63807191236003&lt;/D&gt;&lt;D xsi:type="xsd:double"&gt;4.5570739503456&lt;/D&gt;&lt;D xsi:type="xsd:double"&gt;4.5604887493831&lt;/D&gt;&lt;D xsi:type="xsd:double"&gt;4.41404577305548&lt;/D&gt;&lt;D xsi:type="xsd:double"&gt;4.48513368942666&lt;/D&gt;&lt;D xsi:type="xsd:double"&gt;4.45728095530157&lt;/D&gt;&lt;D xsi:type="xsd:double"&gt;4.71806666673382&lt;/D&gt;&lt;D xsi:type="xsd:double"&gt;4.61840564066427&lt;/D&gt;&lt;D xsi:type="xsd:double"&gt;4.78655770718386&lt;/D&gt;&lt;D xsi:type="xsd:double"&gt;4.6041341656191&lt;/D&gt;&lt;D xsi:type="xsd:double"&gt;4.73448029842474&lt;/D&gt;&lt;D xsi:type="xsd:double"&gt;4.56187817804355&lt;/D&gt;&lt;D xsi:type="xsd:double"&gt;4.59308548319681&lt;/D&gt;&lt;D xsi:type="xsd:double"&gt;4.76134567106713&lt;/D&gt;&lt;D xsi:type="xsd:double"&gt;5.02426204733035&lt;/D&gt;&lt;D xsi:type="xsd:double"&gt;5.0444618881968&lt;/D&gt;&lt;D xsi:type="xsd:double"&gt;5.32110918524447&lt;/D&gt;&lt;D xsi:type="xsd:double"&gt;5.19983738357043&lt;/D&gt;&lt;D xsi:type="xsd:double"&gt;4.95645048850453&lt;/D&gt;&lt;D xsi:type="xsd:double"&gt;4.96350505610623&lt;/D&gt;&lt;D xsi:type="xsd:double"&gt;4.89112712028865&lt;/D&gt;&lt;D xsi:type="xsd:double"&gt;4.84504176839794&lt;/D&gt;&lt;D xsi:type="xsd:double"&gt;4.69506027248969&lt;/D&gt;&lt;D xsi:type="xsd:double"&gt;4.61857063885436&lt;/D&gt;&lt;D xsi:type="xsd:double"&gt;4.66775438142834&lt;/D&gt;&lt;D xsi:type="xsd:double"&gt;4.4905628568815&lt;/D&gt;&lt;D xsi:type="xsd:double"&gt;4.48307177315998&lt;/D&gt;&lt;D xsi:type="xsd:double"&gt;4.32703119925419&lt;/D&gt;&lt;D xsi:type="xsd:double"&gt;4.3187426300878&lt;/D&gt;&lt;D xsi:type="xsd:double"&gt;4.18574384544493&lt;/D&gt;&lt;D xsi:type="xsd:double"&gt;4.10424807515213&lt;/D&gt;&lt;D xsi:type="xsd:double"&gt;5.4633689332184&lt;/D&gt;&lt;D xsi:type="xsd:double"&gt;4.62239148243582&lt;/D&gt;&lt;D xsi:type="xsd:double"&gt;3.83247131733039&lt;/D&gt;&lt;D xsi:type="xsd:double"&gt;3.46658433815307&lt;/D&gt;&lt;D xsi:type="xsd:double"&gt;3.48245516335955&lt;/D&gt;&lt;D xsi:type="xsd:double"&gt;3.3217216892086&lt;/D&gt;&lt;D xsi:type="xsd:double"&gt;3.6144418922956&lt;/D&gt;&lt;D xsi:type="xsd:double"&gt;3.54048158110186&lt;/D&gt;&lt;D xsi:type="xsd:double"&gt;3.51767888086705&lt;/D&gt;&lt;D xsi:type="xsd:double"&gt;3.53310169428924&lt;/D&gt;&lt;D xsi:type="xsd:double"&gt;3.53470353336891&lt;/D&gt;&lt;D xsi:type="xsd:double"&gt;3.61076405538812&lt;/D&gt;&lt;D xsi:type="xsd:double"&gt;3.89382340309368&lt;/D&gt;&lt;D xsi:type="xsd:double"&gt;3.90772510207592&lt;/D&gt;&lt;D xsi:type="xsd:double"&gt;3.93344962037871&lt;/D&gt;&lt;D xsi:type="xsd:double"&gt;3.88196959121136&lt;/D&gt;&lt;D xsi:type="xsd:double"&gt;4.0647656107549&lt;/D&gt;&lt;D xsi:type="xsd:double"&gt;4.02126326674754&lt;/D&gt;&lt;D xsi:type="xsd:double"&gt;4.08612980110216&lt;/D&gt;&lt;D xsi:type="xsd:double"&gt;4.0644144069564&lt;/D&gt;&lt;D xsi:type="xsd:double"&gt;3.95580794086459&lt;/D&gt;&lt;D xsi:type="xsd:double"&gt;3.96358462700685&lt;/D&gt;&lt;D xsi:type="xsd:double"&gt;3.85472269839083&lt;/D&gt;&lt;D xsi:type="xsd:double"&gt;4.26377505867421&lt;/D&gt;&lt;D xsi:type="xsd:double"&gt;4.37534609430772&lt;/D&gt;&lt;D xsi:type="xsd:double"&gt;4.32927167686112&lt;/D&gt;&lt;D xsi:type="xsd:double"&gt;4.86416435258711&lt;/D&gt;&lt;D xsi:type="xsd:double"&gt;4.93217703429246&lt;/D&gt;&lt;D xsi:type="xsd:double"&gt;5.21265888840394&lt;/D&gt;&lt;D xsi:type="xsd:double"&gt;4.72951926897852&lt;/D&gt;&lt;D xsi:type="xsd:double"&gt;4.77030531157437&lt;/D&gt;&lt;D xsi:type="xsd:double"&gt;5.14849642384547&lt;/D&gt;&lt;D xsi:type="xsd:double"&gt;4.62663860244679&lt;/D&gt;&lt;D xsi:type="xsd:double"&gt;4.51263051094644&lt;/D&gt;&lt;D xsi:type="xsd:double"&gt;4.44424277491219&lt;/D&gt;&lt;D xsi:type="xsd:double"&gt;4.33437063611905&lt;/D&gt;&lt;D xsi:type="xsd:double"&gt;4.58719711770496&lt;/D&gt;&lt;D xsi:type="xsd:double"&gt;4.41598211536019&lt;/D&gt;&lt;D xsi:type="xsd:double"&gt;4.44080452883409&lt;/D&gt;&lt;D xsi:type="xsd:double"&gt;4.40891294249852&lt;/D&gt;&lt;D xsi:type="xsd:double"&gt;4.30329187149987&lt;/D&gt;&lt;D xsi:type="xsd:double"&gt;4.17803667462047&lt;/D&gt;&lt;D xsi:type="xsd:double"&gt;4.19397613287674&lt;/D&gt;&lt;D xsi:type="xsd:double"&gt;4.34133491954589&lt;/D&gt;&lt;D xsi:type="xsd:double"&gt;4.40617627294354&lt;/D&gt;&lt;D xsi:type="xsd:double"&gt;4.23062215737454&lt;/D&gt;&lt;D xsi:type="xsd:double"&gt;4.04808637053868&lt;/D&gt;&lt;D xsi:type="xsd:double"&gt;4.00220991913237&lt;/D&gt;&lt;D xsi:type="xsd:double"&gt;3.97383810139298&lt;/D&gt;&lt;D xsi:type="xsd:double"&gt;3.96370939967249&lt;/D&gt;&lt;D xsi:type="xsd:double"&gt;3.98163848789144&lt;/D&gt;&lt;D xsi:type="xsd:double"&gt;3.94241329451133&lt;/D&gt;&lt;D xsi:type="xsd:double"&gt;3.82830752398542&lt;/D&gt;&lt;D xsi:type="xsd:double"&gt;3.87282002720732&lt;/D&gt;&lt;D xsi:type="xsd:double"&gt;3.74892477832477&lt;/D&gt;&lt;/FQL&gt;&lt;FQL&gt;&lt;Q&gt;ENZL^JULIAN(FMA_DIV_YLD(NTMA,-10AY,0,AM,"PORTAGG","MEANR").DATES)&lt;/Q&gt;&lt;R&gt;121&lt;/R&gt;&lt;C&gt;1&lt;/C&gt;&lt;D xsi:type="xsd:long"&gt;41894&lt;/D&gt;&lt;D xsi:type="xsd:long"&gt;41922&lt;/D&gt;&lt;D xsi:type="xsd:long"&gt;41955&lt;/D&gt;&lt;D xsi:type="xsd:long"&gt;41985&lt;/D&gt;&lt;D xsi:type="xsd:long"&gt;42016&lt;/D&gt;&lt;D xsi:type="xsd:long"&gt;42047&lt;/D&gt;&lt;D xsi:type="xsd:long"&gt;42075&lt;/D&gt;&lt;D xsi:type="xsd:long"&gt;42104&lt;/D&gt;&lt;D xsi:type="xsd:long"&gt;42136&lt;/D&gt;&lt;D xsi:type="xsd:long"&gt;42167&lt;/D&gt;&lt;D xsi:type="xsd:long"&gt;42195&lt;/D&gt;&lt;D xsi:type="xsd:long"&gt;42228&lt;/D&gt;&lt;D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xsi:type="xsd:long"&gt;45546&lt;/D&gt;&lt;/FQL&gt;&lt;FQL&gt;&lt;Q&gt;DDR3512M-FDS^FG_PRICE(0)/MAX(FG_PRICE(0,-1AY))&lt;/Q&gt;&lt;R&gt;1&lt;/R&gt;&lt;C&gt;1&lt;/C&gt;&lt;D xsi:type="xsd:double"&gt;0.851089278846154&lt;/D&gt;&lt;/FQL&gt;&lt;FQL&gt;&lt;Q&gt;PASP-FDS^FG_PRICE(0)/MAX(FG_PRICE(0,-1AY))&lt;/Q&gt;&lt;R&gt;1&lt;/R&gt;&lt;C&gt;1&lt;/C&gt;&lt;D xsi:type="xsd:double"&gt;0.795402298850575&lt;/D&gt;&lt;/FQL&gt;&lt;FQL&gt;&lt;Q&gt;PLATI-FDS^FG_PRICE(0)/MAX(FG_PRICE(0,-1AY))&lt;/Q&gt;&lt;R&gt;1&lt;/R&gt;&lt;C&gt;1&lt;/C&gt;&lt;D xsi:type="xsd:double"&gt;0.907390084190833&lt;/D&gt;&lt;/FQL&gt;&lt;FQL&gt;&lt;Q&gt;W-FDS^FG_PRICE(0)/MAX(FG_PRICE(0,-1AY))&lt;/Q&gt;&lt;R&gt;1&lt;/R&gt;&lt;C&gt;1&lt;/C&gt;&lt;D xsi:type="xsd:double"&gt;0.803998571938593&lt;/D&gt;&lt;/FQL&gt;&lt;FQL&gt;&lt;Q&gt;COPP-FDS^FG_PRICE(0)/MAX(FG_PRICE(0,-1AY))&lt;/Q&gt;&lt;R&gt;1&lt;/R&gt;&lt;C&gt;1&lt;/C&gt;&lt;D xsi:type="xsd:double"&gt;0.807384254737253&lt;/D&gt;&lt;/FQL&gt;&lt;FQL&gt;&lt;Q&gt;FC0000JP^FG_PRICE(0)&lt;/Q&gt;&lt;R&gt;1&lt;/R&gt;&lt;C&gt;1&lt;/C&gt;&lt;D xsi:type="xsd:double"&gt;180.03012&lt;/D&gt;&lt;/FQL&gt;&lt;FQL&gt;&lt;Q&gt;FC0000NZ^FG_PRICE(0)&lt;/Q&gt;&lt;R&gt;1&lt;/R&gt;&lt;C&gt;1&lt;/C&gt;&lt;D xsi:type="xsd:double"&gt;418.41873&lt;/D&gt;&lt;/FQL&gt;&lt;FQL&gt;&lt;Q&gt;EWQ^FG_PRICE_MAVG(0,,,,60)&lt;/Q&gt;&lt;R&gt;1&lt;/R&gt;&lt;C&gt;1&lt;/C&gt;&lt;D xsi:type="xsd:double"&gt;38.645&lt;/D&gt;&lt;/FQL&gt;&lt;FQL&gt;&lt;Q&gt;EWL^FG_PRICE_MAVG(0,,,,60)&lt;/Q&gt;&lt;R&gt;1&lt;/R&gt;&lt;C&gt;1&lt;/C&gt;&lt;D xsi:type="xsd:double"&gt;50.091667&lt;/D&gt;&lt;/FQL&gt;&lt;FQL&gt;&lt;Q&gt;EWA^FG_PRICE_MAVG(0,,,,60)&lt;/Q&gt;&lt;R&gt;1&lt;/R&gt;&lt;C&gt;1&lt;/C&gt;&lt;D xsi:type="xsd:double"&gt;24.915333&lt;/D&gt;&lt;/FQL&gt;&lt;FQL&gt;&lt;Q&gt;EWJ^FG_COMPANY_NAME&lt;/Q&gt;&lt;R</t>
        </r>
      </text>
    </comment>
    <comment ref="A9" authorId="0" shapeId="0" xr:uid="{FC62B607-968D-4F5B-BFEA-0A8082E65B83}">
      <text>
        <r>
          <rPr>
            <b/>
            <sz val="9"/>
            <color indexed="81"/>
            <rFont val="Tahoma"/>
            <charset val="1"/>
          </rPr>
          <t>&gt;1&lt;/R&gt;&lt;C&gt;1&lt;/C&gt;&lt;D xsi:type="xsd:string"&gt;iShares MSCI Japan ETF&lt;/D&gt;&lt;/FQL&gt;&lt;FQL&gt;&lt;Q&gt;SPY^P_PRICE(0)/P_PRICE_HIGH_PR(0,,,,,,"PRICE","INTRA","52W")&lt;/Q&gt;&lt;R&gt;1&lt;/R&gt;&lt;C&gt;1&lt;/C&gt;&lt;D xsi:type="xsd:double"&gt;0.9892598&lt;/D&gt;&lt;/FQL&gt;&lt;FQL&gt;&lt;Q&gt;URTH^FG_TOTAL_RETURNC(0,-12AM)&lt;/Q&gt;&lt;R&gt;1&lt;/R&gt;&lt;C&gt;1&lt;/C&gt;&lt;D xsi:type="xsd:double"&gt;24.423456&lt;/D&gt;&lt;/FQL&gt;&lt;FQL&gt;&lt;Q&gt;VWO^PERCENT_CHANGE(FMA_EPS(+1,0,,,,"PORTAGG","MEAN"),FMA_EPS(+1,-1AM,,,,"PORTAGG","MEAN"))&lt;/Q&gt;&lt;R&gt;1&lt;/R&gt;&lt;C&gt;1&lt;/C&gt;&lt;D xsi:type="xsd:double"&gt;0&lt;/D&gt;&lt;/FQL&gt;&lt;FQL&gt;&lt;Q&gt;EWI^FG_TOTAL_RETURNC(0,-1AM)&lt;/Q&gt;&lt;R&gt;1&lt;/R&gt;&lt;C&gt;1&lt;/C&gt;&lt;D xsi:type="xsd:double"&gt;6.7844152&lt;/D&gt;&lt;/FQL&gt;&lt;FQL&gt;&lt;Q&gt;EWN^FG_TOTAL_RETURNC(0,-6AM)&lt;/Q&gt;&lt;R&gt;1&lt;/R&gt;&lt;C&gt;1&lt;/C&gt;&lt;D xsi:type="xsd:double"&gt;1.1281133&lt;/D&gt;&lt;/FQL&gt;&lt;FQL&gt;&lt;Q&gt;SPY^P_PRICE(0)/P_PRICE_LOW_PR(0,,,,,,"PRICE","INTRA","52W")-1&lt;/Q&gt;&lt;R&gt;1&lt;/R&gt;&lt;C&gt;1&lt;/C&gt;&lt;D xsi:type="xsd:double"&gt;0.36626685&lt;/D&gt;&lt;/FQL&gt;&lt;FQL&gt;&lt;Q&gt;QQQ^FMA_PCT_ABOVE_MAVG(200,0,,,,"PORTAGG")&lt;/Q&gt;&lt;R&gt;1&lt;/R&gt;&lt;C&gt;1&lt;/C&gt;&lt;D xsi:type="xsd:double"&gt;56.8627450980392&lt;/D&gt;&lt;/FQL&gt;&lt;FQL&gt;&lt;Q&gt;EWL^PERCENT_CHANGE(FMA_EPS(+1,0,,,,"PORTAGG","MEAN"),FMA_EPS(+1,-3AM,,,,"PORTAGG","MEAN"))&lt;/Q&gt;&lt;R&gt;1&lt;/R&gt;&lt;C&gt;1&lt;/C&gt;&lt;D xsi:type="xsd:double"&gt;5.04914467793071&lt;/D&gt;&lt;/FQL&gt;&lt;FQL&gt;&lt;Q&gt;EWG^FG_TOTAL_RETURNC(0,-3AM)&lt;/Q&gt;&lt;R&gt;1&lt;/R&gt;&lt;C&gt;1&lt;/C&gt;&lt;D xsi:type="xsd:double"&gt;2.488041&lt;/D&gt;&lt;/FQL&gt;&lt;FQL&gt;&lt;Q&gt;EWA^P_PRICE(0)/P_PRICE_HIGH_PR(0,,,,,,"PRICE","INTRA","52W")&lt;/Q&gt;&lt;R&gt;1&lt;/R&gt;&lt;C&gt;1&lt;/C&gt;&lt;D xsi:type="xsd:double"&gt;0.9961759&lt;/D&gt;&lt;/FQL&gt;&lt;FQL&gt;&lt;Q&gt;FXI^SIZE(FG_CONSTITUENTS)&lt;/Q&gt;&lt;R&gt;1&lt;/R&gt;&lt;C&gt;1&lt;/C&gt;&lt;D xsi:type="xsd:long"&gt;52&lt;/D&gt;&lt;/FQL&gt;&lt;FQL&gt;&lt;Q&gt;VGK^FMA_COS_DOWN("EPS","1M",+1,0,,,"PORTAGG","MEANR")&lt;/Q&gt;&lt;R&gt;1&lt;/R&gt;&lt;C&gt;1&lt;/C&gt;&lt;D xsi:type="xsd:double"&gt;600&lt;/D&gt;&lt;/FQL&gt;&lt;FQL&gt;&lt;Q&gt;SPY^FMA_COS_UP("EPS","1M",+1,0,,,"PORTAGG","MEANR")&lt;/Q&gt;&lt;R&gt;1&lt;/R&gt;&lt;C&gt;1&lt;/C&gt;&lt;D xsi:type="xsd:double"&gt;167&lt;/D&gt;&lt;/FQL&gt;&lt;FQL&gt;&lt;Q&gt;EWC^SIZE(FG_CONSTITUENTS)&lt;/Q&gt;&lt;R&gt;1&lt;/R&gt;&lt;C&gt;1&lt;/C&gt;&lt;D xsi:type="xsd:long"&gt;86&lt;/D&gt;&lt;/FQL&gt;&lt;FQL&gt;&lt;Q&gt;EWC^FMA_RBICS_REV_CURRENT(30, LOC, "PORTAGG")&lt;/Q&gt;&lt;R&gt;1&lt;/R&gt;&lt;C&gt;1&lt;/C&gt;&lt;D xsi:type="xsd:double"&gt;40.9197765683472&lt;/D&gt;&lt;/FQL&gt;&lt;FQL&gt;&lt;Q&gt;TRYIT10Y-FDS^FG_YIELD_NAME&lt;/Q&gt;&lt;R&gt;1&lt;/R&gt;&lt;C&gt;1&lt;/C&gt;&lt;D xsi:type="xsd:string"&gt;Italy Benchmark Bond - 10 Year&lt;/D&gt;&lt;/FQL&gt;&lt;FQL&gt;&lt;Q&gt;REFEUREFI-FDS^(SUBARRAY(NOT_NA(NO_REPEAT_F(FG_YIELD(NOW,-10AY,D))),0,1)-SUBARRAY(NOT_NA(NO_REPEAT_F(FG_YIELD(NOW,-10AY,D))),1,1))*100&lt;/Q&gt;&lt;R&gt;1&lt;/R&gt;&lt;C&gt;1&lt;/C&gt;&lt;D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xsi:type="xsd:double"&gt;-25&lt;/D&gt;&lt;/FQL&gt;&lt;FQL&gt;&lt;Q&gt;REFCHMPR-FDS^FG_YIELD(NOW,,,0)&lt;/Q&gt;&lt;R&gt;1&lt;/R&gt;&lt;C&gt;1&lt;/C&gt;&lt;D xsi:type="xsd:double"&gt;1.25&lt;/D&gt;&lt;/FQL&gt;&lt;FQL&gt;&lt;Q&gt;REFNZOCR-FDS^PROPER_NAME(0,,,"SECURITY","NAME")&lt;/Q&gt;&lt;R&gt;1&lt;/R&gt;&lt;C&gt;1&lt;/C&gt;&lt;D xsi:type="xsd:string"&gt;New Zealand Official Cash Rate&lt;/D&gt;&lt;/FQL&gt;&lt;FQL&gt;&lt;Q&gt;TRYCH10Y-FDS^PCTCHG(FG_YIELD(0,,,,"YTM"),FG_YIELD(-1AM,,,,"YTM"))&lt;/Q&gt;&lt;R&gt;1&lt;/R&gt;&lt;C&gt;1&lt;/C&gt;&lt;D xsi:type="xsd:double"&gt;6.7796674&lt;/D&gt;&lt;/FQL&gt;&lt;FQL&gt;&lt;Q&gt;TRYSE10Y-FDS^FG_YIELD_NAME&lt;/Q&gt;&lt;R&gt;1&lt;/R&gt;&lt;C&gt;1&lt;/C&gt;&lt;D xsi:type="xsd:string"&gt;Sweden Benchmark Bond - 10 Year&lt;/D&gt;&lt;/FQL&gt;&lt;FQL&gt;&lt;Q&gt;CC_DE^IMF_IFS_RCPI_Q(0)&lt;/Q&gt;&lt;R&gt;1&lt;/R&gt;&lt;C&gt;1&lt;/C&gt;&lt;D xsi:type="xsd:double"&gt;2.2863681&lt;/D&gt;&lt;/FQL&gt;&lt;FQL&gt;&lt;Q&gt;VGK^FG_PE(0)&lt;/Q&gt;&lt;R&gt;1&lt;/R&gt;&lt;C&gt;1&lt;/C&gt;&lt;D xsi:type="xsd:double"&gt;14.4368140650878&lt;/D&gt;&lt;/FQL&gt;&lt;FQL&gt;&lt;Q&gt;EWN^FMA_EVAL_EBIT(LTMA,NOW,NOW,M,"PORTAGG","MEANR")&lt;/Q&gt;&lt;R&gt;1&lt;/R&gt;&lt;C&gt;1&lt;/C&gt;&lt;D xsi:type="xsd:double"&gt;21.3360478224799&lt;/D&gt;&lt;/FQL&gt;&lt;FQL&gt;&lt;Q&gt;SPY^FG_FCF_YIELD_NTM(0)&lt;/Q&gt;&lt;R&gt;1&lt;/R&gt;&lt;C&gt;1&lt;/C&gt;&lt;D xsi:type="xsd:double"&gt;4.11062745234044&lt;/D&gt;&lt;/FQL&gt;&lt;FQL&gt;&lt;Q&gt;EWU^FMA_PE(NTMA,0,,,"PORTAGG","MEANR")&lt;/Q&gt;&lt;R&gt;1&lt;/R&gt;&lt;C&gt;1&lt;/C&gt;&lt;D xsi:type="xsd:double"&gt;11.4678114289282&lt;/D&gt;&lt;/FQL&gt;&lt;FQL&gt;&lt;Q&gt;EWJ^JULIAN(FMA_DIV_YLD(NTMA,NOW,NOW,M,"PORTAGG","MEANR").DATES)&lt;/Q&gt;&lt;R&gt;1&lt;/R&gt;&lt;C&gt;1&lt;/C&gt;&lt;D xsi:type="xsd:long"&gt;45534&lt;/D&gt;&lt;/FQL&gt;&lt;FQL&gt;&lt;Q&gt;EWA^FMA_EVAL_EBITDA(NTMA,0,,,"PORTAGG","MEANR")&lt;/Q&gt;&lt;R&gt;1&lt;/R&gt;&lt;C&gt;1&lt;/C&gt;&lt;D xsi:type="xsd:double"&gt;8.69481648333513&lt;/D&gt;&lt;/FQL&gt;&lt;FQL&gt;&lt;Q&gt;EWA^FMA_ROE(NTMA,-20AY,NOW,FY,"PORTAGG","MEANR")&lt;/Q&gt;&lt;R&gt;20&lt;/R&gt;&lt;C&gt;1&lt;/C&gt;&lt;D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xsi:type="xsd:double"&gt;11.7272452683733&lt;/D&gt;&lt;D xsi:type="xsd:double"&gt;11.0508592022587&lt;/D&gt;&lt;D xsi:type="xsd:double"&gt;12.8471719199911&lt;/D&gt;&lt;D xsi:type="xsd:double"&gt;14.658060585061&lt;/D&gt;&lt;D xsi:type="xsd:double"&gt;13.2263940971232&lt;/D&gt;&lt;/FQL&gt;&lt;FQL&gt;&lt;Q&gt;TRYFR10Y-FDS^FG_YIELD(-10AY,0,Y,,"YTM")&lt;/Q&gt;&lt;R&gt;10&lt;/R&gt;&lt;C&gt;1&lt;/C&gt;&lt;D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xsi:type="xsd:double"&gt;2.534&lt;/D&gt;&lt;/FQL&gt;&lt;FQL&gt;&lt;Q&gt;DDR3512M-FDS^FG_PRICE_CHANGE(0,-1AY)&lt;/Q&gt;&lt;R&gt;1&lt;/R&gt;&lt;C&gt;1&lt;/C&gt;&lt;D xsi:type="xsd:double"&gt;-8.44661622677214&lt;/D&gt;&lt;/FQL&gt;&lt;FQL&gt;&lt;Q&gt;PLATI-FDS^FG_PRICE_CHANGE(0,-1AY)&lt;/Q&gt;&lt;R&gt;1&lt;/R&gt;&lt;C&gt;1&lt;/C&gt;&lt;D xsi:type="xsd:double"&gt;6.9459757442117&lt;/D&gt;&lt;/FQL&gt;&lt;FQL&gt;&lt;Q&gt;W-FDS^FG_PRICE_CHANGE(0,-1AY)&lt;/Q&gt;&lt;R&gt;1&lt;/R&gt;&lt;C&gt;1&lt;/C&gt;&lt;D xsi:type="xsd:double"&gt;0.490852298081212&lt;/D&gt;&lt;/FQL&gt;&lt;FQL&gt;&lt;Q&gt;COPP-FDS^FG_PRICE_CHANGE(0,-1AY)&lt;/Q&gt;&lt;R&gt;1&lt;/R&gt;&lt;C&gt;1&lt;/C&gt;&lt;D xsi:type="xsd:double"&gt;10.1545842217484&lt;/D&gt;&lt;/FQL&gt;&lt;FQL&gt;&lt;Q&gt;SPY^FG_TOTAL_RETURNC(0,-6AM)&lt;/Q&gt;&lt;R&gt;1&lt;/R&gt;&lt;C&gt;1&lt;/C&gt;&lt;D xsi:type="xsd:double"&gt;8.876276&lt;/D&gt;&lt;/FQL&gt;&lt;FQL&gt;&lt;Q&gt;URTH^P_PRICE(0)/P_PRICE_LOW_PR(0,,,,,,"PRICE","INTRA","52W")-1&lt;/Q&gt;&lt;R&gt;1&lt;/R&gt;&lt;C&gt;1&lt;/C&gt;&lt;D xsi:type="xsd:double"&gt;0.3283348&lt;/D&gt;&lt;/FQL&gt;&lt;FQL&gt;&lt;Q&gt;EWI^PERCENT_CHANGE(FMA_EPS(+1,0,,,,"PORTAGG","MEAN"),FMA_EPS(+1,-3AM,,,,"PORTAGG","MEAN"))&lt;/Q&gt;&lt;R&gt;1&lt;/R&gt;&lt;C&gt;1&lt;/C&gt;&lt;D xsi:type="xsd:double"&gt;-0.964657554670715&lt;/D&gt;&lt;/FQL&gt;&lt;FQL&gt;&lt;Q&gt;EWN^FG_TOTAL_RETURNC(0,-3AM)&lt;/Q&gt;&lt;R&gt;1&lt;/R&gt;&lt;C&gt;1&lt;/C&gt;&lt;D xsi:type="xsd:double"&gt;-5.7230654&lt;/D&gt;&lt;/FQL&gt;&lt;FQL&gt;&lt;Q&gt;EWU^FG_TOTAL_RETURNC(0,-12AM)&lt;/Q&gt;&lt;R&gt;1&lt;/R&gt;&lt;C&gt;1&lt;/C&gt;&lt;D xsi:type="xsd:double"&gt;19.881367&lt;/D&gt;&lt;/FQL&gt;&lt;FQL&gt;&lt;Q&gt;EWL^PERCENT_CHANGE(FMA_EPS(+1,0,,,,"PORTAGG","MEAN"),FMA_EPS(+1,-1AM,,,,"PORTAGG","MEAN"))&lt;/Q&gt;&lt;R&gt;1&lt;/R&gt;&lt;C&gt;1&lt;/C&gt;&lt;D xsi:type="xsd:double"&gt;2.16283701720098&lt;/D&gt;&lt;/FQL&gt;&lt;FQL&gt;&lt;Q&gt;EWG^FG_TOTAL_RETURNC(0,-1AM)&lt;/Q&gt;&lt;R&gt;1&lt;/R&gt;&lt;C&gt;1&lt;/C&gt;&lt;D xsi:type="xsd:double"&gt;6.744194&lt;/D&gt;&lt;/FQL&gt;&lt;FQL&gt;&lt;Q&gt;CAGDPY@IT^EE_ACTUAL_ANNUAL(MED,0)&lt;/Q&gt;&lt;R&gt;1&lt;/R&gt;&lt;C&gt;1&lt;/C&gt;&lt;D xsi:type="xsd:double"&gt;0.464182828189248&lt;/D&gt;&lt;/FQL&gt;&lt;FQL&gt;&lt;Q&gt;CAGDPY@JP^EE_ACTUAL_ANNUAL(MED,0)&lt;/Q&gt;&lt;R&gt;1&lt;/R&gt;&lt;C&gt;1&lt;/C&gt;&lt;D xsi:type="xsd:double"&gt;3.60658196299853&lt;/D&gt;&lt;/FQL&gt;&lt;FQL&gt;&lt;Q&gt;CC_AU^FG_COMPANY_NAME&lt;/Q&gt;&lt;R&gt;1&lt;/R&gt;&lt;C&gt;1&lt;/C&gt;&lt;D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xsi:type="xsd:double"&gt;10.31475&lt;/D&gt;&lt;/FQL&gt;&lt;FQL&gt;&lt;Q&gt;USDCHF^FG_PRICE(0)&lt;/Q&gt;&lt;R&gt;1&lt;/R&gt;&lt;C&gt;1&lt;/C&gt;&lt;D xsi:type="xsd:double"&gt;0.85395&lt;/D&gt;&lt;/FQL&gt;&lt;FQL&gt;&lt;Q&gt;USDEUR^FG_PRICE(0)&lt;/Q&gt;&lt;R&gt;1&lt;/R&gt;&lt;C&gt;1&lt;/C&gt;&lt;D xsi:type="xsd:double"&gt;0.9057971&lt;/D&gt;&lt;/FQL&gt;&lt;FQL&gt;&lt;Q&gt;USDAUD^FG_PRICE(0)&lt;/Q&gt;&lt;R&gt;1&lt;/R&gt;&lt;C&gt;1&lt;/C&gt;&lt;D xsi:type="xsd:double"&gt;1.4944333&lt;/D&gt;&lt;/FQL&gt;&lt;FQL&gt;&lt;Q&gt;EWU^FMA_EPS(NTMA,-20AY,0,CY,,"PORTAGG","MEANR")&lt;/Q&gt;&lt;R&gt;20&lt;/R&gt;&lt;C&gt;1&lt;/C&gt;&lt;D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xsi:type="xsd:double"&gt;2.53482233795695&lt;/D&gt;&lt;D xsi:type="xsd:double"&gt;2.03507562384137&lt;/D&gt;&lt;D xsi:type="xsd:double"&gt;2.71427224340632&lt;/D&gt;&lt;D xsi:type="xsd:double"&gt;3.12760121442787&lt;/D&gt;&lt;D xsi:type="xsd:double"&gt;3.00269886912718&lt;/D&gt;&lt;/FQL&gt;&lt;FQL&gt;&lt;Q&gt;EWJ^P_PRICE_RETURNS_PR('52W',2,-10AY,0,AM)&lt;/Q&gt;&lt;R&gt;121&lt;/R&gt;&lt;C&gt;1&lt;/C&gt;&lt;D xsi:type="xsd:double"&gt;3.6258698&lt;/D&gt;&lt;D xsi:type="xsd:double"&gt;-6.229651&lt;/D&gt;&lt;D xsi:type="xsd:double"&gt;-0.11214018&lt;/D&gt;&lt;D xsi:type="xsd:double"&gt;-3.0926704&lt;/D&gt;&lt;D xsi:type="xsd:double"&gt;-7.0230904&lt;/D&gt;&lt;D xsi:type="xsd:double"&gt;3.56071&lt;/D&gt;&lt;D xsi:type="xsd:double"&gt;11.172831&lt;/D&gt;&lt;D xsi:type="xsd:double"&gt;20.896996&lt;/D&gt;&lt;D xsi:type="xsd:double"&gt;17.39949&lt;/D&gt;&lt;D xsi:type="xsd:double"&gt;11.516476&lt;/D&gt;&lt;D xsi:type="xsd:double"&gt;7.3720574&lt;/D&gt;&lt;D xsi:type="xsd:double"&gt;9.556234&lt;/D&gt;&lt;D xsi:type="xsd:double"&gt;0.32684803&lt;/D&gt;&lt;D xsi:type="xsd:double"&gt;11.187208&lt;/D&gt;&lt;D xsi:type="xsd:double"&gt;7.5065017&lt;/D&gt;&lt;D xsi:type="xsd:double"&gt;5.855489&lt;/D&gt;&lt;D xsi:type="xsd:double"&gt;4.613769&lt;/D&gt;&lt;D xsi:type="xsd:double"&gt;-10.613335&lt;/D&gt;&lt;D xsi:type="xsd:double"&gt;-4.3235006&lt;/D&gt;&lt;D xsi:type="xsd:double"&gt;-9.873181&lt;/D&gt;&lt;D xsi:type="xsd:double"&gt;-8.437061&lt;/D&gt;&lt;D xsi:type="xsd:double"&gt;-9.066952&lt;/D&gt;&lt;D xsi:type="xsd:double"&gt;-4.4071674&lt;/D&gt;&lt;D xsi:type="xsd:double"&gt;-2.353239&lt;/D&gt;&lt;D xsi:type="xsd:double"&gt;7.49439&lt;/D&gt;&lt;D xsi:type="xsd:double"&gt;3.5377145&lt;/D&gt;&lt;D xsi:type="xsd:double"&gt;0.2713561&lt;/D&gt;&lt;D xsi:type="xsd:double"&gt;7.254565&lt;/D&gt;&lt;D xsi:type="xsd:double"&gt;12.498045&lt;/D&gt;&lt;D xsi:type="xsd:double"&gt;24.394835&lt;/D&gt;&lt;D xsi:type="xsd:double"&gt;16.550123&lt;/D&gt;&lt;D xsi:type="xsd:double"&gt;12.952232&lt;/D&gt;&lt;D xsi:type="xsd:double"&gt;14.210153&lt;/D&gt;&lt;D xsi:type="xsd:double"&gt;18.73821&lt;/D&gt;&lt;D xsi:type="xsd:double"&gt;14.403212&lt;/D&gt;&lt;D xsi:type="xsd:double"&gt;11.090732&lt;/D&gt;&lt;D xsi:type="xsd:double"&gt;13.170314&lt;/D&gt;&lt;D xsi:type="xsd:double"&gt;16.73584&lt;/D&gt;&lt;D xsi:type="xsd:double"&gt;21.703386&lt;/D&gt;&lt;D xsi:type="xsd:double"&gt;20.203209&lt;/D&gt;&lt;D xsi:type="xsd:double"&gt;27.14405&lt;/D&gt;&lt;D xsi:type="xsd:double"&gt;18.75055&lt;/D&gt;&lt;D xsi:type="xsd:double"&gt;19.750881&lt;/D&gt;&lt;D xsi:type="xsd:double"&gt;19.561445&lt;/D&gt;&lt;D xsi:type="xsd:double"&gt;18.85146&lt;/D&gt;&lt;D xsi:type="xsd:double"&gt;13.25047&lt;/D&gt;&lt;D xsi:type="xsd:double"&gt;8.011484&lt;/D&gt;&lt;D xsi:type="xsd:double"&gt;7.735193&lt;/D&gt;&lt;D xsi:type="xsd:double"&gt;4.7081947&lt;/D&gt;&lt;D xsi:type="xsd:double"&gt;1.5479326&lt;/D&gt;&lt;D xsi:type="xsd:double"&gt;-6.664419&lt;/D&gt;&lt;D xsi:type="xsd:double"&gt;-9.007478&lt;/D&gt;&lt;D xsi:type="xsd:double"&gt;-15.164638&lt;/D&gt;&lt;D xsi:type="xsd:double"&gt;-9.414715&lt;/D&gt;&lt;D xsi:type="xsd:double"&gt;-9.51559&lt;/D&gt;&lt;D xsi:type="xsd:double"&gt;-7.153267&lt;/D&gt;&lt;D xsi:type="xsd:double"&gt;-9.707183&lt;/D&gt;&lt;D xsi:type="xsd:double"&gt;-9.236389&lt;/D&gt;&lt;D xsi:type="xsd:double"&gt;-1.7686605&lt;/D&gt;&lt;D xsi:type="xsd:double"&gt;-6.1617136&lt;/D&gt;&lt;D xsi:type="xsd:double"&gt;0.22842884&lt;/D&gt;&lt;D xsi:type="xsd:double"&gt;2.67874&lt;/D&gt;&lt;D xsi:type="xsd:double"&gt;12.093508&lt;/D&gt;&lt;D xsi:type="xsd:double"&gt;14.636111&lt;/D&gt;&lt;D xsi:type="xsd:double"&gt;13.680649&lt;/D&gt;&lt;D xsi:type="xsd:double"&gt;12.942373&lt;/D&gt;&lt;D xsi:type="xsd:double"&gt;-15.383607&lt;/D&gt;&lt;D xsi:type="xsd:double"&gt;-6.368482&lt;/D&gt;&lt;D xsi:type="xsd:double"&gt;-1.5194356&lt;/D&gt;&lt;D xsi:type="xsd:double"&gt;5.7610273&lt;/D&gt;&lt;D xsi:type="xsd:double"&gt;3.5203695&lt;/D&gt;&lt;D xsi:type="xsd:double"&gt;11.360574&lt;/D&gt;&lt;D xsi:type="xsd:double"&gt;6.9489717&lt;/D&gt;&lt;D xsi:type="xsd:double"&gt;6.4071536&lt;/D&gt;&lt;D xsi:type="xsd:double"&gt;6.3913584&lt;/D&gt;&lt;D xsi:type="xsd:double"&gt;11.33436&lt;/D&gt;&lt;D xsi:type="xsd:double"&gt;17.314732&lt;/D&gt;&lt;D xsi:type="xsd:double"&gt;21.875525&lt;/D&gt;&lt;D xsi:type="xsd:double"&gt;55.725502&lt;/D&gt;&lt;D xsi:type="xsd:double"&gt;39.080204&lt;/D&gt;&lt;D xsi:type="xsd:double"&gt;26.966465&lt;/D&gt;&lt;D xsi:type="xsd:double"&gt;27.318108&lt;/D&gt;&lt;D xsi:type="xsd:double"&gt;24.403404&lt;/D&gt;&lt;D xsi:type="xsd:double"&gt;19.458664&lt;/D&gt;&lt;D xsi:type="xsd:double"&gt;27.390718&lt;/D&gt;&lt;D xsi:type="xsd:double"&gt;14.86814&lt;/D&gt;&lt;D xsi:type="xsd:double"&gt;13.411784&lt;/D&gt;&lt;D xsi:type="xsd:double"&gt;5.154836&lt;/D&gt;&lt;D xsi:type="xsd:double"&gt;0.57741404&lt;/D&gt;&lt;D xsi:type="xsd:double"&gt;-8.1916275&lt;/D&gt;&lt;D xsi:type="xsd:double"&gt;-12.180096&lt;/D&gt;&lt;D xsi:type="xsd:double"&gt;-14.896178&lt;/D&gt;&lt;D xsi:type="xsd:double"&gt;-13.918609&lt;/D&gt;&lt;D xsi:type="xsd:double"&gt;-18.492859&lt;/D&gt;&lt;D xsi:type="xsd:double"&gt;-20.96848&lt;/D&gt;&lt;D xsi:type="xsd:double"&gt;-14.7266445&lt;/D&gt;&lt;D xsi:type="xsd:double"&gt;-25.39323&lt;/D&gt;&lt;D xsi:type="xsd:double"&gt;-26.35808&lt;/D&gt;&lt;D xsi:type="xsd:double"&gt;-18.624657&lt;/D&gt;&lt;D xsi:type="xsd:double"&gt;-17.388165&lt;/D&gt;&lt;D xsi:type="xsd:double"&gt;-15.855408&lt;/D&gt;&lt;D xsi:type="xsd:double"&gt;-8.779425&lt;/D&gt;&lt;D xsi:type="xsd:double"&gt;-3.4236789&lt;/D&gt;&lt;D xsi:type="xsd:double"&gt;1.7987847&lt;/D&gt;&lt;D xsi:type="xsd:double"&gt;10.409665&lt;/D&gt;&lt;D xsi:type="xsd:double"&gt;15.335178&lt;/D&gt;&lt;D xsi:type="xsd:double"&gt;18.522537&lt;/D&gt;&lt;D xsi:type="xsd:double"&gt;10.0384&lt;/D&gt;&lt;D xsi:type="xsd:double"&gt;18.457996&lt;/D&gt;&lt;D xsi:type="xsd:double"&gt;24.930119&lt;/D&gt;&lt;D xsi:type="xsd:double"&gt;13.295436&lt;/D&gt;&lt;D xsi:type="xsd:double"&gt;15.178704&lt;/D&gt;&lt;D xsi:type="xsd:double"&gt;20.010471&lt;/D&gt;&lt;D xsi:type="xsd:double"&gt;17.676186&lt;/D&gt;&lt;D xsi:type="xsd:double"&gt;25.867165&lt;/D&gt;&lt;D xsi:type="xsd:double"&gt;21.453094&lt;/D&gt;&lt;D xsi:type="xsd:double"&gt;16.160381&lt;/D&gt;&lt;D xsi:type="xsd:double"&gt;11.599231&lt;/D&gt;&lt;D xsi:type="xsd:double"&gt;17.184757&lt;/D&gt;&lt;D xsi:type="xsd:double"&gt;9.425831&lt;/D&gt;&lt;D xsi:type="xsd:double"&gt;15.18631&lt;/D&gt;&lt;/FQL&gt;&lt;FQL&gt;&lt;Q&gt;EWC^FG_TOTAL_RETURNC(-10AY,0,AM)&lt;/Q&gt;&lt;R&gt;121&lt;/R&gt;&lt;C&gt;1&lt;/C&gt;&lt;D xsi:type="xsd:double"&gt;0.81453323&lt;/D&gt;&lt;D xsi:type="xsd:double"&gt;-9.384709&lt;/D&gt;&lt;D xsi:type="xsd:double"&gt;3.737998&lt;/D&gt;&lt;D xsi:type="xsd:double"&gt;-9.421492&lt;/D&gt;&lt;D xsi:type="xsd:double"&gt;0.6409168&lt;/D&gt;&lt;D xsi:type="xsd:double"&gt;2.867639&lt;/D&gt;&lt;D xsi:type="xsd:double"&gt;-4.2530355&lt;/D&gt;&lt;D xsi:type="xsd:double"&gt;5.4497957&lt;/D&gt;&lt;D xsi:type="xsd:double"&gt;2.088499&lt;/D&gt;&lt;D xsi:type="xsd:double"&gt;-4.438281&lt;/D&gt;&lt;D xsi:type="xsd:double"&gt;-4.7878685&lt;/D&gt;&lt;D xsi:type="xsd:double"&gt;-2.1889448&lt;/D&gt;&lt;D xsi:type="xsd:double"&gt;-7.9701543&lt;/D&gt;&lt;D xsi:type="xsd:double"&gt;5.375433&lt;/D&gt;&lt;D xsi:type="xsd:double"&gt;-7.77328&lt;/D&gt;&lt;D xsi:type="xsd:double"&gt;-5.31168&lt;/D&gt;&lt;D xsi:type="xsd:double"&gt;-6.865162&lt;/D&gt;&lt;D xsi:type="xsd:double"&gt;2.976787&lt;/D&gt;&lt;D xsi:type="xsd:double"&gt;14.600682&lt;/D&gt;&lt;D xsi:type="xsd:double"&gt;3.8050532&lt;/D&gt;&lt;D xsi:type="xsd:double"&gt;0.5354166&lt;/D&gt;&lt;D xsi:type="xsd:double"&gt;2.6218772&lt;/D&gt;&lt;D xsi:type="xsd:double"&gt;0.8745909&lt;/D&gt;&lt;D xsi:type="xsd:double"&gt;2.6326299&lt;/D&gt;&lt;D xsi:type="xsd:double"&gt;-1.1270881&lt;/D&gt;&lt;D xsi:type="xsd:double"&gt;-0.6682396&lt;/D&gt;&lt;D xsi:type="xsd:double"&gt;-1.6620517&lt;/D&gt;&lt;D xsi:type="xsd:double"&gt;8.651913&lt;/D&gt;&lt;D xsi:type="xsd:double"&gt;0.9991765&lt;/D&gt;&lt;D xsi:type="xsd:double"&gt;2.1851897&lt;/D&gt;&lt;D xsi:type="xsd:double"&gt;-3.8419724&lt;/D&gt;&lt;D xsi:type="xsd:double"&gt;1.9600391&lt;/D&gt;&lt;D xsi:type="xsd:double"&gt;-3.4750402&lt;/D&gt;&lt;D xsi:type="xsd:double"&gt;1.8000722&lt;/D&gt;&lt;D xsi:type="xsd:double"&gt;3.5179615&lt;/D&gt;&lt;D xsi:type="xsd:double"&gt;-0.29315352&lt;/D&gt;&lt;D xsi:type="xsd:double"&gt;4.740906&lt;/D&gt;&lt;D xsi:type="xsd:double"&gt;2.385962&lt;/D&gt;&lt;D xsi:type="xsd:double"&gt;0.47978163&lt;/D&gt;&lt;D xsi:type="xsd:double"&gt;-0.4092753&lt;/D&gt;&lt;D xsi:type="xsd:double"&gt;4.437089&lt;/D&gt;&lt;D xsi:type="xsd:double"&gt;-7.6386633&lt;/D&gt;&lt;D xsi:type="xsd:double"&gt;0.6832123&lt;/D&gt;&lt;D xsi:type="xsd:double"&gt;0.035715103&lt;/D&gt;&lt;D xsi:type="xsd:double"&gt;3.6058545&lt;/D&gt;&lt;D xsi:type="xsd:double"&gt;-0.034457445&lt;/D&gt;&lt;D xsi:type="xsd:double"&gt;0.9676814&lt;/D&gt;&lt;D xsi:type="xsd:double"&gt;-0.963521&lt;/D&gt;&lt;D xsi:type="xsd:double"&gt;-1.181376&lt;/D&gt;&lt;D xsi:type="xsd:double"&gt;-4.1139245&lt;/D&gt;&lt;D xsi:type="xsd:double"&gt;-2.7869463&lt;/D&gt;&lt;D xsi:type="xsd:double"&gt;-2.9800117&lt;/D&gt;&lt;D xsi:type="xsd:double"&gt;1.674366&lt;/D&gt;&lt;D xsi:type="xsd:double"&gt;5.015552&lt;/D&gt;&lt;D xsi:type="xsd:double"&gt;2.5546074&lt;/D&gt;&lt;D xsi:type="xsd:double"&gt;2.851987&lt;/D&gt;&lt;D xsi:type="xsd:double"&gt;-1.7901003&lt;/D&gt;&lt;D xsi:type="xsd:double"&gt;0.07147789&lt;/D&gt;&lt;D xsi:type="xsd:double"&gt;4.476452&lt;/D&gt;&lt;D xsi:type="xsd:double"&gt;-3.7254214&lt;/D&gt;&lt;D xsi:type="xsd:double"&gt;3.2963157&lt;/D&gt;&lt;D xsi:type="xsd:double"&gt;-0.97121&lt;/D&gt;&lt;D xsi:type="xsd:double"&gt;3.1873941&lt;/D&gt;&lt;D xsi:type="xsd:double"&gt;0.6109953&lt;/D&gt;&lt;D xsi:type="xsd:double"&gt;2.5998235&lt;/D&gt;&lt;D xsi:type="xsd:double"&gt;1.9993305&lt;/D&gt;&lt;D xsi:type="xsd:double"&gt;-33.68181&lt;/D&gt;&lt;D xsi:type="xsd:double"&gt;13.990152&lt;/D&gt;&lt;D xsi:type="xsd:double"&gt;4.364741&lt;/D&gt;&lt;D xsi:type="xsd:double"&gt;6.3354015&lt;/D&gt;&lt;D xsi:type="xsd:double"&gt;2.973199&lt;/D&gt;&lt;D xsi:type="xsd:double"&gt;8.441555&lt;/D&gt;&lt;D xsi:type="xsd:double"&gt;-1.7964065&lt;/D&gt;&lt;D xsi:type="xsd:double"&gt;2.8694391&lt;/D&gt;&lt;D xsi:type="xsd:double"&gt;-0.10460615&lt;/D&gt;&lt;D xsi:type="xsd:double"&gt;9.703314&lt;/D&gt;&lt;D xsi:type="xsd:double"&gt;3.0877829&lt;/D&gt;&lt;D xsi:type="xsd:double"&gt;2.7500033&lt;/D&gt;&lt;D xsi:type="xsd:double"&gt;4.866171&lt;/D&gt;&lt;D xsi:type="xsd:double"&gt;1.3631105&lt;/D&gt;&lt;D xsi:type="xsd:double"&gt;3.6337614&lt;/D&gt;&lt;D xsi:type="xsd:double"&gt;5.06016&lt;/D&gt;&lt;D xsi:type="xsd:double"&gt;-1.5071392&lt;/D&gt;&lt;D xsi:type="xsd:double"&gt;1.2885928&lt;/D&gt;&lt;D xsi:type="xsd:double"&gt;-1.2986958&lt;/D&gt;&lt;D xsi:type="xsd:double"&gt;1.3694882&lt;/D&gt;&lt;D xsi:type="xsd:double"&gt;5.960262&lt;/D&gt;&lt;D xsi:type="xsd:double"&gt;-4.9250007&lt;/D&gt;&lt;D xsi:type="xsd:double"&gt;4.836917&lt;/D&gt;&lt;D xsi:type="xsd:double"&gt;-1.321137&lt;/D&gt;&lt;D xsi:type="xsd:double"&gt;-0.82389116&lt;/D&gt;&lt;D xsi:type="xsd:double"&gt;2.2845268&lt;/D&gt;&lt;D xsi:type="xsd:double"&gt;-11.472082&lt;/D&gt;&lt;D xsi:type="xsd:double"&gt;4.644692&lt;/D&gt;&lt;D xsi:type="xsd:double"&gt;-8.915263&lt;/D&gt;&lt;D xsi:type="xsd:double"&gt;9.818184&lt;/D&gt;&lt;D xsi:type="xsd:double"&gt;-2.3730695&lt;/D&gt;&lt;D xsi:type="xsd:double"&gt;-14.2170725&lt;/D&gt;&lt;D xsi:type="xsd:double"&gt;15.4530525&lt;/D&gt;&lt;D xsi:type="xsd:double"&gt;-2.9395044&lt;/D&gt;&lt;D xsi:type="xsd:double"&gt;3.5155177&lt;/D&gt;&lt;D xsi:type="xsd:double"&gt;2.276659&lt;/D&gt;&lt;D xsi:type="xsd:double"&gt;-7.382369&lt;/D&gt;&lt;D xsi:type="xsd:double"&gt;6.5713406&lt;/D&gt;&lt;D xsi:type="xsd:double"&gt;-0.6565809&lt;/D&gt;&lt;D xsi:type="xsd:double"&gt;-0.9606242&lt;/D&gt;&lt;D xsi:type="xsd:double"&gt;2.403283&lt;/D&gt;&lt;D xsi:type="xsd:double"&gt;0.0572443&lt;/D&gt;&lt;D xsi:type="xsd:double"&gt;-1.372999&lt;/D&gt;&lt;D xsi:type="xsd:double"&gt;-3.6832988&lt;/D&gt;&lt;D xsi:type="xsd:double"&gt;0.24089813&lt;/D&gt;&lt;D xsi:type="xsd:double"&gt;4.8963547&lt;/D&gt;&lt;D xsi:type="xsd:double"&gt;5.397284&lt;/D&gt;&lt;D xsi:type="xsd:double"&gt;0.38557053&lt;/D&gt;&lt;D xsi:type="xsd:double"&gt;3.7585735&lt;/D&gt;&lt;D xsi:type="xsd:double"&gt;-1.7715454&lt;/D&gt;&lt;D xsi:type="xsd:double"&gt;2.7994514&lt;/D&gt;&lt;D xsi:type="xsd:double"&gt;-1.9079089&lt;/D&gt;&lt;D xsi:type="xsd:double"&gt;4.0420413&lt;/D&gt;&lt;D xsi:type="xsd:double"&gt;-1.8388987&lt;/D&gt;&lt;D xsi:type="xsd:double"&gt;6.596303&lt;/D&gt;&lt;/FQL&gt;&lt;FQL&gt;&lt;Q&gt;ENZL^FMA_DIV_YLD(NTMA,-10AY,0,AM,"PORTAGG","MEANR")&lt;/Q&gt;&lt;R&gt;121&lt;/R&gt;&lt;C&gt;1&lt;/C&gt;&lt;D xsi:type="xsd:double"&gt;4.56760556350107&lt;/D&gt;&lt;D xsi:type="xsd:double"&gt;4.60804294886135&lt;/D&gt;&lt;D xsi:type="xsd:double"&gt;4.44726817483779&lt;/D&gt;&lt;D xsi:type="xsd:double"&gt;4.47531369672272&lt;/D&gt;&lt;D xsi:type="xsd:double"&gt;4.40284963339975&lt;/D&gt;&lt;D xsi:type="xsd:double"&gt;4.30601834758133&lt;/D&gt;&lt;D xsi:type="xsd:double"&gt;4.29267218856306&lt;/D&gt;&lt;D xsi:type="xsd:double"&gt;4.43109586472914&lt;/D&gt;&lt;D xsi:type="xsd:double"&gt;4.47223037780544&lt;/D&gt;&lt;D xsi:type="xsd:double"&gt;4.46107606351032&lt;/D&gt;&lt;D xsi:type="xsd:double"&gt;4.71045703063957&lt;/D&gt;&lt;D xsi:type="xsd:double"&gt;4.69502343243487&lt;/D&gt;&lt;D xsi:type="xsd:double"&gt;5.14860233606005&lt;/D&gt;&lt;D xsi:type="xsd:double"&gt;5.20850973188456&lt;/D&gt;&lt;D xsi:type="xsd:double"&gt;4.88684304900005&lt;/D&gt;&lt;D xsi:type="xsd:double"&gt;4.80690185897919&lt;/D&gt;&lt;D xsi:type="xsd:double"&gt;4.90983205464711&lt;/D&gt;&lt;D xsi:type="xsd:double"&gt;5.05120432421511&lt;/D&gt;&lt;D xsi:type="xsd:double"&gt;4.69045024862221&lt;/D&gt;&lt;D xsi:type="xsd:double"&gt;4.61672498369749&lt;/D&gt;&lt;D xsi:type="xsd:double"&gt;4.48549057192232&lt;/D&gt;&lt;D xsi:type="xsd:double"&gt;4.36495976201959&lt;/D&gt;&lt;D xsi:type="xsd:double"&gt;4.27770230838793&lt;/D&gt;&lt;D xsi:type="xsd:double"&gt;4.13615234542724&lt;/D&gt;&lt;D xsi:type="xsd:double"&gt;4.26681103433599&lt;/D&gt;&lt;D xsi:type="xsd:double"&gt;4.48369565407618&lt;/D&gt;&lt;D xsi:type="xsd:double"&gt;4.75551146868518&lt;/D&gt;&lt;D xsi:type="xsd:double"&gt;4.62348877877991&lt;/D&gt;&lt;D xsi:type="xsd:double"&gt;4.5015770305972&lt;/D&gt;&lt;D xsi:type="xsd:double"&gt;4.50667709990805&lt;/D&gt;&lt;D xsi:type="xsd:double"&gt;4.56289658551886&lt;/D&gt;&lt;D xsi:type="xsd:double"&gt;4.550892533423&lt;/D&gt;&lt;D xsi:type="xsd:double"&gt;4.44974736439804&lt;/D&gt;&lt;D xsi:type="xsd:double"&gt;4.47594398979288&lt;/D&gt;&lt;D xsi:type="xsd:double"&gt;4.4475421017775&lt;/D&gt;&lt;D xsi:type="xsd:double"&gt;4.37462018184818&lt;/D&gt;&lt;D xsi:type="xsd:double"&gt;4.3847806494862&lt;/D&gt;&lt;D xsi:type="xsd:double"&gt;4.37238878805497&lt;/D&gt;&lt;D xsi:type="xsd:double"&gt;4.46071557559729&lt;/D&gt;&lt;D xsi:type="xsd:double"&gt;4.27555678287588&lt;/D&gt;&lt;D xsi:type="xsd:double"&gt;4.30555839122596&lt;/D&gt;&lt;D xsi:type="xsd:double"&gt;4.5977476628842&lt;/D&gt;&lt;D xsi:type="xsd:double"&gt;4.1948813010747&lt;/D&gt;&lt;D xsi:type="xsd:double"&gt;4.27848442865659&lt;/D&gt;&lt;D xsi:type="xsd:double"&gt;4.16891396826759&lt;/D&gt;&lt;D xsi:type="xsd:double"&gt;4.01933371929654&lt;/D&gt;&lt;D xsi:type="xsd:double"&gt;4.05457918190824&lt;/D&gt;&lt;D xsi:type="xsd:double"&gt;4.06509938421979&lt;/D&gt;&lt;D xsi:type="xsd:double"&gt;3.9848955490065&lt;/D&gt;&lt;D xsi:type="xsd:double"&gt;4.23112928737054&lt;/D&gt;&lt;D xsi:type="xsd:double"&gt;4.14936834162477&lt;/D&gt;&lt;D xsi:type="xsd:double"&gt;4.17441943406638&lt;/D&gt;&lt;D xsi:type="xsd:double"&gt;4.10424526837896&lt;/D&gt;&lt;D xsi:type="xsd:double"&gt;3.98705156457139&lt;/D&gt;&lt;D xsi:type="xsd:double"&gt;3.89986382840883&lt;/D&gt;&lt;D xsi:type="xsd:double"&gt;3.79097998423093&lt;/D&gt;&lt;D xsi:type="xsd:double"&gt;3.69133867957838&lt;/D&gt;&lt;D xsi:type="xsd:double"&gt;3.67092945699918&lt;/D&gt;&lt;D xsi:type="xsd:double"&gt;3.44144533023379&lt;/D&gt;&lt;D xsi:type="xsd:double"&gt;3.39857423906301&lt;/D&gt;&lt;D xsi:type="xsd:double"&gt;3.33458656048434&lt;/D&gt;&lt;D xsi:type="xsd:double"&gt;3.33908241893286&lt;/D&gt;&lt;D xsi:type="xsd:double"&gt;3.32866260511739&lt;/D&gt;&lt;D xsi:type="xsd:double"&gt;3.25556752722758&lt;/D&gt;&lt;D xsi:type="xsd:double"&gt;3.16115836461661&lt;/D&gt;&lt;D xsi:type="xsd:double"&gt;3.04727520827914&lt;/D&gt;&lt;D xsi:type="xsd:double"&gt;3.47633092787194&lt;/D&gt;&lt;D xsi:type="xsd:double"&gt;2.99315351601391&lt;/D&gt;&lt;D xsi:type="xsd:double"&gt;2.58137087281201&lt;/D&gt;&lt;D xsi:type="xsd:double"&gt;2.6142356262672&lt;/D&gt;&lt;D xsi:type="xsd:double"&gt;2.48601791303435&lt;/D&gt;&lt;D xsi:type="xsd:double"&gt;2.44390168230238&lt;/D&gt;&lt;D xsi:type="xsd:double"&gt;2.42285264645463&lt;/D&gt;&lt;D xsi:type="xsd:double"&gt;2.34637373279039&lt;/D&gt;&lt;D xsi:type="xsd:double"&gt;2.35923867168173&lt;/D&gt;&lt;D xsi:type="xsd:double"&gt;2.37329087515197&lt;/D&gt;&lt;D xsi:type="xsd:double"&gt;2.42048675643222&lt;/D&gt;&lt;D xsi:type="xsd:double"&gt;2.56823550301363&lt;/D&gt;&lt;D xsi:type="xsd:double"&gt;2.57817915797637&lt;/D&gt;&lt;D xsi:type="xsd:double"&gt;2.59987425902028&lt;/D&gt;&lt;D xsi:type="xsd:double"&gt;2.62942852830092&lt;/D&gt;&lt;D xsi:type="xsd:double"&gt;2.68127948986522&lt;/D&gt;&lt;D xsi:type="xsd:double"&gt;2.59874842604368&lt;/D&gt;&lt;D xsi:type="xsd:double"&gt;2.6933440347369&lt;/D&gt;&lt;D xsi:type="xsd:double"&gt;2.60295707730707&lt;/D&gt;&lt;D xsi:type="xsd:double"&gt;2.67564705610433&lt;/D&gt;&lt;D xsi:type="xsd:double"&gt;2.71152542771103&lt;/D&gt;&lt;D xsi:type="xsd:double"&gt;2.78182117206002&lt;/D&gt;&lt;D xsi:type="xsd:double"&gt;2.82017300530858&lt;/D&gt;&lt;D xsi:type="xsd:double"&gt;2.97607356038104&lt;/D&gt;&lt;D xsi:type="xsd:double"&gt;3.08455783962233&lt;/D&gt;&lt;D xsi:type="xsd:double"&gt;3.14954726005763&lt;/D&gt;&lt;D xsi:type="xsd:double"&gt;3.23860683477553&lt;/D&gt;&lt;D xsi:type="xsd:double"&gt;3.27040182027887&lt;/D&gt;&lt;D xsi:type="xsd:double"&gt;3.32846065687921&lt;/D&gt;&lt;D xsi:type="xsd:double"&gt;3.2048321336856&lt;/D&gt;&lt;D xsi:type="xsd:double"&gt;3.17390749579165&lt;/D&gt;&lt;D xsi:type="xsd:double"&gt;3.47911466514727&lt;/D&gt;&lt;D xsi:type="xsd:double"&gt;3.38689405810595&lt;/D&gt;&lt;D xsi:type="xsd:double"&gt;3.44721626246884&lt;/D&gt;&lt;D xsi:type="xsd:double"&gt;3.4157124523237&lt;/D&gt;&lt;D xsi:type="xsd:double"&gt;3.27312822269978&lt;/D&gt;&lt;D xsi:type="xsd:double"&gt;3.43694008882196&lt;/D&gt;&lt;D xsi:type="xsd:double"&gt;3.3942374214906&lt;/D&gt;&lt;D xsi:type="xsd:double"&gt;3.48642904628921&lt;/D&gt;&lt;D xsi:type="xsd:double"&gt;3.51150450988459&lt;/D&gt;&lt;D xsi:type="xsd:double"&gt;3.43053900630784&lt;/D&gt;&lt;D xsi:type="xsd:double"&gt;3.44218672125393&lt;/D&gt;&lt;D xsi:type="xsd:double"&gt;3.40507741442331&lt;/D&gt;&lt;D xsi:type="xsd:double"&gt;3.43322246839631&lt;/D&gt;&lt;D xsi:type="xsd:double"&gt;3.46446847410753&lt;/D&gt;&lt;D xsi:type="xsd:double"&gt;3.10918978830993&lt;/D&gt;&lt;D xsi:type="xsd:double"&gt;2.97030149297866&lt;/D&gt;&lt;D xsi:type="xsd:double"&gt;3.03213586412648&lt;/D&gt;&lt;D xsi:type="xsd:double"&gt;2.76051506195331&lt;/D&gt;&lt;D xsi:type="xsd:double"&gt;2.78314335737249&lt;/D&gt;&lt;D xsi:type="xsd:double"&gt;2.77853433719391&lt;/D&gt;&lt;D xsi:type="xsd:double"&gt;2.7526797354723&lt;/D&gt;&lt;D xsi:type="xsd:double"&gt;2.67900510118979&lt;/D&gt;&lt;D xsi:type="xsd:double"&gt;2.5984917170075&lt;/D&gt;&lt;D xsi:type="xsd:double"&gt;3.0429923615919&lt;/D&gt;&lt;/FQL&gt;&lt;FQL&gt;&lt;Q&gt;EWI^FMA_PE(LTMA,-10AY,0,AM,"PORTAGG","MEANR")&lt;/Q&gt;&lt;R&gt;121&lt;/R&gt;&lt;C&gt;1&lt;/C&gt;&lt;D xsi:type="xsd:double"&gt;17.9588402743147&lt;/D&gt;&lt;D xsi:type="xsd:double"&gt;16.6057970202461&lt;/D&gt;&lt;D xsi:type="xsd:double"&gt;17.0497823565489&lt;/D&gt;&lt;D xsi:type="xsd:double"&gt;17.8569320977873&lt;/D&gt;&lt;D xsi:type="xsd:double"&gt;18.145668128085&lt;/D&gt;&lt;D xsi:type="xsd:double"&gt;39.4375843819872&lt;/D&gt;&lt;D xsi:type="xsd:double"&gt;44.1598915574283&lt;/D&gt;&lt;D xsi:type="xsd:double"&gt;41.630709008208&lt;/D&gt;&lt;D xsi:type="xsd:double"&gt;38.5258913081094&lt;/D&gt;&lt;D xsi:type="xsd:double"&gt;35.4727126625504&lt;/D&gt;&lt;D xsi:type="xsd:double"&gt;32.8268562504785&lt;/D&gt;&lt;D xsi:type="xsd:double"&gt;30.0877153022506&lt;/D&gt;&lt;D xsi:type="xsd:double"&gt;26.8197849684988&lt;/D&gt;&lt;D xsi:type="xsd:double"&gt;24.4304438357318&lt;/D&gt;&lt;D xsi:type="xsd:double"&gt;22.1156792135926&lt;/D&gt;&lt;D xsi:type="xsd:double"&gt;19.3443437809919&lt;/D&gt;&lt;D xsi:type="xsd:double"&gt;17.0090122757267&lt;/D&gt;&lt;D xsi:type="xsd:double"&gt;14.7026285261242&lt;/D&gt;&lt;D xsi:type="xsd:double"&gt;15.491198863705&lt;/D&gt;&lt;D xsi:type="xsd:double"&gt;15.1190252630908&lt;/D&gt;&lt;D xsi:type="xsd:double"&gt;15.3828150919912&lt;/D&gt;&lt;D xsi:type="xsd:double"&gt;14.7941789169836&lt;/D&gt;&lt;D xsi:type="xsd:double"&gt;14.5983418565232&lt;/D&gt;&lt;D xsi:type="xsd:double"&gt;15.1614797734865&lt;/D&gt;&lt;D xsi:type="xsd:double"&gt;14.8975683147053&lt;/D&gt;&lt;D xsi:type="xsd:double"&gt;14.6117228744671&lt;/D&gt;&lt;D xsi:type="xsd:double"&gt;14.4928546227796&lt;/D&gt;&lt;D xsi:type="xsd:double"&gt;15.7647993085375&lt;/D&gt;&lt;D xsi:type="xsd:double"&gt;27.3549622120049&lt;/D&gt;&lt;D xsi:type="xsd:double"&gt;20.2113008032908&lt;/D&gt;&lt;D xsi:type="xsd:double"&gt;83.6936885776985&lt;/D&gt;&lt;D xsi:type="xsd:double"&gt;75.8916397331102&lt;/D&gt;&lt;D xsi:type="xsd:double"&gt;69.1389552954863&lt;/D&gt;&lt;D xsi:type="xsd:double"&gt;61.6870985296556&lt;/D&gt;&lt;D xsi:type="xsd:double"&gt;54.8639068610429&lt;/D&gt;&lt;D xsi:type="xsd:double"&gt;47.6640328840124&lt;/D&gt;&lt;D xsi:type="xsd:double"&gt;40.4558055748982&lt;/D&gt;&lt;D xsi:type="xsd:double"&gt;33.6205648236313&lt;/D&gt;&lt;D xsi:type="xsd:double"&gt;27.0356986220154&lt;/D&gt;&lt;D xsi:type="xsd:double"&gt;20.0388752601152&lt;/D&gt;&lt;D xsi:type="xsd:double"&gt;15.9424340507552&lt;/D&gt;&lt;D xsi:type="xsd:double"&gt;14.3772008673266&lt;/D&gt;&lt;D xsi:type="xsd:double"&gt;14.2010089783465&lt;/D&gt;&lt;D xsi:type="xsd:double"&gt;14.1213239909393&lt;/D&gt;&lt;D xsi:type="xsd:double"&gt;14.1342325651946&lt;/D&gt;&lt;D xsi:type="xsd:double"&gt;13.4983591715412&lt;/D&gt;&lt;D xsi:type="xsd:double"&gt;13.2321599017403&lt;/D&gt;&lt;D xsi:type="xsd:double"&gt;12.9147783640993&lt;/D&gt;&lt;D xsi:type="xsd:double"&gt;12.5655055093839&lt;/D&gt;&lt;D xsi:type="xsd:double"&gt;11.640564339924&lt;/D&gt;&lt;D xsi:type="xsd:double"&gt;11.3321784103395&lt;/D&gt;&lt;D xsi:type="xsd:double"&gt;10.8998516523308&lt;/D&gt;&lt;D xsi:type="xsd:double"&gt;10.9245469207095&lt;/D&gt;&lt;D xsi:type="xsd:double"&gt;10.9486229733168&lt;/D&gt;&lt;D xsi:type="xsd:double"&gt;11.2697878197399&lt;/D&gt;&lt;D xsi:type="xsd:double"&gt;11.3506178726661&lt;/D&gt;&lt;D xsi:type="xsd:double"&gt;11.1527200179335&lt;/D&gt;&lt;D xsi:type="xsd:double"&gt;10.9589629421055&lt;/D&gt;&lt;D xsi:type="xsd:double"&gt;11.3631178857439&lt;/D&gt;&lt;D xsi:type="xsd:double"&gt;10.7974583334349&lt;/D&gt;&lt;D xsi:type="xsd:double"&gt;11.3561803451447&lt;/D&gt;&lt;D xsi:type="xsd:double"&gt;11.4178771454536&lt;/D&gt;&lt;D xsi:type="xsd:double"&gt;12.0976202050131&lt;/D&gt;&lt;D xsi:type="xsd:double"&gt;11.9948077848914&lt;/D&gt;&lt;D xsi:type="xsd:double"&gt;12.3495105864705&lt;/D&gt;&lt;D xsi:type="xsd:double"&gt;12.7752759118172&lt;/D&gt;&lt;D xsi:type="xsd:double"&gt;10.6900217009669&lt;/D&gt;&lt;D xsi:type="xsd:double"&gt;11.3594125527211&lt;/D&gt;&lt;D xsi:type="xsd:double"&gt;13.5451658828073&lt;/D&gt;&lt;D xsi:type="xsd:double"&gt;15.4533738878511&lt;/D&gt;&lt;D xsi:type="xsd:double"&gt;16.8457097275075&lt;/D&gt;&lt;D xsi:type="xsd:double"&gt;18.0343473394863&lt;/D&gt;&lt;D xsi:type="xsd:double"&gt;18.2445832226643&lt;/D&gt;&lt;D xsi:type="xsd:double"&gt;19.0091128470403&lt;/D&gt;&lt;D xsi:type="xsd:double"&gt;20.4068148384947&lt;/D&gt;&lt;D xsi:type="xsd:double"&gt;22.2710727259828&lt;/D&gt;&lt;D xsi:type="xsd:double"&gt;23.5972877473712&lt;/D&gt;&lt;D xsi:type="xsd:double"&gt;20.6366449810922&lt;/D&gt;&lt;D xsi:type="xsd:double"&gt;20.1309793845693&lt;/D&gt;&lt;D xsi:type="xsd:double"&gt;19.5398673927478&lt;/D&gt;&lt;D xsi:type="xsd:double"&gt;18.7648728270957&lt;/D&gt;&lt;D xsi:type="xsd:double"&gt;18.4783752081425&lt;/D&gt;&lt;D xsi:type="xsd:double"&gt;17.7173262719517&lt;/D&gt;&lt;D xsi:type="xsd:double"&gt;16.4056902845391&lt;/D&gt;&lt;D xsi:type="xsd:double"&gt;15.2641800257466&lt;/D&gt;&lt;D xsi:type="xsd:double"&gt;14.4105743689572&lt;/D&gt;&lt;D xsi:type="xsd:double"&gt;13.9049102710615&lt;/D&gt;&lt;D xsi:type="xsd:double"&gt;12.3618843121288&lt;/D&gt;&lt;D xsi:type="xsd:double"&gt;12.2211027050104&lt;/D&gt;&lt;D xsi:type="xsd:double"&gt;11.7749939214889&lt;/D&gt;&lt;D xsi:type="xsd:double"&gt;10.4997690057126&lt;/D&gt;&lt;D xsi:type="xsd:double"&gt;10.5149577521559&lt;/D&gt;&lt;D xsi:type="xsd:double"&gt;10.2009030983678&lt;/D&gt;&lt;D xsi:type="xsd:double"&gt;9.67727762348045&lt;/D&gt;&lt;D xsi:type="xsd:double"&gt;9.23115471628848&lt;/D&gt;&lt;D xsi:type="xsd:double"&gt;8.7859305006206&lt;/D&gt;&lt;D xsi:type="xsd:double"&gt;8.58479848119316&lt;/D&gt;&lt;D xsi:type="xsd:double"&gt;7.82641132104336&lt;/D&gt;&lt;D xsi:type="xsd:double"&gt;8.46508007121735&lt;/D&gt;&lt;D xsi:type="xsd:double"&gt;7.6938365046538&lt;/D&gt;&lt;D xsi:type="xsd:double"&gt;8.03384889008507&lt;/D&gt;&lt;D xsi:type="xsd:double"&gt;8.26053351230494&lt;/D&gt;&lt;D xsi:type="xsd:double"&gt;8.29206594207187&lt;/D&gt;&lt;D xsi:type="xsd:double"&gt;8.37580660175537&lt;/D&gt;&lt;D xsi:type="xsd:double"&gt;8.3060522317684&lt;/D&gt;&lt;D xsi:type="xsd:double"&gt;8.48036586542472&lt;/D&gt;&lt;D xsi:type="xsd:double"&gt;8.64102256399601&lt;/D&gt;&lt;D xsi:type="xsd:double"&gt;8.24483947741719&lt;/D&gt;&lt;D xsi:type="xsd:double"&gt;8.37882835592286&lt;/D&gt;&lt;D xsi:type="xsd:double"&gt;8.2604851715077&lt;/D&gt;&lt;D xsi:type="xsd:double"&gt;8.11106250986128&lt;/D&gt;&lt;D xsi:type="xsd:double"&gt;8.78801964414581&lt;/D&gt;&lt;D xsi:type="xsd:double"&gt;8.98914691491619&lt;/D&gt;&lt;D xsi:type="xsd:double"&gt;9.17207334492601&lt;/D&gt;&lt;D xsi:type="xsd:double"&gt;9.40372262761023&lt;/D&gt;&lt;D xsi:type="xsd:double"&gt;9.42047152760325&lt;/D&gt;&lt;D xsi:type="xsd:double"&gt;9.55563810039548&lt;/D&gt;&lt;D xsi:type="xsd:double"&gt;9.56929173012144&lt;/D&gt;&lt;D xsi:type="xsd:double"&gt;9.70439267233953&lt;/D&gt;&lt;D xsi:type="xsd:double"&gt;9.47753333031207&lt;/D&gt;&lt;D xsi:type="xsd:double"&gt;9.87653486987042&lt;/D&gt;&lt;/FQL&gt;&lt;FQL&gt;&lt;Q&gt;PASP-FDS^FG_PRICE_CHANGE(0,-1AY)&lt;/Q&gt;&lt;R&gt;1&lt;/R&gt;&lt;C&gt;1&lt;/C&gt;&lt;D xsi:type="xsd:double"&gt;-15.265306122449&lt;/D&gt;&lt;/FQL&gt;&lt;FQL&gt;&lt;Q&gt;EWQ^FG_PRICE_MAVG(0,,,,30)&lt;/Q&gt;&lt;R&gt;1&lt;/R&gt;&lt;C&gt;1&lt;/C&gt;&lt;D xsi:type="xsd:double"&gt;38.684666&lt;/D&gt;&lt;/FQL&gt;&lt;FQL&gt;&lt;Q&gt;EWL^FG_PRICE_MAVG(0,,,,30)&lt;/Q&gt;&lt;R&gt;1&lt;/R&gt;&lt;C&gt;1&lt;/C&gt;&lt;D xsi:type="xsd:double"&gt;51.018665&lt;/D&gt;&lt;/FQL&gt;&lt;FQL&gt;&lt;Q&gt;EWA^FG_PRICE_MAVG(0,,,,30)&lt;/Q&gt;&lt;R&gt;1&lt;/R&gt;&lt;C&gt;1&lt;/C&gt;&lt;D xsi:type="xsd:double"&gt;25.044666&lt;/D&gt;&lt;/FQL&gt;&lt;FQL&gt;&lt;Q&gt;EWG^FG_COMPANY_NAME&lt;/Q&gt;&lt;R&gt;1&lt;/R&gt;&lt;C&gt;1&lt;/C&gt;&lt;D xsi:type="xsd:string"&gt;iShares MSCI Germany ETF&lt;/D&gt;&lt;/FQL&gt;&lt;FQL&gt;&lt;Q&gt;VWO^FMA_PCT_ABOVE_MAVG(200,0,,,,"PORTAGG")&lt;/Q&gt;&lt;R&gt;1&lt;/R&gt;&lt;C&gt;1&lt;/C&gt;&lt;D xsi:type="xsd:double"&gt;40.8780903665814&lt;/D&gt;&lt;/FQL&gt;&lt;FQL&gt;&lt;Q&gt;EWA^FG_TOTAL_RETURNC(0,-6AM)&lt;/Q&gt;&lt;R&gt;1&lt;/R&gt;&lt;C&gt;1&lt;/C&gt;&lt;D xsi:type="xsd:double"&gt;8.798063&lt;/D&gt;&lt;/FQL&gt;&lt;FQL&gt;&lt;Q&gt;ENZL^FMA_ROE(NTMA,-20AY,NOW,FY,"PORTAGG","MEANR")&lt;/Q&gt;&lt;R&gt;20&lt;/R&gt;&lt;C&gt;1&lt;/C&gt;&lt;D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xsi:type="xsd:double"&gt;6.44400181202057&lt;/D&gt;&lt;D xsi:type="xsd:double"&gt;7.7689690341127&lt;/D&gt;&lt;D xsi:type="xsd:double"&gt;6.57910753918315&lt;/D&gt;&lt;/FQL&gt;&lt;FQL&gt;&lt;Q&gt;TRYCN10Y-FDS^FG_YIELD(-10AY,0,Y,,"YTM")&lt;/Q&gt;&lt;R&gt;10&lt;/R&gt;&lt;C&gt;1&lt;/C&gt;&lt;D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xsi:type="xsd:double"&gt;2.574&lt;/D&gt;&lt;/FQL&gt;&lt;FQL&gt;&lt;Q&gt;CAGDPY@SE^EE_ACTUAL_ANNUAL(MED,+1)&lt;/Q&gt;&lt;R&gt;1&lt;/R&gt;&lt;C&gt;1&lt;/C&gt;&lt;D xsi:type="xsd:double"&gt;6.15&lt;/D&gt;&lt;/FQL&gt;&lt;FQL&gt;&lt;Q&gt;CAGDPY@DE^EE_ACTUAL_ANNUAL(MED,+1)&lt;/Q&gt;&lt;R&gt;1&lt;/R&gt;&lt;C&gt;1&lt;/C&gt;&lt;D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xsi:type="xsd:double"&gt;21.984322&lt;/D&gt;&lt;/FQL&gt;&lt;FQL&gt;&lt;Q&gt;EWN^FMA_PE(LTMA,-10AY,0,AM,"PORTAGG","MEANR")&lt;/Q&gt;&lt;R&gt;121&lt;/R&gt;&lt;C&gt;1&lt;/C&gt;&lt;D xsi:type="xsd:double"&gt;16.7564180225009&lt;/D&gt;&lt;D xsi:type="xsd:double"&gt;16.0456651431926&lt;/D&gt;&lt;D xsi:type="xsd:double"&gt;17.1558375414558&lt;/D&gt;&lt;D xsi:type="xsd:double"&gt;17.1197986578401&lt;/D&gt;&lt;D xsi:type="xsd:double"&gt;17.5136337162818&lt;/D&gt;&lt;D xsi:type="xsd:double"&gt;19.095484791478&lt;/D&gt;&lt;D xsi:type="xsd:double"&gt;20.1120151515302&lt;/D&gt;&lt;D xsi:type="xsd:double"&gt;20.0273441554243&lt;/D&gt;&lt;D xsi:type="xsd:double"&gt;19.4827803136781&lt;/D&gt;&lt;D xsi:type="xsd:double"&gt;19.0927020763043&lt;/D&gt;&lt;D xsi:type="xsd:double"&gt;18.9438543334915&lt;/</t>
        </r>
      </text>
    </comment>
    <comment ref="A10" authorId="0" shapeId="0" xr:uid="{4FA7EA1F-4B78-4F17-8879-97296D95B265}">
      <text>
        <r>
          <rPr>
            <b/>
            <sz val="9"/>
            <color indexed="81"/>
            <rFont val="Tahoma"/>
            <charset val="1"/>
          </rPr>
          <t>D&gt;&lt;D xsi:type="xsd:double"&gt;18.3945565548545&lt;/D&gt;&lt;D xsi:type="xsd:double"&gt;17.0888624814137&lt;/D&gt;&lt;D xsi:type="xsd:double"&gt;16.8981346395172&lt;/D&gt;&lt;D xsi:type="xsd:double"&gt;17.9384590021409&lt;/D&gt;&lt;D xsi:type="xsd:double"&gt;16.9058584507065&lt;/D&gt;&lt;D xsi:type="xsd:double"&gt;15.956659249713&lt;/D&gt;&lt;D xsi:type="xsd:double"&gt;14.7508105727415&lt;/D&gt;&lt;D xsi:type="xsd:double"&gt;16.4239900373995&lt;/D&gt;&lt;D xsi:type="xsd:double"&gt;16.2924778512114&lt;/D&gt;&lt;D xsi:type="xsd:double"&gt;16.1175381140963&lt;/D&gt;&lt;D xsi:type="xsd:double"&gt;16.0153692848959&lt;/D&gt;&lt;D xsi:type="xsd:double"&gt;15.9478551132285&lt;/D&gt;&lt;D xsi:type="xsd:double"&gt;16.2220108363401&lt;/D&gt;&lt;D xsi:type="xsd:double"&gt;15.9352403070152&lt;/D&gt;&lt;D xsi:type="xsd:double"&gt;15.847630626085&lt;/D&gt;&lt;D xsi:type="xsd:double"&gt;15.4974932696237&lt;/D&gt;&lt;D xsi:type="xsd:double"&gt;15.8959445533617&lt;/D&gt;&lt;D xsi:type="xsd:double"&gt;16.2774724281561&lt;/D&gt;&lt;D xsi:type="xsd:double"&gt;16.2040904439717&lt;/D&gt;&lt;D xsi:type="xsd:double"&gt;16.5042094847727&lt;/D&gt;&lt;D xsi:type="xsd:double"&gt;16.5542429267398&lt;/D&gt;&lt;D xsi:type="xsd:double"&gt;16.7432103059388&lt;/D&gt;&lt;D xsi:type="xsd:double"&gt;16.6575334104452&lt;/D&gt;&lt;D xsi:type="xsd:double"&gt;16.614404403559&lt;/D&gt;&lt;D xsi:type="xsd:double"&gt;16.5481185923892&lt;/D&gt;&lt;D xsi:type="xsd:double"&gt;16.7681714535786&lt;/D&gt;&lt;D xsi:type="xsd:double"&gt;17.2127929774786&lt;/D&gt;&lt;D xsi:type="xsd:double"&gt;17.3375302328991&lt;/D&gt;&lt;D xsi:type="xsd:double"&gt;17.4089002294915&lt;/D&gt;&lt;D xsi:type="xsd:double"&gt;17.5270297534334&lt;/D&gt;&lt;D xsi:type="xsd:double"&gt;16.5223372614298&lt;/D&gt;&lt;D xsi:type="xsd:double"&gt;16.6854261742871&lt;/D&gt;&lt;D xsi:type="xsd:double"&gt;16.6269264496647&lt;/D&gt;&lt;D xsi:type="xsd:double"&gt;16.5893750068721&lt;/D&gt;&lt;D xsi:type="xsd:double"&gt;16.7202489712322&lt;/D&gt;&lt;D xsi:type="xsd:double"&gt;16.5996310897592&lt;/D&gt;&lt;D xsi:type="xsd:double"&gt;16.6306357218737&lt;/D&gt;&lt;D xsi:type="xsd:double"&gt;16.223868098514&lt;/D&gt;&lt;D xsi:type="xsd:double"&gt;15.4917908262192&lt;/D&gt;&lt;D xsi:type="xsd:double"&gt;15.5598861541142&lt;/D&gt;&lt;D xsi:type="xsd:double"&gt;15.0188679320847&lt;/D&gt;&lt;D xsi:type="xsd:double"&gt;14.670371538714&lt;/D&gt;&lt;D xsi:type="xsd:double"&gt;15.7134923818341&lt;/D&gt;&lt;D xsi:type="xsd:double"&gt;16.1145124394729&lt;/D&gt;&lt;D xsi:type="xsd:double"&gt;16.2517276393038&lt;/D&gt;&lt;D xsi:type="xsd:double"&gt;16.1789465118486&lt;/D&gt;&lt;D xsi:type="xsd:double"&gt;16.2811031031191&lt;/D&gt;&lt;D xsi:type="xsd:double"&gt;16.4380431753788&lt;/D&gt;&lt;D xsi:type="xsd:double"&gt;16.18186660264&lt;/D&gt;&lt;D xsi:type="xsd:double"&gt;17.0974550280567&lt;/D&gt;&lt;D xsi:type="xsd:double"&gt;17.2091382149649&lt;/D&gt;&lt;D xsi:type="xsd:double"&gt;17.9324071526719&lt;/D&gt;&lt;D xsi:type="xsd:double"&gt;18.3516213207211&lt;/D&gt;&lt;D xsi:type="xsd:double"&gt;18.7244527003207&lt;/D&gt;&lt;D xsi:type="xsd:double"&gt;20.0462289402394&lt;/D&gt;&lt;D xsi:type="xsd:double"&gt;16.6833494981426&lt;/D&gt;&lt;D xsi:type="xsd:double"&gt;17.2963780635682&lt;/D&gt;&lt;D xsi:type="xsd:double"&gt;18.0271779621544&lt;/D&gt;&lt;D xsi:type="xsd:double"&gt;19.0325354546946&lt;/D&gt;&lt;D xsi:type="xsd:double"&gt;20.0651374562863&lt;/D&gt;&lt;D xsi:type="xsd:double"&gt;21.0020811792412&lt;/D&gt;&lt;D xsi:type="xsd:double"&gt;21.5243174272252&lt;/D&gt;&lt;D xsi:type="xsd:double"&gt;22.9072207848989&lt;/D&gt;&lt;D xsi:type="xsd:double"&gt;24.7269578962231&lt;/D&gt;&lt;D xsi:type="xsd:double"&gt;25.9801910504561&lt;/D&gt;&lt;D xsi:type="xsd:double"&gt;27.8356267004395&lt;/D&gt;&lt;D xsi:type="xsd:double"&gt;29.8989610822043&lt;/D&gt;&lt;D xsi:type="xsd:double"&gt;28.7582831676733&lt;/D&gt;&lt;D xsi:type="xsd:double"&gt;28.4321918203504&lt;/D&gt;&lt;D xsi:type="xsd:double"&gt;27.2709759265322&lt;/D&gt;&lt;D xsi:type="xsd:double"&gt;27.073149352726&lt;/D&gt;&lt;D xsi:type="xsd:double"&gt;26.4254716222118&lt;/D&gt;&lt;D xsi:type="xsd:double"&gt;26.1604899444187&lt;/D&gt;&lt;D xsi:type="xsd:double"&gt;25.6665756104468&lt;/D&gt;&lt;D xsi:type="xsd:double"&gt;23.807244223704&lt;/D&gt;&lt;D xsi:type="xsd:double"&gt;24.556316459495&lt;/D&gt;&lt;D xsi:type="xsd:double"&gt;22.6955153336399&lt;/D&gt;&lt;D xsi:type="xsd:double"&gt;22.031740665047&lt;/D&gt;&lt;D xsi:type="xsd:double"&gt;20.0096138945917&lt;/D&gt;&lt;D xsi:type="xsd:double"&gt;18.162327039589&lt;/D&gt;&lt;D xsi:type="xsd:double"&gt;18.3933001637903&lt;/D&gt;&lt;D xsi:type="xsd:double"&gt;17.8586927417412&lt;/D&gt;&lt;D xsi:type="xsd:double"&gt;18.2945889099334&lt;/D&gt;&lt;D xsi:type="xsd:double"&gt;18.2011324867461&lt;/D&gt;&lt;D xsi:type="xsd:double"&gt;19.7354951321007&lt;/D&gt;&lt;D xsi:type="xsd:double"&gt;18.9396422332645&lt;/D&gt;&lt;D xsi:type="xsd:double"&gt;16.666170923801&lt;/D&gt;&lt;D xsi:type="xsd:double"&gt;18.4667032012753&lt;/D&gt;&lt;D xsi:type="xsd:double"&gt;18.5493852361754&lt;/D&gt;&lt;D xsi:type="xsd:double"&gt;19.2115326990923&lt;/D&gt;&lt;D xsi:type="xsd:double"&gt;20.7077625373196&lt;/D&gt;&lt;D xsi:type="xsd:double"&gt;20.4921738468403&lt;/D&gt;&lt;D xsi:type="xsd:double"&gt;20.1618168399044&lt;/D&gt;&lt;D xsi:type="xsd:double"&gt;19.6042671688917&lt;/D&gt;&lt;D xsi:type="xsd:double"&gt;19.3436657816157&lt;/D&gt;&lt;D xsi:type="xsd:double"&gt;19.2013963439921&lt;/D&gt;&lt;D xsi:type="xsd:double"&gt;18.3333591197029&lt;/D&gt;&lt;D xsi:type="xsd:double"&gt;17.3085657274208&lt;/D&gt;&lt;D xsi:type="xsd:double"&gt;16.659136062436&lt;/D&gt;&lt;D xsi:type="xsd:double"&gt;16.1277450085766&lt;/D&gt;&lt;D xsi:type="xsd:double"&gt;16.6906687717654&lt;/D&gt;&lt;D xsi:type="xsd:double"&gt;16.4201031830859&lt;/D&gt;&lt;D xsi:type="xsd:double"&gt;18.0193342628678&lt;/D&gt;&lt;D xsi:type="xsd:double"&gt;18.4866907009853&lt;/D&gt;&lt;D xsi:type="xsd:double"&gt;18.3041970449292&lt;/D&gt;&lt;D xsi:type="xsd:double"&gt;18.280058296438&lt;/D&gt;&lt;D xsi:type="xsd:double"&gt;18.5565278760727&lt;/D&gt;&lt;D xsi:type="xsd:double"&gt;18.6225141344279&lt;/D&gt;&lt;D xsi:type="xsd:double"&gt;17.3249190971302&lt;/D&gt;&lt;D xsi:type="xsd:double"&gt;17.3189183619764&lt;/D&gt;&lt;/FQL&gt;&lt;FQL&gt;&lt;Q&gt;PASP-FDS^FG_PRICE_CHANGE(0,-3AM)&lt;/Q&gt;&lt;R&gt;1&lt;/R&gt;&lt;C&gt;1&lt;/C&gt;&lt;D xsi:type="xsd:double"&gt;11.134903640257&lt;/D&gt;&lt;/FQL&gt;&lt;FQL&gt;&lt;Q&gt;COPP-FDS^FG_PRICE_CHANGE(0,-3AM)&lt;/Q&gt;&lt;R&gt;1&lt;/R&gt;&lt;C&gt;1&lt;/C&gt;&lt;D xsi:type="xsd:double"&gt;-9.78937029357198&lt;/D&gt;&lt;/FQL&gt;&lt;FQL&gt;&lt;Q&gt;CAGDPY@SE^EE_ACTUAL_ANNUAL(MED,0)&lt;/Q&gt;&lt;R&gt;1&lt;/R&gt;&lt;C&gt;1&lt;/C&gt;&lt;D xsi:type="xsd:double"&gt;6.54758763985883&lt;/D&gt;&lt;/FQL&gt;&lt;FQL&gt;&lt;Q&gt;CAGDPY@DE^EE_ACTUAL_ANNUAL(MED,0)&lt;/Q&gt;&lt;R&gt;1&lt;/R&gt;&lt;C&gt;1&lt;/C&gt;&lt;D xsi:type="xsd:double"&gt;5.88214213185842&lt;/D&gt;&lt;/FQL&gt;&lt;FQL&gt;&lt;Q&gt;USDITL^STD(FG_PRICE_CHANGE(0,-3AY,M))&lt;/Q&gt;&lt;R&gt;1&lt;/R&gt;&lt;C&gt;1&lt;/C&gt;&lt;D xsi:type="xsd:double"&gt;2.18410852976757&lt;/D&gt;&lt;/FQL&gt;&lt;FQL&gt;&lt;Q&gt;USDANG^STD(FG_PRICE_CHANGE(0,-3AY,M))&lt;/Q&gt;&lt;R&gt;1&lt;/R&gt;&lt;C&gt;1&lt;/C&gt;&lt;D xsi:type="xsd:double"&gt;0.0594600681310969&lt;/D&gt;&lt;/FQL&gt;&lt;FQL&gt;&lt;Q&gt;USDUSD^STD(FG_PRICE_CHANGE(0,-3AY,M))&lt;/Q&gt;&lt;R&gt;1&lt;/R&gt;&lt;C&gt;1&lt;/C&gt;&lt;D xsi:type="xsd:double"&gt;0&lt;/D&gt;&lt;/FQL&gt;&lt;FQL&gt;&lt;Q&gt;USDGBP^STD(FG_PRICE_CHANGE(0,-3AY,M))&lt;/Q&gt;&lt;R&gt;1&lt;/R&gt;&lt;C&gt;1&lt;/C&gt;&lt;D xsi:type="xsd:double"&gt;2.38683145915514&lt;/D&gt;&lt;/FQL&gt;&lt;FQL&gt;&lt;Q&gt;USDJPY^STD(FG_PRICE_CHANGE(0,-3AY,M))&lt;/Q&gt;&lt;R&gt;1&lt;/R&gt;&lt;C&gt;1&lt;/C&gt;&lt;D xsi:type="xsd:double"&gt;3.35240877850283&lt;/D&gt;&lt;/FQL&gt;&lt;FQL&gt;&lt;Q&gt;USDCAD^STD(FG_PRICE_CHANGE(0,-3AY,M))&lt;/Q&gt;&lt;R&gt;1&lt;/R&gt;&lt;C&gt;1&lt;/C&gt;&lt;D xsi:type="xsd:double"&gt;1.83420331354053&lt;/D&gt;&lt;/FQL&gt;&lt;FQL&gt;&lt;Q&gt;USDNZD^STD(FG_PRICE_CHANGE(0,-3AY,M))&lt;/Q&gt;&lt;R&gt;1&lt;/R&gt;&lt;C&gt;1&lt;/C&gt;&lt;D xsi:type="xsd:double"&gt;3.59611459976247&lt;/D&gt;&lt;/FQL&gt;&lt;FQL&gt;&lt;Q&gt;EWJ^FMA_EPS(NTMA,-20AY,0,CY,,"PORTAGG","MEANR")&lt;/Q&gt;&lt;R&gt;20&lt;/R&gt;&lt;C&gt;1&lt;/C&gt;&lt;D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xsi:type="xsd:double"&gt;4.07638232764084&lt;/D&gt;&lt;D xsi:type="xsd:double"&gt;3.67687830587368&lt;/D&gt;&lt;D xsi:type="xsd:double"&gt;4.6151696484055&lt;/D&gt;&lt;D xsi:type="xsd:double"&gt;4.46089540048153&lt;/D&gt;&lt;D xsi:type="xsd:double"&gt;4.56673185665912&lt;/D&gt;&lt;/FQL&gt;&lt;FQL&gt;&lt;Q&gt;EWC^P_PRICE_RETURNS_PR('52W',2,-10AY,0,AM)&lt;/Q&gt;&lt;R&gt;121&lt;/R&gt;&lt;C&gt;1&lt;/C&gt;&lt;D xsi:type="xsd:double"&gt;17.075657&lt;/D&gt;&lt;D xsi:type="xsd:double"&gt;4.855728&lt;/D&gt;&lt;D xsi:type="xsd:double"&gt;5.940211&lt;/D&gt;&lt;D xsi:type="xsd:double"&gt;-1.0899127&lt;/D&gt;&lt;D xsi:type="xsd:double"&gt;-3.1036973&lt;/D&gt;&lt;D xsi:type="xsd:double"&gt;-0.53322315&lt;/D&gt;&lt;D xsi:type="xsd:double"&gt;-6.743622&lt;/D&gt;&lt;D xsi:type="xsd:double"&gt;-3.016603&lt;/D&gt;&lt;D xsi:type="xsd:double"&gt;-3.8670003&lt;/D&gt;&lt;D xsi:type="xsd:double"&gt;-10.070783&lt;/D&gt;&lt;D xsi:type="xsd:double"&gt;-17.612808&lt;/D&gt;&lt;D xsi:type="xsd:double"&gt;-18.482136&lt;/D&gt;&lt;D xsi:type="xsd:double"&gt;-25.861835&lt;/D&gt;&lt;D xsi:type="xsd:double"&gt;-13.464123&lt;/D&gt;&lt;D xsi:type="xsd:double"&gt;-23.066568&lt;/D&gt;&lt;D xsi:type="xsd:double"&gt;-20.903772&lt;/D&gt;&lt;D xsi:type="xsd:double"&gt;-25.57413&lt;/D&gt;&lt;D xsi:type="xsd:double"&gt;-25.495165&lt;/D&gt;&lt;D xsi:type="xsd:double"&gt;-10.187304&lt;/D&gt;&lt;D xsi:type="xsd:double"&gt;-12.215179&lt;/D&gt;&lt;D xsi:type="xsd:double"&gt;-13.550652&lt;/D&gt;&lt;D xsi:type="xsd:double"&gt;-8.393568&lt;/D&gt;&lt;D xsi:type="xsd:double"&gt;-1.6425669&lt;/D&gt;&lt;D xsi:type="xsd:double"&gt;3.2059312&lt;/D&gt;&lt;D xsi:type="xsd:double"&gt;10.88003&lt;/D&gt;&lt;D xsi:type="xsd:double"&gt;4.5206547&lt;/D&gt;&lt;D xsi:type="xsd:double"&gt;9.381807&lt;/D&gt;&lt;D xsi:type="xsd:double"&gt;27.881409&lt;/D&gt;&lt;D xsi:type="xsd:double"&gt;38.679756&lt;/D&gt;&lt;D xsi:type="xsd:double"&gt;40.505028&lt;/D&gt;&lt;D xsi:type="xsd:double"&gt;17.835342&lt;/D&gt;&lt;D xsi:type="xsd:double"&gt;13.4152775&lt;/D&gt;&lt;D xsi:type="xsd:double"&gt;8.891022&lt;/D&gt;&lt;D xsi:type="xsd:double"&gt;8.019018&lt;/D&gt;&lt;D xsi:type="xsd:double"&gt;10.849607&lt;/D&gt;&lt;D xsi:type="xsd:double"&gt;7.314205&lt;/D&gt;&lt;D xsi:type="xsd:double"&gt;14.080834&lt;/D&gt;&lt;D xsi:type="xsd:double"&gt;17.588543&lt;/D&gt;&lt;D xsi:type="xsd:double"&gt;18.012608&lt;/D&gt;&lt;D xsi:type="xsd:double"&gt;10.129595&lt;/D&gt;&lt;D xsi:type="xsd:double"&gt;13.878298&lt;/D&gt;&lt;D xsi:type="xsd:double"&gt;2.9303074&lt;/D&gt;&lt;D xsi:type="xsd:double"&gt;7.774186&lt;/D&gt;&lt;D xsi:type="xsd:double"&gt;5.74013&lt;/D&gt;&lt;D xsi:type="xsd:double"&gt;13.323426&lt;/D&gt;&lt;D xsi:type="xsd:double"&gt;11.451721&lt;/D&gt;&lt;D xsi:type="xsd:double"&gt;8.705961&lt;/D&gt;&lt;D xsi:type="xsd:double"&gt;8.134068&lt;/D&gt;&lt;D xsi:type="xsd:double"&gt;1.8699527&lt;/D&gt;&lt;D xsi:type="xsd:double"&gt;-4.5971813&lt;/D&gt;&lt;D xsi:type="xsd:double"&gt;-7.698846&lt;/D&gt;&lt;D xsi:type="xsd:double"&gt;-10.081416&lt;/D&gt;&lt;D xsi:type="xsd:double"&gt;-12.168371&lt;/D&gt;&lt;D xsi:type="xsd:double"&gt;-0.46643615&lt;/D&gt;&lt;D xsi:type="xsd:double"&gt;1.3836026&lt;/D&gt;&lt;D xsi:type="xsd:double"&gt;4.2378306&lt;/D&gt;&lt;D xsi:type="xsd:double"&gt;-1.2591004&lt;/D&gt;&lt;D xsi:type="xsd:double"&gt;-1.0863364&lt;/D&gt;&lt;D xsi:type="xsd:double"&gt;2.3510456&lt;/D&gt;&lt;D xsi:type="xsd:double"&gt;-0.5033016&lt;/D&gt;&lt;D xsi:type="xsd:double"&gt;4.0051103&lt;/D&gt;&lt;D xsi:type="xsd:double"&gt;7.968235&lt;/D&gt;&lt;D xsi:type="xsd:double"&gt;14.015174&lt;/D&gt;&lt;D xsi:type="xsd:double"&gt;18.23523&lt;/D&gt;&lt;D xsi:type="xsd:double"&gt;19.079935&lt;/D&gt;&lt;D xsi:type="xsd:double"&gt;15.884602&lt;/D&gt;&lt;D xsi:type="xsd:double"&gt;-25.061798&lt;/D&gt;&lt;D xsi:type="xsd:double"&gt;-16.062647&lt;/D&gt;&lt;D xsi:type="xsd:double"&gt;-11.741519&lt;/D&gt;&lt;D xsi:type="xsd:double"&gt;-6.2170267&lt;/D&gt;&lt;D xsi:type="xsd:double"&gt;-7.5025854&lt;/D&gt;&lt;D xsi:type="xsd:double"&gt;4.1151643&lt;/D&gt;&lt;D xsi:type="xsd:double"&gt;-0.98357797&lt;/D&gt;&lt;D xsi:type="xsd:double"&gt;2.820921&lt;/D&gt;&lt;D xsi:type="xsd:double"&gt;-0.45937896&lt;/D&gt;&lt;D xsi:type="xsd:double"&gt;8.719599&lt;/D&gt;&lt;D xsi:type="xsd:double"&gt;9.052383&lt;/D&gt;&lt;D xsi:type="xsd:double"&gt;9.85496&lt;/D&gt;&lt;D xsi:type="xsd:double"&gt;73.709045&lt;/D&gt;&lt;D xsi:type="xsd:double"&gt;54.46676&lt;/D&gt;&lt;D xsi:type="xsd:double"&gt;53.384876&lt;/D&gt;&lt;D xsi:type="xsd:double"&gt;54.187214&lt;/D&gt;&lt;D xsi:type="xsd:double"&gt;44.951675&lt;/D&gt;&lt;D xsi:type="xsd:double"&gt;35.39045&lt;/D&gt;&lt;D xsi:type="xsd:double"&gt;36.46822&lt;/D&gt;&lt;D xsi:type="xsd:double"&gt;34.092487&lt;/D&gt;&lt;D xsi:type="xsd:double"&gt;42.23353&lt;/D&gt;&lt;D xsi:type="xsd:double"&gt;22.643148&lt;/D&gt;&lt;D xsi:type="xsd:double"&gt;25.359022&lt;/D&gt;&lt;D xsi:type="xsd:double"&gt;20.722507&lt;/D&gt;&lt;D xsi:type="xsd:double"&gt;14.490461&lt;/D&gt;&lt;D xsi:type="xsd:double"&gt;14.894569&lt;/D&gt;&lt;D xsi:type="xsd:double"&gt;-1.8526673&lt;/D&gt;&lt;D xsi:type="xsd:double"&gt;-2.3698807&lt;/D&gt;&lt;D xsi:type="xsd:double"&gt;-9.593749&lt;/D&gt;&lt;D xsi:type="xsd:double"&gt;-1.980567&lt;/D&gt;&lt;D xsi:type="xsd:double"&gt;-3.04752&lt;/D&gt;&lt;D xsi:type="xsd:double"&gt;-17.954922&lt;/D&gt;&lt;D xsi:type="xsd:double"&gt;-9.381306&lt;/D&gt;&lt;D xsi:type="xsd:double"&gt;-8.737766&lt;/D&gt;&lt;D xsi:type="xsd:double"&gt;-9.888059&lt;/D&gt;&lt;D xsi:type="xsd:double"&gt;-6.794584&lt;/D&gt;&lt;D xsi:type="xsd:double"&gt;-13.22946&lt;/D&gt;&lt;D xsi:type="xsd:double"&gt;-9.123445&lt;/D&gt;&lt;D xsi:type="xsd:double"&gt;1.9789934&lt;/D&gt;&lt;D xsi:type="xsd:double"&gt;-3.4835398&lt;/D&gt;&lt;D xsi:type="xsd:double"&gt;8.50997&lt;/D&gt;&lt;D xsi:type="xsd:double"&gt;-0.17054677&lt;/D&gt;&lt;D xsi:type="xsd:double"&gt;-0.12193322&lt;/D&gt;&lt;D xsi:type="xsd:double"&gt;12.14267&lt;/D&gt;&lt;D xsi:type="xsd:double"&gt;-1.6509354&lt;/D&gt;&lt;D xsi:type="xsd:double"&gt;5.2272677&lt;/D&gt;&lt;D xsi:type="xsd:double"&gt;7.1401477&lt;/D&gt;&lt;D xsi:type="xsd:double"&gt;5.1591396&lt;/D&gt;&lt;D xsi:type="xsd:double"&gt;17.808687&lt;/D&gt;&lt;D xsi:type="xsd:double"&gt;8.586097&lt;/D&gt;&lt;D xsi:type="xsd:double"&gt;10.58414&lt;/D&gt;&lt;D xsi:type="xsd:double"&gt;11.288953&lt;/D&gt;&lt;D xsi:type="xsd:double"&gt;13.069892&lt;/D&gt;&lt;D xsi:type="xsd:double"&gt;10.927164&lt;/D&gt;&lt;D xsi:type="xsd:double"&gt;19.890345&lt;/D&gt;&lt;/FQL&gt;&lt;FQL&gt;&lt;Q&gt;ENZL^FG_TOTAL_RETURNC(-10AY,0,AM)&lt;/Q&gt;&lt;R&gt;121&lt;/R&gt;&lt;C&gt;1&lt;/C&gt;&lt;D xsi:type="xsd:double"&gt;0.2522707&lt;/D&gt;&lt;D xsi:type="xsd:double"&gt;-4.126835&lt;/D&gt;&lt;D xsi:type="xsd:double"&gt;7.5065613&lt;/D&gt;&lt;D xsi:type="xsd:double"&gt;-1.53808&lt;/D&gt;&lt;D xsi:type="xsd:double"&gt;2.8052568&lt;/D&gt;&lt;D xsi:type="xsd:double"&gt;-1.4877319&lt;/D&gt;&lt;D xsi:type="xsd:double"&gt;1.1527777&lt;/D&gt;&lt;D xsi:type="xsd:double"&gt;1.1085391&lt;/D&gt;&lt;D xsi:type="xsd:double"&gt;-3.823191&lt;/D&gt;&lt;D xsi:type="xsd:double"&gt;-3.6079943&lt;/D&gt;&lt;D xsi:type="xsd:double"&gt;-6.099987&lt;/D&gt;&lt;D xsi:type="xsd:double"&gt;-0.46403408&lt;/D&gt;&lt;D xsi:type="xsd:double"&gt;-7.0804176&lt;/D&gt;&lt;D xsi:type="xsd:double"&gt;7.306373&lt;/D&gt;&lt;D xsi:type="xsd:double"&gt;2.600813&lt;/D&gt;&lt;D xsi:type="xsd:double"&gt;2.9051542&lt;/D&gt;&lt;D xsi:type="xsd:double"&gt;-1.0214806&lt;/D&gt;&lt;D xsi:type="xsd:double"&gt;-1.5673935&lt;/D&gt;&lt;D xsi:type="xsd:double"&gt;12.1019125&lt;/D&gt;&lt;D xsi:type="xsd:double"&gt;6.4566135&lt;/D&gt;&lt;D xsi:type="xsd:double"&gt;0.9218812&lt;/D&gt;&lt;D xsi:type="xsd:double"&gt;3.8942337&lt;/D&gt;&lt;D xsi:type="xsd:double"&gt;6.4303637&lt;/D&gt;&lt;D xsi:type="xsd:double"&gt;2.355802&lt;/D&gt;&lt;D xsi:type="xsd:double"&gt;1.3551235&lt;/D&gt;&lt;D xsi:type="xsd:double"&gt;-7.597619&lt;/D&gt;&lt;D xsi:type="xsd:double"&gt;-5.7418466&lt;/D&gt;&lt;D xsi:type="xsd:double"&gt;3.9717317&lt;/D&gt;&lt;D xsi:type="xsd:double"&gt;1.6605139&lt;/D&gt;&lt;D xsi:type="xsd:double"&gt;2.361071&lt;/D&gt;&lt;D xsi:type="xsd:double"&gt;-3.4715712&lt;/D&gt;&lt;D xsi:type="xsd:double"&gt;1.8826962&lt;/D&gt;&lt;D xsi:type="xsd:double"&gt;2.1085024&lt;/D&gt;&lt;D xsi:type="xsd:double"&gt;4.756391&lt;/D&gt;&lt;D xsi:type="xsd:double"&gt;3.2889605&lt;/D&gt;&lt;D xsi:type="xsd:double"&gt;1.9222379&lt;/D&gt;&lt;D xsi:type="xsd:double"&gt;1.3502002&lt;/D&gt;&lt;D xsi:type="xsd:double"&gt;-0.23260713&lt;/D&gt;&lt;D xsi:type="xsd:double"&gt;-4.546422&lt;/D&gt;&lt;D xsi:type="xsd:double"&gt;4.007995&lt;/D&gt;&lt;D xsi:type="xsd:double"&gt;3.748691&lt;/D&gt;&lt;D xsi:type="xsd:double"&gt;-1.9295335&lt;/D&gt;&lt;D xsi:type="xsd:double"&gt;6.479907&lt;/D&gt;&lt;D xsi:type="xsd:double"&gt;0.58244467&lt;/D&gt;&lt;D xsi:type="xsd:double"&gt;-2.6956916&lt;/D&gt;&lt;D xsi:type="xsd:double"&gt;3.9400816&lt;/D&gt;&lt;D xsi:type="xsd:double"&gt;-2.6530385&lt;/D&gt;&lt;D xsi:type="xsd:double"&gt;-3.258407&lt;/D&gt;&lt;D xsi:type="xsd:double"&gt;1.4069438&lt;/D&gt;&lt;D xsi:type="xsd:double"&gt;-4.519659&lt;/D&gt;&lt;D xsi:type="xsd:double"&gt;3.7648678&lt;/D&gt;&lt;D xsi:type="xsd:double"&gt;0.84871054&lt;/D&gt;&lt;D xsi:type="xsd:double"&gt;2.2269845&lt;/D&gt;&lt;D xsi:type="xsd:double"&gt;2.681744&lt;/D&gt;&lt;D xsi:type="xsd:double"&gt;2.3668647&lt;/D&gt;&lt;D xsi:type="xsd:double"&gt;2.7905107&lt;/D&gt;&lt;D xsi:type="xsd:double"&gt;0.7368684&lt;/D&gt;&lt;D xsi:type="xsd:double"&gt;-0.6737292&lt;/D&gt;&lt;D xsi:type="xsd:double"&gt;7.492411&lt;/D&gt;&lt;D xsi:type="xsd:double"&gt;-2.4341106&lt;/D&gt;&lt;D xsi:type="xsd:double"&gt;0.67528486&lt;/D&gt;&lt;D xsi:type="xsd:double"&gt;-1.7700732&lt;/D&gt;&lt;D xsi:type="xsd:double"&gt;0.47420263&lt;/D&gt;&lt;D xsi:type="xsd:double"&gt;7.7968597&lt;/D&gt;&lt;D xsi:type="xsd:double"&gt;2.3994207&lt;/D&gt;&lt;D xsi:type="xsd:double"&gt;0.9257674&lt;/D&gt;&lt;D xsi:type="xsd:double"&gt;-21.455347&lt;/D&gt;&lt;D xsi:type="xsd:double"&gt;2.439022&lt;/D&gt;&lt;D xsi:type="xsd:double"&gt;6.915462&lt;/D&gt;&lt;D xsi:type="xsd:double"&gt;7.780695&lt;/D&gt;&lt;D xsi:type="xsd:double"&gt;7.777548&lt;/D&gt;&lt;D xsi:type="xsd:double"&gt;0.9241581&lt;/D&gt;&lt;D xsi:type="xsd:double"&gt;0.6392479&lt;/D&gt;&lt;D xsi:type="xsd:double"&gt;6.60944&lt;/D&gt;&lt;D xsi:type="xsd:double"&gt;3.8810015&lt;/D&gt;&lt;D xsi:type="xsd:double"&gt;5.084324&lt;/D&gt;&lt;D xsi:type="xsd:double"&gt;1.9755363&lt;/D&gt;&lt;D xsi:type="xsd:double"&gt;-3.9800882&lt;/D&gt;&lt;D xsi:type="xsd:double"&gt;-2.7735472&lt;/D&gt;&lt;D xsi:type="xsd:double"&gt;-2.3824453&lt;/D&gt;&lt;D xsi:type="xsd:double"&gt;1.8625617&lt;/D&gt;&lt;D xsi:type="xsd:double"&gt;-1.2899578&lt;/D&gt;&lt;D xsi:type="xsd:double"&gt;-0.3383875&lt;/D&gt;&lt;D xsi:type="xsd:double"&gt;-1.4227927&lt;/D&gt;&lt;D xsi:type="xsd:double"&gt;3.9363623&lt;/D&gt;&lt;D xsi:type="xsd:double"&gt;-2.9351413&lt;/D&gt;&lt;D xsi:type="xsd:double"&gt;0.032520294&lt;/D&gt;&lt;D xsi:type="xsd:double"&gt;-4.1686954&lt;/D&gt;&lt;D xsi:type="xsd:double"&gt;0.14550686&lt;/D&gt;&lt;D xsi:type="xsd:double"&gt;-7.960802&lt;/D&gt;&lt;D xsi:type="xsd:double"&gt;0.6538391&lt;/D&gt;&lt;D xsi:type="xsd:double"&gt;-0.68671703&lt;/D&gt;&lt;D xsi:type="xsd:double"&gt;-14.333767&lt;/D&gt;&lt;D xsi:type="xsd:double"&gt;0.84005594&lt;/D&gt;&lt;D xsi:type="xsd:double"&gt;-2.3178399&lt;/D&gt;&lt;D xsi:type="xsd:double"&gt;12.502802&lt;/D&gt;&lt;D xsi:type="xsd:double"&gt;-4.3019295&lt;/D&gt;&lt;D xsi:type="xsd:double"&gt;-16.066593&lt;/D&gt;&lt;D xsi:type="xsd:double"&gt;13.761461&lt;/D&gt;&lt;D xsi:type="xsd:double"&gt;7.432437&lt;/D&gt;&lt;D xsi:type="xsd:double"&gt;1.3614893&lt;/D&gt;&lt;D xsi:type="xsd:double"&gt;3.6605&lt;/D&gt;&lt;D xsi:type="xsd:double"&gt;-7.217699&lt;/D&gt;&lt;D xsi:type="xsd:double"&gt;3.8586378&lt;/D&gt;&lt;D xsi:type="xsd:double"&gt;0.65398216&lt;/D&gt;&lt;D xsi:type="xsd:double"&gt;-3.7469864&lt;/D&gt;&lt;D xsi:type="xsd:double"&gt;4.9853086&lt;/D&gt;&lt;D xsi:type="xsd:double"&gt;-5.8282557&lt;/D&gt;&lt;D xsi:type="xsd:double"&gt;-6.5605106&lt;/D&gt;&lt;D xsi:type="xsd:double"&gt;-0.4998803&lt;/D&gt;&lt;D xsi:type="xsd:double"&gt;-0.20552874&lt;/D&gt;&lt;D xsi:type="xsd:double"&gt;5.949652&lt;/D&gt;&lt;D xsi:type="xsd:double"&gt;6.093693&lt;/D&gt;&lt;D xsi:type="xsd:double"&gt;-4.4056473&lt;/D&gt;&lt;D xsi:type="xsd:double"&gt;-0.28260946&lt;/D&gt;&lt;D xsi:type="xsd:double"&gt;-2.7032852&lt;/D&gt;&lt;D xsi:type="xsd:double"&gt;1.4564157&lt;/D&gt;&lt;D xsi:type="xsd:double"&gt;3.036189&lt;/D&gt;&lt;D xsi:type="xsd:double"&gt;1.2526989&lt;/D&gt;&lt;D xsi:type="xsd:double"&gt;-1.3385296&lt;/D&gt;&lt;D xsi:type="xsd:double"&gt;8.513058&lt;/D&gt;&lt;/FQL&gt;&lt;FQL&gt;&lt;Q&gt;EWI^FMA_PE(NTMA,-10AY,0,AM,"PORTAGG","MEANR")&lt;/Q&gt;&lt;R&gt;121&lt;/R&gt;&lt;C&gt;1&lt;/C&gt;&lt;D xsi:type="xsd:double"&gt;14.0367275641081&lt;/D&gt;&lt;D xsi:type="xsd:double"&gt;12.5150407256355&lt;/D&gt;&lt;D xsi:type="xsd:double"&gt;12.3586105589576&lt;/D&gt;&lt;D xsi:type="xsd:double"&gt;12.2693076711912&lt;/D&gt;&lt;D xsi:type="xsd:double"&gt;11.8716904116106&lt;/D&gt;&lt;D xsi:type="xsd:double"&gt;14.4821421704867&lt;/D&gt;&lt;D xsi:type="xsd:double"&gt;15.629228580422&lt;/D&gt;&lt;D xsi:type="xsd:double"&gt;16.2389306829032&lt;/D&gt;&lt;D xsi:type="xsd:double"&gt;15.6287223435203&lt;/D&gt;&lt;D xsi:type="xsd:double"&gt;15.2023251459669&lt;/D&gt;&lt;D xsi:type="xsd:double"&gt;14.9774261091662&lt;/D&gt;&lt;D xsi:type="xsd:double"&gt;15.1409398668854&lt;/D&gt;&lt;D xsi:type="xsd:double"&gt;14.3746031426826&lt;/D&gt;&lt;D xsi:type="xsd:double"&gt;14.4670870855629&lt;/D&gt;&lt;D xsi:type="xsd:double"&gt;14.474785511289&lt;/D&gt;&lt;D xsi:type="xsd:double"&gt;13.8996972130561&lt;/D&gt;&lt;D xsi:type="xsd:double"&gt;13.4790861968652&lt;/D&gt;&lt;D xsi:type="xsd:double"&gt;11.8941230188023&lt;/D&gt;&lt;D xsi:type="xsd:double"&gt;13.7408450918804&lt;/D&gt;&lt;D xsi:type="xsd:double"&gt;12.6867120771472&lt;/D&gt;&lt;D xsi:type="xsd:double"&gt;13.429282607794&lt;/D&gt;&lt;D xsi:type="xsd:double"&gt;12.4906733518375&lt;/D&gt;&lt;D xsi:type="xsd:double"&gt;12.2301626157401&lt;/D&gt;&lt;D xsi:type="xsd:double"&gt;12.7699715220756&lt;/D&gt;&lt;D xsi:type="xsd:double"&gt;12.1876733737926&lt;/D&gt;&lt;D xsi:type="xsd:double"&gt;11.7213300910156&lt;/D&gt;&lt;D xsi:type="xsd:double"&gt;11.8434378398969&lt;/D&gt;&lt;D xsi:type="xsd:double"&gt;12.9291390483673&lt;/D&gt;&lt;D xsi:type="xsd:double"&gt;13.214521205419&lt;/D&gt;&lt;D xsi:type="xsd:double"&gt;13.0473965591938&lt;/D&gt;&lt;D xsi:type="xsd:double"&gt;13.2863042680179&lt;/D&gt;&lt;D xsi:type="xsd:double"&gt;13.1438468989513&lt;/D&gt;&lt;D xsi:type="xsd:double"&gt;13.8504926056749&lt;/D&gt;&lt;D xsi:type="xsd:double"&gt;13.2605271574341&lt;/D&gt;&lt;D xsi:type="xsd:double"&gt;13.5045242643339&lt;/D&gt;&lt;D xsi:type="xsd:double"&gt;13.1548267937409&lt;/D&gt;&lt;D xsi:type="xsd:double"&gt;13.4495004712976&lt;/D&gt;&lt;D xsi:type="xsd:double"&gt;13.5457272808636&lt;/D&gt;&lt;D xsi:type="xsd:double"&gt;13.4460005963658&lt;/D&gt;&lt;D xsi:type="xsd:double"&gt;13.5851692033839&lt;/D&gt;&lt;D xsi:type="xsd:double"&gt;13.6443184132609&lt;/D&gt;&lt;D xsi:type="xsd:double"&gt;12.5023651437377&lt;/D&gt;&lt;D xsi:type="xsd:double"&gt;12.7080849649624&lt;/D&gt;&lt;D xsi:type="xsd:double"&gt;12.7841820509208&lt;/D&gt;&lt;D xsi:type="xsd:double"&gt;12.9419183625077&lt;/D&gt;&lt;D xsi:type="xsd:double"&gt;11.6606599342921&lt;/D&gt;&lt;D xsi:type="xsd:double"&gt;11.3804020607727&lt;/D&gt;&lt;D xsi:type="xsd:double"&gt;11.0899770874372&lt;/D&gt;&lt;D xsi:type="xsd:double"&gt;10.8041694416101&lt;/D&gt;&lt;D xsi:type="xsd:double"&gt;9.87071874186469&lt;/D&gt;&lt;D xsi:type="xsd:double"&gt;9.69825352342091&lt;/D&gt;&lt;D xsi:type="xsd:double"&gt;9.44122526533859&lt;/D&gt;&lt;D xsi:type="xsd:double"&gt;9.69421551586197&lt;/D&gt;&lt;D xsi:type="xsd:double"&gt;10.1554032129652&lt;/D&gt;&lt;D xsi:type="xsd:double"&gt;10.4607714238714&lt;/D&gt;&lt;D xsi:type="xsd:double"&gt;10.9293200999984&lt;/D&gt;&lt;D xsi:type="xsd:double"&gt;10.3914402393696&lt;/D&gt;&lt;D xsi:type="xsd:double"&gt;10.0801789517643&lt;/D&gt;&lt;D xsi:type="xsd:double"&gt;10.9466900290377&lt;/D&gt;&lt;D xsi:type="xsd:double"&gt;9.98895340849906&lt;/D&gt;&lt;D xsi:type="xsd:double"&gt;10.8586667986044&lt;/D&gt;&lt;D xsi:type="xsd:double"&gt;10.8571929792904&lt;/D&gt;&lt;D xsi:type="xsd:double"&gt;11.5065029357165&lt;/D&gt;&lt;D xsi:type="xsd:double"&gt;11.3540428302752&lt;/D&gt;&lt;D xsi:type="xsd:double"&gt;11.6285504676505&lt;/D&gt;&lt;D xsi:type="xsd:double"&gt;11.8751312876275&lt;/D&gt;&lt;D xsi:type="xsd:double"&gt;7.31967898756858&lt;/D&gt;&lt;D xsi:type="xsd:double"&gt;10.5489472602225&lt;/D&gt;&lt;D xsi:type="xsd:double"&gt;14.9847732853393&lt;/D&gt;&lt;D xsi:type="xsd:double"&gt;17.0033739989701&lt;/D&gt;&lt;D xsi:type="xsd:double"&gt;17.324407478027&lt;/D&gt;&lt;D xsi:type="xsd:double"&gt;16.9500492252425&lt;/D&gt;&lt;D xsi:type="xsd:double"&gt;15.7376439361044&lt;/D&gt;&lt;D xsi:type="xsd:double"&gt;14.8741834881225&lt;/D&gt;&lt;D xsi:type="xsd:double"&gt;14.6838622722555&lt;/D&gt;&lt;D xsi:type="xsd:double"&gt;14.7921811915182&lt;/D&gt;&lt;D xsi:type="xsd:double"&gt;14.8309124818319&lt;/D&gt;&lt;D xsi:type="xsd:double"&gt;14.3642110167861&lt;/D&gt;&lt;D xsi:type="xsd:double"&gt;13.9810237556396&lt;/D&gt;&lt;D xsi:type="xsd:double"&gt;13.8369660577742&lt;/D&gt;&lt;D xsi:type="xsd:double"&gt;13.1950992990771&lt;/D&gt;&lt;D xsi:type="xsd:double"&gt;13.7436947531938&lt;/D&gt;&lt;D xsi:type="xsd:double"&gt;13.2513872767483&lt;/D&gt;&lt;D xsi:type="xsd:double"&gt;12.4247654648409&lt;/D&gt;&lt;D xsi:type="xsd:double"&gt;11.7191175863183&lt;/D&gt;&lt;D xsi:type="xsd:double"&gt;11.5909201019942&lt;/D&gt;&lt;D xsi:type="xsd:double"&gt;11.7934113909717&lt;/D&gt;&lt;D xsi:type="xsd:double"&gt;10.8563034542595&lt;/D&gt;&lt;D xsi:type="xsd:double"&gt;11.2084806882203&lt;/D&gt;&lt;D xsi:type="xsd:double"&gt;10.6758535162701&lt;/D&gt;&lt;D xsi:type="xsd:double"&gt;9.18218897849224&lt;/D&gt;&lt;D xsi:type="xsd:double"&gt;9.67766363292795&lt;/D&gt;&lt;D xsi:type="xsd:double"&gt;8.98541929056375&lt;/D&gt;&lt;D xsi:type="xsd:double"&gt;8.16454429223532&lt;/D&gt;&lt;D xsi:type="xsd:double"&gt;7.72850914320876&lt;/D&gt;&lt;D xsi:type="xsd:double"&gt;7.73687142592396&lt;/D&gt;&lt;D xsi:type="xsd:double"&gt;7.84874651494078&lt;/D&gt;&lt;D xsi:type="xsd:double"&gt;7.14791793160241&lt;/D&gt;&lt;D xsi:type="xsd:double"&gt;8.29033705698233&lt;/D&gt;&lt;D xsi:type="xsd:double"&gt;7.79806307390344&lt;/D&gt;&lt;D xsi:type="xsd:double"&gt;8.21595570564107&lt;/D&gt;&lt;D xsi:type="xsd:double"&gt;8.40013224155108&lt;/D&gt;&lt;D xsi:type="xsd:double"&gt;8.55951059201857&lt;/D&gt;&lt;D xsi:type="xsd:double"&gt;8.69207854044964&lt;/D&gt;&lt;D xsi:type="xsd:double"&gt;8.39269248312189&lt;/D&gt;&lt;D xsi:type="xsd:double"&gt;8.62997965276228&lt;/D&gt;&lt;D xsi:type="xsd:double"&gt;8.80203621407212&lt;/D&gt;&lt;D xsi:type="xsd:double"&gt;8.28216617494314&lt;/D&gt;&lt;D xsi:type="xsd:double"&gt;8.44336628332104&lt;/D&gt;&lt;D xsi:type="xsd:double"&gt;8.25323371299116&lt;/D&gt;&lt;D xsi:type="xsd:double"&gt;8.0912472326038&lt;/D&gt;&lt;D xsi:type="xsd:double"&gt;8.82744121644845&lt;/D&gt;&lt;D xsi:type="xsd:double"&gt;8.98289165285478&lt;/D&gt;&lt;D xsi:type="xsd:double"&gt;9.07024688139602&lt;/D&gt;&lt;D xsi:type="xsd:double"&gt;9.54114659078526&lt;/D&gt;&lt;D xsi:type="xsd:double"&gt;9.51388194092688&lt;/D&gt;&lt;D xsi:type="xsd:double"&gt;9.77203719387444&lt;/D&gt;&lt;D xsi:type="xsd:double"&gt;9.64259648494115&lt;/D&gt;&lt;D xsi:type="xsd:double"&gt;9.74565399596446&lt;/D&gt;&lt;D xsi:type="xsd:double"&gt;9.2539070595079&lt;/D&gt;&lt;D xsi:type="xsd:double"&gt;9.7839973881916&lt;/D&gt;&lt;/FQL&gt;&lt;FQL&gt;&lt;Q&gt;DDR3512M-FDS^FG_PRICE_CHANGE(0,-3AM)&lt;/Q&gt;&lt;R&gt;1&lt;/R&gt;&lt;C&gt;1&lt;/C&gt;&lt;D xsi:type="xsd:double"&gt;-7.31334059287313&lt;/D&gt;&lt;/FQL&gt;&lt;FQL&gt;&lt;Q&gt;PLATI-FDS^FG_PRICE_CHANGE(0,-3AM)&lt;/Q&gt;&lt;R&gt;1&lt;/R&gt;&lt;C&gt;1&lt;/C&gt;&lt;D xsi:type="xsd:double"&gt;-0.512820512820511&lt;/D&gt;&lt;/FQL&gt;&lt;FQL&gt;&lt;Q&gt;W-FDS^FG_PRICE_CHANGE(0,-3AM)&lt;/Q&gt;&lt;R&gt;1&lt;/R&gt;&lt;C&gt;1&lt;/C&gt;&lt;D xsi:type="xsd:double"&gt;-8.75202593192869&lt;/D&gt;&lt;/FQL&gt;&lt;FQL&gt;&lt;Q&gt;CAGDPY@NL^EE_ACTUAL_ANNUAL(MED,+1)&lt;/Q&gt;&lt;R&gt;1&lt;/R&gt;&lt;C&gt;1&lt;/C&gt;&lt;D xsi:type="xsd:double"&gt;9.75&lt;/D&gt;&lt;/FQL&gt;&lt;FQL&gt;&lt;Q&gt;CAGDPY@CA^EE_ACTUAL_ANNUAL(MED,+1)&lt;/Q&gt;&lt;R&gt;1&lt;/R&gt;&lt;C&gt;1&lt;/C&gt;&lt;D xsi:type="xsd:double"&gt;-1&lt;/D&gt;&lt;/FQL&gt;&lt;FQL&gt;&lt;Q&gt;USDITL^STD(FG_PRICE_CHANGE(0,-1AY,AM))&lt;/Q&gt;&lt;R&gt;1&lt;/R&gt;&lt;C&gt;1&lt;/C&gt;&lt;D xsi:type="xsd:double"&gt;1.55826251384123&lt;/D&gt;&lt;/FQL&gt;&lt;FQL&gt;&lt;Q&gt;USDANG^STD(FG_PRICE_CHANGE(0,-1AY,AM))&lt;/Q&gt;&lt;R&gt;1&lt;/R&gt;&lt;C&gt;1&lt;/C&gt;&lt;D xsi:type="xsd:double"&gt;0&lt;/D&gt;&lt;/FQL&gt;&lt;FQL&gt;&lt;Q&gt;USDGBP^STD(FG_PRICE_CHANGE(0,-1AY,AM))&lt;/Q&gt;&lt;R&gt;1&lt;/R&gt;&lt;C&gt;1&lt;/C&gt;&lt;D xsi:type="xsd:double"&gt;1.94732806639999&lt;/D&gt;&lt;/FQL&gt;&lt;FQL&gt;&lt;Q&gt;USDJPY^STD(FG_PRICE_CHANGE(0,-1AY,AM))&lt;/Q&gt;&lt;R&gt;1&lt;/R&gt;&lt;C&gt;1&lt;/C&gt;&lt;D xsi:type="xsd:double"&gt;2.94808567642106&lt;/D&gt;&lt;/FQL&gt;&lt;FQL&gt;&lt;Q&gt;USDCAD^STD(FG_PRICE_CHANGE(0,-1AY,AM))&lt;/Q&gt;&lt;R&gt;1&lt;/R&gt;&lt;C&gt;1&lt;/C&gt;&lt;D xsi:type="xsd:double"&gt;1.11995583725504&lt;/D&gt;&lt;/FQL&gt;&lt;FQL&gt;&lt;Q&gt;USDNZD^STD(FG_PRICE_CHANGE(0,-1AY,AM))&lt;/Q&gt;&lt;R&gt;1&lt;/R&gt;&lt;C&gt;1&lt;/C&gt;&lt;D xsi:type="xsd:double"&gt;2.25829387855996&lt;/D&gt;&lt;/FQL&gt;&lt;FQL&gt;&lt;Q&gt;EWG^FMA_EPS(NTMA,-20AY,0,CY,,"PORTAGG","MEANR")&lt;/Q&gt;&lt;R&gt;20&lt;/R&gt;&lt;C&gt;1&lt;/C&gt;&lt;D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xsi:type="xsd:double"&gt;2.65638349123077&lt;/D&gt;&lt;/FQL&gt;&lt;FQL&gt;&lt;Q&gt;TRYBR10Y-FDS^FG_YIELD(-10AY,0,Y,,"YTM")&lt;/Q&gt;&lt;R&gt;10&lt;/R&gt;&lt;C&gt;1&lt;/C&gt;&lt;D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xsi:type="xsd:double"&gt;10.455909&lt;/D&gt;&lt;/FQL&gt;&lt;FQL&gt;&lt;Q&gt;USDCAD^FG_PRICE_CHANGE(0,-6AM)&lt;/Q&gt;&lt;R&gt;1&lt;/R&gt;&lt;C&gt;1&lt;/C&gt;&lt;D xsi:type="xsd:double"&gt;0.7260084&lt;/D&gt;&lt;/FQL&gt;&lt;FQL&gt;&lt;Q&gt;EWI^FMA_DIV_YLD(NTMA,-10AY,0,AM,"PORTAGG","MEANR")&lt;/Q&gt;&lt;R&gt;121&lt;/R&gt;&lt;C&gt;1&lt;/C&gt;&lt;D xsi:type="xsd:double"&gt;3.51543329623409&lt;/D&gt;&lt;D xsi:type="xsd:double"&gt;3.97519122118323&lt;/D&gt;&lt;D xsi:type="xsd:double"&gt;4.07231008180053&lt;/D&gt;&lt;D xsi:type="xsd:double"&gt;4.13076116290824&lt;/D&gt;&lt;D xsi:type="xsd:double"&gt;4.23389118059733&lt;/D&gt;&lt;D xsi:type="xsd:double"&gt;3.65990931346818&lt;/D&gt;&lt;D xsi:type="xsd:double"&gt;3.39247668763227&lt;/D&gt;&lt;D xsi:type="xsd:double"&gt;3.08211052344215&lt;/D&gt;&lt;D xsi:type="xsd:double"&gt;3.20666472353069&lt;/D&gt;&lt;D xsi:type="xsd:double"&gt;3.30007642644915&lt;/D&gt;&lt;D xsi:type="xsd:double"&gt;3.27861299320685&lt;/D&gt;&lt;D xsi:type="xsd:double"&gt;3.18943447351644&lt;/D&gt;&lt;D xsi:type="xsd:double"&gt;3.41146122623376&lt;/D&gt;&lt;D xsi:type="xsd:double"&gt;3.59008141789234&lt;/D&gt;&lt;D xsi:type="xsd:double"&gt;3.68415770449227&lt;/D&gt;&lt;D xsi:type="xsd:double"&gt;3.86957175168544&lt;/D&gt;&lt;D xsi:type="xsd:double"&gt;4.12869025211825&lt;/D&gt;&lt;D xsi:type="xsd:double"&gt;4.81654836132896&lt;/D&gt;&lt;D xsi:type="xsd:double"&gt;4.17694949415063&lt;/D&gt;&lt;D xsi:type="xsd:double"&gt;4.60878747968323&lt;/D&gt;&lt;D xsi:type="xsd:double"&gt;4.54887219823259&lt;/D&gt;&lt;D xsi:type="xsd:double"&gt;4.78788731735719&lt;/D&gt;&lt;D xsi:type="xsd:double"&gt;4.78938776779692&lt;/D&gt;&lt;D xsi:type="xsd:double"&gt;4.68540837418352&lt;/D&gt;&lt;D xsi:type="xsd:double"&gt;4.8130956387016&lt;/D&gt;&lt;D xsi:type="xsd:double"&gt;4.96895881453445&lt;/D&gt;&lt;D xsi:type="xsd:double"&gt;4.78241754393465&lt;/D&gt;&lt;D xsi:type="xsd:double"&gt;4.50597102038746&lt;/D&gt;&lt;D xsi:type="xsd:double"&gt;4.36985540773232&lt;/D&gt;&lt;D xsi:type="xsd:double"&gt;4.44599975976405&lt;/D&gt;&lt;D xsi:type="xsd:double"&gt;4.06750207002043&lt;/D&gt;&lt;D xsi:type="xsd:double"&gt;4.00235959842993&lt;/D&gt;&lt;D xsi:type="xsd:double"&gt;3.76320828119867&lt;/D&gt;&lt;D xsi:type="xsd:double"&gt;3.79582867257263&lt;/D&gt;&lt;D xsi:type="xsd:double"&gt;3.75996607749691&lt;/D&gt;&lt;D xsi:type="xsd:double"&gt;3.83046937246452&lt;/D&gt;&lt;D xsi:type="xsd:double"&gt;3.723115917967&lt;/D&gt;&lt;D xsi:type="xsd:double"&gt;3.80606407368699&lt;/D&gt;&lt;D xsi:type="xsd:double"&gt;3.82206993493439&lt;/D&gt;&lt;D xsi:type="xsd:double"&gt;3.8300207272707&lt;/D&gt;&lt;D xsi:type="xsd:double"&gt;3.75590048320343&lt;/D&gt;&lt;D xsi:type="xsd:double"&gt;4.00276399452306&lt;/D&gt;&lt;D xsi:type="xsd:double"&gt;4.0054228403945&lt;/D&gt;&lt;D xsi:type="xsd:double"&gt;3.96218431158708&lt;/D&gt;&lt;D xsi:type="xsd:double"&gt;3.89538532686457&lt;/D&gt;&lt;D xsi:type="xsd:double"&gt;4.3707221700011&lt;/D&gt;&lt;D xsi:type="xsd:double"&gt;4.48336387654433&lt;/D&gt;&lt;D xsi:type="xsd:double"&gt;4.5769263603456&lt;/D&gt;&lt;D xsi:type="xsd:double"&gt;4.61790419625715&lt;/D&gt;&lt;D xsi:type="xsd:double"&gt;5.04516185646594&lt;/D&gt;&lt;D xsi:type="xsd:double"&gt;5.13026651797044&lt;/D&gt;&lt;D xsi:type="xsd:double"&gt;5.2568666184254&lt;/D&gt;&lt;D xsi:type="xsd:double"&gt;5.17574795645191&lt;/D&gt;&lt;D xsi:type="xsd:double"&gt;5.011119876537&lt;/D&gt;&lt;D xsi:type="xsd:double"&gt;4.80819950806536&lt;/D&gt;&lt;D xsi:type="xsd:double"&gt;4.60573267049852&lt;/D&gt;&lt;D xsi:type="xsd:double"&gt;4.86556204899233&lt;/D&gt;&lt;D xsi:type="xsd:double"&gt;5.00932565465268&lt;/D&gt;&lt;D xsi:type="xsd:double"&gt;4.63363573748548&lt;/D&gt;&lt;D xsi:type="xsd:double"&gt;5.10713519810032&lt;/D&gt;&lt;D xsi:type="xsd:double"&gt;4.72635876396044&lt;/D&gt;&lt;D xsi:type="xsd:double"&gt;4.7333996357681&lt;/D&gt;&lt;D xsi:type="xsd:double"&gt;4.49619706163934&lt;/D&gt;&lt;D xsi:type="xsd:double"&gt;4.52940791944614&lt;/D&gt;&lt;D xsi:type="xsd:double"&gt;4.42752191483507&lt;/D&gt;&lt;D xsi:type="xsd:double"&gt;4.42325751415785&lt;/D&gt;&lt;D xsi:type="xsd:double"&gt;7.34212659699748&lt;/D&gt;&lt;D xsi:type="xsd:double"&gt;5.87672825081317&lt;/D&gt;&lt;D xsi:type="xsd:double"&gt;4.98078191635195&lt;/D&gt;&lt;D xsi:type="xsd:double"&gt;4.3719146224742&lt;/D&gt;&lt;D xsi:type="xsd:double"&gt;4.31542851825517&lt;/D&gt;&lt;D xsi:type="xsd:double"&gt;3.85047525975233&lt;/D&gt;&lt;D xsi:type="xsd:double"&gt;4.02482703489546&lt;/D&gt;&lt;D xsi:type="xsd:double"&gt;4.0716618255418&lt;/D&gt;&lt;D xsi:type="xsd:double"&gt;4.0277476298578&lt;/D&gt;&lt;D xsi:type="xsd:double"&gt;3.9945362949049&lt;/D&gt;&lt;D xsi:type="xsd:double"&gt;3.92333552607568&lt;/D&gt;&lt;D xsi:type="xsd:double"&gt;3.91190722889868&lt;/D&gt;&lt;D xsi:type="xsd:double"&gt;4.04639910196407&lt;/D&gt;&lt;D xsi:type="xsd:double"&gt;4.08541316504462&lt;/D&gt;&lt;D xsi:type="xsd:double"&gt;4.21013289002527&lt;/D&gt;&lt;D xsi:type="xsd:double"&gt;4.03764201616479&lt;/D&gt;&lt;D xsi:type="xsd:double"&gt;4.15433219639851&lt;/D&gt;&lt;D xsi:type="xsd:double"&gt;4.24472954558524&lt;/D&gt;&lt;D xsi:type="xsd:double"&gt;4.50177636052082&lt;/D&gt;&lt;D xsi:type="xsd:double"&gt;4.47741200408592&lt;/D&gt;&lt;D xsi:type="xsd:double"&gt;4.30408854354832&lt;/D&gt;&lt;D xsi:type="xsd:double"&gt;4.6461787413316&lt;/D&gt;&lt;D xsi:type="xsd:double"&gt;4.560911335359&lt;/D&gt;&lt;D xsi:type="xsd:double"&gt;4.79913352155837&lt;/D&gt;&lt;D xsi:type="xsd:double"&gt;5.46323114399036&lt;/D&gt;&lt;D xsi:type="xsd:double"&gt;5.0679731405307&lt;/D&gt;&lt;D xsi:type="xsd:double"&gt;5.28530525906344&lt;/D&gt;&lt;D xsi:type="xsd:double"&gt;5.64574914330444&lt;/D&gt;&lt;D xsi:type="xsd:double"&gt;5.915282002532&lt;/D&gt;&lt;D xsi:type="xsd:double"&gt;5.55776897783925&lt;/D&gt;&lt;D xsi:type="xsd:double"&gt;5.51459038815229&lt;/D&gt;&lt;D xsi:type="xsd:double"&gt;6.28066308157621&lt;/D&gt;&lt;D xsi:type="xsd:double"&gt;5.40669456173364&lt;/D&gt;&lt;D xsi:type="xsd:double"&gt;5.77142842027173&lt;/D&gt;&lt;D xsi:type="xsd:double"&gt;5.43017022176163&lt;/D&gt;&lt;D xsi:type="xsd:double"&gt;5.43309386819878&lt;/D&gt;&lt;D xsi:type="xsd:double"&gt;5.36210540883119&lt;/D&gt;&lt;D xsi:type="xsd:double"&gt;5.33060637046063&lt;/D&gt;&lt;D xsi:type="xsd:double"&gt;5.50974108942095&lt;/D&gt;&lt;D xsi:type="xsd:double"&gt;5.40307808105231&lt;/D&gt;&lt;D xsi:type="xsd:double"&gt;5.26457182816449&lt;/D&gt;&lt;D xsi:type="xsd:double"&gt;5.53065548535623&lt;/D&gt;&lt;D xsi:type="xsd:double"&gt;5.4099950207821&lt;/D&gt;&lt;D xsi:type="xsd:double"&gt;5.52003348483433&lt;/D&gt;&lt;D xsi:type="xsd:double"&gt;5.65643669854102&lt;/D&gt;&lt;D xsi:type="xsd:double"&gt;5.45388805521752&lt;/D&gt;&lt;D xsi:type="xsd:double"&gt;5.41268848837576&lt;/D&gt;&lt;D xsi:type="xsd:double"&gt;5.47318841938903&lt;/D&gt;&lt;D xsi:type="xsd:double"&gt;5.18132629751986&lt;/D&gt;&lt;D xsi:type="xsd:double"&gt;5.27483298023567&lt;/D&gt;&lt;D xsi:type="xsd:double"&gt;5.18614223012314&lt;/D&gt;&lt;D xsi:type="xsd:double"&gt;5.29314123908845&lt;/D&gt;&lt;D xsi:type="xsd:double"&gt;5.26708343237519&lt;/D&gt;&lt;D xsi:type="xsd:double"&gt;5.63787232006655&lt;/D&gt;&lt;D xsi:type="xsd:double"&gt;5.44027124224909&lt;/D&gt;&lt;/FQL&gt;&lt;FQL&gt;&lt;Q&gt;SPY^FMA_PE(LTMA,-10AY,0,AM,"PORTAGG","MEANR")&lt;/Q&gt;&lt;R&gt;121&lt;/R&gt;&lt;C&gt;1&lt;/C&gt;&lt;D xsi:type="xsd:double"&gt;16.4536586232447&lt;/D&gt;&lt;D xsi:type="xsd:double"&gt;15.9764469536286&lt;/D&gt;&lt;D xsi:type="xsd:double"&gt;16.880876812209&lt;/D&gt;&lt;D xsi:type="xsd:double"&gt;16.6886501133442&lt;/D&gt;&lt;D xsi:type="xsd:double"&gt;17.0361446075098&lt;/D&gt;&lt;D xsi:type="xsd:double"&gt;17.4742464762175&lt;/D&gt;&lt;D xsi:type="xsd:double"&gt;17.5254957761373&lt;/D&gt;&lt;D xsi:type="xsd:double"&gt;17.5603626447011&lt;/D&gt;&lt;D xsi:type="xsd:double"&gt;17.5085517607022&lt;/D&gt;&lt;D xsi:type="xsd:double"&gt;17.4577741585105&lt;/D&gt;&lt;D xsi:type="xsd:double"&gt;17.3775374761632&lt;/D&gt;&lt;D xsi:type="xsd:double"&gt;17.4407635513867&lt;/D&gt;&lt;D xsi:type="xsd:double"&gt;16.7380542891142&lt;/D&gt;&lt;D xsi:type="xsd:double"&gt;17.0986317521107&lt;/D&gt;&lt;D xsi:type="xsd:double"&gt;17.1815658961477&lt;/D&gt;&lt;D xsi:type="xsd:double"&gt;16.8741555215366&lt;/D&gt;&lt;D xsi:type="xsd:double"&gt;16.2720666623329&lt;/D&gt;&lt;D xsi:type="xsd:double"&gt;16.2966838906097&lt;/D&gt;&lt;D xsi:type="xsd:double"&gt;16.18819342752&lt;/D&gt;&lt;D xsi:type="xsd:double"&gt;16.4452153070474&lt;/D&gt;&lt;D xsi:type="xsd:double"&gt;16.565182572191&lt;/D&gt;&lt;D xsi:type="xsd:double"&gt;16.7903390909585&lt;/D&gt;&lt;D xsi:type="xsd:double"&gt;17.1920818533968&lt;/D&gt;&lt;D xsi:type="xsd:double"&gt;17.5214305052838&lt;/D&gt;&lt;D xsi:type="xsd:double"&gt;17.5862125902495&lt;/D&gt;&lt;D xsi:type="xsd:double"&gt;17.6406812163262&lt;/D&gt;&lt;D xsi:type="xsd:double"&gt;17.9034217539695&lt;/D&gt;&lt;D xsi:type="xsd:double"&gt;18.7952576269203&lt;/D&gt;&lt;D xsi:type="xsd:double"&gt;19.0169123789478&lt;/D&gt;&lt;D xsi:type="xsd:double"&gt;19.1890335371885&lt;/D&gt;&lt;D xsi:type="xsd:double"&gt;19.4612423775783&lt;/D&gt;&lt;D xsi:type="xsd:double"&gt;19.24791597437&lt;/D&gt;&lt;D xsi:type="xsd:double"&gt;19.1845115873076&lt;/D&gt;&lt;D xsi:type="xsd:double"&gt;19.1746866965091&lt;/D&gt;&lt;D xsi:type="xsd:double"&gt;19.1292912496135&lt;/D&gt;&lt;D xsi:type="xsd:double"&gt;18.996217932583&lt;/D&gt;&lt;D xsi:type="xsd:double"&gt;19.1826118790856&lt;/D&gt;&lt;D xsi:type="xsd:double"&gt;19.5350303824306&lt;/D&gt;&lt;D xsi:type="xsd:double"&gt;19.5975181931334&lt;/D&gt;&lt;D xsi:type="xsd:double"&gt;20.1598923529103&lt;/D&gt;&lt;D xsi:type="xsd:double"&gt;20.9981464084675&lt;/D&gt;&lt;D xsi:type="xsd:double"&gt;19.524343103934&lt;/D&gt;&lt;D xsi:type="xsd:double"&gt;19.7787279056374&lt;/D&gt;&lt;D xsi:type="xsd:double"&gt;19.3366687033222&lt;/D&gt;&lt;D xsi:type="xsd:double"&gt;19.1192241658292&lt;/D&gt;&lt;D xsi:type="xsd:double"&gt;18.9773857127625&lt;/D&gt;&lt;D xsi:type="xsd:double"&gt;18.755461901603&lt;/D&gt;&lt;D xsi:type="xsd:double"&gt;18.5812645833458&lt;/D&gt;&lt;D xsi:type="xsd:double"&gt;18.5615136139314&lt;/D&gt;&lt;D xsi:type="xsd:double"&gt;17.8149109554598&lt;/D&gt;&lt;D xsi:type="xsd:double"&gt;17.2321746485027&lt;/D&gt;&lt;D xsi:type="xsd:double"&gt;16.5328643716776&lt;/D&gt;&lt;D xsi:type="xsd:doub</t>
        </r>
      </text>
    </comment>
    <comment ref="A11" authorId="0" shapeId="0" xr:uid="{FC64E59A-D6FE-4351-B016-59D058E4A07C}">
      <text>
        <r>
          <rPr>
            <b/>
            <sz val="9"/>
            <color indexed="81"/>
            <rFont val="Tahoma"/>
            <charset val="1"/>
          </rPr>
          <t>le"&gt;16.0581802784709&lt;/D&gt;&lt;D xsi:type="xsd:double"&gt;16.8793397246482&lt;/D&gt;&lt;D xsi:type="xsd:double"&gt;17.095263692016&lt;/D&gt;&lt;D xsi:type="xsd:double"&gt;17.2579523709202&lt;/D&gt;&lt;D xsi:type="xsd:double"&gt;17.1933090638041&lt;/D&gt;&lt;D xsi:type="xsd:double"&gt;17.1893751378733&lt;/D&gt;&lt;D xsi:type="xsd:double"&gt;17.6891546593914&lt;/D&gt;&lt;D xsi:type="xsd:double"&gt;17.3417799200693&lt;/D&gt;&lt;D xsi:type="xsd:double"&gt;17.9086885839861&lt;/D&gt;&lt;D xsi:type="xsd:double"&gt;17.9258770966681&lt;/D&gt;&lt;D xsi:type="xsd:double"&gt;18.6786197149575&lt;/D&gt;&lt;D xsi:type="xsd:double"&gt;19.330408176207&lt;/D&gt;&lt;D xsi:type="xsd:double"&gt;20.0674133024894&lt;/D&gt;&lt;D xsi:type="xsd:double"&gt;20.5255162508056&lt;/D&gt;&lt;D xsi:type="xsd:double"&gt;17.3656094464968&lt;/D&gt;&lt;D xsi:type="xsd:double"&gt;18.2826226640688&lt;/D&gt;&lt;D xsi:type="xsd:double"&gt;19.5887050564981&lt;/D&gt;&lt;D xsi:type="xsd:double"&gt;20.652926904247&lt;/D&gt;&lt;D xsi:type="xsd:double"&gt;21.7846468900224&lt;/D&gt;&lt;D xsi:type="xsd:double"&gt;22.7653661737502&lt;/D&gt;&lt;D xsi:type="xsd:double"&gt;23.0686107015925&lt;/D&gt;&lt;D xsi:type="xsd:double"&gt;24.7525710972327&lt;/D&gt;&lt;D xsi:type="xsd:double"&gt;24.5573819824241&lt;/D&gt;&lt;D xsi:type="xsd:double"&gt;25.7995542760988&lt;/D&gt;&lt;D xsi:type="xsd:double"&gt;27.5289497585176&lt;/D&gt;&lt;D xsi:type="xsd:double"&gt;27.4302747377399&lt;/D&gt;&lt;D xsi:type="xsd:double"&gt;26.2151677041025&lt;/D&gt;&lt;D xsi:type="xsd:double"&gt;26.0494283541167&lt;/D&gt;&lt;D xsi:type="xsd:double"&gt;25.1246366320397&lt;/D&gt;&lt;D xsi:type="xsd:double"&gt;24.9985388861399&lt;/D&gt;&lt;D xsi:type="xsd:double"&gt;24.8785121920628&lt;/D&gt;&lt;D xsi:type="xsd:double"&gt;24.1112887898571&lt;/D&gt;&lt;D xsi:type="xsd:double"&gt;23.6659699678365&lt;/D&gt;&lt;D xsi:type="xsd:double"&gt;22.8659294863786&lt;/D&gt;&lt;D xsi:type="xsd:double"&gt;23.4119556680167&lt;/D&gt;&lt;D xsi:type="xsd:double"&gt;23.1564266491112&lt;/D&gt;&lt;D xsi:type="xsd:double"&gt;22.9560474502156&lt;/D&gt;&lt;D xsi:type="xsd:double"&gt;21.0611907711369&lt;/D&gt;&lt;D xsi:type="xsd:double"&gt;20.5004977588813&lt;/D&gt;&lt;D xsi:type="xsd:double"&gt;20.4963135576405&lt;/D&gt;&lt;D xsi:type="xsd:double"&gt;19.5915172454659&lt;/D&gt;&lt;D xsi:type="xsd:double"&gt;19.1923119571466&lt;/D&gt;&lt;D xsi:type="xsd:double"&gt;18.6772905874529&lt;/D&gt;&lt;D xsi:type="xsd:double"&gt;19.7058387488246&lt;/D&gt;&lt;D xsi:type="xsd:double"&gt;19.0245160661816&lt;/D&gt;&lt;D xsi:type="xsd:double"&gt;17.1278409089442&lt;/D&gt;&lt;D xsi:type="xsd:double"&gt;18.4569392223364&lt;/D&gt;&lt;D xsi:type="xsd:double"&gt;18.2087876580817&lt;/D&gt;&lt;D xsi:type="xsd:double"&gt;18.0683728904345&lt;/D&gt;&lt;D xsi:type="xsd:double"&gt;18.5840987559432&lt;/D&gt;&lt;D xsi:type="xsd:double"&gt;17.9533947638478&lt;/D&gt;&lt;D xsi:type="xsd:double"&gt;18.2340413002018&lt;/D&gt;&lt;D xsi:type="xsd:double"&gt;18.2948294557982&lt;/D&gt;&lt;D xsi:type="xsd:double"&gt;18.7574322302788&lt;/D&gt;&lt;D xsi:type="xsd:double"&gt;19.2959818121506&lt;/D&gt;&lt;D xsi:type="xsd:double"&gt;19.3618299674301&lt;/D&gt;&lt;D xsi:type="xsd:double"&gt;19.4844663410343&lt;/D&gt;&lt;D xsi:type="xsd:double"&gt;19.3305373726106&lt;/D&gt;&lt;D xsi:type="xsd:double"&gt;19.738079179629&lt;/D&gt;&lt;D xsi:type="xsd:double"&gt;20.8838486917807&lt;/D&gt;&lt;D xsi:type="xsd:double"&gt;21.819467235228&lt;/D&gt;&lt;D xsi:type="xsd:double"&gt;22.555521551683&lt;/D&gt;&lt;D xsi:type="xsd:double"&gt;22.7612755300645&lt;/D&gt;&lt;D xsi:type="xsd:double"&gt;22.5793239560714&lt;/D&gt;&lt;D xsi:type="xsd:double"&gt;22.5291351256521&lt;/D&gt;&lt;D xsi:type="xsd:double"&gt;22.7066652733803&lt;/D&gt;&lt;D xsi:type="xsd:double"&gt;23.1065627872006&lt;/D&gt;&lt;D xsi:type="xsd:double"&gt;22.4820781929646&lt;/D&gt;&lt;D xsi:type="xsd:double"&gt;22.9694399318465&lt;/D&gt;&lt;/FQL&gt;&lt;FQL&gt;&lt;Q&gt;CAGDPY@NL^EE_ACTUAL_ANNUAL(MED,0)&lt;/Q&gt;&lt;R&gt;1&lt;/R&gt;&lt;C&gt;1&lt;/C&gt;&lt;D xsi:type="xsd:double"&gt;9.85408501996988&lt;/D&gt;&lt;/FQL&gt;&lt;FQL&gt;&lt;Q&gt;CAGDPY@CA^EE_ACTUAL_ANNUAL(MED,0)&lt;/Q&gt;&lt;R&gt;1&lt;/R&gt;&lt;C&gt;1&lt;/C&gt;&lt;D xsi:type="xsd:double"&gt;-0.725414399026327&lt;/D&gt;&lt;/FQL&gt;&lt;FQL&gt;&lt;Q&gt;USDITL^FG_PRICE_CHANGE(0,-6AM)&lt;/Q&gt;&lt;R&gt;1&lt;/R&gt;&lt;C&gt;1&lt;/C&gt;&lt;D xsi:type="xsd:double"&gt;-1.1050701&lt;/D&gt;&lt;/FQL&gt;&lt;FQL&gt;&lt;Q&gt;USDANG^FG_PRICE_CHANGE(0,-6AM)&lt;/Q&gt;&lt;R&gt;1&lt;/R&gt;&lt;C&gt;1&lt;/C&gt;&lt;D xsi:type="xsd:double"&gt;0&lt;/D&gt;&lt;/FQL&gt;&lt;FQL&gt;&lt;Q&gt;USDGBP^FG_PRICE_CHANGE(0,-6AM)&lt;/Q&gt;&lt;R&gt;1&lt;/R&gt;&lt;C&gt;1&lt;/C&gt;&lt;D xsi:type="xsd:double"&gt;-2.2629142&lt;/D&gt;&lt;/FQL&gt;&lt;FQL&gt;&lt;Q&gt;USDJPY^FG_PRICE_CHANGE(0,-6AM)&lt;/Q&gt;&lt;R&gt;1&lt;/R&gt;&lt;C&gt;1&lt;/C&gt;&lt;D xsi:type="xsd:double"&gt;-3.5038471&lt;/D&gt;&lt;/FQL&gt;&lt;FQL&gt;&lt;Q&gt;USDNZD^FG_PRICE_CHANGE(0,-6AM)&lt;/Q&gt;&lt;R&gt;1&lt;/R&gt;&lt;C&gt;1&lt;/C&gt;&lt;D xsi:type="xsd:double"&gt;-0.016266108&lt;/D&gt;&lt;/FQL&gt;&lt;FQL&gt;&lt;Q&gt;EWC^FMA_EPS(NTMA,-20AY,0,CY,,"PORTAGG","MEANR")&lt;/Q&gt;&lt;R&gt;20&lt;/R&gt;&lt;C&gt;1&lt;/C&gt;&lt;D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xsi:type="xsd:double"&gt;2.68301216298059&lt;/D&gt;&lt;/FQL&gt;&lt;FQL&gt;&lt;Q&gt;ENZL^P_PRICE_RETURNS_PR('52W',2,-10AY,0,AM)&lt;/Q&gt;&lt;R&gt;121&lt;/R&gt;&lt;C&gt;1&lt;/C&gt;&lt;D xsi:type="xsd:double"&gt;13.207542&lt;/D&gt;&lt;D xsi:type="xsd:double"&gt;2.547872&lt;/D&gt;&lt;D xsi:type="xsd:double"&gt;8.0998535&lt;/D&gt;&lt;D xsi:type="xsd:double"&gt;10.927284&lt;/D&gt;&lt;D xsi:type="xsd:double"&gt;9.31431&lt;/D&gt;&lt;D xsi:type="xsd:double"&gt;7.7991366&lt;/D&gt;&lt;D xsi:type="xsd:double"&gt;2.087438&lt;/D&gt;&lt;D xsi:type="xsd:double"&gt;0.3360629&lt;/D&gt;&lt;D xsi:type="xsd:double"&gt;-4.6197295&lt;/D&gt;&lt;D xsi:type="xsd:double"&gt;-8.061039&lt;/D&gt;&lt;D xsi:type="xsd:double"&gt;-13.872492&lt;/D&gt;&lt;D xsi:type="xsd:double"&gt;-8.6890335&lt;/D&gt;&lt;D xsi:type="xsd:double"&gt;-16.481596&lt;/D&gt;&lt;D xsi:type="xsd:double"&gt;-5.275053&lt;/D&gt;&lt;D xsi:type="xsd:double"&gt;-9.59754&lt;/D&gt;&lt;D xsi:type="xsd:double"&gt;-5.984229&lt;/D&gt;&lt;D xsi:type="xsd:double"&gt;-9.034925&lt;/D&gt;&lt;D xsi:type="xsd:double"&gt;-9.108484&lt;/D&gt;&lt;D xsi:type="xsd:double"&gt;4.0916443&lt;/D&gt;&lt;D xsi:type="xsd:double"&gt;6.0579658&lt;/D&gt;&lt;D xsi:type="xsd:double"&gt;11.290539&lt;/D&gt;&lt;D xsi:type="xsd:double"&gt;16.518938&lt;/D&gt;&lt;D xsi:type="xsd:double"&gt;35.95921&lt;/D&gt;&lt;D xsi:type="xsd:double"&gt;39.81091&lt;/D&gt;&lt;D xsi:type="xsd:double"&gt;52.503407&lt;/D&gt;&lt;D xsi:type="xsd:double"&gt;31.321907&lt;/D&gt;&lt;D xsi:type="xsd:double"&gt;20.130657&lt;/D&gt;&lt;D xsi:type="xsd:double"&gt;21.8943&lt;/D&gt;&lt;D xsi:type="xsd:double"&gt;25.197243&lt;/D&gt;&lt;D xsi:type="xsd:double"&gt;28.007317&lt;/D&gt;&lt;D xsi:type="xsd:double"&gt;14.201117&lt;/D&gt;&lt;D xsi:type="xsd:double"&gt;7.2903275&lt;/D&gt;&lt;D xsi:type="xsd:double"&gt;8.551847&lt;/D&gt;&lt;D xsi:type="xsd:double"&gt;9.452641&lt;/D&gt;&lt;D xsi:type="xsd:double"&gt;6.2220335&lt;/D&gt;&lt;D xsi:type="xsd:double"&gt;5.658245&lt;/D&gt;&lt;D xsi:type="xsd:double"&gt;5.766952&lt;/D&gt;&lt;D xsi:type="xsd:double"&gt;14.1972065&lt;/D&gt;&lt;D xsi:type="xsd:double"&gt;13.542867&lt;/D&gt;&lt;D xsi:type="xsd:double"&gt;15.685844&lt;/D&gt;&lt;D xsi:type="xsd:double"&gt;18.062126&lt;/D&gt;&lt;D xsi:type="xsd:double"&gt;13.113392&lt;/D&gt;&lt;D xsi:type="xsd:double"&gt;24.77467&lt;/D&gt;&lt;D xsi:type="xsd:double"&gt;23.182285&lt;/D&gt;&lt;D xsi:type="xsd:double"&gt;16.628874&lt;/D&gt;&lt;D xsi:type="xsd:double"&gt;16.47184&lt;/D&gt;&lt;D xsi:type="xsd:double"&gt;9.771454&lt;/D&gt;&lt;D xsi:type="xsd:double"&gt;4.527855&lt;/D&gt;&lt;D xsi:type="xsd:double"&gt;4.2501807&lt;/D&gt;&lt;D xsi:type="xsd:double"&gt;-0.22950172&lt;/D&gt;&lt;D xsi:type="xsd:double"&gt;8.457672&lt;/D&gt;&lt;D xsi:type="xsd:double"&gt;5.1632166&lt;/D&gt;&lt;D xsi:type="xsd:double"&gt;3.4255147&lt;/D&gt;&lt;D xsi:type="xsd:double"&gt;8.493006&lt;/D&gt;&lt;D xsi:type="xsd:double"&gt;4.3022037&lt;/D&gt;&lt;D xsi:type="xsd:double"&gt;6.591928&lt;/D&gt;&lt;D xsi:type="xsd:double"&gt;11.012769&lt;/D&gt;&lt;D xsi:type="xsd:double"&gt;5.453694&lt;/D&gt;&lt;D xsi:type="xsd:double"&gt;16.444016&lt;/D&gt;&lt;D xsi:type="xsd:double"&gt;17.436182&lt;/D&gt;&lt;D xsi:type="xsd:double"&gt;16.588879&lt;/D&gt;&lt;D xsi:type="xsd:double"&gt;21.851086&lt;/D&gt;&lt;D xsi:type="xsd:double"&gt;16.1425&lt;/D&gt;&lt;D xsi:type="xsd:double"&gt;24.14434&lt;/D&gt;&lt;D xsi:type="xsd:double"&gt;25.2195&lt;/D&gt;&lt;D xsi:type="xsd:double"&gt;22.227156&lt;/D&gt;&lt;D xsi:type="xsd:double"&gt;-6.2168303&lt;/D&gt;&lt;D xsi:type="xsd:double"&gt;-5.511469&lt;/D&gt;&lt;D xsi:type="xsd:double"&gt;-0.80509186&lt;/D&gt;&lt;D xsi:type="xsd:double"&gt;7.6381564&lt;/D&gt;&lt;D xsi:type="xsd:double"&gt;8.900285&lt;/D&gt;&lt;D xsi:type="xsd:double"&gt;11.638487&lt;/D&gt;&lt;D xsi:type="xsd:double"&gt;11.142933&lt;/D&gt;&lt;D xsi:type="xsd:double"&gt;21.118439&lt;/D&gt;&lt;D xsi:type="xsd:double"&gt;25.225222&lt;/D&gt;&lt;D xsi:type="xsd:double"&gt;22.654093&lt;/D&gt;&lt;D xsi:type="xsd:double"&gt;21.568811&lt;/D&gt;&lt;D xsi:type="xsd:double"&gt;15.659534&lt;/D&gt;&lt;D xsi:type="xsd:double"&gt;43.169083&lt;/D&gt;&lt;D xsi:type="xsd:double"&gt;36.430584&lt;/D&gt;&lt;D xsi:type="xsd:double"&gt;29.982758&lt;/D&gt;&lt;D xsi:type="xsd:double"&gt;21.244324&lt;/D&gt;&lt;D xsi:type="xsd:double"&gt;10.0793&lt;/D&gt;&lt;D xsi:type="xsd:double"&gt;7.5194597&lt;/D&gt;&lt;D xsi:type="xsd:double"&gt;10.965765&lt;/D&gt;&lt;D xsi:type="xsd:double"&gt;1.1005521&lt;/D&gt;&lt;D xsi:type="xsd:double"&gt;-2.6449263&lt;/D&gt;&lt;D xsi:type="xsd:double"&gt;-10.822701&lt;/D&gt;&lt;D xsi:type="xsd:double"&gt;-12.81063&lt;/D&gt;&lt;D xsi:type="xsd:double"&gt;-17.338526&lt;/D&gt;&lt;D xsi:type="xsd:double"&gt;-13.08403&lt;/D&gt;&lt;D xsi:type="xsd:double"&gt;-11.976129&lt;/D&gt;&lt;D xsi:type="xsd:double"&gt;-25.972075&lt;/D&gt;&lt;D xsi:type="xsd:double"&gt;-24.37467&lt;/D&gt;&lt;D xsi:type="xsd:double"&gt;-25.876719&lt;/D&gt;&lt;D xsi:type="xsd:double"&gt;-15.405637&lt;/D&gt;&lt;D xsi:type="xsd:double"&gt;-22.11082&lt;/D&gt;&lt;D xsi:type="xsd:double"&gt;-32.64808&lt;/D&gt;&lt;D xsi:type="xsd:double"&gt;-24.119658&lt;/D&gt;&lt;D xsi:type="xsd:double"&gt;-14.13188&lt;/D&gt;&lt;D xsi:type="xsd:double"&gt;-13.089264&lt;/D&gt;&lt;D xsi:type="xsd:double"&gt;-4.388708&lt;/D&gt;&lt;D xsi:type="xsd:double"&gt;-11.30147&lt;/D&gt;&lt;D xsi:type="xsd:double"&gt;-5.64087&lt;/D&gt;&lt;D xsi:type="xsd:double"&gt;10.86775&lt;/D&gt;&lt;D xsi:type="xsd:double"&gt;5.824578&lt;/D&gt;&lt;D xsi:type="xsd:double"&gt;13.736486&lt;/D&gt;&lt;D xsi:type="xsd:double"&gt;-3.9346159&lt;/D&gt;&lt;D xsi:type="xsd:double"&gt;-7.0425153&lt;/D&gt;&lt;D xsi:type="xsd:double"&gt;10.197854&lt;/D&gt;&lt;D xsi:type="xsd:double"&gt;-1.287657&lt;/D&gt;&lt;D xsi:type="xsd:double"&gt;-4.6658397&lt;/D&gt;&lt;D xsi:type="xsd:double"&gt;-0.2150178&lt;/D&gt;&lt;D xsi:type="xsd:double"&gt;-7.9795957&lt;/D&gt;&lt;D xsi:type="xsd:double"&gt;-1.1014521&lt;/D&gt;&lt;D xsi:type="xsd:double"&gt;-7.3499975&lt;/D&gt;&lt;D xsi:type="xsd:double"&gt;-8.657843&lt;/D&gt;&lt;D xsi:type="xsd:double"&gt;-0.030070543&lt;/D&gt;&lt;D xsi:type="xsd:double"&gt;-3.584361&lt;/D&gt;&lt;D xsi:type="xsd:double"&gt;1.0123491&lt;/D&gt;&lt;D xsi:type="xsd:double"&gt;17.307556&lt;/D&gt;&lt;/FQL&gt;&lt;FQL&gt;&lt;Q&gt;EWN^FMA_PE(NTMA,-10AY,0,AM,"PORTAGG","MEANR")&lt;/Q&gt;&lt;R&gt;121&lt;/R&gt;&lt;C&gt;1&lt;/C&gt;&lt;D xsi:type="xsd:double"&gt;14.6202063653862&lt;/D&gt;&lt;D xsi:type="xsd:double"&gt;13.8188359071062&lt;/D&gt;&lt;D xsi:type="xsd:double"&gt;14.6438894162971&lt;/D&gt;&lt;D xsi:type="xsd:double"&gt;14.5120042300371&lt;/D&gt;&lt;D xsi:type="xsd:double"&gt;14.6903861867159&lt;/D&gt;&lt;D xsi:type="xsd:double"&gt;16.008823367584&lt;/D&gt;&lt;D xsi:type="xsd:double"&gt;17.4294878704045&lt;/D&gt;&lt;D xsi:type="xsd:double"&gt;17.7990555385529&lt;/D&gt;&lt;D xsi:type="xsd:double"&gt;16.7758548009656&lt;/D&gt;&lt;D xsi:type="xsd:double"&gt;16.3770760510902&lt;/D&gt;&lt;D xsi:type="xsd:double"&gt;16.4491634238409&lt;/D&gt;&lt;D xsi:type="xsd:double"&gt;15.9836360658662&lt;/D&gt;&lt;D xsi:type="xsd:double"&gt;14.559729005272&lt;/D&gt;&lt;D xsi:type="xsd:double"&gt;14.8238827880736&lt;/D&gt;&lt;D xsi:type="xsd:double"&gt;16.1055752226888&lt;/D&gt;&lt;D xsi:type="xsd:double"&gt;15.2061614074946&lt;/D&gt;&lt;D xsi:type="xsd:double"&gt;14.6294293318347&lt;/D&gt;&lt;D xsi:type="xsd:double"&gt;13.605002475377&lt;/D&gt;&lt;D xsi:type="xsd:double"&gt;15.303880693061&lt;/D&gt;&lt;D xsi:type="xsd:double"&gt;15.0280703071946&lt;/D&gt;&lt;D xsi:type="xsd:double"&gt;14.6630099888808&lt;/D&gt;&lt;D xsi:type="xsd:double"&gt;14.5259455610511&lt;/D&gt;&lt;D xsi:type="xsd:double"&gt;14.4551905393463&lt;/D&gt;&lt;D xsi:type="xsd:double"&gt;15.0113317918091&lt;/D&gt;&lt;D xsi:type="xsd:double"&gt;14.7320393156292&lt;/D&gt;&lt;D xsi:type="xsd:double"&gt;14.7857886660594&lt;/D&gt;&lt;D xsi:type="xsd:double"&gt;14.4101590514397&lt;/D&gt;&lt;D xsi:type="xsd:double"&gt;14.7740319140466&lt;/D&gt;&lt;D xsi:type="xsd:double"&gt;14.9003697276453&lt;/D&gt;&lt;D xsi:type="xsd:double"&gt;15.2732373653177&lt;/D&gt;&lt;D xsi:type="xsd:double"&gt;16.0658307955633&lt;/D&gt;&lt;D xsi:type="xsd:double"&gt;16.160748852129&lt;/D&gt;&lt;D xsi:type="xsd:double"&gt;16.5092772337628&lt;/D&gt;&lt;D xsi:type="xsd:double"&gt;16.0841315848414&lt;/D&gt;&lt;D xsi:type="xsd:double"&gt;15.8727463238334&lt;/D&gt;&lt;D xsi:type="xsd:double"&gt;15.70057747508&lt;/D&gt;&lt;D xsi:type="xsd:double"&gt;15.8453509768096&lt;/D&gt;&lt;D xsi:type="xsd:double"&gt;16.1583788074962&lt;/D&gt;&lt;D xsi:type="xsd:double"&gt;16.1161194546651&lt;/D&gt;&lt;D xsi:type="xsd:double"&gt;16.1729929407753&lt;/D&gt;&lt;D xsi:type="xsd:double"&gt;16.2257148449815&lt;/D&gt;&lt;D xsi:type="xsd:double"&gt;15.2976363756999&lt;/D&gt;&lt;D xsi:type="xsd:double"&gt;15.8087231357203&lt;/D&gt;&lt;D xsi:type="xsd:double"&gt;15.6969486170624&lt;/D&gt;&lt;D xsi:type="xsd:double"&gt;15.7079210668555&lt;/D&gt;&lt;D xsi:type="xsd:double"&gt;15.9890131124825&lt;/D&gt;&lt;D xsi:type="xsd:double"&gt;15.6255643212121&lt;/D&gt;&lt;D xsi:type="xsd:double"&gt;15.640740861733&lt;/D&gt;&lt;D xsi:type="xsd:double"&gt;14.8947857888953&lt;/D&gt;&lt;D xsi:type="xsd:double"&gt;14.0187873257544&lt;/D&gt;&lt;D xsi:type="xsd:double"&gt;14.2127863532919&lt;/D&gt;&lt;D xsi:type="xsd:double"&gt;13.7590425236824&lt;/D&gt;&lt;D xsi:type="xsd:double"&gt;13.4132960063511&lt;/D&gt;&lt;D xsi:type="xsd:double"&gt;14.6451398280642&lt;/D&gt;&lt;D xsi:type="xsd:double"&gt;14.866299315793&lt;/D&gt;&lt;D xsi:type="xsd:double"&gt;15.5421307089545&lt;/D&gt;&lt;D xsi:type="xsd:double"&gt;15.2539616935744&lt;/D&gt;&lt;D xsi:type="xsd:double"&gt;15.3515537653289&lt;/D&gt;&lt;D xsi:type="xsd:double"&gt;15.5320360973095&lt;/D&gt;&lt;D xsi:type="xsd:double"&gt;14.9925612112056&lt;/D&gt;&lt;D xsi:type="xsd:double"&gt;16.0744474466299&lt;/D&gt;&lt;D xsi:type="xsd:double"&gt;16.2028148063799&lt;/D&gt;&lt;D xsi:type="xsd:double"&gt;16.7325834476737&lt;/D&gt;&lt;D xsi:type="xsd:double"&gt;16.8634636853836&lt;/D&gt;&lt;D xsi:type="xsd:double"&gt;17.1620643650941&lt;/D&gt;&lt;D xsi:type="xsd:double"&gt;18.1926171854301&lt;/D&gt;&lt;D xsi:type="xsd:double"&gt;12.6305640376824&lt;/D&gt;&lt;D xsi:type="xsd:double"&gt;15.8300240785872&lt;/D&gt;&lt;D xsi:type="xsd:double"&gt;17.5443522652805&lt;/D&gt;&lt;D xsi:type="xsd:double"&gt;18.9755303928697&lt;/D&gt;&lt;D xsi:type="xsd:double"&gt;20.107883748229&lt;/D&gt;&lt;D xsi:type="xsd:double"&gt;20.2338890765866&lt;/D&gt;&lt;D xsi:type="xsd:double"&gt;19.5586880386938&lt;/D&gt;&lt;D xsi:type="xsd:double"&gt;20.1432128651367&lt;/D&gt;&lt;D xsi:type="xsd:double"&gt;20.7139645665142&lt;/D&gt;&lt;D xsi:type="xsd:double"&gt;20.2011656746262&lt;/D&gt;&lt;D xsi:type="xsd:double"&gt;21.038052321023&lt;/D&gt;&lt;D xsi:type="xsd:double"&gt;22.6498308645117&lt;/D&gt;&lt;D xsi:type="xsd:double"&gt;21.7226899216766&lt;/D&gt;&lt;D xsi:type="xsd:double"&gt;22.5824862224462&lt;/D&gt;&lt;D xsi:type="xsd:double"&gt;20.821562983864&lt;/D&gt;&lt;D xsi:type="xsd:double"&gt;21.6370786908485&lt;/D&gt;&lt;D xsi:type="xsd:double"&gt;21.2791911837937&lt;/D&gt;&lt;D xsi:type="xsd:double"&gt;21.7674157426149&lt;/D&gt;&lt;D xsi:type="xsd:double"&gt;21.7374728885425&lt;/D&gt;&lt;D xsi:type="xsd:double"&gt;20.0432834303222&lt;/D&gt;&lt;D xsi:type="xsd:double"&gt;21.6160294510135&lt;/D&gt;&lt;D xsi:type="xsd:double"&gt;20.2110599892131&lt;/D&gt;&lt;D xsi:type="xsd:double"&gt;20.0548571623274&lt;/D&gt;&lt;D xsi:type="xsd:double"&gt;18.4049098222676&lt;/D&gt;&lt;D xsi:type="xsd:double"&gt;16.6233333739332&lt;/D&gt;&lt;D xsi:type="xsd:double"&gt;17.591278717483&lt;/D&gt;&lt;D xsi:type="xsd:double"&gt;15.9490637555078&lt;/D&gt;&lt;D xsi:type="xsd:double"&gt;16.6065288125373&lt;/D&gt;&lt;D xsi:type="xsd:double"&gt;16.1034843440022&lt;/D&gt;&lt;D xsi:type="xsd:double"&gt;17.8869214966046&lt;/D&gt;&lt;D xsi:type="xsd:double"&gt;16.4407042395027&lt;/D&gt;&lt;D xsi:type="xsd:double"&gt;13.9302183565577&lt;/D&gt;&lt;D xsi:type="xsd:double"&gt;16.2938652611738&lt;/D&gt;&lt;D xsi:type="xsd:double"&gt;16.2608815661546&lt;/D&gt;&lt;D xsi:type="xsd:double"&gt;16.851536759977&lt;/D&gt;&lt;D xsi:type="xsd:double"&gt;16.8701209075877&lt;/D&gt;&lt;D xsi:type="xsd:double"&gt;16.1868115184524&lt;/D&gt;&lt;D xsi:type="xsd:double"&gt;16.2620286447722&lt;/D&gt;&lt;D xsi:type="xsd:double"&gt;15.5722570665231&lt;/D&gt;&lt;D xsi:type="xsd:double"&gt;15.7406240903231&lt;/D&gt;&lt;D xsi:type="xsd:double"&gt;15.9765225406378&lt;/D&gt;&lt;D xsi:type="xsd:double"&gt;15.2813647024946&lt;/D&gt;&lt;D xsi:type="xsd:double"&gt;14.1662198586387&lt;/D&gt;&lt;D xsi:type="xsd:double"&gt;13.7382912606755&lt;/D&gt;&lt;D xsi:type="xsd:double"&gt;14.0557297633516&lt;/D&gt;&lt;D xsi:type="xsd:double"&gt;14.9734640992671&lt;/D&gt;&lt;D xsi:type="xsd:double"&gt;14.7999346105204&lt;/D&gt;&lt;D xsi:type="xsd:double"&gt;16.3232387416835&lt;/D&gt;&lt;D xsi:type="xsd:double"&gt;16.2118855397198&lt;/D&gt;&lt;D xsi:type="xsd:double"&gt;15.9996862313687&lt;/D&gt;&lt;D xsi:type="xsd:double"&gt;16.1569948178594&lt;/D&gt;&lt;D xsi:type="xsd:double"&gt;16.8103997123106&lt;/D&gt;&lt;D xsi:type="xsd:double"&gt;16.7668655414297&lt;/D&gt;&lt;D xsi:type="xsd:double"&gt;14.72223079188&lt;/D&gt;&lt;D xsi:type="xsd:double"&gt;14.626002444629&lt;/D&gt;&lt;/FQL&gt;&lt;FQL&gt;&lt;Q&gt;DDR3512M-FDS^FG_PRICE_MAVG(0,,,,30)&lt;/Q&gt;&lt;R&gt;1&lt;/R&gt;&lt;C&gt;1&lt;/C&gt;&lt;D xsi:type="xsd:double"&gt;0.8902822&lt;/D&gt;&lt;/FQL&gt;&lt;FQL&gt;&lt;Q&gt;EWI^FMA_ROE(NTMA,-20AY,NOW,FY,"PORTAGG","MEANR")&lt;/Q&gt;&lt;R&gt;20&lt;/R&gt;&lt;C&gt;1&lt;/C&gt;&lt;D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xsi:type="xsd:double"&gt;1.211&lt;/D&gt;&lt;/FQL&gt;&lt;FQL&gt;&lt;Q&gt;USDAUD^FG_COMPANY_NAME&lt;/Q&gt;&lt;R&gt;1&lt;/R&gt;&lt;C&gt;1&lt;/C&gt;&lt;D xsi:type="xsd:string"&gt;Australian Dollar per U.S. Dollar&lt;/D&gt;&lt;/FQL&gt;&lt;FQL&gt;&lt;Q&gt;ENZL^FMA_PE(LTMA,-10AY,0,AM,"PORTAGG","MEANR")&lt;/Q&gt;&lt;R&gt;121&lt;/R&gt;&lt;C&gt;1&lt;/C&gt;&lt;D xsi:type="xsd:double"&gt;17.9183637763083&lt;/D&gt;&lt;D xsi:type="xsd:double"&gt;17.8689048706871&lt;/D&gt;&lt;D xsi:type="xsd:double"&gt;18.7934164417871&lt;/D&gt;&lt;D xsi:type="xsd:double"&gt;18.9364000454241&lt;/D&gt;&lt;D xsi:type="xsd:double"&gt;19.4327979035542&lt;/D&gt;&lt;D xsi:type="xsd:double"&gt;19.8376090505273&lt;/D&gt;&lt;D xsi:type="xsd:double"&gt;20.4702096928887&lt;/D&gt;&lt;D xsi:type="xsd:double"&gt;20.2042178295739&lt;/D&gt;&lt;D xsi:type="xsd:double"&gt;20.0367656566959&lt;/D&gt;&lt;D xsi:type="xsd:double"&gt;19.9608641740254&lt;/D&gt;&lt;D xsi:type="xsd:double"&gt;19.6258591634084&lt;/D&gt;&lt;D xsi:type="xsd:double"&gt;19.4977992773451&lt;/D&gt;&lt;D xsi:type="xsd:double"&gt;19.0525039041733&lt;/D&gt;&lt;D xsi:type="xsd:double"&gt;18.7727895587049&lt;/D&gt;&lt;D xsi:type="xsd:double"&gt;19.4878897365831&lt;/D&gt;&lt;D xsi:type="xsd:double"&gt;19.4732059544712&lt;/D&gt;&lt;D xsi:type="xsd:double"&gt;19.1102874066375&lt;/D&gt;&lt;D xsi:type="xsd:double"&gt;18.4106846123147&lt;/D&gt;&lt;D xsi:type="xsd:double"&gt;19.3356460295648&lt;/D&gt;&lt;D xsi:type="xsd:double"&gt;19.296246255482&lt;/D&gt;&lt;D xsi:type="xsd:double"&gt;19.6250982279758&lt;/D&gt;&lt;D xsi:type="xsd:double"&gt;19.7688926499115&lt;/D&gt;&lt;D xsi:type="xsd:double"&gt;20.0009555832574&lt;/D&gt;&lt;D xsi:type="xsd:double"&gt;20.6738365589074&lt;/D&gt;&lt;D xsi:type="xsd:double"&gt;20.8885191776841&lt;/D&gt;&lt;D xsi:type="xsd:double"&gt;20.3906018694488&lt;/D&gt;&lt;D xsi:type="xsd:double"&gt;19.5124372077911&lt;/D&gt;&lt;D xsi:type="xsd:double"&gt;19.8337069881042&lt;/D&gt;&lt;D xsi:type="xsd:double"&gt;20.479648727554&lt;/D&gt;&lt;D xsi:type="xsd:double"&gt;20.5522290996097&lt;/D&gt;&lt;D xsi:type="xsd:double"&gt;19.7930368561237&lt;/D&gt;&lt;D xsi:type="xsd:double"&gt;19.8307410277796&lt;/D&gt;&lt;D xsi:type="xsd:double"&gt;20.0152583091748&lt;/D&gt;&lt;D xsi:type="xsd:double"&gt;19.9465900258188&lt;/D&gt;&lt;D xsi:type="xsd:double"&gt;20.048754713108&lt;/D&gt;&lt;D xsi:type="xsd:double"&gt;20.4946706374448&lt;/D&gt;&lt;D xsi:type="xsd:double"&gt;20.6839297423919&lt;/D&gt;&lt;D xsi:type="xsd:double"&gt;20.8560384112428&lt;/D&gt;&lt;D xsi:type="xsd:double"&gt;21.0391634695554&lt;/D&gt;&lt;D xsi:type="xsd:double"&gt;21.9697385784499&lt;/D&gt;&lt;D xsi:type="xsd:double"&gt;21.8488627491897&lt;/D&gt;&lt;D xsi:type="xsd:double"&gt;20.4416566600997&lt;/D&gt;&lt;D xsi:type="xsd:double"&gt;22.5842012850502&lt;/D&gt;&lt;D xsi:type="xsd:double"&gt;22.3692307508761&lt;/D&gt;&lt;D xsi:type="xsd:double"&gt;22.4615906030511&lt;/D&gt;&lt;D xsi:type="xsd:double"&gt;22.763142825407&lt;/D&gt;&lt;D xsi:type="xsd:double"&gt;22.8603669891934&lt;/D&gt;&lt;D xsi:type="xsd:double"&gt;23.0521914419907&lt;/D&gt;&lt;D xsi:type="xsd:double"&gt;23.4519023789087&lt;/D&gt;&lt;D xsi:type="xsd:double"&gt;22.730182309972&lt;/D&gt;&lt;D xsi:type="xsd:double"&gt;23.183155607757&lt;/D&gt;&lt;D xsi:type="xsd:double"&gt;22.7642833524654&lt;/D&gt;&lt;D xsi:type="xsd:double"&gt;23.2702327107766&lt;/D&gt;&lt;D xsi:type="xsd:double"&gt;24.0497561671714&lt;/D&gt;&lt;D xsi:type="xsd:double"&gt;24.1268161758069&lt;/D&gt;&lt;D xsi:type="xsd:double"&gt;24.0774912388268&lt;/D&gt;&lt;D xsi:type="xsd:double"&gt;24.2429538514557&lt;/D&gt;&lt;D xsi:type="xsd:double"&gt;24.3082622918612&lt;/D&gt;&lt;D xsi:type="xsd:double"&gt;25.0577862933579&lt;/D&gt;&lt;D xsi:type="xsd:double"&gt;25.4446244672047&lt;/D&gt;&lt;D xsi:type="xsd:double"&gt;28.6213638725646&lt;/D&gt;&lt;D xsi:type="xsd:double"&gt;28.7125919732495&lt;/D&gt;&lt;D xsi:type="xsd:double"&gt;29.2760237805156&lt;/D&gt;&lt;D xsi:type="xsd:double"&gt;31.4545155650677&lt;/D&gt;&lt;D xsi:type="xsd:double"&gt;32.3702856866614&lt;/D&gt;&lt;D xsi:type="xsd:double"&gt;33.3722319130418&lt;/D&gt;&lt;D xsi:type="xsd:double"&gt;30.4705740012022&lt;/D&gt;&lt;D xsi:type="xsd:double"&gt;30.7890893984906&lt;/D&gt;&lt;D xsi:type="xsd:double"&gt;32.2267222164408&lt;/D&gt;&lt;D xsi:type="xsd:double"&gt;32.0777544676088&lt;/D&gt;&lt;D xsi:type="xsd:double"&gt;33.2079643467989&lt;/D&gt;&lt;D xsi:type="xsd:double"&gt;33.7171597038223&lt;/D&gt;&lt;D xsi:type="xsd:double"&gt;33.7593155996043&lt;/D&gt;&lt;D xsi:type="xsd:double"&gt;35.2238984793145&lt;/D&gt;&lt;D xsi:type="xsd:double"&gt;35.9360501781814&lt;/D&gt;&lt;D xsi:type="xsd:double"&gt;37.1212536720626&lt;/D&gt;&lt;D xsi:type="xsd:double"&gt;38.0293665070126&lt;/D&gt;&lt;D xsi:type="xsd:double"&gt;34.9563876207825&lt;/D&gt;&lt;D xsi:type="xsd:double"&gt;34.4423549580636&lt;/D&gt;&lt;D xsi:type="xsd:double"&gt;34.395147431222&lt;/D&gt;&lt;D xsi:type="xsd:double"&gt;34.8738018150325&lt;/D&gt;&lt;D xsi:type="xsd:double"&gt;35.3670873351657&lt;/D&gt;&lt;D xsi:type="xsd:double"&gt;36.5591440332569&lt;/D&gt;&lt;D xsi:type="xsd:double"&gt;36.6800640714007&lt;/D&gt;&lt;D xsi:type="xsd:double"&gt;38.3842548037291&lt;/D&gt;&lt;D xsi:type="xsd:double"&gt;38.4731356878518&lt;/D&gt;&lt;D xsi:type="xsd:double"&gt;38.7604880513004&lt;/D&gt;&lt;D xsi:type="xsd:double"&gt;39.3060316456823&lt;/D&gt;&lt;D xsi:type="xsd:double"&gt;38.5364120154325&lt;/D&gt;&lt;D xsi:type="xsd:double"&gt;36.833960226324&lt;/D&gt;&lt;D xsi:type="xsd:double"&gt;35.072985904635&lt;/D&gt;&lt;D xsi:type="xsd:double"&gt;34.4916267149324&lt;/D&gt;&lt;D xsi:type="xsd:double"&gt;34.1933961014926&lt;/D&gt;&lt;D xsi:type="xsd:double"&gt;33.2953246492655&lt;/D&gt;&lt;D xsi:type="xsd:double"&gt;32.9836198485475&lt;/D&gt;&lt;D xsi:type="xsd:double"&gt;33.3462320873665&lt;/D&gt;&lt;D xsi:type="xsd:double"&gt;34.4050594782995&lt;/D&gt;&lt;D xsi:type="xsd:double"&gt;31.229129080694&lt;/D&gt;&lt;D xsi:type="xsd:double"&gt;31.2948009576031&lt;/D&gt;&lt;D xsi:type="xsd:double"&gt;29.2864364766364&lt;/D&gt;&lt;D xsi:type="xsd:double"&gt;29.44388982543&lt;/D&gt;&lt;D xsi:type="xsd:double"&gt;30.1105232049034&lt;/D&gt;&lt;D xsi:type="xsd:double"&gt;29.281977351299&lt;/D&gt;&lt;D xsi:type="xsd:double"&gt;28.7498664107492&lt;/D&gt;&lt;D xsi:type="xsd:double"&gt;28.2728400774899&lt;/D&gt;&lt;D xsi:type="xsd:double"&gt;26.3333434868708&lt;/D&gt;&lt;D xsi:type="xsd:double"&gt;25.780503693696&lt;/D&gt;&lt;D xsi:type="xsd:double"&gt;24.8749917649049&lt;/D&gt;&lt;D xsi:type="xsd:double"&gt;24.0957833109568&lt;/D&gt;&lt;D xsi:type="xsd:double"&gt;23.4705532256459&lt;/D&gt;&lt;D xsi:type="xsd:double"&gt;22.6825770307956&lt;/D&gt;&lt;D xsi:type="xsd:double"&gt;23.3829206559602&lt;/D&gt;&lt;D xsi:type="xsd:double"&gt;24.0566025420845&lt;/D&gt;&lt;D xsi:type="xsd:double"&gt;22.9755685086931&lt;/D&gt;&lt;D xsi:type="xsd:double"&gt;23.7875766660681&lt;/D&gt;&lt;D xsi:type="xsd:double"&gt;24.0945513504803&lt;/D&gt;&lt;D xsi:type="xsd:double"&gt;24.4441135638508&lt;/D&gt;&lt;D xsi:type="xsd:double"&gt;24.1977186535384&lt;/D&gt;&lt;D xsi:type="xsd:double"&gt;24.8692773963131&lt;/D&gt;&lt;D xsi:type="xsd:double"&gt;25.3457714698412&lt;/D&gt;&lt;D xsi:type="xsd:double"&gt;24.2574421930746&lt;/D&gt;&lt;/FQL&gt;&lt;FQL&gt;&lt;Q&gt;FC0000GR^FG_PRICE(0)&lt;/Q&gt;&lt;R&gt;1&lt;/R&gt;&lt;C&gt;1&lt;/C&gt;&lt;D xsi:type="xsd:double"&gt;9.580717&lt;/D&gt;&lt;/FQL&gt;&lt;FQL&gt;&lt;Q&gt;EWJ^FG_PRICE_MAVG(0,,,,200)&lt;/Q&gt;&lt;R&gt;1&lt;/R&gt;&lt;C&gt;1&lt;/C&gt;&lt;D xsi:type="xsd:double"&gt;67.7581&lt;/D&gt;&lt;/FQL&gt;&lt;FQL&gt;&lt;Q&gt;URTH^FG_TOTAL_RETURNC(0,-1AM)&lt;/Q&gt;&lt;R&gt;1&lt;/R&gt;&lt;C&gt;1&lt;/C&gt;&lt;D xsi:type="xsd:double"&gt;5.148387&lt;/D&gt;&lt;/FQL&gt;&lt;FQL&gt;&lt;Q&gt;EWN^FG_TOTAL_RETURNC(0,-12AM)&lt;/Q&gt;&lt;R&gt;1&lt;/R&gt;&lt;C&gt;1&lt;/C&gt;&lt;D xsi:type="xsd:double"&gt;26.500595&lt;/D&gt;&lt;/FQL&gt;&lt;FQL&gt;&lt;Q&gt;EWU^FG_TOTAL_RETURNC(0,-6AM)&lt;/Q&gt;&lt;R&gt;1&lt;/R&gt;&lt;C&gt;1&lt;/C&gt;&lt;D xsi:type="xsd:double"&gt;11.50558&lt;/D&gt;&lt;/FQL&gt;&lt;FQL&gt;&lt;Q&gt;EWC^PERCENT_CHANGE(FMA_EPS(+1,0,,,,"PORTAGG","MEAN"),FMA_EPS(+1,-1AM,,,,"PORTAGG","MEAN"))&lt;/Q&gt;&lt;R&gt;1&lt;/R&gt;&lt;C&gt;1&lt;/C&gt;&lt;D xsi:type="xsd:double"&gt;1.20543739761032&lt;/D&gt;&lt;/FQL&gt;&lt;FQL&gt;&lt;Q&gt;VGK^SIZE(FG_CONSTITUENTS)&lt;/Q&gt;&lt;R&gt;1&lt;/R&gt;&lt;C&gt;1&lt;/C&gt;&lt;D xsi:type="xsd:long"&gt;1287&lt;/D&gt;&lt;/FQL&gt;&lt;FQL&gt;&lt;Q&gt;EWI^FG_ROE(0)&lt;/Q&gt;&lt;R&gt;1&lt;/R&gt;&lt;C&gt;1&lt;/C&gt;&lt;D xsi:type="xsd:double"&gt;13.3872185656221&lt;/D&gt;&lt;/FQL&gt;&lt;FQL&gt;&lt;Q&gt;TRYCA10Y-FDS^PCTCHG(FG_YIELD(0,,,,"YTM"),FG_YIELD(-3AM,,,,"YTM"))&lt;/Q&gt;&lt;R&gt;1&lt;/R&gt;&lt;C&gt;1&lt;/C&gt;&lt;D xsi:type="xsd:double"&gt;-15.353386&lt;/D&gt;&lt;/FQL&gt;&lt;FQL&gt;&lt;Q&gt;TRYNZ10Y-FDS^FG_YIELD(0,,,,"YTM")&lt;/Q&gt;&lt;R&gt;1&lt;/R&gt;&lt;C&gt;1&lt;/C&gt;&lt;D xsi:type="xsd:double"&gt;4.1526&lt;/D&gt;&lt;/FQL&gt;&lt;FQL&gt;&lt;Q&gt;SPY^FMA_PE(NTMA,0,,,"PORTAGG","MEANR")&lt;/Q&gt;&lt;R&gt;1&lt;/R&gt;&lt;C&gt;1&lt;/C&gt;&lt;D xsi:type="xsd:double"&gt;20.8026400513372&lt;/D&gt;&lt;/FQL&gt;&lt;FQL&gt;&lt;Q&gt;EWJ^FMA_PE(LTM,0,,,"PORTAGG","MEANR")&lt;/Q&gt;&lt;R&gt;1&lt;/R&gt;&lt;C&gt;1&lt;/C&gt;&lt;D xsi:type="xsd:double"&gt;17.1091334421597&lt;/D&gt;&lt;/FQL&gt;&lt;FQL&gt;&lt;Q&gt;ENZL^FMA_PE(LTM,0,,,"PORTAGG","MEANR")&lt;/Q&gt;&lt;R&gt;1&lt;/R&gt;&lt;C&gt;1&lt;/C&gt;&lt;D xsi:type="xsd:double"&gt;47.8607137811031&lt;/D&gt;&lt;/FQL&gt;&lt;FQL&gt;&lt;Q&gt;COPP-FDS^FG_PRICE_CHANGE(0,-6AM)&lt;/Q&gt;&lt;R&gt;1&lt;/R&gt;&lt;C&gt;1&lt;/C&gt;&lt;D xsi:type="xsd:double"&gt;5.29936305732484&lt;/D&gt;&lt;/FQL&gt;&lt;FQL&gt;&lt;Q&gt;EWN^P_PRICE(0)/P_PRICE_HIGH_PR(0,,,,,,"PRICE","INTRA","52W")&lt;/Q&gt;&lt;R&gt;1&lt;/R&gt;&lt;C&gt;1&lt;/C&gt;&lt;D xsi:type="xsd:double"&gt;0.92570245&lt;/D&gt;&lt;/FQL&gt;&lt;FQL&gt;&lt;Q&gt;EWU^FG_TOTAL_RETURNC(0,-3AM)&lt;/Q&gt;&lt;R&gt;1&lt;/R&gt;&lt;C&gt;1&lt;/C&gt;&lt;D xsi:type="xsd:double"&gt;3.9852977&lt;/D&gt;&lt;/FQL&gt;&lt;FQL&gt;&lt;Q&gt;EWC^FMA_PCT_ABOVE_MAVG(200,0,,,,"PORTAGG")&lt;/Q&gt;&lt;R&gt;1&lt;/R&gt;&lt;C&gt;1&lt;/C&gt;&lt;D xsi:type="xsd:double"&gt;67.4418604651163&lt;/D&gt;&lt;/FQL&gt;&lt;FQL&gt;&lt;Q&gt;VGK^FMA_COS_UP("EPS","1M",+1,0,,,"PORTAGG","MEANR")&lt;/Q&gt;&lt;R&gt;1&lt;/R&gt;&lt;C&gt;1&lt;/C&gt;&lt;D xsi:type="xsd:double"&gt;427&lt;/D&gt;&lt;/FQL&gt;&lt;FQL&gt;&lt;Q&gt;EWC^FMA_COS_UP("EPS","1M",+1,0,,,"PORTAGG","MEANR")&lt;/Q&gt;&lt;R&gt;1&lt;/R&gt;&lt;C&gt;1&lt;/C&gt;&lt;D xsi:type="xsd:double"&gt;24&lt;/D&gt;&lt;/FQL&gt;&lt;FQL&gt;&lt;Q&gt;EWI^FG_FCF_YIELD_NTM(0)&lt;/Q&gt;&lt;R&gt;1&lt;/R&gt;&lt;C&gt;1&lt;/C&gt;&lt;D xsi:type="xsd:double"&gt;5.4462495065519&lt;/D&gt;&lt;/FQL&gt;&lt;FQL&gt;&lt;Q&gt;SPY^FMA_PE(LTM,0,,,"PORTAGG","MEANR")&lt;/Q&gt;&lt;R&gt;1&lt;/R&gt;&lt;C&gt;1&lt;/C&gt;&lt;D xsi:type="xsd:double"&gt;25.921398567894&lt;/D&gt;&lt;/FQL&gt;&lt;FQL&gt;&lt;Q&gt;EWG^FMA_EVAL_EBIT(LTMA,NOW,NOW,M,"PORTAGG","MEANR")&lt;/Q&gt;&lt;R&gt;1&lt;/R&gt;&lt;C&gt;1&lt;/C&gt;&lt;D xsi:type="xsd:double"&gt;13.8664754850983&lt;/D&gt;&lt;/FQL&gt;&lt;FQL&gt;&lt;Q&gt;ENZL^JULIAN(FMA_DIV_YLD(NTMA,NOW,NOW,M,"PORTAGG","MEANR").DATES)&lt;/Q&gt;&lt;R&gt;1&lt;/R&gt;&lt;C&gt;1&lt;/C&gt;&lt;D xsi:type="xsd:long"&gt;45534&lt;/D&gt;&lt;/FQL&gt;&lt;FQL&gt;&lt;Q&gt;QQQ^FG_TOTAL_RETURNC(0,-3AM)&lt;/Q&gt;&lt;R&gt;1&lt;/R&gt;&lt;C&gt;1&lt;/C&gt;&lt;D xsi:type="xsd:double"&gt;-0.03578663&lt;/D&gt;&lt;/FQL&gt;&lt;FQL&gt;&lt;Q&gt;EWD^FMA_DIV_YLD(NTMA,NOW,NOW,M,"PORTAGG","MEANR")&lt;/Q&gt;&lt;R&gt;1&lt;/R&gt;&lt;C&gt;1&lt;/C&gt;&lt;D xsi:type="xsd:double"&gt;3.20494310472097&lt;/D&gt;&lt;/FQL&gt;&lt;FQL&gt;&lt;Q&gt;TRYIT10Y-FDS^PCTCHG(FG_YIELD(0,,,,"YTM"),FG_YIELD(-3AM,,,,"YTM"))&lt;/Q&gt;&lt;R&gt;1&lt;/R&gt;&lt;C&gt;1&lt;/C&gt;&lt;D xsi:type="xsd:double"&gt;-11.594206&lt;/D&gt;&lt;/FQL&gt;&lt;FQL&gt;&lt;Q&gt;EWI^FMA_EPS(NTMA,-20AY,0,CY,,"PORTAGG","MEANR")&lt;/Q&gt;&lt;R&gt;20&lt;/R&gt;&lt;C&gt;1&lt;/C&gt;&lt;D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xsi:type="xsd:double"&gt;3.81180271683843&lt;/D&gt;&lt;/FQL&gt;&lt;FQL&gt;&lt;Q&gt;DDR3512M-FDS^FG_PRICE_CHANGE(0,-6AM)&lt;/Q&gt;&lt;R&gt;1&lt;/R&gt;&lt;C&gt;1&lt;/C&gt;&lt;D xsi:type="xsd:double"&gt;-8.085969398987&lt;/D&gt;&lt;/FQL&gt;&lt;FQL&gt;&lt;Q&gt;EWJ^FG_PRICE_MAVG(0,,,,60)&lt;/Q&gt;&lt;R&gt;1&lt;/R&gt;&lt;C&gt;1&lt;/C&gt;&lt;D xsi:type="xsd:double"&gt;68.96083&lt;/D&gt;&lt;/FQL&gt;&lt;FQL&gt;&lt;Q&gt;URTH^PERCENT_CHANGE(FMA_EPS(+1,0,,,,"PORTAGG","MEAN"),FMA_EPS(+1,-3AM,,,,"PORTAGG","MEAN"))&lt;/Q&gt;&lt;R&gt;1&lt;/R&gt;&lt;C&gt;1&lt;/C&gt;&lt;D xsi:type="xsd:double"&gt;1.0580574896692&lt;/D&gt;&lt;/FQL&gt;&lt;FQL&gt;&lt;Q&gt;EWA^FG_TOTAL_RETURNC(0,-12AM)&lt;/Q&gt;&lt;R&gt;1&lt;/R&gt;&lt;C&gt;1&lt;/C&gt;&lt;D xsi:type="xsd:double"&gt;23.203564&lt;/D&gt;&lt;/FQL&gt;&lt;FQL&gt;&lt;Q&gt;EWA^SIZE(FG_CONSTITUENTS)&lt;/Q&gt;&lt;R&gt;1&lt;/R&gt;&lt;C&gt;1&lt;/C&gt;&lt;D xsi:type="xsd:long"&gt;58&lt;/D&gt;&lt;/FQL&gt;&lt;FQL&gt;&lt;Q&gt;EWD^FG_ROE(0)&lt;/Q&gt;&lt;R&gt;1&lt;/R&gt;&lt;C&gt;1&lt;/C&gt;&lt;D xsi:type="xsd:double"&gt;17.0285471248289&lt;/D&gt;&lt;/FQL&gt;&lt;FQL&gt;&lt;Q&gt;REFEUREFI-FDS^FG_YIELD(NOW,,,0)&lt;/Q&gt;&lt;R&gt;1&lt;/R&gt;&lt;C&gt;1&lt;/C&gt;&lt;D xsi:type="xsd:double"&gt;4.25&lt;/D&gt;&lt;/FQL&gt;&lt;FQL&gt;&lt;Q&gt;TRYCA10Y-FDS^PCTCHG(FG_YIELD(0,,,,"YTM"),FG_YIELD(-1AM,,,,"YTM"))&lt;/Q&gt;&lt;R&gt;1&lt;/R&gt;&lt;C&gt;1&lt;/C&gt;&lt;D xsi:type="xsd:double"&gt;-5.4763923&lt;/D&gt;&lt;/FQL&gt;&lt;FQL&gt;&lt;Q&gt;TRYNZ10Y-FDS^FG_YIELD_NAME&lt;/Q&gt;&lt;R&gt;1&lt;/R&gt;&lt;C&gt;1&lt;/C&gt;&lt;D xsi:type="xsd:string"&gt;New Zealand Benchmark Bond - 10 Year&lt;/D&gt;&lt;/FQL&gt;&lt;FQL&gt;&lt;Q&gt;EWI^FMA_DIV_YLD(NTMA,NOW,NOW,M,"PORTAGG","MEANR")&lt;/Q&gt;&lt;R&gt;1&lt;/R&gt;&lt;C&gt;1&lt;/C&gt;&lt;D xsi:type="xsd:double"&gt;5.27575321771592&lt;/D&gt;&lt;/FQL&gt;&lt;FQL&gt;&lt;Q&gt;CC_US^IMF_IFS_RCPI_Q(0)&lt;/Q&gt;&lt;R&gt;1&lt;/R&gt;&lt;C&gt;1&lt;/C&gt;&lt;D xsi:type="xsd:double"&gt;3.19889&lt;/D&gt;&lt;/FQL&gt;&lt;FQL&gt;&lt;Q&gt;QQQ^FG_TOTAL_RETURNC(0,-1AM)&lt;/Q&gt;&lt;R&gt;1&lt;/R&gt;&lt;C&gt;1&lt;/C&gt;&lt;D xsi:type="xsd:double"&gt;4.8384905&lt;/D&gt;&lt;/FQL&gt;&lt;FQL&gt;&lt;Q&gt;UUP^P_PRICE(0)/P_PRICE_HIGH_PR(0,,,USD,,,"PRICE","INTRA","52W")&lt;/Q&gt;&lt;R&gt;1&lt;/R&gt;&lt;C&gt;1&lt;/C&gt;&lt;D xsi:type="xsd:double"&gt;0.93552125&lt;/D&gt;&lt;/FQL&gt;&lt;FQL&gt;&lt;Q&gt;EWQ^FG_ROE(0)&lt;/Q&gt;&lt;R&gt;1&lt;/R&gt;&lt;C&gt;1&lt;/C&gt;&lt;D xsi:type="xsd:double"&gt;12.1316430264871&lt;/D&gt;&lt;/FQL&gt;&lt;FQL&gt;&lt;Q&gt;REFAUCASH-FDS^(SUBARRAY(NOT_NA(NO_REPEAT_F(FG_YIELD(NOW,-10AY,D))),0,1)-SUBARRAY(NOT_NA(NO_REPEAT_F(FG_YIELD(NOW,-10AY,D))),1,1))*100&lt;/Q&gt;&lt;R&gt;1&lt;/R&gt;&lt;C&gt;1&lt;/C&gt;&lt;D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xsi:type="xsd:double"&gt;25&lt;/D&gt;&lt;/FQL&gt;&lt;FQL&gt;&lt;Q&gt;EWI^FMA_PE(LTM,0,,,"PORTAGG","MEANR")&lt;/Q&gt;&lt;R&gt;1&lt;/R&gt;&lt;C&gt;1&lt;/C&gt;&lt;D xsi:type="xsd:double"&gt;11.14687822314&lt;/D&gt;&lt;/FQL&gt;&lt;FQL&gt;&lt;Q&gt;EWJ^FG_TOTAL_RETURNC(0,-6AM)&lt;/Q&gt;&lt;R&gt;1&lt;/R&gt;&lt;C&gt;1&lt;/C&gt;&lt;D xsi:type="xsd:double"&gt;1.1360645&lt;/D&gt;&lt;/FQL&gt;&lt;FQL&gt;&lt;Q&gt;UUP^FG_TOTAL_RETURNC(0,-6AM)&lt;/Q&gt;&lt;R&gt;1&lt;/R&gt;&lt;C&gt;1&lt;/C&gt;&lt;D xsi:type="xsd:double"&gt;1.4013648&lt;/D&gt;&lt;/FQL&gt;&lt;FQL&gt;&lt;Q&gt;UUP^FG_TOTAL_RETURNC(0,-3AM)&lt;/Q&gt;&lt;R&gt;1&lt;/R&gt;&lt;C&gt;1&lt;/C&gt;&lt;D xsi:type="xsd:double"&gt;-1.8434823&lt;/D&gt;&lt;/FQL&gt;&lt;FQL&gt;&lt;Q&gt;EWG^FG_ROE(0)&lt;/Q&gt;&lt;R&gt;1&lt;/R&gt;&lt;C&gt;1&lt;/C&gt;&lt;D xsi:type="xsd:double"&gt;10.7619619390197&lt;/D&gt;&lt;/FQL&gt;&lt;FQL&gt;&lt;Q&gt;REFSEREPO-FDS^FG_YIELD(NOW,,,0)&lt;/Q&gt;&lt;R&gt;1&lt;/R&gt;&lt;C&gt;1&lt;/C&gt;&lt;D xsi:type="xsd:double"&gt;3.5&lt;/D&gt;&lt;/FQL&gt;&lt;FQL&gt;&lt;Q&gt;CC_GB^IMF_IFS_RCPI_Q(0)&lt;/Q&gt;&lt;R&gt;1&lt;/R&gt;&lt;C&gt;1&lt;/C&gt;&lt;D xsi:type="xsd:double"&gt;2.8697004&lt;/D&gt;&lt;/FQL&gt;&lt;FQL&gt;&lt;Q&gt;QQQ^FMA_PE(LTM,0,,,"PORTAGG","MEANR")&lt;/Q&gt;&lt;R&gt;1&lt;/R&gt;&lt;C&gt;1&lt;/C&gt;&lt;D xsi:type="xsd:double"&gt;34.9133044093764&lt;/D&gt;&lt;/FQL&gt;&lt;FQL&gt;&lt;Q&gt;TRYSE10Y-FDS^FG_YIELD(0,,,,"YTM")&lt;/Q&gt;&lt;R&gt;1&lt;/R&gt;&lt;C&gt;1&lt;/C&gt;&lt;D xsi:type="xsd:double"&gt;1.9&lt;/D&gt;&lt;/FQL&gt;&lt;FQL&gt;&lt;Q&gt;CC_CH^IMF_IFS_RCPI_Q(0)&lt;/Q&gt;&lt;R&gt;1&lt;/R&gt;&lt;C&gt;1&lt;/C&gt;&lt;D xsi:type="xsd:double"&gt;1.3619826&lt;/D&gt;&lt;/FQL&gt;&lt;FQL&gt;&lt;Q&gt;EWG^FMA_PE(LTM,0,,,"PORTAGG","MEANR")&lt;/Q&gt;&lt;R&gt;1&lt;/R&gt;&lt;C&gt;1&lt;/C&gt;&lt;D xsi:type="xsd:double"&gt;15.1748580106392&lt;/D&gt;&lt;/FQL&gt;&lt;FQL&gt;&lt;Q&gt;ENZL^FG_TOTAL_RETURNC(0,-3AM)&lt;/Q&gt;&lt;R&gt;1&lt;/R&gt;&lt;C&gt;1&lt;/C&gt;&lt;D xsi:type="xsd:double"&gt;8.401728&lt;/D&gt;&lt;/FQL&gt;&lt;FQL&gt;&lt;Q&gt;CC_AU^IMF_IFS_RCPI_Q(0)&lt;/Q&gt;&lt;R&gt;1&lt;/R&gt;&lt;C&gt;1&lt;/C&gt;&lt;D xsi:type="xsd:double"&gt;3.81451&lt;/D&gt;&lt;/FQL&gt;&lt;FQL&gt;&lt;Q&gt;SPY^FMA_EVAL_EBIT(LTMA,NOW,NOW,M,"PORTAGG","MEANR")&lt;/Q&gt;&lt;R&gt;1&lt;/R&gt;&lt;C&gt;1&lt;/C&gt;&lt;D xsi:type="xsd:double"&gt;21.049812134441&lt;/D&gt;&lt;/FQL&gt;&lt;FQL&gt;&lt;Q&gt;ENZL^FMA_EVAL_EBITDA(NTMA,0,,,"PORTAGG","MEANR")&lt;/Q&gt;&lt;R&gt;1&lt;/R&gt;&lt;C&gt;1&lt;/C&gt;&lt;D xsi:type="xsd:double"&gt;12.926893295395&lt;/D&gt;&lt;/FQL&gt;&lt;FQL&gt;&lt;Q&gt;EWN^FMA_EPS(NTMA,-20AY,0,CY,,"PORTAGG","MEANR")&lt;/Q&gt;&lt;R&gt;20&lt;/R&gt;&lt;C&gt;1&lt;/C&gt;&lt;D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xsi:type="xsd:double"&gt;2.95668122593824&lt;/D&gt;&lt;/FQL&gt;&lt;FQL&gt;&lt;Q&gt;COPP-FDS^FG_PRICE_CHANGE(0,-1AM)&lt;/Q&gt;&lt;R&gt;1&lt;/R&gt;&lt;C&gt;1&lt;/C&gt;&lt;D xsi:type="xsd:double"&gt;1.92355117139336&lt;/D&gt;&lt;/FQL&gt;&lt;FQL&gt;&lt;Q&gt;EWJ^FG_PRICE_MAVG(0,,,,30)&lt;/Q&gt;&lt;R&gt;1&lt;/R&gt;&lt;C&gt;1&lt;/C&gt;&lt;D xsi:type="xsd:double"&gt;68.74633&lt;/D&gt;&lt;/FQL&gt;&lt;FQL&gt;&lt;Q&gt;VWO^P_PRICE(0)/P_PRICE_LOW_PR(0,,,,,,"PRICE","INTRA","52W")-1&lt;/Q&gt;&lt;R&gt;1&lt;/R&gt;&lt;C&gt;1&lt;/C&gt;&lt;D xsi:type="xsd:double"&gt;0.18168461&lt;/D&gt;&lt;/FQL&gt;&lt;FQL&gt;&lt;Q&gt;EWN^FG_TOTAL_RETURNC(0,-1AM)&lt;/Q&gt;&lt;R&gt;1&lt;/R&gt;&lt;C&gt;1&lt;/C&gt;&lt;D xsi:type="xsd:double"&gt;2.9140472&lt;/D&gt;&lt;/FQL&gt;&lt;FQL&gt;&lt;Q&gt;EWU^FG_TOTAL_RETURNC(0,-1AM)&lt;/Q&gt;&lt;R&gt;1&lt;/R&gt;&lt;C&gt;1&lt;/C&gt;&lt;D xsi:type="xsd:double"&gt;3.6046267&lt;/D&gt;&lt;/FQL&gt;&lt;FQL&gt;&lt;Q&gt;EWA^P_PRICE(0)/P_PRICE_LOW_PR(0,,,,,,"PRICE","INTRA","52W")-1&lt;/Q&gt;&lt;R&gt;1&lt;/R&gt;&lt;C&gt;1&lt;/C&gt;&lt;D xsi:type="xsd:double"&gt;0.273216&lt;/D&gt;&lt;/FQL&gt;&lt;FQL&gt;&lt;Q&gt;EWI^SIZE(FG_CONSTITUENTS)&lt;/Q&gt;&lt;R&gt;1&lt;/R&gt;&lt;C&gt;1&lt;/C&gt;&lt;D xsi:type="xsd:long"&gt;26&lt;/D&gt;&lt;/FQL&gt;&lt;FQL&gt;&lt;Q&gt;EWN^FG_ROE(0)&lt;/Q&gt;&lt;R&gt;1&lt;/R&gt;&lt;C&gt;1&lt;/C&gt;&lt;D xsi:type="xsd:double"&gt;11.0136885219344&lt;/D&gt;&lt;/FQL&gt;&lt;FQL&gt;&lt;Q&gt;REFCATARG-FDS^PROPER_NAME(0,,,"SECURITY","NAME")&lt;/Q&gt;&lt;R&gt;1&lt;/R&gt;&lt;C&gt;1&lt;/C&gt;&lt;D xsi:type="xsd:string"&gt;Canada Target Rate&lt;/D&gt;&lt;/FQL&gt;&lt;FQL&gt;&lt;Q&gt;TRYNZ10Y-FDS^PCTCHG(FG_YIELD(0,,,,"YTM"),FG_YIELD(-1AM,,,,"YTM"))&lt;/Q&gt;&lt;R&gt;1&lt;/R&gt;&lt;C&gt;1&lt;/C&gt;&lt;D xsi:type="xsd:double"&gt;-2.2917693&lt;/D&gt;&lt;/FQL&gt;&lt;FQL&gt;&lt;Q&gt;CC_IT^IMF_IFS_RCPI_Q(0)&lt;/Q&gt;&lt;R&gt;1&lt;/R&gt;&lt;C&gt;1&lt;/C&gt;&lt;D xsi:type="xsd:double"&gt;0.80847347&lt;/D&gt;&lt;/FQL&gt;&lt;FQL&gt;&lt;Q&gt;SPY^JULIAN(FMA_DIV_YLD(NTMA,NOW,NOW,M,"PORTAGG","MEANR").DATES)&lt;/Q&gt;&lt;R&gt;1&lt;/R&gt;&lt;C&gt;1&lt;/C&gt;&lt;D xsi:type="xsd:long"&gt;45534&lt;/D&gt;&lt;/FQL&gt;&lt;FQL&gt;&lt;Q&gt;EWG^FMA_EVAL_EBITDA(NTMA,0,,,"PORTAGG","MEANR")&lt;/Q&gt;&lt;R&gt;1&lt;/R&gt;&lt;C&gt;1&lt;/C&gt;&lt;D xsi:type="xsd:double"&gt;8.4864112150601&lt;/D&gt;&lt;/FQL&gt;&lt;FQL&gt;&lt;Q&gt;EWJ^P_PRICE(0)/P_PRICE_HIGH_PR(0,,,USD,,,"PRICE","INTRA","52W")&lt;/Q&gt;&lt;R&gt;1&lt;/R&gt;&lt;C&gt;1&lt;/C&gt;&lt;D xsi:type="xsd:double"&gt;0.9713101&lt;/D&gt;&lt;/FQL&gt;&lt;FQL&gt;&lt;Q&gt;DDR3512M-FDS^FG_PRICE_CHANGE(0,-1AM)&lt;/Q&gt;&lt;R&gt;1&lt;/R&gt;&lt;C&gt;1&lt;/C&gt;&lt;D xsi:type="xsd:double"&gt;-0.0628561095379787&lt;/D&gt;&lt;/FQL&gt;&lt;FQL&gt;&lt;Q&gt;COPP-FDS^FG_PRICE_MAVG(0,,,,30)&lt;/Q&gt;&lt;R&gt;1&lt;/R&gt;&lt;C&gt;1&lt;/C&gt;&lt;D xsi:type="xsd:double"&gt;4.0862665&lt;/D&gt;&lt;/FQL&gt;&lt;FQL&gt;&lt;Q&gt;EWJ^FG_PRICE(0)&lt;/Q&gt;&lt;R&gt;1&lt;/R&gt;&lt;C&gt;1&lt;/C&gt;&lt;D xsi:type="xsd:double"&gt;70.25&lt;/D&gt;&lt;/FQL&gt;&lt;FQL&gt;&lt;Q&gt;VWO^P_PRICE</t>
        </r>
      </text>
    </comment>
    <comment ref="A12" authorId="0" shapeId="0" xr:uid="{B87CCFFC-D398-4845-B4C6-A05A13CD2CA5}">
      <text>
        <r>
          <rPr>
            <b/>
            <sz val="9"/>
            <color indexed="81"/>
            <rFont val="Tahoma"/>
            <charset val="1"/>
          </rPr>
          <t>(0)/P_PRICE_HIGH_PR(0,,,,,,"PRICE","INTRA","52W")&lt;/Q&gt;&lt;R&gt;1&lt;/R&gt;&lt;C&gt;1&lt;/C&gt;&lt;D xsi:type="xsd:double"&gt;0.96796066&lt;/D&gt;&lt;/FQL&gt;&lt;FQL&gt;&lt;Q&gt;EWN^PERCENT_CHANGE(FMA_EPS(+1,0,,,,"PORTAGG","MEAN"),FMA_EPS(+1,-3AM,,,,"PORTAGG","MEAN"))&lt;/Q&gt;&lt;R&gt;1&lt;/R&gt;&lt;C&gt;1&lt;/C&gt;&lt;D xsi:type="xsd:double"&gt;2.20044717217294&lt;/D&gt;&lt;/FQL&gt;&lt;FQL&gt;&lt;Q&gt;EWL^FG_TOTAL_RETURNC(0,-12AM)&lt;/Q&gt;&lt;R&gt;1&lt;/R&gt;&lt;C&gt;1&lt;/C&gt;&lt;D xsi:type="xsd:double"&gt;15.407955&lt;/D&gt;&lt;/FQL&gt;&lt;FQL&gt;&lt;Q&gt;EWI^FMA_COS_DOWN("EPS","1M",+1,0,,,"PORTAGG","MEANR")&lt;/Q&gt;&lt;R&gt;1&lt;/R&gt;&lt;C&gt;1&lt;/C&gt;&lt;D xsi:type="xsd:double"&gt;6&lt;/D&gt;&lt;/FQL&gt;&lt;FQL&gt;&lt;Q&gt;EWA^FMA_COS_DOWN("EPS","1M",+1,0,,,"PORTAGG","MEANR")&lt;/Q&gt;&lt;R&gt;1&lt;/R&gt;&lt;C&gt;1&lt;/C&gt;&lt;D xsi:type="xsd:double"&gt;30&lt;/D&gt;&lt;/FQL&gt;&lt;FQL&gt;&lt;Q&gt;CC_FR^IMF_IFS_RCPI_Q(0)&lt;/Q&gt;&lt;R&gt;1&lt;/R&gt;&lt;C&gt;1&lt;/C&gt;&lt;D xsi:type="xsd:double"&gt;2.2093682&lt;/D&gt;&lt;/FQL&gt;&lt;FQL&gt;&lt;Q&gt;EWI^FMA_PE(NTMA,0,,,"PORTAGG","MEANR")&lt;/Q&gt;&lt;R&gt;1&lt;/R&gt;&lt;C&gt;1&lt;/C&gt;&lt;D xsi:type="xsd:double"&gt;9.7839973881916&lt;/D&gt;&lt;/FQL&gt;&lt;FQL&gt;&lt;Q&gt;QQQ^FMA_EVAL_EBIT(LTMA,NOW,NOW,M,"PORTAGG","MEANR")&lt;/Q&gt;&lt;R&gt;1&lt;/R&gt;&lt;C&gt;1&lt;/C&gt;&lt;D xsi:type="xsd:double"&gt;24.7793865679928&lt;/D&gt;&lt;/FQL&gt;&lt;FQL&gt;&lt;Q&gt;EWG^FG_FCF_YIELD_NTM(0)&lt;/Q&gt;&lt;R&gt;1&lt;/R&gt;&lt;C&gt;1&lt;/C&gt;&lt;D xsi:type="xsd:double"&gt;5.97551139463959&lt;/D&gt;&lt;/FQL&gt;&lt;FQL&gt;&lt;Q&gt;REFNZOCR-FDS^(SUBARRAY(NOT_NA(NO_REPEAT_F(FG_YIELD(NOW,-10AY,D))),0,1)-SUBARRAY(NOT_NA(NO_REPEAT_F(FG_YIELD(NOW,-10AY,D))),1,1))*100&lt;/Q&gt;&lt;R&gt;1&lt;/R&gt;&lt;C&gt;1&lt;/C&gt;&lt;D xsi:type="xsd:double"&gt;-25&lt;/D&gt;&lt;/FQL&gt;&lt;FQL&gt;&lt;Q&gt;UUP^FG_TOTAL_RETURNC(0,-1AM)&lt;/Q&gt;&lt;R&gt;1&lt;/R&gt;&lt;C&gt;1&lt;/C&gt;&lt;D xsi:type="xsd:double"&gt;-1.2250602&lt;/D&gt;&lt;/FQL&gt;&lt;FQL&gt;&lt;Q&gt;CC_JP^IMF_IFS_RCPI_Q(0)&lt;/Q&gt;&lt;R&gt;1&lt;/R&gt;&lt;C&gt;1&lt;/C&gt;&lt;D xsi:type="xsd:double"&gt;2.7266946&lt;/D&gt;&lt;/FQL&gt;&lt;FQL&gt;&lt;Q&gt;TRYIT10Y-FDS^PCTCHG(FG_YIELD(0,,,,"YTM"),FG_YIELD(-1AM,,,,"YTM"))&lt;/Q&gt;&lt;R&gt;1&lt;/R&gt;&lt;C&gt;1&lt;/C&gt;&lt;D xsi:type="xsd:double"&gt;-4.478025&lt;/D&gt;&lt;/FQL&gt;&lt;FQL&gt;&lt;Q&gt;EWC^FG_FCF_YIELD_NTM(0)&lt;/Q&gt;&lt;R&gt;1&lt;/R&gt;&lt;C&gt;1&lt;/C&gt;&lt;D xsi:type="xsd:double"&gt;4.99722636905986&lt;/D&gt;&lt;/FQL&gt;&lt;FQL&gt;&lt;Q&gt;EWU^FG_FCF_YIELD_NTM(0)&lt;/Q&gt;&lt;R&gt;1&lt;/R&gt;&lt;C&gt;1&lt;/C&gt;&lt;D xsi:type="xsd:double"&gt;6.32781857518291&lt;/D&gt;&lt;/FQL&gt;&lt;FQL&gt;&lt;Q&gt;SPY^FG_TOTAL_RETURNC(0,-3AM)&lt;/Q&gt;&lt;R&gt;1&lt;/R&gt;&lt;C&gt;1&lt;/C&gt;&lt;D xsi:type="xsd:double"&gt;3.6087275&lt;/D&gt;&lt;/FQL&gt;&lt;FQL&gt;&lt;Q&gt;EWJ^FMA_EVAL_EBITDA(NTMA,0,,,"PORTAGG","MEANR")&lt;/Q&gt;&lt;R&gt;1&lt;/R&gt;&lt;C&gt;1&lt;/C&gt;&lt;D xsi:type="xsd:double"&gt;9.53945997924908&lt;/D&gt;&lt;/FQL&gt;&lt;FQL&gt;&lt;Q&gt;EWL^FMA_EPS(NTMA,-20AY,0,CY,,"PORTAGG","MEANR")&lt;/Q&gt;&lt;R&gt;20&lt;/R&gt;&lt;C&gt;1&lt;/C&gt;&lt;D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xsi:type="xsd:double"&gt;2.86470858427176&lt;/D&gt;&lt;/FQL&gt;&lt;FQL&gt;&lt;Q&gt;WL-FDS^FG_PRICE_CHANGE(0,-6AM)&lt;/Q&gt;&lt;R&gt;1&lt;/R&gt;&lt;C&gt;1&lt;/C&gt;&lt;D xsi:type="xsd:double"&gt;-12.2787071625792&lt;/D&gt;&lt;/FQL&gt;&lt;FQL&gt;&lt;Q&gt;TIOS-FDS^FG_PRICE_CHANGE(0,-6AM)&lt;/Q&gt;&lt;R&gt;1&lt;/R&gt;&lt;C&gt;1&lt;/C&gt;&lt;D xsi:type="xsd:double"&gt;-17.7551922227132&lt;/D&gt;&lt;/FQL&gt;&lt;FQL&gt;&lt;Q&gt;EWG^FG_PRICE(0)&lt;/Q&gt;&lt;R&gt;1&lt;/R&gt;&lt;C&gt;1&lt;/C&gt;&lt;D xsi:type="xsd:double"&gt;32.13&lt;/D&gt;&lt;/FQL&gt;&lt;FQL&gt;&lt;Q&gt;VWO^FG_TOTAL_RETURNC(0,-6AM)&lt;/Q&gt;&lt;R&gt;1&lt;/R&gt;&lt;C&gt;1&lt;/C&gt;&lt;D xsi:type="xsd:double"&gt;5.310726&lt;/D&gt;&lt;/FQL&gt;&lt;FQL&gt;&lt;Q&gt;EWL^P_PRICE(0)/P_PRICE_LOW_PR(0,,,,,,"PRICE","INTRA","52W")-1&lt;/Q&gt;&lt;R&gt;1&lt;/R&gt;&lt;C&gt;1&lt;/C&gt;&lt;D xsi:type="xsd:double"&gt;0.22912157&lt;/D&gt;&lt;/FQL&gt;&lt;FQL&gt;&lt;Q&gt;EWA^FG_TOTAL_RETURNC(0,-3AM)&lt;/Q&gt;&lt;R&gt;1&lt;/R&gt;&lt;C&gt;1&lt;/C&gt;&lt;D xsi:type="xsd:double"&gt;6.76229&lt;/D&gt;&lt;/FQL&gt;&lt;FQL&gt;&lt;Q&gt;EWA^FMA_COS_UP("EPS","1M",+1,0,,,"PORTAGG","MEANR")&lt;/Q&gt;&lt;R&gt;1&lt;/R&gt;&lt;C&gt;1&lt;/C&gt;&lt;D xsi:type="xsd:double"&gt;23&lt;/D&gt;&lt;/FQL&gt;&lt;FQL&gt;&lt;Q&gt;EWG^JULIAN(FMA_DIV_YLD(NTMA,NOW,NOW,M,"PORTAGG","MEANR").DATES)&lt;/Q&gt;&lt;R&gt;1&lt;/R&gt;&lt;C&gt;1&lt;/C&gt;&lt;D xsi:type="xsd:long"&gt;45534&lt;/D&gt;&lt;/FQL&gt;&lt;FQL&gt;&lt;Q&gt;GLD^FG_TOTAL_RETURNC(0,-6AM)&lt;/Q&gt;&lt;R&gt;1&lt;/R&gt;&lt;C&gt;1&lt;/C&gt;&lt;D xsi:type="xsd:double"&gt;18.289207&lt;/D&gt;&lt;/FQL&gt;&lt;FQL&gt;&lt;Q&gt;WL-FDS^FG_PRICE_CHANGE(0,-3AM)&lt;/Q&gt;&lt;R&gt;1&lt;/R&gt;&lt;C&gt;1&lt;/C&gt;&lt;D xsi:type="xsd:double"&gt;-2.64960346070655&lt;/D&gt;&lt;/FQL&gt;&lt;FQL&gt;&lt;Q&gt;TIOS-FDS^FG_PRICE_CHANGE(0,-3AM)&lt;/Q&gt;&lt;R&gt;1&lt;/R&gt;&lt;C&gt;1&lt;/C&gt;&lt;D xsi:type="xsd:double"&gt;-12.5540311971434&lt;/D&gt;&lt;/FQL&gt;&lt;FQL&gt;&lt;Q&gt;EWC^FG_PRICE_MAVG(0,,,,200)&lt;/Q&gt;&lt;R&gt;1&lt;/R&gt;&lt;C&gt;1&lt;/C&gt;&lt;D xsi:type="xsd:double"&gt;37.40705&lt;/D&gt;&lt;/FQL&gt;&lt;FQL&gt;&lt;Q&gt;VWO^FG_TOTAL_RETURNC(0,-3AM)&lt;/Q&gt;&lt;R&gt;1&lt;/R&gt;&lt;C&gt;1&lt;/C&gt;&lt;D xsi:type="xsd:double"&gt;1.6974092&lt;/D&gt;&lt;/FQL&gt;&lt;FQL&gt;&lt;Q&gt;EWN^PERCENT_CHANGE(FMA_EPS(+1,0,,,,"PORTAGG","MEAN"),FMA_EPS(+1,-1AM,,,,"PORTAGG","MEAN"))&lt;/Q&gt;&lt;R&gt;1&lt;/R&gt;&lt;C&gt;1&lt;/C&gt;&lt;D xsi:type="xsd:double"&gt;0.566487561079756&lt;/D&gt;&lt;/FQL&gt;&lt;FQL&gt;&lt;Q&gt;EWL^P_PRICE(0)/P_PRICE_HIGH_PR(0,,,,,,"PRICE","INTRA","52W")&lt;/Q&gt;&lt;R&gt;1&lt;/R&gt;&lt;C&gt;1&lt;/C&gt;&lt;D xsi:type="xsd:double"&gt;0.9630398&lt;/D&gt;&lt;/FQL&gt;&lt;FQL&gt;&lt;Q&gt;EWA^FG_TOTAL_RETURNC(0,-1AM)&lt;/Q&gt;&lt;R&gt;1&lt;/R&gt;&lt;C&gt;1&lt;/C&gt;&lt;D xsi:type="xsd:double"&gt;7.4226737&lt;/D&gt;&lt;/FQL&gt;&lt;FQL&gt;&lt;Q&gt;EWI^FMA_COS_UP("EPS","1M",+1,0,,,"PORTAGG","MEANR")&lt;/Q&gt;&lt;R&gt;1&lt;/R&gt;&lt;C&gt;1&lt;/C&gt;&lt;D xsi:type="xsd:double"&gt;11&lt;/D&gt;&lt;/FQL&gt;&lt;FQL&gt;&lt;Q&gt;EWL^FG_ROE(0)&lt;/Q&gt;&lt;R&gt;1&lt;/R&gt;&lt;C&gt;1&lt;/C&gt;&lt;D xsi:type="xsd:double"&gt;19.0513015463467&lt;/D&gt;&lt;/FQL&gt;&lt;FQL&gt;&lt;Q&gt;REFAUCASH-FDS^FG_YIELD(NOW,,,0)&lt;/Q&gt;&lt;R&gt;1&lt;/R&gt;&lt;C&gt;1&lt;/C&gt;&lt;D xsi:type="xsd:double"&gt;4.35&lt;/D&gt;&lt;/FQL&gt;&lt;FQL&gt;&lt;Q&gt;EWD^FMA_EVAL_EBITDA(NTMA,0,,,"PORTAGG","MEANR")&lt;/Q&gt;&lt;R&gt;1&lt;/R&gt;&lt;C&gt;1&lt;/C&gt;&lt;D xsi:type="xsd:double"&gt;10.5987579478926&lt;/D&gt;&lt;/FQL&gt;&lt;FQL&gt;&lt;Q&gt;QQQ^FMA_EVAL_EBITDA(NTMA,0,,,"PORTAGG","MEANR")&lt;/Q&gt;&lt;R&gt;1&lt;/R&gt;&lt;C&gt;1&lt;/C&gt;&lt;D xsi:type="xsd:double"&gt;16.3077691152194&lt;/D&gt;&lt;/FQL&gt;&lt;FQL&gt;&lt;Q&gt;EWG^FMA_DIV_YLD(NTMA,NOW,NOW,M,"PORTAGG","MEANR")&lt;/Q&gt;&lt;R&gt;1&lt;/R&gt;&lt;C&gt;1&lt;/C&gt;&lt;D xsi:type="xsd:double"&gt;3.33287521874897&lt;/D&gt;&lt;/FQL&gt;&lt;FQL&gt;&lt;Q&gt;EWN^P_PRICE_RETURNS_PR('52W',2,-10AY,0,AM)&lt;/Q&gt;&lt;R&gt;121&lt;/R&gt;&lt;C&gt;1&lt;/C&gt;&lt;D xsi:type="xsd:double"&gt;6.683719&lt;/D&gt;&lt;D xsi:type="xsd:double"&gt;-2.4849296&lt;/D&gt;&lt;D xsi:type="xsd:double"&gt;-1.7794967&lt;/D&gt;&lt;D xsi:type="xsd:double"&gt;0.66150427&lt;/D&gt;&lt;D xsi:type="xsd:double"&gt;-8.290947&lt;/D&gt;&lt;D xsi:type="xsd:double"&gt;0.20866394&lt;/D&gt;&lt;D xsi:type="xsd:double"&gt;0.5084038&lt;/D&gt;&lt;D xsi:type="xsd:double"&gt;3.0173182&lt;/D&gt;&lt;D xsi:type="xsd:double"&gt;4.5929074&lt;/D&gt;&lt;D xsi:type="xsd:double"&gt;3.0856729&lt;/D&gt;&lt;D xsi:type="xsd:double"&gt;7.196021&lt;/D&gt;&lt;D xsi:type="xsd:double"&gt;11.873174&lt;/D&gt;&lt;D xsi:type="xsd:double"&gt;-0.25199652&lt;/D&gt;&lt;D xsi:type="xsd:double"&gt;8.651662&lt;/D&gt;&lt;D xsi:type="xsd:double"&gt;4.848516&lt;/D&gt;&lt;D xsi:type="xsd:double"&gt;-1.7267227&lt;/D&gt;&lt;D xsi:type="xsd:double"&gt;0.5732894&lt;/D&gt;&lt;D xsi:type="xsd:double"&gt;-10.950476&lt;/D&gt;&lt;D xsi:type="xsd:double"&gt;-0.7315695&lt;/D&gt;&lt;D xsi:type="xsd:double"&gt;-4.027027&lt;/D&gt;&lt;D xsi:type="xsd:double"&gt;-6.7343655&lt;/D&gt;&lt;D xsi:type="xsd:double"&gt;-7.898712&lt;/D&gt;&lt;D xsi:type="xsd:double"&gt;-9.392202&lt;/D&gt;&lt;D xsi:type="xsd:double"&gt;-3.9779365&lt;/D&gt;&lt;D xsi:type="xsd:double"&gt;4.690194&lt;/D&gt;&lt;D xsi:type="xsd:double"&gt;2.5719643&lt;/D&gt;&lt;D xsi:type="xsd:double"&gt;-2.7945817&lt;/D&gt;&lt;D xsi:type="xsd:double"&gt;4.2340994&lt;/D&gt;&lt;D xsi:type="xsd:double"&gt;9.746742&lt;/D&gt;&lt;D xsi:type="xsd:double"&gt;17.984486&lt;/D&gt;&lt;D xsi:type="xsd:double"&gt;15.488922&lt;/D&gt;&lt;D xsi:type="xsd:double"&gt;12.446356&lt;/D&gt;&lt;D xsi:type="xsd:double"&gt;22.563326&lt;/D&gt;&lt;D xsi:type="xsd:double"&gt;24.692476&lt;/D&gt;&lt;D xsi:type="xsd:double"&gt;29.218138&lt;/D&gt;&lt;D xsi:type="xsd:double"&gt;26.312721&lt;/D&gt;&lt;D xsi:type="xsd:double"&gt;29.477167&lt;/D&gt;&lt;D xsi:type="xsd:double"&gt;32.900417&lt;/D&gt;&lt;D xsi:type="xsd:double"&gt;33.53286&lt;/D&gt;&lt;D xsi:type="xsd:double"&gt;35.018158&lt;/D&gt;&lt;D xsi:type="xsd:double"&gt;36.563503&lt;/D&gt;&lt;D xsi:type="xsd:double"&gt;28.245401&lt;/D&gt;&lt;D xsi:type="xsd:double"&gt;24.55659&lt;/D&gt;&lt;D xsi:type="xsd:double"&gt;23.8796&lt;/D&gt;&lt;D xsi:type="xsd:double"&gt;13.57752&lt;/D&gt;&lt;D xsi:type="xsd:double"&gt;12.093508&lt;/D&gt;&lt;D xsi:type="xsd:double"&gt;7.800126&lt;/D&gt;&lt;D xsi:type="xsd:double"&gt;3.142178&lt;/D&gt;&lt;D xsi:type="xsd:double"&gt;-2.0460486&lt;/D&gt;&lt;D xsi:type="xsd:double"&gt;-8.832574&lt;/D&gt;&lt;D xsi:type="xsd:double"&gt;-7.865077&lt;/D&gt;&lt;D xsi:type="xsd:double"&gt;-10.658323&lt;/D&gt;&lt;D xsi:type="xsd:double"&gt;-14.714802&lt;/D&gt;&lt;D xsi:type="xsd:double"&gt;-6.2427225&lt;/D&gt;&lt;D xsi:type="xsd:double"&gt;-8.058268&lt;/D&gt;&lt;D xsi:type="xsd:double"&gt;-3.0400455&lt;/D&gt;&lt;D xsi:type="xsd:double"&gt;-1.9816041&lt;/D&gt;&lt;D xsi:type="xsd:double"&gt;-1.7813265&lt;/D&gt;&lt;D xsi:type="xsd:double"&gt;2.8215408&lt;/D&gt;&lt;D xsi:type="xsd:double"&gt;0.53982735&lt;/D&gt;&lt;D xsi:type="xsd:double"&gt;9.376156&lt;/D&gt;&lt;D xsi:type="xsd:double"&gt;15.723062&lt;/D&gt;&lt;D xsi:type="xsd:double"&gt;19.42563&lt;/D&gt;&lt;D xsi:type="xsd:double"&gt;23.938953&lt;/D&gt;&lt;D xsi:type="xsd:double"&gt;27.43156&lt;/D&gt;&lt;D xsi:type="xsd:double"&gt;23.216534&lt;/D&gt;&lt;D xsi:type="xsd:double"&gt;-12.916446&lt;/D&gt;&lt;D xsi:type="xsd:double"&gt;-7.4298024&lt;/D&gt;&lt;D xsi:type="xsd:double"&gt;-5.4193377&lt;/D&gt;&lt;D xsi:type="xsd:double"&gt;5.304599&lt;/D&gt;&lt;D xsi:type="xsd:double"&gt;11.679733&lt;/D&gt;&lt;D xsi:type="xsd:double"&gt;20.387781&lt;/D&gt;&lt;D xsi:type="xsd:double"&gt;12.407864&lt;/D&gt;&lt;D xsi:type="xsd:double"&gt;18.387115&lt;/D&gt;&lt;D xsi:type="xsd:double"&gt;17.139017&lt;/D&gt;&lt;D xsi:type="xsd:double"&gt;22.198141&lt;/D&gt;&lt;D xsi:type="xsd:double"&gt;27.433168&lt;/D&gt;&lt;D xsi:type="xsd:double"&gt;33.864044&lt;/D&gt;&lt;D xsi:type="xsd:double"&gt;82.08716&lt;/D&gt;&lt;D xsi:type="xsd:double"&gt;74.09969&lt;/D&gt;&lt;D xsi:type="xsd:double"&gt;65.820335&lt;/D&gt;&lt;D xsi:type="xsd:double"&gt;62.91033&lt;/D&gt;&lt;D xsi:type="xsd:double"&gt;44.32&lt;/D&gt;&lt;D xsi:type="xsd:double"&gt;43.756496&lt;/D&gt;&lt;D xsi:type="xsd:double"&gt;53.066372&lt;/D&gt;&lt;D xsi:type="xsd:double"&gt;33.68344&lt;/D&gt;&lt;D xsi:type="xsd:double"&gt;41.18017&lt;/D&gt;&lt;D xsi:type="xsd:double"&gt;23.57031&lt;/D&gt;&lt;D xsi:type="xsd:double"&gt;17.615604&lt;/D&gt;&lt;D xsi:type="xsd:double"&gt;0.08087158&lt;/D&gt;&lt;D xsi:type="xsd:double"&gt;-14.104062&lt;/D&gt;&lt;D xsi:type="xsd:double"&gt;-14.860278&lt;/D&gt;&lt;D xsi:type="xsd:double"&gt;-22.276741&lt;/D&gt;&lt;D xsi:type="xsd:double"&gt;-25.249928&lt;/D&gt;&lt;D xsi:type="xsd:double"&gt;-29.34444&lt;/D&gt;&lt;D xsi:type="xsd:double"&gt;-23.105484&lt;/D&gt;&lt;D xsi:type="xsd:double"&gt;-31.541746&lt;/D&gt;&lt;D xsi:type="xsd:double"&gt;-37.997673&lt;/D&gt;&lt;D xsi:type="xsd:double"&gt;-26.896626&lt;/D&gt;&lt;D xsi:type="xsd:double"&gt;-19.183016&lt;/D&gt;&lt;D xsi:type="xsd:double"&gt;-14.403915&lt;/D&gt;&lt;D xsi:type="xsd:double"&gt;-8.766669&lt;/D&gt;&lt;D xsi:type="xsd:double"&gt;3.4733295&lt;/D&gt;&lt;D xsi:type="xsd:double"&gt;7.0530057&lt;/D&gt;&lt;D xsi:type="xsd:double"&gt;18.641317&lt;/D&gt;&lt;D xsi:type="xsd:double"&gt;17.991268&lt;/D&gt;&lt;D xsi:type="xsd:double"&gt;32.793736&lt;/D&gt;&lt;D xsi:type="xsd:double"&gt;14.380062&lt;/D&gt;&lt;D xsi:type="xsd:double"&gt;13.136339&lt;/D&gt;&lt;D xsi:type="xsd:double"&gt;30.245995&lt;/D&gt;&lt;D xsi:type="xsd:double"&gt;11.475682&lt;/D&gt;&lt;D xsi:type="xsd:double"&gt;12.938297&lt;/D&gt;&lt;D xsi:type="xsd:double"&gt;6.6300154&lt;/D&gt;&lt;D xsi:type="xsd:double"&gt;15.528143&lt;/D&gt;&lt;D xsi:type="xsd:double"&gt;25.759388&lt;/D&gt;&lt;D xsi:type="xsd:double"&gt;16.752863&lt;/D&gt;&lt;D xsi:type="xsd:double"&gt;23.071516&lt;/D&gt;&lt;D xsi:type="xsd:double"&gt;25.276733&lt;/D&gt;&lt;D xsi:type="xsd:double"&gt;21.64551&lt;/D&gt;&lt;D xsi:type="xsd:double"&gt;13.476669&lt;/D&gt;&lt;D xsi:type="xsd:double"&gt;26.500595&lt;/D&gt;&lt;/FQL&gt;&lt;FQL&gt;&lt;Q&gt;TIOS-FDS^FG_PRICE_MAVG(0,,,,30)&lt;/Q&gt;&lt;R&gt;1&lt;/R&gt;&lt;C&gt;1&lt;/C&gt;&lt;D xsi:type="xsd:double"&gt;98.07833&lt;/D&gt;&lt;/FQL&gt;&lt;FQL&gt;&lt;Q&gt;FXI^FG_TOTAL_RETURNC(0,-12AM)&lt;/Q&gt;&lt;R&gt;1&lt;/R&gt;&lt;C&gt;1&lt;/C&gt;&lt;D xsi:type="xsd:double"&gt;-3.0174673&lt;/D&gt;&lt;/FQL&gt;&lt;FQL&gt;&lt;Q&gt;VWO^PERCENT_CHANGE(FMA_EPS(+1,0,,,,"PORTAGG","MEAN"),FMA_EPS(+1,-3AM,,,,"PORTAGG","MEAN"))&lt;/Q&gt;&lt;R&gt;1&lt;/R&gt;&lt;C&gt;1&lt;/C&gt;&lt;D xsi:type="xsd:double"&gt;-1.44265145578191&lt;/D&gt;&lt;/FQL&gt;&lt;FQL&gt;&lt;Q&gt;EWN^FMA_PCT_ABOVE_MAVG(200,0,,,,"PORTAGG")&lt;/Q&gt;&lt;R&gt;1&lt;/R&gt;&lt;C&gt;1&lt;/C&gt;&lt;D xsi:type="xsd:double"&gt;48.1481481481481&lt;/D&gt;&lt;/FQL&gt;&lt;FQL&gt;&lt;Q&gt;EWL^FG_TOTAL_RETURNC(0,-6AM)&lt;/Q&gt;&lt;R&gt;1&lt;/R&gt;&lt;C&gt;1&lt;/C&gt;&lt;D xsi:type="xsd:double"&gt;7.0004344&lt;/D&gt;&lt;/FQL&gt;&lt;FQL&gt;&lt;Q&gt;EWD^SIZE(FG_CONSTITUENTS)&lt;/Q&gt;&lt;R&gt;1&lt;/R&gt;&lt;C&gt;1&lt;/C&gt;&lt;D xsi:type="xsd:long"&gt;47&lt;/D&gt;&lt;/FQL&gt;&lt;FQL&gt;&lt;Q&gt;ENZL^SIZE(FG_CONSTITUENTS)&lt;/Q&gt;&lt;R&gt;1&lt;/R&gt;&lt;C&gt;1&lt;/C&gt;&lt;D xsi:type="xsd:long"&gt;26&lt;/D&gt;&lt;/FQL&gt;&lt;FQL&gt;&lt;Q&gt;EWJ^FG_ROE(0)&lt;/Q&gt;&lt;R&gt;1&lt;/R&gt;&lt;C&gt;1&lt;/C&gt;&lt;D xsi:type="xsd:double"&gt;9.28027355270202&lt;/D&gt;&lt;/FQL&gt;&lt;FQL&gt;&lt;Q&gt;REFSEREPO-FDS^(SUBARRAY(NOT_NA(NO_REPEAT_F(FG_YIELD(NOW,-10AY,D))),0,1)-SUBARRAY(NOT_NA(NO_REPEAT_F(FG_YIELD(NOW,-10AY,D))),1,1))*100&lt;/Q&gt;&lt;R&gt;1&lt;/R&gt;&lt;C&gt;1&lt;/C&gt;&lt;D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xsi:type="xsd:double"&gt;-25&lt;/D&gt;&lt;/FQL&gt;&lt;FQL&gt;&lt;Q&gt;REFAUCASH-FDS^PROPER_NAME(0,,,"SECURITY","NAME")&lt;/Q&gt;&lt;R&gt;1&lt;/R&gt;&lt;C&gt;1&lt;/C&gt;&lt;D xsi:type="xsd:string"&gt;Australia Target Cash Rate&lt;/D&gt;&lt;/FQL&gt;&lt;FQL&gt;&lt;Q&gt;TRYIT10Y-FDS^FG_YIELD(0,,,,"YTM")&lt;/Q&gt;&lt;R&gt;1&lt;/R&gt;&lt;C&gt;1&lt;/C&gt;&lt;D xsi:type="xsd:double"&gt;3.477&lt;/D&gt;&lt;/FQL&gt;&lt;FQL&gt;&lt;Q&gt;QQQ^FG_FCF_YIELD_NTM(0)&lt;/Q&gt;&lt;R&gt;1&lt;/R&gt;&lt;C&gt;1&lt;/C&gt;&lt;D xsi:type="xsd:double"&gt;3.61888000641045&lt;/D&gt;&lt;/FQL&gt;&lt;FQL&gt;&lt;Q&gt;EWG^FMA_PE(NTMA,0,,,"PORTAGG","MEANR")&lt;/Q&gt;&lt;R&gt;1&lt;/R&gt;&lt;C&gt;1&lt;/C&gt;&lt;D xsi:type="xsd:double"&gt;11.9514489729844&lt;/D&gt;&lt;/FQL&gt;&lt;FQL&gt;&lt;Q&gt;EWD^FG_FCF_YIELD_NTM(0)&lt;/Q&gt;&lt;R&gt;1&lt;/R&gt;&lt;C&gt;1&lt;/C&gt;&lt;D xsi:type="xsd:double"&gt;5.24954875476485&lt;/D&gt;&lt;/FQL&gt;&lt;FQL&gt;&lt;Q&gt;REFNZOCR-FDS^FG_YIELD(NOW,,,0)&lt;/Q&gt;&lt;R&gt;1&lt;/R&gt;&lt;C&gt;1&lt;/C&gt;&lt;D xsi:type="xsd:double"&gt;5.25&lt;/D&gt;&lt;/FQL&gt;&lt;FQL&gt;&lt;Q&gt;GLD^P_PRICE(0)/P_PRICE_HIGH_PR(0,,,USD,,,"PRICE","INTRA","52W")&lt;/Q&gt;&lt;R&gt;1&lt;/R&gt;&lt;C&gt;1&lt;/C&gt;&lt;D xsi:type="xsd:double"&gt;0.9994925&lt;/D&gt;&lt;/FQL&gt;&lt;FQL&gt;&lt;Q&gt;EWD^FMA_PE(NTMA,0,,,"PORTAGG","MEANR")&lt;/Q&gt;&lt;R&gt;1&lt;/R&gt;&lt;C&gt;1&lt;/C&gt;&lt;D xsi:type="xsd:double"&gt;15.5776625268684&lt;/D&gt;&lt;/FQL&gt;&lt;FQL&gt;&lt;Q&gt;GLD^FG_TOTAL_RETURNC(0,-3AM)&lt;/Q&gt;&lt;R&gt;1&lt;/R&gt;&lt;C&gt;1&lt;/C&gt;&lt;D xsi:type="xsd:double"&gt;10.064268&lt;/D&gt;&lt;/FQL&gt;&lt;FQL&gt;&lt;Q&gt;WL-FDS^FG_PRICE_MAVG(0,,,,30)&lt;/Q&gt;&lt;R&gt;1&lt;/R&gt;&lt;C&gt;1&lt;/C&gt;&lt;D xsi:type="xsd:double"&gt;525.4867&lt;/D&gt;&lt;/FQL&gt;&lt;FQL&gt;&lt;Q&gt;EWC^FG_PRICE_MAVG(0,,,,60)&lt;/Q&gt;&lt;R&gt;1&lt;/R&gt;&lt;C&gt;1&lt;/C&gt;&lt;D xsi:type="xsd:double"&gt;38.467&lt;/D&gt;&lt;/FQL&gt;&lt;FQL&gt;&lt;Q&gt;TRYNL10Y-FDS^FG_YIELD(0,,,,"YTM")&lt;/Q&gt;&lt;R&gt;1&lt;/R&gt;&lt;C&gt;1&lt;/C&gt;&lt;D xsi:type="xsd:double"&gt;2.444&lt;/D&gt;&lt;/FQL&gt;&lt;FQL&gt;&lt;Q&gt;QQQ^JULIAN(FMA_DIV_YLD(NTMA,NOW,NOW,M,"PORTAGG","MEANR").DATES)&lt;/Q&gt;&lt;R&gt;1&lt;/R&gt;&lt;C&gt;1&lt;/C&gt;&lt;D xsi:type="xsd:long"&gt;45534&lt;/D&gt;&lt;/FQL&gt;&lt;FQL&gt;&lt;Q&gt;VGK^P_PRICE(0)/P_PRICE_HIGH_PR(0,,,USD,,,"PRICE","INTRA","52W")&lt;/Q&gt;&lt;R&gt;1&lt;/R&gt;&lt;C&gt;1&lt;/C&gt;&lt;D xsi:type="xsd:double"&gt;0.9748277&lt;/D&gt;&lt;/FQL&gt;&lt;FQL&gt;&lt;Q&gt;SPY^P_PRICE_RETURNS_PR('52W',2,-10AY,0,AM)&lt;/Q&gt;&lt;R&gt;121&lt;/R&gt;&lt;C&gt;1&lt;/C&gt;&lt;D xsi:type="xsd:double"&gt;20.180428&lt;/D&gt;&lt;D xsi:type="xsd:double"&gt;14.820421&lt;/D&gt;&lt;D xsi:type="xsd:double"&gt;17.49685&lt;/D&gt;&lt;D xsi:type="xsd:double"&gt;14.968145&lt;/D&gt;&lt;D xsi:type="xsd:double"&gt;12.200904&lt;/D&gt;&lt;D xsi:type="xsd:double"&gt;16.987514&lt;/D&gt;&lt;D xsi:type="xsd:double"&gt;12.742233&lt;/D&gt;&lt;D xsi:type="xsd:double"&gt;16.917372&lt;/D&gt;&lt;D xsi:type="xsd:double"&gt;12.800717&lt;/D&gt;&lt;D xsi:type="xsd:double"&gt;10.627996&lt;/D&gt;&lt;D xsi:type="xsd:double"&gt;7.747948&lt;/D&gt;&lt;D xsi:type="xsd:double"&gt;10.071087&lt;/D&gt;&lt;D xsi:type="xsd:double"&gt;0.15053749&lt;/D&gt;&lt;D xsi:type="xsd:double"&gt;7.9036713&lt;/D&gt;&lt;D xsi:type="xsd:double"&gt;2.4646282&lt;/D&gt;&lt;D xsi:type="xsd:double"&gt;0.87023973&lt;/D&gt;&lt;D xsi:type="xsd:double"&gt;-2.446717&lt;/D&gt;&lt;D xsi:type="xsd:double"&gt;-8.809787&lt;/D&gt;&lt;D xsi:type="xsd:double"&gt;1.2128592&lt;/D&gt;&lt;D xsi:type="xsd:double"&gt;0.15000105&lt;/D&gt;&lt;D xsi:type="xsd:double"&gt;0.4899621&lt;/D&gt;&lt;D xsi:type="xsd:double"&gt;1.7276287&lt;/D&gt;&lt;D xsi:type="xsd:double"&gt;5.867028&lt;/D&gt;&lt;D xsi:type="xsd:double"&gt;6.8541527&lt;/D&gt;&lt;D xsi:type="xsd:double"&gt;12.36825&lt;/D&gt;&lt;D xsi:type="xsd:double"&gt;8.345997&lt;/D&gt;&lt;D xsi:type="xsd:double"&gt;6.4347386&lt;/D&gt;&lt;D xsi:type="xsd:double"&gt;14.498925&lt;/D&gt;&lt;D xsi:type="xsd:double"&gt;19.488096&lt;/D&gt;&lt;D xsi:type="xsd:double"&gt;27.64542&lt;/D&gt;&lt;D xsi:type="xsd:double"&gt;21.680677&lt;/D&gt;&lt;D xsi:type="xsd:double"&gt;16.005278&lt;/D&gt;&lt;D xsi:type="xsd:double"&gt;18.09188&lt;/D&gt;&lt;D xsi:type="xsd:double"&gt;18.246937&lt;/D&gt;&lt;D xsi:type="xsd:double"&gt;15.831161&lt;/D&gt;&lt;D xsi:type="xsd:double"&gt;13.922405&lt;/D&gt;&lt;D xsi:type="xsd:double"&gt;17.935694&lt;/D&gt;&lt;D xsi:type="xsd:double"&gt;21.564411&lt;/D&gt;&lt;D xsi:type="xsd:double"&gt;21.38815&lt;/D&gt;&lt;D xsi:type="xsd:double"&gt;20.301033&lt;/D&gt;&lt;D xsi:type="xsd:double"&gt;25.065697&lt;/D&gt;&lt;D xsi:type="xsd:double"&gt;16.836119&lt;/D&gt;&lt;D xsi:type="xsd:double"&gt;19.45094&lt;/D&gt;&lt;D xsi:type="xsd:double"&gt;15.793657&lt;/D&gt;&lt;D xsi:type="xsd:double"&gt;16.15156&lt;/D&gt;&lt;D xsi:type="xsd:double"&gt;16.793705&lt;/D&gt;&lt;D xsi:type="xsd:double"&gt;16.62624&lt;/D&gt;&lt;D xsi:type="xsd:double"&gt;18.329657&lt;/D&gt;&lt;D xsi:type="xsd:double"&gt;17.78103&lt;/D&gt;&lt;D xsi:type="xsd:double"&gt;10.342873&lt;/D&gt;&lt;D xsi:type="xsd:double"&gt;7.5343966&lt;/D&gt;&lt;D xsi:type="xsd:double"&gt;1.3179302&lt;/D&gt;&lt;D xsi:type="xsd:double"&gt;-4.4139266&lt;/D&gt;&lt;D xsi:type="xsd:double"&gt;5.2767754&lt;/D&gt;&lt;D xsi:type="xsd:double"&gt;2.267146&lt;/D&gt;&lt;D xsi:type="xsd:double"&gt;11.240339&lt;/D&gt;&lt;D xsi:type="xsd:double"&gt;7.9778314&lt;/D&gt;&lt;D xsi:type="xsd:double"&gt;5.412638&lt;/D&gt;&lt;D xsi:type="xsd:double"&gt;9.757864&lt;/D&gt;&lt;D xsi:type="xsd:double"&gt;3.7577033&lt;/D&gt;&lt;D xsi:type="xsd:double"&gt;6.28227&lt;/D&gt;&lt;D xsi:type="xsd:double"&gt;11.035895&lt;/D&gt;&lt;D xsi:type="xsd:double"&gt;15.632987&lt;/D&gt;&lt;D xsi:type="xsd:double"&gt;21.853947&lt;/D&gt;&lt;D xsi:type="xsd:double"&gt;28.195381&lt;/D&gt;&lt;D xsi:type="xsd:double"&gt;25.43007&lt;/D&gt;&lt;D xsi:type="xsd:double"&gt;-9.548062&lt;/D&gt;&lt;D xsi:type="xsd:double"&gt;-1.1659801&lt;/D&gt;&lt;D xsi:type="xsd:double"&gt;1.5638351&lt;/D&gt;&lt;D xsi:type="xsd:double"&gt;7.6696634&lt;/D&gt;&lt;D xsi:type="xsd:double"&gt;8.51034&lt;/D&gt;&lt;D xsi:type="xsd:double"&gt;19.510782&lt;/D&gt;&lt;D xsi:type="xsd:double"&gt;13.514161&lt;/D&gt;&lt;D xsi:type="xsd:double"&gt;21.28992&lt;/D&gt;&lt;D xsi:type="xsd:double"&gt;16.554403&lt;/D&gt;&lt;D xsi:type="xsd:double"&gt;18.790268&lt;/D&gt;&lt;D xsi:type="xsd:double"&gt;18.503893&lt;/D&gt;&lt;D xsi:type="xsd:double"&gt;18.580128&lt;/D&gt;&lt;D xsi:type="xsd:double"&gt;61.84759&lt;/D&gt;&lt;D xsi:type="xsd:double"&gt;50.35273&lt;/D&gt;&lt;D xsi:type="xsd:double"&gt;43.702103&lt;/D&gt;&lt;D xsi:type="xsd:double"&gt;43.42694&lt;/D&gt;&lt;D xsi:type="xsd:double"&gt;39.689743&lt;/D&gt;&lt;D xsi:type="xsd:double"&gt;33.88785&lt;/D&gt;&lt;D xsi:type="xsd:double"&gt;35.41169&lt;/D&gt;&lt;D xsi:type="xsd:double"&gt;24.78267&lt;/D&gt;&lt;D xsi:type="xsd:double"&gt;34.169186&lt;/D&gt;&lt;D xsi:type="xsd:double"&gt;30.182457&lt;/D&gt;&lt;D xsi:type="xsd:double"&gt;26.02874&lt;/D&gt;&lt;D xsi:type="xsd:double"&gt;14.250398&lt;/D&gt;&lt;D xsi:type="xsd:double"&gt;8.180655&lt;/D&gt;&lt;D xsi:type="xsd:double"&gt;7.884681&lt;/D&gt;&lt;D xsi:type="xsd:double"&gt;-1.9417882&lt;/D&gt;&lt;D xsi:type="xsd:double"&gt;-6.7623196&lt;/D&gt;&lt;D xsi:type="xsd:double"&gt;-11.627716&lt;/D&gt;&lt;D xsi:type="xsd:double"&gt;-2.6786447&lt;/D&gt;&lt;D xsi:type="xsd:double"&gt;-6.423503&lt;/D&gt;&lt;D xsi:type="xsd:double"&gt;-16.52416&lt;/D&gt;&lt;D xsi:type="xsd:double"&gt;-12.768346&lt;/D&gt;&lt;D xsi:type="xsd:double"&gt;-13.965058&lt;/D&gt;&lt;D xsi:type="xsd:double"&gt;-14.352226&lt;/D&gt;&lt;D xsi:type="xsd:double"&gt;-7.7097774&lt;/D&gt;&lt;D xsi:type="xsd:double"&gt;-7.8244867&lt;/D&gt;&lt;D xsi:type="xsd:double"&gt;-5.310452&lt;/D&gt;&lt;D xsi:type="xsd:double"&gt;6.6970587&lt;/D&gt;&lt;D xsi:type="xsd:double"&gt;13.187361&lt;/D&gt;&lt;D xsi:type="xsd:double"&gt;19.047892&lt;/D&gt;&lt;D xsi:type="xsd:double"&gt;7.8582883&lt;/D&gt;&lt;D xsi:type="xsd:double"&gt;10.30966&lt;/D&gt;&lt;D xsi:type="xsd:double"&gt;23.557425&lt;/D&gt;&lt;D xsi:type="xsd:double"&gt;13.409721&lt;/D&gt;&lt;D xsi:type="xsd:double"&gt;18.180311&lt;/D&gt;&lt;D xsi:type="xsd:double"&gt;21.921026&lt;/D&gt;&lt;D xsi:type="xsd:double"&gt;24.65682&lt;/D&gt;&lt;D xsi:type="xsd:double"&gt;35.962177&lt;/D&gt;&lt;D xsi:type="xsd:double"&gt;27.016699&lt;/D&gt;&lt;D xsi:type="xsd:double"&gt;27.994955&lt;/D&gt;&lt;D xsi:type="xsd:double"&gt;26.612747&lt;/D&gt;&lt;D xsi:type="xsd:double"&gt;27.318455&lt;/D&gt;&lt;D xsi:type="xsd:double"&gt;21.344112&lt;/D&gt;&lt;D xsi:type="xsd:double"&gt;27.122402&lt;/D&gt;&lt;/FQL&gt;&lt;FQL&gt;&lt;Q&gt;EWI^FG_PRICE_MAVG(0,,,,200)&lt;/Q&gt;&lt;R&gt;1&lt;/R&gt;&lt;C&gt;1&lt;/C&gt;&lt;D xsi:type="xsd:double"&gt;36.1481&lt;/D&gt;&lt;/FQL&gt;&lt;FQL&gt;&lt;Q&gt;EWC^FG_PRICE_MAVG(0,,,,30)&lt;/Q&gt;&lt;R&gt;1&lt;/R&gt;&lt;C&gt;1&lt;/C&gt;&lt;D xsi:type="xsd:double"&gt;39.1&lt;/D&gt;&lt;/FQL&gt;&lt;FQL&gt;&lt;Q&gt;FXI^P_PRICE(0)/P_PRICE_LOW_PR(0,,,,,,"PRICE","INTRA","52W")-1&lt;/Q&gt;&lt;R&gt;1&lt;/R&gt;&lt;C&gt;1&lt;/C&gt;&lt;D xsi:type="xsd:double"&gt;0.23250234&lt;/D&gt;&lt;/FQL&gt;&lt;FQL&gt;&lt;Q&gt;EWL^FG_TOTAL_RETURNC(0,-1AM)&lt;/Q&gt;&lt;R&gt;1&lt;/R&gt;&lt;C&gt;1&lt;/C&gt;&lt;D xsi:type="xsd:double"&gt;3.1508803&lt;/D&gt;&lt;/FQL&gt;&lt;FQL&gt;&lt;Q&gt;EWA^PERCENT_CHANGE(FMA_EPS(+1,0,,,,"PORTAGG","MEAN"),FMA_EPS(+1,-3AM,,,,"PORTAGG","MEAN"))&lt;/Q&gt;&lt;R&gt;1&lt;/R&gt;&lt;C&gt;1&lt;/C&gt;&lt;D xsi:type="xsd:double"&gt;-0.329789374259602&lt;/D&gt;&lt;/FQL&gt;&lt;FQL&gt;&lt;Q&gt;VGK^FG_TOTAL_RETURNC(0,-3AM)&lt;/Q&gt;&lt;R&gt;1&lt;/R&gt;&lt;C&gt;1&lt;/C&gt;&lt;D xsi:type="xsd:double"&gt;0.86911917&lt;/D&gt;&lt;/FQL&gt;&lt;FQL&gt;&lt;Q&gt;USDSEK^FG_COMPANY_NAME&lt;/Q&gt;&lt;R&gt;1&lt;/R&gt;&lt;C&gt;1&lt;/C&gt;&lt;D xsi:type="xsd:string"&gt;Swedish Krona per U.S. Dollar&lt;/D&gt;&lt;/FQL&gt;&lt;FQL&gt;&lt;Q&gt;PASP-FDS^FG_PRICE_CHANGE(0,-6AM)&lt;/Q&gt;&lt;R&gt;1&lt;/R&gt;&lt;C&gt;1&lt;/C&gt;&lt;D xsi:type="xsd:double"&gt;0.776699029126204&lt;/D&gt;&lt;/FQL&gt;&lt;FQL&gt;&lt;Q&gt;EWA^FG_PRICE_MAVG(0,,,,200)&lt;/Q&gt;&lt;R&gt;1&lt;/R&gt;&lt;C&gt;1&lt;/C&gt;&lt;D xsi:type="xsd:double"&gt;24.24845&lt;/D&gt;&lt;/FQL&gt;&lt;FQL&gt;&lt;Q&gt;FXI^FG_TOTAL_RETURNC(0,-1AM)&lt;/Q&gt;&lt;R&gt;1&lt;/R&gt;&lt;C&gt;1&lt;/C&gt;&lt;D xsi:type="xsd:double"&gt;0.23391247&lt;/D&gt;&lt;/FQL&gt;&lt;FQL&gt;&lt;Q&gt;VGK^FG_TOTAL_RETURNC(0,-12AM)&lt;/Q&gt;&lt;R&gt;1&lt;/R&gt;&lt;C&gt;1&lt;/C&gt;&lt;D xsi:type="xsd:double"&gt;19.694769&lt;/D&gt;&lt;/FQL&gt;&lt;FQL&gt;&lt;Q&gt;EWQ^FG_TOTAL_RETURNC(0,-12AM)&lt;/Q&gt;&lt;R&gt;1&lt;/R&gt;&lt;C&gt;1&lt;/C&gt;&lt;D xsi:type="xsd:double"&gt;9.000039&lt;/D&gt;&lt;/FQL&gt;&lt;FQL&gt;&lt;Q&gt;EWA^PERCENT_CHANGE(FMA_EPS(+1,0,,,,"PORTAGG","MEAN"),FMA_EPS(+1,-1AM,,,,"PORTAGG","MEAN"))&lt;/Q&gt;&lt;R&gt;1&lt;/R&gt;&lt;C&gt;1&lt;/C&gt;&lt;D xsi:type="xsd:double"&gt;2.29829185099024&lt;/D&gt;&lt;/FQL&gt;&lt;FQL&gt;&lt;Q&gt;EWD^FMA_COS_DOWN("EPS","1M",+1,0,,,"PORTAGG","MEANR")&lt;/Q&gt;&lt;R&gt;1&lt;/R&gt;&lt;C&gt;1&lt;/C&gt;&lt;D xsi:type="xsd:double"&gt;18&lt;/D&gt;&lt;/FQL&gt;&lt;FQL&gt;&lt;Q&gt;EWC^FG_ROE(0)&lt;/Q&gt;&lt;R&gt;1&lt;/R&gt;&lt;C&gt;1&lt;/C&gt;&lt;D xsi:type="xsd:double"&gt;10.9096492716596&lt;/D&gt;&lt;/FQL&gt;&lt;FQL&gt;&lt;Q&gt;REFSEREPO-FDS^PROPER_NAME(0,,,"SECURITY","NAME")&lt;/Q&gt;&lt;R&gt;1&lt;/R&gt;&lt;C&gt;1&lt;/C&gt;&lt;D xsi:type="xsd:string"&gt;Sweden Repo Rate&lt;/D&gt;&lt;/FQL&gt;&lt;FQL&gt;&lt;Q&gt;GLD^FG_TOTAL_RETURNC(0,-1AM)&lt;/Q&gt;&lt;R&gt;1&lt;/R&gt;&lt;C&gt;1&lt;/C&gt;&lt;D xsi:type="xsd:double"&gt;3.4674525&lt;/D&gt;&lt;/FQL&gt;&lt;FQL&gt;&lt;Q&gt;USO^FG_TOTAL_RETURNC(0,-3AM)&lt;/Q&gt;&lt;R&gt;1&lt;/R&gt;&lt;C&gt;1&lt;/C&gt;&lt;D xsi:type="xsd:double"&gt;-8.015275&lt;/D&gt;&lt;/FQL&gt;&lt;FQL&gt;&lt;Q&gt;EWG^P_PRICE_RETURNS_PR('52W',2,-10AY,0,AM)&lt;/Q&gt;&lt;R&gt;121&lt;/R&gt;&lt;C&gt;1&lt;/C&gt;&lt;D xsi:type="xsd:double"&gt;9.56502&lt;/D&gt;&lt;D xsi:type="xsd:double"&gt;-6.987423&lt;/D&gt;&lt;D xsi:type="xsd:double"&gt;-6.510359&lt;/D&gt;&lt;D xsi:type="xsd:double"&gt;-4.9626646&lt;/D&gt;&lt;D xsi:type="xsd:double"&gt;-11.585009&lt;/D&gt;&lt;D xsi:type="xsd:double"&gt;-3.9062917&lt;/D&gt;&lt;D xsi:type="xsd:double"&gt;-2.1289349&lt;/D&gt;&lt;D xsi:type="xsd:double"&gt;1.0252237&lt;/D&gt;&lt;D xsi:type="xsd:double"&gt;-4.059368&lt;/D&gt;&lt;D xsi:type="xsd:double"&gt;-6.6173973&lt;/D&gt;&lt;D xsi:type="xsd:double"&gt;-3.9497554&lt;/D&gt;&lt;D xsi:type="xsd:double"&gt;1.4474511&lt;/D&gt;&lt;D xsi:type="xsd:double"&gt;-7.2968063&lt;/D&gt;&lt;D xsi:type="xsd:double"&gt;3.7923217&lt;/D&gt;&lt;D xsi:type="xsd:double"&gt;0.062060356&lt;/D&gt;&lt;D xsi:type="xsd:double"&gt;-7.126766&lt;/D&gt;&lt;D xsi:type="xsd:double"&gt;-5.9769273&lt;/D&gt;&lt;D xsi:type="xsd:double"&gt;-19.447815&lt;/D&gt;&lt;D xsi:type="xsd:double"&gt;-11.941486&lt;/D&gt;&lt;D xsi:type="xsd:double"&gt;-15.314799&lt;/D&gt;&lt;D xsi:type="xsd:double"&gt;-12.686157&lt;/D&gt;&lt;D xsi:type="xsd:double"&gt;-13.44226&lt;/D&gt;&lt;D xsi:type="xsd:double"&gt;-13.453949&lt;/D&gt;&lt;D xsi:type="xsd:double"&gt;-3.6765754&lt;/D&gt;&lt;D xsi:type="xsd:double"&gt;1.5402794&lt;/D&gt;&lt;D xsi:type="xsd:double"&gt;0.63432455&lt;/D&gt;&lt;D xsi:type="xsd:double"&gt;-1.43677&lt;/D&gt;&lt;D xsi:type="xsd:double"&gt;3.7411332&lt;/D&gt;&lt;D xsi:type="xsd:double"&gt;11.199617&lt;/D&gt;&lt;D xsi:type="xsd:double"&gt;21.455013&lt;/D&gt;&lt;D xsi:type="xsd:double"&gt;18.521559&lt;/D&gt;&lt;D xsi:type="xsd:double"&gt;14.432192&lt;/D&gt;&lt;D xsi:type="xsd:double"&gt;22.19001&lt;/D&gt;&lt;D xsi:type="xsd:double"&gt;26.787912&lt;/D&gt;&lt;D xsi:type="xsd:double"&gt;28.888203&lt;/D&gt;&lt;D xsi:type="xsd:double"&gt;16.8625&lt;/D&gt;&lt;D xsi:type="xsd:double"&gt;24.39927&lt;/D&gt;&lt;D xsi:type="xsd:double"&gt;29.91103&lt;/D&gt;&lt;D xsi:type="xsd:double"&gt;30.579138&lt;/D&gt;&lt;D xsi:type="xsd:double"&gt;29.16745&lt;/D&gt;&lt;D xsi:type="xsd:double"&gt;30.681301&lt;/D&gt;&lt;D xsi:type="xsd:double"&gt;21.777557&lt;/D&gt;&lt;D xsi:type="xsd:double"&gt;20.022345&lt;/D&gt;&lt;D xsi:type="xsd:double"&gt;18.039381&lt;/D&gt;&lt;D xsi:type="xsd:double"&gt;11.965954&lt;/D&gt;&lt;D xsi:type="xsd:double"&gt;6.1458826&lt;/D&gt;&lt;D xsi:type="xsd:double"&gt;1.6412377&lt;/D&gt;&lt;D xsi:type="xsd:double"&gt;1.0410666&lt;/D&gt;&lt;D xsi:type="xsd:double"&gt;-5.567813&lt;/D&gt;&lt;D xsi:type="xsd:double"&gt;-12.615431&lt;/D&gt;&lt;D xsi:type="xsd:double"&gt;-16.29991&lt;/D&gt;&lt;D xsi:type="xsd:double"&gt;-19.246334&lt;/D&gt;&lt;D xsi:type="xsd:double"&gt;-21.506298&lt;/D&gt;&lt;D xsi:type="xsd:double"&gt;-17.03611&lt;/D&gt;&lt;D xsi:type="xsd:double"&gt;-15.773905&lt;/D&gt;&lt;D xsi:type="xsd:double"&gt;-11.886102&lt;/D&gt;&lt;D xsi:type="xsd:double"&gt;-12.577545&lt;/D&gt;&lt;D xsi:type="xsd:double"&gt;-11.591488&lt;/D&gt;&lt;D xsi:type="xsd:double"&gt;-7.0489287&lt;/D&gt;&lt;D xsi:type="xsd:double"&gt;-10.084581&lt;/D&gt;&lt;D xsi:type="xsd:double"&gt;-4.376131&lt;/D&gt;&lt;D xsi:type="xsd:double"&gt;0.71099997&lt;/D&gt;&lt;D xsi:type="xsd:double"&gt;11.401892&lt;/D&gt;&lt;D xsi:type="xsd:double"&gt;15.854883&lt;/D&gt;&lt;D xsi:type="xsd:double"&gt;15.860701&lt;/D&gt;&lt;D xsi:type="xsd:double"&gt;15.758694&lt;/D&gt;&lt;D xsi:type="xsd:double"&gt;-23.276312&lt;/D&gt;&lt;D xsi:type="xsd:double"&gt;-14.388919&lt;/D&gt;&lt;D xsi:type="xsd:double"&gt;-16.400814&lt;/D&gt;&lt;D xsi:type="xsd:double"&gt;-1.2363374&lt;/D&gt;&lt;D xsi:type="xsd:double"&gt;2.245319&lt;/D&gt;&lt;D xsi:type="xsd:double"&gt;16.620779&lt;/D&gt;&lt;D xsi:type="xsd:double"&gt;12.430584&lt;/D&gt;&lt;D xsi:type="xsd:double"&gt;12.594854&lt;/D&gt;&lt;D xsi:type="xsd:double"&gt;2.928245&lt;/D&gt;&lt;D xsi:type="xsd:double"&gt;7.366729&lt;/D&gt;&lt;D xsi:type="xsd:double"&gt;11.564196&lt;/D&gt;&lt;D xsi:type="xsd:double"&gt;13.512063&lt;/D&gt;&lt;D xsi:type="xsd:double"&gt;67.862785&lt;/D&gt;&lt;D xsi:type="xsd:double"&gt;53.47382&lt;/D&gt;&lt;D xsi:type="xsd:double"&gt;52.54208&lt;/D&gt;&lt;D xsi:type="xsd:double"&gt;40.235184&lt;/D&gt;&lt;D xsi:type="xsd:double"&gt;28.964054&lt;/D&gt;&lt;D xsi:type="xsd:double"&gt;20.338202&lt;/D&gt;&lt;D xsi:type="xsd:double"&gt;17.926407&lt;/D&gt;&lt;D xsi:type="xsd:double"&gt;10.125709&lt;/D&gt;&lt;D xsi:type="xsd:double"&gt;19.15406&lt;/D&gt;&lt;D xsi:type="xsd:double"&gt;7.7617526&lt;/D&gt;&lt;D xsi:type="xsd:double"&gt;5.92978&lt;/D&gt;&lt;D xsi:type="xsd:double"&gt;-1.5378892&lt;/D&gt;&lt;D xsi:type="xsd:double"&gt;-17.671728&lt;/D&gt;&lt;D xsi:type="xsd:double"&gt;-19.68208&lt;/D&gt;&lt;D xsi:type="xsd:double"&gt;-25.109577&lt;/D&gt;&lt;D xsi:type="xsd:double"&gt;-27.29029&lt;/D&gt;&lt;D xsi:type="xsd:double"&gt;-35.165375&lt;/D&gt;&lt;D xsi:type="xsd:double"&gt;-28.266483&lt;/D&gt;&lt;D xsi:type="xsd:double"&gt;-30.486357&lt;/D&gt;&lt;D xsi:type="xsd:double"&gt;-36.912567&lt;/D&gt;&lt;D xsi:type="xsd:double"&gt;-24.239391&lt;/D&gt;&lt;D xsi:type="xsd:double"&gt;-19.530159&lt;/D&gt;&lt;D xsi:type="xsd:double"&gt;-14.538109&lt;/D&gt;&lt;D xsi:type="xsd:double"&gt;-11.199135&lt;/D&gt;&lt;D xsi:type="xsd:double"&gt;5.011487&lt;/D&gt;&lt;D xsi:type="xsd:double"&gt;9.834099&lt;/D&gt;&lt;D xsi:type="xsd:double"&gt;18.534052&lt;/D&gt;&lt;D xsi:type="xsd:double"&gt;16.481709&lt;/D&gt;&lt;D xsi:type="xsd:double"&gt;35.429966&lt;/D&gt;&lt;D xsi:type="xsd:double"&gt;20.431746&lt;/D&gt;&lt;D xsi:type="xsd:double"&gt;21.329939&lt;/D&gt;&lt;D xsi:type="xsd:double"&gt;35.859776&lt;/D&gt;&lt;D xsi:type="xsd:double"&gt;12.240291&lt;/D&gt;&lt;D xsi:type="xsd:double"&gt;18.264532&lt;/D&gt;&lt;D xsi:type="xsd:double"&gt;8.116377&lt;/D&gt;&lt;D xsi:type="xsd:double"&gt;8.560383&lt;/D&gt;&lt;D xsi:type="xsd:double"&gt;18.258059&lt;/D&gt;&lt;D xsi:type="xsd:double"&gt;7.84961&lt;/D&gt;&lt;D xsi:type="xsd:double"&gt;13.198757&lt;/D&gt;&lt;D xsi:type="xsd:double"&gt;14.161181&lt;/D&gt;&lt;D xsi:type="xsd:double"&gt;13.297689&lt;/D&gt;&lt;D xsi:type="xsd:double"&gt;9.7262745&lt;/D&gt;&lt;D xsi:type="xsd:double"&gt;21.000517&lt;/D&gt;&lt;/FQL&gt;&lt;FQL&gt;&lt;Q&gt;EWI^FG_PRICE_MAVG(0,,,,60)&lt;/Q&gt;&lt;R&gt;1&lt;/R&gt;&lt;C&gt;1&lt;/C&gt;&lt;D xsi:type="xsd:double"&gt;37.100666&lt;/D&gt;&lt;/FQL&gt;&lt;FQL&gt;&lt;Q&gt;FXI^PERCENT_CHANGE(FMA_EPS(+1,0,,,,"PORTAGG","MEAN"),FMA_EPS(+1,-3AM,,,,"PORTAGG","MEAN"))&lt;/Q&gt;&lt;R&gt;1&lt;/R&gt;&lt;C&gt;1&lt;/C&gt;&lt;D xsi:type="xsd:double"&gt;7.70737299135659&lt;/D&gt;&lt;/FQL&gt;&lt;FQL&gt;&lt;Q&gt;VGK^P_PRICE(0)/P_PRICE_LOW_PR(0,,,,,,"PRICE","INTRA","52W")-1&lt;/Q&gt;&lt;R&gt;1&lt;/R&gt;&lt;C&gt;1&lt;/C&gt;&lt;D xsi:type="xsd:double"&gt;0.25899017&lt;/D&gt;&lt;/FQL&gt;&lt;FQL&gt;&lt;Q&gt;EWQ^FG_TOTAL_RETURNC(0,-3AM)&lt;/Q&gt;&lt;R&gt;1&lt;/R&gt;&lt;C&gt;1&lt;/C&gt;&lt;D xsi:type="xsd:double"&gt;-2.207166&lt;/D&gt;&lt;/FQL&gt;&lt;FQL&gt;&lt;Q&gt;EWL^FMA_PCT_ABOVE_MAVG(200,0,,,,"PORTAGG")&lt;/Q&gt;&lt;R&gt;1&lt;/R&gt;&lt;C&gt;1&lt;/C&gt;&lt;D xsi:type="xsd:double"&gt;54.3478260869565&lt;/D&gt;&lt;/FQL&gt;&lt;FQL&gt;&lt;Q&gt;EWN^FMA_COS_UP("EPS","1M",+1,0,,,"PORTAGG","MEANR")&lt;/Q&gt;&lt;R&gt;1&lt;/R&gt;&lt;C&gt;1&lt;/C&gt;&lt;D xsi:type="xsd:double"&gt;15&lt;/D&gt;&lt;/FQL&gt;&lt;FQL&gt;&lt;Q&gt;EWA^FG_ROE(0)&lt;/Q&gt;&lt;R&gt;1&lt;/R&gt;&lt;C&gt;1&lt;/C&gt;&lt;D xsi:type="xsd:double"&gt;12.7476808987524&lt;/D&gt;&lt;/FQL&gt;&lt;FQL&gt;&lt;Q&gt;TRYNL10Y-FDS^FG_YIELD_NAME&lt;/Q&gt;&lt;R&gt;1&lt;/R&gt;&lt;C&gt;1&lt;/C&gt;&lt;D xsi:type="xsd:string"&gt;Netherlands Benchmark Bond - 10 Year&lt;/D&gt;&lt;/FQL&gt;&lt;FQL&gt;&lt;Q&gt;EWQ^FMA_COS_UP("EPS","1M",+1,0,,,"PORTAGG","MEANR")&lt;/Q&gt;&lt;R&gt;1&lt;/R&gt;&lt;C&gt;1&lt;/C&gt;&lt;D xsi:type="xsd:double"&gt;19&lt;/D&gt;&lt;/FQL&gt;&lt;FQL&gt;&lt;Q&gt;TRYSE10Y-FDS^PCTCHG(FG_YIELD(0,,,,"YTM"),FG_YIELD(-3AM,,,,"YTM"))&lt;/Q&gt;&lt;R&gt;1&lt;/R&gt;&lt;C&gt;1&lt;/C&gt;&lt;D xsi:type="xsd:double"&gt;-15.216419&lt;/D&gt;&lt;/FQL&gt;&lt;FQL&gt;&lt;Q&gt;USDCHF^STD(FG_PRICE_CHANGE(0,-3AY,M))&lt;/Q&gt;&lt;R&gt;1&lt;/R&gt;&lt;C&gt;1&lt;/C&gt;&lt;D xsi:type="xsd:double"&gt;2.48032487496995&lt;/D&gt;&lt;/FQL&gt;&lt;FQL&gt;&lt;Q&gt;PASP-FDS^FG_PRICE_CHANGE(0,-1AM)&lt;/Q&gt;&lt;R&gt;1&lt;/R&gt;&lt;C&gt;1&lt;/C&gt;&lt;D xsi:type="xsd:double"&gt;9.95762711864407&lt;/D&gt;&lt;/FQL&gt;&lt;FQL&gt;&lt;Q&gt;EWI^FG_PRICE_MAVG(0,,,,30)&lt;/Q&gt;&lt;R&gt;1&lt;/R&gt;&lt;C&gt;1&lt;/C&gt;&lt;D xsi:type="xsd:double"&gt;37.212334&lt;/D&gt;&lt;/FQL&gt;&lt;FQL&gt;&lt;Q&gt;EWA^FG_PRICE(0)&lt;/Q&gt;&lt;R&gt;1&lt;/R&gt;&lt;C&gt;1&lt;/C&gt;&lt;D xsi:type="xsd:double"&gt;26.05&lt;/D&gt;&lt;/FQL&gt;&lt;FQL&gt;&lt;Q&gt;FXI^PERCENT_CHANGE(FMA_EPS(+1,0,,,,"PORTAGG","MEAN"),FMA_EPS(+1,-1AM,,,,"PORTAGG","MEAN"))&lt;/Q&gt;&lt;R&gt;1&lt;/R&gt;&lt;C&gt;1&lt;/C&gt;&lt;D xsi:type="xsd:double"&gt;3.63964395972137&lt;/D&gt;&lt;/FQL&gt;&lt;FQL&gt;&lt;Q&gt;EWQ^FG_TOTAL_RETURNC(0,-1AM)&lt;/Q&gt;&lt;R&gt;1&lt;/R&gt;&lt;C&gt;1&lt;/C&gt;&lt;D xsi:type="xsd:double"&gt;4.056585&lt;/D&gt;&lt;/FQL&gt;&lt;FQL&gt;&lt;Q&gt;EWA^FMA_PCT_ABOVE_MAVG(200,0,,,,"PORTAGG")&lt;/Q&gt;&lt;R&gt;1&lt;/R&gt;&lt;C&gt;1&lt;/C&gt;&lt;D xsi:type="xsd:double"&gt;63.7931034482759&lt;/D&gt;&lt;/FQL&gt;&lt;FQL&gt;&lt;Q&gt;EWQ^SIZE(FG_CONSTITUENTS)&lt;/Q&gt;&lt;R&gt;1&lt;/R&gt;&lt;C&gt;1&lt;/C&gt;&lt;D xsi:type="xsd:long"&gt;61&lt;/D&gt;&lt;/FQL&gt;&lt;FQL&gt;&lt;Q&gt;ENZL^FG_ROE(0)&lt;/Q&gt;&lt;R&gt;1&lt;/R&gt;&lt;C&gt;1&lt;/C&gt;&lt;D xsi:type="xsd:double"&gt;3.40949042952041&lt;/D&gt;&lt;/FQL&gt;&lt;FQL&gt;&lt;Q&gt;CC_CA^IMF_IFS_RCPI_Q(0)&lt;/Q&gt;&lt;R&gt;1&lt;/R&gt;&lt;C&gt;1&lt;/C&gt;&lt;D xsi:type="xsd:double"&gt;2.7411842&lt;/D&gt;&lt;/FQL&gt;&lt;FQL&gt;&lt;Q&gt;EWD^FMA_PE(LTM,0,,,"PORTAGG","MEANR")&lt;/Q&gt;&lt;R&gt;1&lt;/R&gt;&lt;C&gt;1&lt;/C&gt;&lt;D xsi:type="xsd:double"&gt;13.8804435467092&lt;/D&gt;&lt;/FQL&gt;&lt;FQL&gt;&lt;Q&gt;EWU^FMA_EVAL_EBIT(LTMA,NOW,NOW,M,"PORTAGG","MEANR")&lt;/Q&gt;&lt;R&gt;1&lt;/R&gt;&lt;C&gt;1&lt;/C&gt;&lt;D xsi:type="xsd:double"&gt;10.9308597149683&lt;/D&gt;&lt;/FQL&gt;&lt;FQL&gt;&lt;Q&gt;EWC^FMA_EVAL_EBIT(LTMA,NOW,NOW,M,"PORTAGG","MEANR")&lt;/Q&gt;&lt;R&gt;1&lt;/R&gt;&lt;C&gt;1&lt;/C&gt;&lt;D xsi:type="xsd:double"&gt;16.1213683565626&lt;/D&gt;&lt;/FQL&gt;&lt;FQL&gt;&lt;Q&gt;VGK^FG_TOTAL_RETURNC(0,-6AM)&lt;/Q&gt;&lt;R&gt;1&lt;/R&gt;&lt;C&gt;1&lt;/C&gt;&lt;D xsi:type="xsd:double"&gt;4.8554063&lt;/D&gt;&lt;/FQL&gt;&lt;FQL&gt;&lt;Q&gt;EWD^JULIAN(FMA_DIV_YLD(NTMA,NOW,NOW,M,"PORTAGG","MEANR").DATES)&lt;/Q&gt;&lt;R&gt;1&lt;/R&gt;&lt;C&gt;1&lt;/C&gt;&lt;D xsi:type="xsd:long"&gt;45534&lt;/D&gt;&lt;/FQL&gt;&lt;FQL&gt;&lt;Q&gt;EWU^FMA_EVAL_EBITDA(NTMA,0,,,"PORTAGG","MEANR")&lt;/Q&gt;&lt;R&gt;1&lt;/R&gt;&lt;C&gt;1&lt;/C&gt;&lt;D xsi:type="xsd:double"&gt;7.53602074406162&lt;/D&gt;&lt;/FQL&gt;&lt;FQL&gt;&lt;Q&gt;EWA^P_PRICE_RETURNS_PR('52W',2,-10AY,0,AM)&lt;/Q&gt;&lt;R&gt;121&lt;/R&gt;&lt;C&gt;1&lt;/C&gt;&lt;D xsi:type="xsd:double"&gt;7.3985577&lt;/D&gt;&lt;D xsi:type="xsd:double"&gt;-5.645293&lt;/D&gt;&lt;D xsi:type="xsd:double"&gt;-0.8078098&lt;/D&gt;&lt;D xsi:type="xsd:double"&gt;-1.6705453&lt;/D&gt;&lt;D xsi:type="xsd:double"&gt;-4.2773604&lt;/D&gt;&lt;D xsi:type="xsd:double"&gt;-2.8007925&lt;/D&gt;&lt;D xsi:type="xsd:double"&gt;-2.807939&lt;/D&gt;&lt;D xsi:type="xsd:double"&gt;-6.5098467&lt;/D&gt;&lt;D xsi:type="xsd:double"&gt;-9.211654&lt;/D&gt;&lt;D xsi:type="xsd:double"&gt;-13.217646&lt;/D&gt;&lt;D xsi:type="xsd:double"&gt;-16.6708&lt;/D&gt;&lt;D xsi:type="xsd:double"&gt;-19.598156&lt;/D&gt;&lt;D xsi:type="xsd:double"&gt;-25.985998&lt;/D&gt;&lt;D xsi:type="xsd:double"&gt;-10.717922&lt;/D&gt;&lt;D xsi:type="xsd:double"&gt;-22.19159&lt;/D&gt;&lt;D xsi:type="xsd:double"&gt;-15.239411&lt;/D&gt;&lt;D xsi:type="xsd:double"&gt;-18.954277&lt;/D&gt;&lt;D xsi:type="xsd:double"&gt;-21.604145&lt;/D&gt;&lt;D xsi:type="xsd:double"&gt;-7.325971&lt;/D&gt;&lt;D xsi:type="xsd:double"&gt;-14.208317&lt;/D&gt;&lt;D xsi:type="xsd:double"&gt;-10.148173&lt;/D&gt;&lt;D xsi:type="xsd:double"&gt;-6.8883896&lt;/D&gt;&lt;D xsi:type="xsd:double"&gt;2.0844698&lt;/D&gt;&lt;D xsi:type="xsd:double"&gt;9.00532&lt;/D&gt;&lt;D xsi:type="xsd:double"&gt;13.520515&lt;/D&gt;&lt;D xsi:type="xsd:double"&gt;10.429406&lt;/D&gt;&lt;D xsi:type="xsd:double"&gt;16.130245&lt;/D&gt;&lt;D xsi:type="xsd:double"&gt;22.172535&lt;/D&gt;&lt;D xsi:type="xsd:double"&gt;30.891954&lt;/D&gt;&lt;D xsi:type="xsd:double"&gt;35.59195&lt;/D&gt;&lt;D xsi:type="xsd:double"&gt;19.151974&lt;/D&gt;&lt;D xsi:type="xsd:double"&gt;22.036266&lt;/D&gt;&lt;D xsi:type="xsd:double"&gt;15.082312&lt;/D&gt;&lt;D xsi:type="xsd:double"&gt;15.4911995&lt;/D&gt;&lt;D xsi:type="xsd:double"&gt;12.178766&lt;/D&gt;&lt;D xsi:type="xsd:double"&gt;10.600698&lt;/D&gt;&lt;D xsi:type="xsd:double"&gt;21.754097&lt;/D&gt;&lt;D xsi:type="xsd:double"&gt;14.54885&lt;/D&gt;&lt;D xsi:type="xsd:double"&gt;18.655968&lt;/D&gt;&lt;D xsi:type="xsd:double"&gt;12.9992485&lt;/D&gt;&lt;D xsi:type="xsd:double"&gt;15.17694&lt;/D&gt;&lt;D xsi:type="xsd:double"&gt;7.686472&lt;/D&gt;&lt;D xsi:type="xsd:double"&gt;10.651398&lt;/D&gt;&lt;D xsi:type="xsd:double"&gt;4.202986&lt;/D&gt;&lt;D xsi:type="xsd:double"&gt;9.507608&lt;/D&gt;&lt;D xsi:type="xsd:double"&gt;10.351801&lt;/D&gt;&lt;D xsi:type="xsd:double"&gt;10.44414&lt;/D&gt;&lt;D xsi:type="xsd:double"&gt;5.8793545&lt;/D&gt;&lt;D xsi:type="xsd:double"&gt;-1.2621343&lt;/D&gt;&lt;D xsi:type="xsd:double"&gt;-4.950815&lt;/D&gt;&lt;D xsi:type="xsd:double"&gt;-5.0469637&lt;/D&gt;&lt;D xsi:type="xsd:double"&gt;-6.6529036&lt;/D&gt;&lt;D xsi:type="xsd:double"&gt;-9.088654&lt;/D&gt;&lt;D xsi:type="xsd:double"&gt;-1.366508&lt;/D&gt;&lt;D xsi:type="xsd:double"&gt;-3.1530857&lt;/D&gt;&lt;D xsi:type="xsd:double"&gt;3.430438&lt;/D&gt;&lt;D xsi:type="xsd:double"&gt;0.47593117&lt;/D&gt;&lt;D xsi:type="xsd:double"&gt;4.2122245&lt;/D&gt;&lt;D xsi:type="xsd:double"&gt;4.593265&lt;/D&gt;&lt;D xsi:type="xsd:double"&gt;0.5122781&lt;/D&gt;&lt;D xsi:type="xsd:double"&gt;8.88598&lt;/D&gt;&lt;D xsi:type="xsd:double"&gt;14.5713215&lt;/D&gt;&lt;D xsi:type="xsd:double"&gt;15.039277&lt;/D&gt;&lt;D xsi:type="xsd:double"&gt;18.916977&lt;/D&gt;&lt;D xsi:type="xsd:double"&gt;17.679083&lt;/D&gt;&lt;D xsi:type="xsd:double"&gt;14.9735565&lt;/D&gt;&lt;D xsi:type="xsd:double"&gt;-26.15047&lt;/D&gt;&lt;D xsi:type="xsd:double"&gt;-19.717138&lt;/D&gt;&lt;D xsi:type="xsd:double"&gt;-20.655369&lt;/D&gt;&lt;D xsi:type="xsd:double"&gt;-10.586506&lt;/D&gt;&lt;D xsi:type="xsd:double"&gt;-9.692097&lt;/D&gt;&lt;D xsi:type="xsd:double"&gt;1.423645&lt;/D&gt;&lt;D xsi:type="xsd:double"&gt;-6.8860054&lt;/D&gt;&lt;D xsi:type="xsd:double"&gt;-2.0055175&lt;/D&gt;&lt;D xsi:type="xsd:double"&gt;-0.79030395&lt;/D&gt;&lt;D xsi:type="xsd:double"&gt;8.06129&lt;/D&gt;&lt;D xsi:type="xsd:double"&gt;10.047436&lt;/D&gt;&lt;D xsi:type="xsd:double"&gt;11.241198&lt;/D&gt;&lt;D xsi:type="xsd:double"&gt;70.16665&lt;/D&gt;&lt;D xsi:type="xsd:double"&gt;56.561817&lt;/D&gt;&lt;D xsi:type="xsd:double"&gt;61.647343&lt;/D&gt;&lt;D xsi:type="xsd:double"&gt;48.581196&lt;/D&gt;&lt;D xsi:type="xsd:double"&gt;35.85279&lt;/D&gt;&lt;D xsi:type="xsd:double"&gt;29.371918&lt;/D&gt;&lt;D xsi:type="xsd:double"&gt;32.238533&lt;/D&gt;&lt;D xsi:type="xsd:double"&gt;25.085808&lt;/D&gt;&lt;D xsi:type="xsd:double"&gt;21.668983&lt;/D&gt;&lt;D xsi:type="xsd:double"&gt;8.16834&lt;/D&gt;&lt;D xsi:type="xsd:double"&gt;6.7999005&lt;/D&gt;&lt;D xsi:type="xsd:double"&gt;-0.9399712&lt;/D&gt;&lt;D xsi:type="xsd:double"&gt;1.7098308&lt;/D&gt;&lt;D xsi:type="xsd:double"&gt;8.889437&lt;/D&gt;&lt;D xsi:type="xsd:double"&gt;-8.338547&lt;/D&gt;&lt;D xsi:type="xsd:double"&gt;-11.347616&lt;/D&gt;&lt;D xsi:type="xsd:double"&gt;-14.504141&lt;/D&gt;&lt;D xsi:type="xsd:double"&gt;-5.8802547&lt;/D&gt;&lt;D xsi:type="xsd:double"&gt;-6.319004&lt;/D&gt;&lt;D xsi:type="xsd:double"&gt;-18.127901&lt;/D&gt;&lt;D xsi:type="xsd:double"&gt;-5.5944977&lt;/D&gt;&lt;D xsi:type="xsd:double"&gt;-1.5699208&lt;/D&gt;&lt;D xsi:type="xsd:double"&gt;0.35226345&lt;/D&gt;&lt;D xsi:type="xsd:double"&gt;6.340921&lt;/D&gt;&lt;D xsi:type="xsd:double"&gt;-5.046499&lt;/D&gt;&lt;D xsi:type="xsd:double"&gt;-6.734556&lt;/D&gt;&lt;D xsi:type="xsd:double"&gt;5.568075&lt;/D&gt;&lt;D xsi:type="xsd:double"&gt;4.1121483&lt;/D&gt;&lt;D xsi:type="xsd:double"&gt;13.698125&lt;/D&gt;&lt;D xsi:type="xsd:double"&gt;0.22882223&lt;/D&gt;&lt;D xsi:type="xsd:double"&gt;1.0768175&lt;/D&gt;&lt;D xsi:type="xsd:double"&gt;12.251318&lt;/D&gt;&lt;D xsi:type="xsd:double"&gt;-0.6279826&lt;/D&gt;&lt;D xsi:type="xsd:double"&gt;2.2231102&lt;/D&gt;&lt;D xsi:type="xsd:double"&gt;3.4658074&lt;/D&gt;&lt;D xsi:type="xsd:double"&gt;1.6661525&lt;/D&gt;&lt;D xsi:type="xsd:double"&gt;14.084614&lt;/D&gt;&lt;D xsi:type="xsd:double"&gt;6.302321&lt;/D&gt;&lt;D xsi:type="xsd:double"&gt;9.537947&lt;/D&gt;&lt;D xsi:type="xsd:double"&gt;13.08676&lt;/D&gt;&lt;D xsi:type="xsd:double"&gt;16.81025&lt;/D&gt;&lt;D xsi:type="xsd:double"&gt;13.401818&lt;/D&gt;&lt;D xsi:type="xsd:double"&gt;23.203564&lt;/D&gt;&lt;/FQL&gt;&lt;FQL&gt;&lt;Q&gt;PASP-FDS^FG_PRICE_MAVG(0,,,,30)&lt;/Q&gt;&lt;R&gt;1&lt;/R&gt;&lt;C&gt;1&lt;/C&gt;&lt;D xsi:type="xsd:double"&gt;952.63336&lt;/D&gt;&lt;/FQL&gt;&lt;FQL&gt;&lt;Q&gt;EWI^FG_PRICE(0)&lt;/Q&gt;&lt;R&gt;1&lt;/R&gt;&lt;C&gt;1&lt;/C&gt;&lt;D xsi:type="xsd:double"&gt;38.09&lt;/D&gt;&lt;/FQL&gt;&lt;FQL&gt;&lt;Q&gt;ENZL^FG_PRICE_MAVG(0,,,,200)&lt;/Q&gt;&lt;R&gt;1&lt;/R&gt;&lt;C&gt;1&lt;/C&gt;&lt;D xsi:type="xsd:double"&gt;46.25129&lt;/D&gt;&lt;/FQL&gt;&lt;FQL&gt;&lt;Q&gt;FXI^FMA_PCT_ABOVE_MAVG(200,0,,,,"PORTAGG")&lt;/Q&gt;&lt;R&gt;1&lt;/R&gt;&lt;C&gt;1&lt;/C&gt;&lt;D xsi:type="xsd:double"&gt;27.4509803921569&lt;/D&gt;&lt;/FQL&gt;&lt;FQL&gt;&lt;Q&gt;VGK^P_PRICE(0)/P_PRICE_HIGH_PR(0,,,,,,"PRICE","INTRA","52W")&lt;/Q&gt;&lt;R&gt;1&lt;/R&gt;&lt;C&gt;1&lt;/C&gt;&lt;D xsi:type="xsd:double"&gt;0.9748277&lt;/D&gt;&lt;/FQL&gt;&lt;FQL&gt;&lt;Q&gt;EWQ^PERCENT_CHANGE(FMA_EPS(+1,0,,,,"PORTAGG","MEAN"),FMA_EPS(+1,-3AM,,,,"PORTAGG","MEAN"))&lt;/Q&gt;&lt;R&gt;1&lt;/R&gt;&lt;C&gt;1&lt;/C&gt;&lt;D xsi:type="xsd:double"&gt;-0.097229838564926&lt;/D&gt;&lt;/FQL&gt;&lt;FQL&gt;&lt;Q&gt;ENZL^FG_TOTAL_RETURNC(0,-6AM)&lt;/Q&gt;&lt;R&gt;1&lt;/R&gt;&lt;C&gt;1&lt;/C&gt;&lt;D xsi:type="xsd:double"&gt;10.25635&lt;/D&gt;&lt;/FQL&gt;&lt;FQL&gt;&lt;Q&gt;EWQ^FMA_COS_DOWN("EPS","1M",+1,0,,,"PORTAGG","MEANR")&lt;/Q&gt;&lt;R&gt;1</t>
        </r>
      </text>
    </comment>
    <comment ref="A13" authorId="0" shapeId="0" xr:uid="{B6847179-7A35-4809-9495-3C8612DCC5DE}">
      <text>
        <r>
          <rPr>
            <b/>
            <sz val="9"/>
            <color indexed="81"/>
            <rFont val="Tahoma"/>
            <charset val="1"/>
          </rPr>
          <t>&lt;/R&gt;&lt;C&gt;1&lt;/C&gt;&lt;D xsi:type="xsd:double"&gt;25&lt;/D&gt;&lt;/FQL&gt;&lt;FQL&gt;&lt;Q&gt;USDCHF^FG_COMPANY_NAME&lt;/Q&gt;&lt;R&gt;1&lt;/R&gt;&lt;C&gt;1&lt;/C&gt;&lt;D xsi:type="xsd:string"&gt;Swiss Franc per U.S. Dollar&lt;/D&gt;&lt;/FQL&gt;&lt;FQL&gt;&lt;Q&gt;SPY^FG_TOTAL_RETURNC(-10AY,0,AM)&lt;/Q&gt;&lt;R&gt;121&lt;/R&gt;&lt;C&gt;1&lt;/C&gt;&lt;D xsi:type="xsd:double"&gt;2.8936148&lt;/D&gt;&lt;D xsi:type="xsd:double"&gt;-3.865999&lt;/D&gt;&lt;D xsi:type="xsd:double"&gt;7.043147&lt;/D&gt;&lt;D xsi:type="xsd:double"&gt;-1.505202&lt;/D&gt;&lt;D xsi:type="xsd:double"&gt;1.4304519&lt;/D&gt;&lt;D xsi:type="xsd:double"&gt;3.0940056&lt;/D&gt;&lt;D xsi:type="xsd:double"&gt;-0.8711457&lt;/D&gt;&lt;D xsi:type="xsd:double"&gt;1.8682599&lt;/D&gt;&lt;D xsi:type="xsd:double"&gt;-0.028562546&lt;/D&gt;&lt;D xsi:type="xsd:double"&gt;0.014281273&lt;/D&gt;&lt;D xsi:type="xsd:double"&gt;-0.7219672&lt;/D&gt;&lt;D xsi:type="xsd:double"&gt;0.6940484&lt;/D&gt;&lt;D xsi:type="xsd:double"&gt;-5.829978&lt;/D&gt;&lt;D xsi:type="xsd:double"&gt;2.9711843&lt;/D&gt;&lt;D xsi:type="xsd:double"&gt;1.6474724&lt;/D&gt;&lt;D xsi:type="xsd:double"&gt;-1.4450252&lt;/D&gt;&lt;D xsi:type="xsd:double"&gt;-3.490281&lt;/D&gt;&lt;D xsi:type="xsd:double"&gt;-3.6304653&lt;/D&gt;&lt;D xsi:type="xsd:double"&gt;8.642769&lt;/D&gt;&lt;D xsi:type="xsd:double"&gt;2.080059&lt;/D&gt;&lt;D xsi:type="xsd:double"&gt;0.31080246&lt;/D&gt;&lt;D xsi:type="xsd:double"&gt;1.6992688&lt;/D&gt;&lt;D xsi:type="xsd:double"&gt;2.8573632&lt;/D&gt;&lt;D xsi:type="xsd:double"&gt;1.6329408&lt;/D&gt;&lt;D xsi:type="xsd:double"&gt;-0.97043514&lt;/D&gt;&lt;D xsi:type="xsd:double"&gt;-0.7147014&lt;/D&gt;&lt;D xsi:type="xsd:double"&gt;1.268065&lt;/D&gt;&lt;D xsi:type="xsd:double"&gt;4.5421004&lt;/D&gt;&lt;D xsi:type="xsd:double"&gt;0.71502924&lt;/D&gt;&lt;D xsi:type="xsd:double"&gt;2.1983862&lt;/D&gt;&lt;D xsi:type="xsd:double"&gt;2.6694298&lt;/D&gt;&lt;D xsi:type="xsd:double"&gt;-1.110673&lt;/D&gt;&lt;D xsi:type="xsd:double"&gt;2.1151066&lt;/D&gt;&lt;D xsi:type="xsd:double"&gt;1.8327951&lt;/D&gt;&lt;D xsi:type="xsd:double"&gt;0.75598955&lt;/D&gt;&lt;D xsi:type="xsd:double"&gt;0.045084953&lt;/D&gt;&lt;D xsi:type="xsd:double"&gt;2.4291396&lt;/D&gt;&lt;D xsi:type="xsd:double"&gt;2.3401618&lt;/D&gt;&lt;D xsi:type="xsd:double"&gt;1.3548493&lt;/D&gt;&lt;D xsi:type="xsd:double"&gt;3.3670425&lt;/D&gt;&lt;D xsi:type="xsd:double"&gt;4.703951&lt;/D&gt;&lt;D xsi:type="xsd:double"&gt;-4.52649&lt;/D&gt;&lt;D xsi:type="xsd:double"&gt;4.9672127&lt;/D&gt;&lt;D xsi:type="xsd:double"&gt;-4.1384163&lt;/D&gt;&lt;D xsi:type="xsd:double"&gt;2.6021956999999998&lt;/D&gt;&lt;D xsi:type="xsd:double"&gt;2.2246718&lt;/D&gt;&lt;D xsi:type="xsd:double"&gt;0.6115198&lt;/D&gt;&lt;D xsi:type="xsd:double"&gt;1.3566256&lt;/D&gt;&lt;D xsi:type="xsd:double"&gt;2.1048188&lt;/D&gt;&lt;D xsi:type="xsd:double"&gt;-4.122865&lt;/D&gt;&lt;D xsi:type="xsd:double"&gt;-1.2248635&lt;/D&gt;&lt;D xsi:type="xsd:double"&gt;-2.6085079&lt;/D&gt;&lt;D xsi:type="xsd:double"&gt;-1.8592358&lt;/D&gt;&lt;D xsi:type="xsd:double"&gt;5.838287&lt;/D&gt;&lt;D xsi:type="xsd:double"&gt;1.9664288&lt;/D&gt;&lt;D xsi:type="xsd:double"&gt;4.272759&lt;/D&gt;&lt;D xsi:type="xsd:double"&gt;-0.7099509&lt;/D&gt;&lt;D xsi:type="xsd:double"&gt;0.100660324&lt;/D&gt;&lt;D xsi:type="xsd:double"&gt;4.758835&lt;/D&gt;&lt;D xsi:type="xsd:double"&gt;-4.184264&lt;/D&gt;&lt;D xsi:type="xsd:double"&gt;4.5891643&lt;/D&gt;&lt;D xsi:type="xsd:double"&gt;-1.206696&lt;/D&gt;&lt;D xsi:type="xsd:double"&gt;4.293239&lt;/D&gt;&lt;D xsi:type="xsd:double"&gt;2.6310682&lt;/D&gt;&lt;D xsi:type="xsd:double"&gt;3.2082558&lt;/D&gt;&lt;D xsi:type="xsd:double"&gt;3.595233&lt;/D&gt;&lt;D xsi:type="xsd:double"&gt;-26.468498&lt;/D&gt;&lt;D xsi:type="xsd:double"&gt;12.816513&lt;/D&gt;&lt;D xsi:type="xsd:double"&gt;3.0445695&lt;/D&gt;&lt;D xsi:type="xsd:double"&gt;6.118524&lt;/D&gt;&lt;D xsi:type="xsd:double"&gt;4.860413&lt;/D&gt;&lt;D xsi:type="xsd:double"&gt;6.2502027&lt;/D&gt;&lt;D xsi:type="xsd:double"&gt;-1.001662&lt;/D&gt;&lt;D xsi:type="xsd:double"&gt;5.926311&lt;/D&gt;&lt;D xsi:type="xsd:double"&gt;0.22132397&lt;/D&gt;&lt;D xsi:type="xsd:double"&gt;3.7060142&lt;/D&gt;&lt;D xsi:type="xsd:double"&gt;3.84686&lt;/D&gt;&lt;D xsi:type="xsd:double"&gt;3.661859&lt;/D&gt;&lt;D xsi:type="xsd:double"&gt;0.36164522&lt;/D&gt;&lt;D xsi:type="xsd:double"&gt;4.8039675&lt;/D&gt;&lt;D xsi:type="xsd:double"&gt;-1.5134633&lt;/D&gt;&lt;D xsi:type="xsd:double"&gt;4.6619415&lt;/D&gt;&lt;D xsi:type="xsd:double"&gt;3.3511639&lt;/D&gt;&lt;D xsi:type="xsd:double"&gt;1.837194&lt;/D&gt;&lt;D xsi:type="xsd:double"&gt;0.07414818&lt;/D&gt;&lt;D xsi:type="xsd:double"&gt;-2.3386002&lt;/D&gt;&lt;D xsi:type="xsd:double"&gt;7.7602506&lt;/D&gt;&lt;D xsi:type="xsd:double"&gt;0.74261427&lt;/D&gt;&lt;D xsi:type="xsd:double"&gt;0.41553974&lt;/D&gt;&lt;D xsi:type="xsd:double"&gt;-6.488049&lt;/D&gt;&lt;D xsi:type="xsd:double"&gt;-4.6292486&lt;/D&gt;&lt;D xsi:type="xsd:double"&gt;4.6579957&lt;/D&gt;&lt;D xsi:type="xsd:double"&gt;-10.483927&lt;/D&gt;&lt;D xsi:type="xsd:double"&gt;-0.6474018&lt;/D&gt;&lt;D xsi:type="xsd:double"&gt;-1.8800914&lt;/D&gt;&lt;D xsi:type="xsd:double"&gt;12.149787&lt;/D&gt;&lt;D xsi:type="xsd:double"&gt;-3.7766337&lt;/D&gt;&lt;D xsi:type="xsd:double"&gt;-12.880182&lt;/D&gt;&lt;D xsi:type="xsd:double"&gt;11.765205&lt;/D&gt;&lt;D xsi:type="xsd:double"&gt;0.110411644&lt;/D&gt;&lt;D xsi:type="xsd:double"&gt;-0.036346912&lt;/D&gt;&lt;D xsi:type="xsd:double"&gt;2.791214&lt;/D&gt;&lt;D xsi:type="xsd:double"&gt;-5.423486&lt;/D&gt;&lt;D xsi:type="xsd:double"&gt;6.1454654&lt;/D&gt;&lt;D xsi:type="xsd:double"&gt;0.8675456&lt;/D&gt;&lt;D xsi:type="xsd:double"&gt;5.3961396&lt;/D&gt;&lt;D xsi:type="xsd:double"&gt;3.2002807&lt;/D&gt;&lt;D xsi:type="xsd:double"&gt;-0.082957745&lt;/D&gt;&lt;D xsi:type="xsd:double"&gt;0.076293945&lt;/D&gt;&lt;D xsi:type="xsd:double"&gt;-2.4174273&lt;/D&gt;&lt;D xsi:type="xsd:double"&gt;1.6026378&lt;/D&gt;&lt;D xsi:type="xsd:double"&gt;5.331254&lt;/D&gt;&lt;D xsi:type="xsd:double"&gt;3.1277537&lt;/D&gt;&lt;D xsi:type="xsd:double"&gt;5.097759&lt;/D&gt;&lt;D xsi:type="xsd:double"&gt;3.1538248&lt;/D&gt;&lt;D xsi:type="xsd:double"&gt;-0.83824396&lt;/D&gt;&lt;D xsi:type="xsd:double"&gt;1.9555688&lt;/D&gt;&lt;D xsi:type="xsd:double"&gt;3.9397836&lt;/D&gt;&lt;D xsi:type="xsd:double"&gt;3.7754893&lt;/D&gt;&lt;D xsi:type="xsd:double"&gt;-4.771507&lt;/D&gt;&lt;D xsi:type="xsd:double"&gt;4.8418283&lt;/D&gt;&lt;/FQL&gt;&lt;FQL&gt;&lt;Q&gt;NI-FDS^FG_PRICE_CHANGE(0,-6AM)&lt;/Q&gt;&lt;R&gt;1&lt;/R&gt;&lt;C&gt;1&lt;/C&gt;&lt;D xsi:type="xsd:double"&gt;-12.4620898814447&lt;/D&gt;&lt;/FQL&gt;&lt;FQL&gt;&lt;Q&gt;EWD^FG_PRICE(0)&lt;/Q&gt;&lt;R&gt;1&lt;/R&gt;&lt;C&gt;1&lt;/C&gt;&lt;D xsi:type="xsd:double"&gt;40.88&lt;/D&gt;&lt;/FQL&gt;&lt;FQL&gt;&lt;Q&gt;EWQ^PERCENT_CHANGE(FMA_EPS(+1,0,,,,"PORTAGG","MEAN"),FMA_EPS(+1,-1AM,,,,"PORTAGG","MEAN"))&lt;/Q&gt;&lt;R&gt;1&lt;/R&gt;&lt;C&gt;1&lt;/C&gt;&lt;D xsi:type="xsd:double"&gt;1.23106721442903&lt;/D&gt;&lt;/FQL&gt;&lt;FQL&gt;&lt;Q&gt;EWU^FG_TOTAL_RETURNC(-10AY,0,AM)&lt;/Q&gt;&lt;R&gt;121&lt;/R&gt;&lt;C&gt;1&lt;/C&gt;&lt;D xsi:type="xsd:double"&gt;-0.5461693&lt;/D&gt;&lt;D xsi:type="xsd:double"&gt;-8.287567&lt;/D&gt;&lt;D xsi:type="xsd:double"&gt;3.3206224&lt;/D&gt;&lt;D xsi:type="xsd:double"&gt;-6.269753&lt;/D&gt;&lt;D xsi:type="xsd:double"&gt;0.42608976&lt;/D&gt;&lt;D xsi:type="xsd:double"&gt;7.420087&lt;/D&gt;&lt;D xsi:type="xsd:double"&gt;-3.9319873&lt;/D&gt;&lt;D xsi:type="xsd:double"&gt;3.0420303&lt;/D&gt;&lt;D xsi:type="xsd:double"&gt;5.2603364&lt;/D&gt;&lt;D xsi:type="xsd:double"&gt;-2.4477363&lt;/D&gt;&lt;D xsi:type="xsd:double"&gt;-1.9565642&lt;/D&gt;&lt;D xsi:type="xsd:double"&gt;-0.16286969&lt;/D&gt;&lt;D xsi:type="xsd:double"&gt;-7.8303337&lt;/D&gt;&lt;D xsi:type="xsd:double"&gt;3.3038259&lt;/D&gt;&lt;D xsi:type="xsd:double"&gt;-4.3358145&lt;/D&gt;&lt;D xsi:type="xsd:double"&gt;-3.4075916&lt;/D&gt;&lt;D xsi:type="xsd:double"&gt;-5.0005198&lt;/D&gt;&lt;D xsi:type="xsd:double"&gt;-2.8533459&lt;/D&gt;&lt;D xsi:type="xsd:double"&gt;7.1721315&lt;/D&gt;&lt;D xsi:type="xsd:double"&gt;1.0834932&lt;/D&gt;&lt;D xsi:type="xsd:double"&gt;-0.44136047&lt;/D&gt;&lt;D xsi:type="xsd:double"&gt;-1.0132968&lt;/D&gt;&lt;D xsi:type="xsd:double"&gt;1.4186859&lt;/D&gt;&lt;D xsi:type="xsd:double"&gt;1.8099546&lt;/D&gt;&lt;D xsi:type="xsd:double"&gt;1.0158777&lt;/D&gt;&lt;D xsi:type="xsd:double"&gt;-4.4625998&lt;/D&gt;&lt;D xsi:type="xsd:double"&gt;-0.98683834&lt;/D&gt;&lt;D xsi:type="xsd:double"&gt;3.1561375&lt;/D&gt;&lt;D xsi:type="xsd:double"&gt;2.0704508&lt;/D&gt;&lt;D xsi:type="xsd:double"&gt;1.8234134&lt;/D&gt;&lt;D xsi:type="xsd:double"&gt;-0.5340874&lt;/D&gt;&lt;D xsi:type="xsd:double"&gt;3.0953884&lt;/D&gt;&lt;D xsi:type="xsd:double"&gt;4.381132&lt;/D&gt;&lt;D xsi:type="xsd:double"&gt;-0.11740923&lt;/D&gt;&lt;D xsi:type="xsd:double"&gt;0.38024187&lt;/D&gt;&lt;D xsi:type="xsd:double"&gt;0.14965534&lt;/D&gt;&lt;D xsi:type="xsd:double"&gt;3.4967184&lt;/D&gt;&lt;D xsi:type="xsd:double"&gt;1.7614841&lt;/D&gt;&lt;D xsi:type="xsd:double"&gt;-1.7026186&lt;/D&gt;&lt;D xsi:type="xsd:double"&gt;1.8187046&lt;/D&gt;&lt;D xsi:type="xsd:double"&gt;7.2049975&lt;/D&gt;&lt;D xsi:type="xsd:double"&gt;-6.575054&lt;/D&gt;&lt;D xsi:type="xsd:double"&gt;1.0095239&lt;/D&gt;&lt;D xsi:type="xsd:double"&gt;3.5122752&lt;/D&gt;&lt;D xsi:type="xsd:double"&gt;1.4344811&lt;/D&gt;&lt;D xsi:type="xsd:double"&gt;-1.0878503&lt;/D&gt;&lt;D xsi:type="xsd:double"&gt;-1.4497101&lt;/D&gt;&lt;D xsi:type="xsd:double"&gt;-2.9705703&lt;/D&gt;&lt;D xsi:type="xsd:double"&gt;-2.3550272&lt;/D&gt;&lt;D xsi:type="xsd:double"&gt;-2.5625527&lt;/D&gt;&lt;D xsi:type="xsd:double"&gt;-1.639849&lt;/D&gt;&lt;D xsi:type="xsd:double"&gt;-3.9006054&lt;/D&gt;&lt;D xsi:type="xsd:double"&gt;2.252996&lt;/D&gt;&lt;D xsi:type="xsd:double"&gt;3.7945747&lt;/D&gt;&lt;D xsi:type="xsd:double"&gt;2.4582386&lt;/D&gt;&lt;D xsi:type="xsd:double"&gt;4.398644&lt;/D&gt;&lt;D xsi:type="xsd:double"&gt;-2.7695894&lt;/D&gt;&lt;D xsi:type="xsd:double"&gt;-0.84848404&lt;/D&gt;&lt;D xsi:type="xsd:double"&gt;1.1242986&lt;/D&gt;&lt;D xsi:type="xsd:double"&gt;-7.377553&lt;/D&gt;&lt;D xsi:type="xsd:double"&gt;4.88621&lt;/D&gt;&lt;D xsi:type="xsd:double"&gt;0.9572387&lt;/D&gt;&lt;D xsi:type="xsd:double"&gt;3.223765&lt;/D&gt;&lt;D xsi:type="xsd:double"&gt;1.6533971&lt;/D&gt;&lt;D xsi:type="xsd:double"&gt;3.0686498&lt;/D&gt;&lt;D xsi:type="xsd:double"&gt;-1.0704756&lt;/D&gt;&lt;D xsi:type="xsd:double"&gt;-30.74842&lt;/D&gt;&lt;D xsi:type="xsd:double"&gt;8.463537&lt;/D&gt;&lt;D xsi:type="xsd:double"&gt;-0.5202055&lt;/D&gt;&lt;D xsi:type="xsd:double"&gt;5.551088&lt;/D&gt;&lt;D xsi:type="xsd:double"&gt;0.78076124&lt;/D&gt;&lt;D xsi:type="xsd:double"&gt;5.220735&lt;/D&gt;&lt;D xsi:type="xsd:double"&gt;-5.1805916&lt;/D&gt;&lt;D xsi:type="xsd:double"&gt;1.8083811&lt;/D&gt;&lt;D xsi:type="xsd:double"&gt;5.3665876&lt;/D&gt;&lt;D xsi:type="xsd:double"&gt;5.344343&lt;/D&gt;&lt;D xsi:type="xsd:double"&gt;6.311524&lt;/D&gt;&lt;D xsi:type="xsd:double"&gt;-1.0689974&lt;/D&gt;&lt;D xsi:type="xsd:double"&gt;4.354942&lt;/D&gt;&lt;D xsi:type="xsd:double"&gt;0.47066212&lt;/D&gt;&lt;D xsi:type="xsd:double"&gt;4.0287375&lt;/D&gt;&lt;D xsi:type="xsd:double"&gt;3.0023932&lt;/D&gt;&lt;D xsi:type="xsd:double"&gt;-1.6004741&lt;/D&gt;&lt;D xsi:type="xsd:double"&gt;1.0240912&lt;/D&gt;&lt;D xsi:type="xsd:double"&gt;-2.385211&lt;/D&gt;&lt;D xsi:type="xsd:double"&gt;0.3970623&lt;/D&gt;&lt;D xsi:type="xsd:double"&gt;1.9470572&lt;/D&gt;&lt;D xsi:type="xsd:double"&gt;-1.3428748&lt;/D&gt;&lt;D xsi:type="xsd:double"&gt;7.321763&lt;/D&gt;&lt;D xsi:type="xsd:double"&gt;-0.20272136&lt;/D&gt;&lt;D xsi:type="xsd:double"&gt;-8.589667&lt;/D&gt;&lt;D xsi:type="xsd:double"&gt;6.8888783&lt;/D&gt;&lt;D xsi:type="xsd:double"&gt;-9.236706&lt;/D&gt;&lt;D xsi:type="xsd:double"&gt;2.9022932&lt;/D&gt;&lt;D xsi:type="xsd:double"&gt;-5.5375633&lt;/D&gt;&lt;D xsi:type="xsd:double"&gt;7.19918&lt;/D&gt;&lt;D xsi:type="xsd:double"&gt;-4.7009945&lt;/D&gt;&lt;D xsi:type="xsd:double"&gt;-12.751675&lt;/D&gt;&lt;D xsi:type="xsd:double"&gt;14.884615&lt;/D&gt;&lt;D xsi:type="xsd:double"&gt;5.523932&lt;/D&gt;&lt;D xsi:type="xsd:double"&gt;4.2333364&lt;/D&gt;&lt;D xsi:type="xsd:double"&gt;0&lt;/D&gt;&lt;D xsi:type="xsd:double"&gt;-2.4714231&lt;/D&gt;&lt;D xsi:type="xsd:double"&gt;5.9233427&lt;/D&gt;&lt;D xsi:type="xsd:double"&gt;-0.65788627&lt;/D&gt;&lt;D xsi:type="xsd:double"&gt;-1.7705977&lt;/D&gt;&lt;D xsi:type="xsd:double"&gt;1.3433337&lt;/D&gt;&lt;D xsi:type="xsd:double"&gt;0.18496513&lt;/D&gt;&lt;D xsi:type="xsd:double"&gt;-1.5076995&lt;/D&gt;&lt;D xsi:type="xsd:double"&gt;-0.46859384&lt;/D&gt;&lt;D xsi:type="xsd:double"&gt;-2.5737584&lt;/D&gt;&lt;D xsi:type="xsd:double"&gt;5.0257683&lt;/D&gt;&lt;D xsi:type="xsd:double"&gt;2.8042555&lt;/D&gt;&lt;D xsi:type="xsd:double"&gt;-1.7093956&lt;/D&gt;&lt;D xsi:type="xsd:double"&gt;4.472041&lt;/D&gt;&lt;D xsi:type="xsd:double"&gt;0.23782253&lt;/D&gt;&lt;D xsi:type="xsd:double"&gt;7.206404&lt;/D&gt;&lt;D xsi:type="xsd:double"&gt;-0.21337867&lt;/D&gt;&lt;D xsi:type="xsd:double"&gt;1.837194&lt;/D&gt;&lt;D xsi:type="xsd:double"&gt;-1.443243&lt;/D&gt;&lt;D xsi:type="xsd:double"&gt;3.6046267&lt;/D&gt;&lt;/FQL&gt;&lt;FQL&gt;&lt;Q&gt;NI-FDS^FG_PRICE_CHANGE(0,-3AM)&lt;/Q&gt;&lt;R&gt;1&lt;/R&gt;&lt;C&gt;1&lt;/C&gt;&lt;D xsi:type="xsd:double"&gt;-9.4151212553495&lt;/D&gt;&lt;/FQL&gt;&lt;FQL&gt;&lt;Q&gt;EWN^FG_PRICE_MAVG(0,,,,200)&lt;/Q&gt;&lt;R&gt;1&lt;/R&gt;&lt;C&gt;1&lt;/C&gt;&lt;D xsi:type="xsd:double"&gt;48.10421&lt;/D&gt;&lt;/FQL&gt;&lt;FQL&gt;&lt;Q&gt;ENZL^FG_PRICE_MAVG(0,,,,60)&lt;/Q&gt;&lt;R&gt;1&lt;/R&gt;&lt;C&gt;1&lt;/C&gt;&lt;D xsi:type="xsd:double"&gt;46.95911&lt;/D&gt;&lt;/FQL&gt;&lt;FQL&gt;&lt;Q&gt;ENZL^FG_TOTAL_RETURNC(0,-1AM)&lt;/Q&gt;&lt;R&gt;1&lt;/R&gt;&lt;C&gt;1&lt;/C&gt;&lt;D xsi:type="xsd:double"&gt;8.513058&lt;/D&gt;&lt;/FQL&gt;&lt;FQL&gt;&lt;Q&gt;SPY^SIZE(FG_CONSTITUENTS)&lt;/Q&gt;&lt;R&gt;1&lt;/R&gt;&lt;C&gt;1&lt;/C&gt;&lt;D xsi:type="xsd:long"&gt;503&lt;/D&gt;&lt;/FQL&gt;&lt;FQL&gt;&lt;Q&gt;CC_NZ^IMF_IFS_RCPI_Q(0)&lt;/Q&gt;&lt;R&gt;1&lt;/R&gt;&lt;C&gt;1&lt;/C&gt;&lt;D xsi:type="xsd:double"&gt;3.330626&lt;/D&gt;&lt;/FQL&gt;&lt;FQL&gt;&lt;Q&gt;EWU^FMA_DIV_YLD(NTMA,NOW,NOW,M,"PORTAGG","MEANR")&lt;/Q&gt;&lt;R&gt;1&lt;/R&gt;&lt;C&gt;1&lt;/C&gt;&lt;D xsi:type="xsd:double"&gt;3.81190124060279&lt;/D&gt;&lt;/FQL&gt;&lt;FQL&gt;&lt;Q&gt;EWC^FMA_DIV_YLD(NTMA,NOW,NOW,M,"PORTAGG","MEANR")&lt;/Q&gt;&lt;R&gt;1&lt;/R&gt;&lt;C&gt;1&lt;/C&gt;&lt;D xsi:type="xsd:double"&gt;3.14359117249623&lt;/D&gt;&lt;/FQL&gt;&lt;FQL&gt;&lt;Q&gt;TLT^P_PRICE(0)/P_PRICE_HIGH_PR(0,,,USD,,,"PRICE","INTRA","52W")&lt;/Q&gt;&lt;R&gt;1&lt;/R&gt;&lt;C&gt;1&lt;/C&gt;&lt;D xsi:type="xsd:double"&gt;0.98918355&lt;/D&gt;&lt;/FQL&gt;&lt;FQL&gt;&lt;Q&gt;EWN^FMA_PE(NTMA,0,,,"PORTAGG","MEANR")&lt;/Q&gt;&lt;R&gt;1&lt;/R&gt;&lt;C&gt;1&lt;/C&gt;&lt;D xsi:type="xsd:double"&gt;14.626002444629&lt;/D&gt;&lt;/FQL&gt;&lt;FQL&gt;&lt;Q&gt;TRYCA10Y-FDS^FG_YIELD_NAME&lt;/Q&gt;&lt;R&gt;1&lt;/R&gt;&lt;C&gt;1&lt;/C&gt;&lt;D xsi:type="xsd:string"&gt;Canada Benchmark Bond - 10 Year&lt;/D&gt;&lt;/FQL&gt;&lt;FQL&gt;&lt;Q&gt;NI-FDS^FG_PRICE_MAVG(0,,,,30)&lt;/Q&gt;&lt;R&gt;1&lt;/R&gt;&lt;C&gt;1&lt;/C&gt;&lt;D xsi:type="xsd:double"&gt;16147&lt;/D&gt;&lt;/FQL&gt;&lt;FQL&gt;&lt;Q&gt;EWN^FG_PRICE_MAVG(0,,,,60)&lt;/Q&gt;&lt;R&gt;1&lt;/R&gt;&lt;C&gt;1&lt;/C&gt;&lt;D xsi:type="xsd:double"&gt;49.726334&lt;/D&gt;&lt;/FQL&gt;&lt;FQL&gt;&lt;Q&gt;ENZL^FG_PRICE_MAVG(0,,,,30)&lt;/Q&gt;&lt;R&gt;1&lt;/R&gt;&lt;C&gt;1&lt;/C&gt;&lt;D xsi:type="xsd:double"&gt;48.036568&lt;/D&gt;&lt;/FQL&gt;&lt;FQL&gt;&lt;Q&gt;ENZL^PERCENT_CHANGE(FMA_EPS(+1,0,,,,"PORTAGG","MEAN"),FMA_EPS(+1,-3AM,,,,"PORTAGG","MEAN"))&lt;/Q&gt;&lt;R&gt;1&lt;/R&gt;&lt;C&gt;1&lt;/C&gt;&lt;D xsi:type="xsd:double"&gt;8.58224867719887&lt;/D&gt;&lt;/FQL&gt;&lt;FQL&gt;&lt;Q&gt;SPY^FMA_COS_DOWN("EPS","1M",+1,0,,,"PORTAGG","MEANR")&lt;/Q&gt;&lt;R&gt;1&lt;/R&gt;&lt;C&gt;1&lt;/C&gt;&lt;D xsi:type="xsd:double"&gt;163&lt;/D&gt;&lt;/FQL&gt;&lt;FQL&gt;&lt;Q&gt;TRYFR10Y-FDS^FG_YIELD_NAME&lt;/Q&gt;&lt;R&gt;1&lt;/R&gt;&lt;C&gt;1&lt;/C&gt;&lt;D xsi:type="xsd:string"&gt;France Benchmark Bond - 10 Year&lt;/D&gt;&lt;/FQL&gt;&lt;FQL&gt;&lt;Q&gt;TRYSE10Y-FDS^PCTCHG(FG_YIELD(0,,,,"YTM"),FG_YIELD(-1AM,,,,"YTM"))&lt;/Q&gt;&lt;R&gt;1&lt;/R&gt;&lt;C&gt;1&lt;/C&gt;&lt;D xsi:type="xsd:double"&gt;-2.6140442&lt;/D&gt;&lt;/FQL&gt;&lt;FQL&gt;&lt;Q&gt;EWN^FG_FCF_YIELD_NTM(0)&lt;/Q&gt;&lt;R&gt;1&lt;/R&gt;&lt;C&gt;1&lt;/C&gt;&lt;D xsi:type="xsd:double"&gt;4.17383934829274&lt;/D&gt;&lt;/FQL&gt;&lt;FQL&gt;&lt;Q&gt;EWU^FMA_PE(LTM,0,,,"PORTAGG","MEANR")&lt;/Q&gt;&lt;R&gt;1&lt;/R&gt;&lt;C&gt;1&lt;/C&gt;&lt;D xsi:type="xsd:double"&gt;13.8185790738134&lt;/D&gt;&lt;/FQL&gt;&lt;FQL&gt;&lt;Q&gt;EWC^FMA_PE(NTMA,0,,,"PORTAGG","MEANR")&lt;/Q&gt;&lt;R&gt;1&lt;/R&gt;&lt;C&gt;1&lt;/C&gt;&lt;D xsi:type="xsd:double"&gt;14.5013359999113&lt;/D&gt;&lt;/FQL&gt;&lt;FQL&gt;&lt;Q&gt;SPY^P_PRICE(0)/P_PRICE_HIGH_PR(0,,,USD,,,"PRICE","INTRA","52W")&lt;/Q&gt;&lt;R&gt;1&lt;/R&gt;&lt;C&gt;1&lt;/C&gt;&lt;D xsi:type="xsd:double"&gt;0.9892598&lt;/D&gt;&lt;/FQL&gt;&lt;FQL&gt;&lt;Q&gt;TLT^FG_TOTAL_RETURNC(0,-6AM)&lt;/Q&gt;&lt;R&gt;1&lt;/R&gt;&lt;C&gt;1&lt;/C&gt;&lt;D xsi:type="xsd:double"&gt;7.6678157&lt;/D&gt;&lt;/FQL&gt;&lt;FQL&gt;&lt;Q&gt;EWQ^FG_PRICE_MAVG(0,,,,200)&lt;/Q&gt;&lt;R&gt;1&lt;/R&gt;&lt;C&gt;1&lt;/C&gt;&lt;D xsi:type="xsd:double"&gt;39.515076&lt;/D&gt;&lt;/FQL&gt;&lt;FQL&gt;&lt;Q&gt;ENZL^FMA_PCT_ABOVE_MAVG(200,0,,,,"PORTAGG")&lt;/Q&gt;&lt;R&gt;1&lt;/R&gt;&lt;C&gt;1&lt;/C&gt;&lt;D xsi:type="xsd:double"&gt;57.6923076923077&lt;/D&gt;&lt;/FQL&gt;&lt;FQL&gt;&lt;Q&gt;EWA^FG_TOTAL_RETURNC(-10AY,0,AM)&lt;/Q&gt;&lt;R&gt;121&lt;/R&gt;&lt;C&gt;1&lt;/C&gt;&lt;D xsi:type="xsd:double"&gt;-1.2576222&lt;/D&gt;&lt;D xsi:type="xsd:double"&gt;-10.5364685&lt;/D&gt;&lt;D xsi:type="xsd:double"&gt;7.5927496&lt;/D&gt;&lt;D xsi:type="xsd:double"&gt;-10.866081&lt;/D&gt;&lt;D xsi:type="xsd:double"&gt;3.2958865&lt;/D&gt;&lt;D xsi:type="xsd:double"&gt;2.2931695&lt;/D&gt;&lt;D xsi:type="xsd:double"&gt;1.5824199&lt;/D&gt;&lt;D xsi:type="xsd:double"&gt;1.9039273&lt;/D&gt;&lt;D xsi:type="xsd:double"&gt;-2.080679&lt;/D&gt;&lt;D xsi:type="xsd:double"&gt;-4.9869895&lt;/D&gt;&lt;D xsi:type="xsd:double"&gt;-3.2330275&lt;/D&gt;&lt;D xsi:type="xsd:double"&gt;-3.6231875&lt;/D&gt;&lt;D xsi:type="xsd:double"&gt;-8.120304&lt;/D&gt;&lt;D xsi:type="xsd:double"&gt;6.764865&lt;/D&gt;&lt;D xsi:type="xsd:double"&gt;-6.234026&lt;/D&gt;&lt;D xsi:type="xsd:double"&gt;-1.4168978&lt;/D&gt;&lt;D xsi:type="xsd:double"&gt;-2.7192056&lt;/D&gt;&lt;D xsi:type="xsd:double"&gt;-1.0514021&lt;/D&gt;&lt;D xsi:type="xsd:double"&gt;16.706026&lt;/D&gt;&lt;D xsi:type="xsd:double"&gt;-2.9337347&lt;/D&gt;&lt;D xsi:type="xsd:double"&gt;2.5534153&lt;/D&gt;&lt;D xsi:type="xsd:double"&gt;-1.270324&lt;/D&gt;&lt;D xsi:type="xsd:double"&gt;5.802357&lt;/D&gt;&lt;D xsi:type="xsd:double"&gt;2.9107094&lt;/D&gt;&lt;D xsi:type="xsd:double"&gt;-4.314482&lt;/D&gt;&lt;D xsi:type="xsd:double"&gt;3.85772&lt;/D&gt;&lt;D xsi:type="xsd:double"&gt;-1.4471769&lt;/D&gt;&lt;D xsi:type="xsd:double"&gt;3.7689686&lt;/D&gt;&lt;D xsi:type="xsd:double"&gt;4.2237043&lt;/D&gt;&lt;D xsi:type="xsd:double"&gt;1.5334606&lt;/D&gt;&lt;D xsi:type="xsd:double"&gt;0.9153247&lt;/D&gt;&lt;D xsi:type="xsd:double"&gt;1.9954681&lt;/D&gt;&lt;D xsi:type="xsd:double"&gt;-3.2903492&lt;/D&gt;&lt;D xsi:type="xsd:double"&gt;-0.9195447&lt;/D&gt;&lt;D xsi:type="xsd:double"&gt;2.7678132&lt;/D&gt;&lt;D xsi:type="xsd:double"&gt;2.630365&lt;/D&gt;&lt;D xsi:type="xsd:double"&gt;4.1366935&lt;/D&gt;&lt;D xsi:type="xsd:double"&gt;-2.288431&lt;/D&gt;&lt;D xsi:type="xsd:double"&gt;2.3862123&lt;/D&gt;&lt;D xsi:type="xsd:double"&gt;-1.4674127&lt;/D&gt;&lt;D xsi:type="xsd:double"&gt;6.2322617&lt;/D&gt;&lt;D xsi:type="xsd:double"&gt;-5.069709&lt;/D&gt;&lt;D xsi:type="xsd:double"&gt;3.693819&lt;/D&gt;&lt;D xsi:type="xsd:double"&gt;-3.9484978&lt;/D&gt;&lt;D xsi:type="xsd:double"&gt;2.1000981&lt;/D&gt;&lt;D xsi:type="xsd:double"&gt;-0.6127&lt;/D&gt;&lt;D xsi:type="xsd:double"&gt;2.8538227&lt;/D&gt;&lt;D xsi:type="xsd:double"&gt;-1.8769085&lt;/D&gt;&lt;D xsi:type="xsd:double"&gt;-2.6245534&lt;/D&gt;&lt;D xsi:type="xsd:double"&gt;-5.9387803&lt;/D&gt;&lt;D xsi:type="xsd:double"&gt;2.2826552&lt;/D&gt;&lt;D xsi:type="xsd:double"&gt;-3.133905&lt;/D&gt;&lt;D xsi:type="xsd:double"&gt;2.892065&lt;/D&gt;&lt;D xsi:type="xsd:double"&gt;3.5625935&lt;/D&gt;&lt;D xsi:type="xsd:double"&gt;1.8155694&lt;/D&gt;&lt;D xsi:type="xsd:double"&gt;2.5809526&lt;/D&gt;&lt;D xsi:type="xsd:double"&gt;-0.6861925&lt;/D&gt;&lt;D xsi:type="xsd:double"&gt;2.9479623&lt;/D&gt;&lt;D xsi:type="xsd:double"&gt;3.2299042&lt;/D&gt;&lt;D xsi:type="xsd:double"&gt;-5.7054462&lt;/D&gt;&lt;D xsi:type="xsd:double"&gt;5.4877996&lt;/D&gt;&lt;D xsi:type="xsd:double"&gt;-1.5562475&lt;/D&gt;&lt;D xsi:type="xsd:double"&gt;3.2520413&lt;/D&gt;&lt;D xsi:type="xsd:double"&gt;0.13122559&lt;/D&gt;&lt;D xsi:type="xsd:double"&gt;1.8209934&lt;/D&gt;&lt;D xsi:type="xsd:double"&gt;1.1816263&lt;/D&gt;&lt;D xsi:type="xsd:double"&gt;-34.60208&lt;/D&gt;&lt;D xsi:type="xsd:double"&gt;9.986771&lt;/D&gt;&lt;D xsi:type="xsd:double"&gt;-0.48105717&lt;/D&gt;&lt;D xsi:type="xsd:double"&gt;16.012096&lt;/D&gt;&lt;D xsi:type="xsd:double"&gt;3.7552595&lt;/D&gt;&lt;D xsi:type="xsd:double"&gt;6.4187527&lt;/D&gt;&lt;D xsi:type="xsd:double"&gt;-3.5423636&lt;/D&gt;&lt;D xsi:type="xsd:double"&gt;4.0198445&lt;/D&gt;&lt;D xsi:type="xsd:double"&gt;4.5324445&lt;/D&gt;&lt;D xsi:type="xsd:double"&gt;8.397997&lt;/D&gt;&lt;D xsi:type="xsd:double"&gt;4.3305397&lt;/D&gt;&lt;D xsi:type="xsd:double"&gt;2.2791982&lt;/D&gt;&lt;D xsi:type="xsd:double"&gt;0.03979206&lt;/D&gt;&lt;D xsi:type="xsd:double"&gt;1.1933208&lt;/D&gt;&lt;D xsi:type="xsd:double"&gt;2.751565&lt;/D&gt;&lt;D xsi:type="xsd:double"&gt;4.690838&lt;/D&gt;&lt;D xsi:type="xsd:double"&gt;-3.3716202&lt;/D&gt;&lt;D xsi:type="xsd:double"&gt;1.3420224&lt;/D&gt;&lt;D xsi:type="xsd:double"&gt;-2.3836613&lt;/D&gt;&lt;D xsi:type="xsd:double"&gt;-0.6201565&lt;/D&gt;&lt;D xsi:type="xsd:double"&gt;1.677072&lt;/D&gt;&lt;D xsi:type="xsd:double"&gt;-3.1837344&lt;/D&gt;&lt;D xsi:type="xsd:double"&gt;2.5357485&lt;/D&gt;&lt;D xsi:type="xsd:double"&gt;-5.2462935&lt;/D&gt;&lt;D xsi:type="xsd:double"&gt;3.0431032&lt;/D&gt;&lt;D xsi:type="xsd:double"&gt;8.121419&lt;/D&gt;&lt;D xsi:type="xsd:double"&gt;-13.505316&lt;/D&gt;&lt;D xsi:type="xsd:double"&gt;1.3290763&lt;/D&gt;&lt;D xsi:type="xsd:double"&gt;-6.8811417&lt;/D&gt;&lt;D xsi:type="xsd:double"&gt;11.564302&lt;/D&gt;&lt;D xsi:type="xsd:double"&gt;-2.838707&lt;/D&gt;&lt;D xsi:type="xsd:double"&gt;-13.147408&lt;/D&gt;&lt;D xsi:type="xsd:double"&gt;16.207945&lt;/D&gt;&lt;D xsi:type="xsd:double"&gt;1.8421054&lt;/D&gt;&lt;D xsi:type="xsd:double"&gt;4.538107&lt;/D&gt;&lt;D xsi:type="xsd:double"&gt;1.4267683&lt;/D&gt;&lt;D xsi:type="xsd:double"&gt;-7.9437313&lt;/D&gt;&lt;D xsi:type="xsd:double"&gt;5.0786495&lt;/D&gt;&lt;D xsi:type="xsd:double"&gt;-2.0958066&lt;/D&gt;&lt;D xsi:type="xsd:double"&gt;-0.06839037&lt;/D&gt;&lt;D xsi:type="xsd:double"&gt;1.6926408&lt;/D&gt;&lt;D xsi:type="xsd:double"&gt;-2.5405169&lt;/D&gt;&lt;D xsi:type="xsd:double"&gt;-1.1235952&lt;/D&gt;&lt;D xsi:type="xsd:double"&gt;-3.5454571&lt;/D&gt;&lt;D xsi:type="xsd:double"&gt;0.7540107&lt;/D&gt;&lt;D xsi:type="xsd:double"&gt;6.969142&lt;/D&gt;&lt;D xsi:type="xsd:double"&gt;5.8089375&lt;/D&gt;&lt;D xsi:type="xsd:double"&gt;-0.33740997&lt;/D&gt;&lt;D xsi:type="xsd:double"&gt;3.3008933&lt;/D&gt;&lt;D xsi:type="xsd:double"&gt;-2.0893097&lt;/D&gt;&lt;D xsi:type="xsd:double"&gt;2.4267793&lt;/D&gt;&lt;D xsi:type="xsd:double"&gt;1.6154408&lt;/D&gt;&lt;D xsi:type="xsd:double"&gt;5.0409794&lt;/D&gt;&lt;D xsi:type="xsd:double"&gt;-5.384314&lt;/D&gt;&lt;D xsi:type="xsd:double"&gt;7.4226737&lt;/D&gt;&lt;/FQL&gt;&lt;FQL&gt;&lt;Q&gt;EWN^FG_PRICE_MAVG(0,,,,30)&lt;/Q&gt;&lt;R&gt;1&lt;/R&gt;&lt;C&gt;1&lt;/C&gt;&lt;D xsi:type="xsd:double"&gt;48.907&lt;/D&gt;&lt;/FQL&gt;&lt;FQL&gt;&lt;Q&gt;ENZL^FG_PRICE(0)&lt;/Q&gt;&lt;R&gt;1&lt;/R&gt;&lt;C&gt;1&lt;/C&gt;&lt;D xsi:type="xsd:double"&gt;50.19&lt;/D&gt;&lt;/FQL&gt;&lt;FQL&gt;&lt;Q&gt;SPY^FG_TOTAL_RETURNC(0,-1AM)&lt;/Q&gt;&lt;R&gt;1&lt;/R&gt;&lt;C&gt;1&lt;/C&gt;&lt;D xsi:type="xsd:double"&gt;4.8418283&lt;/D&gt;&lt;/FQL&gt;&lt;FQL&gt;&lt;Q&gt;VGK^FMA_PCT_ABOVE_MAVG(200,0,,,,"PORTAGG")&lt;/Q&gt;&lt;R&gt;1&lt;/R&gt;&lt;C&gt;1&lt;/C&gt;&lt;D xsi:type="xsd:double"&gt;63.370253164557&lt;/D&gt;&lt;/FQL&gt;&lt;FQL&gt;&lt;Q&gt;ENZL^PERCENT_CHANGE(FMA_EPS(+1,0,,,,"PORTAGG","MEAN"),FMA_EPS(+1,-1AM,,,,"PORTAGG","MEAN"))&lt;/Q&gt;&lt;R&gt;1&lt;/R&gt;&lt;C&gt;1&lt;/C&gt;&lt;D xsi:type="xsd:double"&gt;14.6786282752647&lt;/D&gt;&lt;/FQL&gt;&lt;FQL&gt;&lt;Q&gt;QQQ^SIZE(FG_CONSTITUENTS)&lt;/Q&gt;&lt;R&gt;1&lt;/R&gt;&lt;C&gt;1&lt;/C&gt;&lt;D xsi:type="xsd:long"&gt;102&lt;/D&gt;&lt;/FQL&gt;&lt;FQL&gt;&lt;Q&gt;TRYNL10Y-FDS^PCTCHG(FG_YIELD(0,,,,"YTM"),FG_YIELD(-3AM,,,,"YTM"))&lt;/Q&gt;&lt;R&gt;1&lt;/R&gt;&lt;C&gt;1&lt;/C&gt;&lt;D xsi:type="xsd:double"&gt;-14.605171&lt;/D&gt;&lt;/FQL&gt;&lt;FQL&gt;&lt;Q&gt;VWO^FMA_EVAL_EBIT(LTMA,NOW,NOW,M,"PORTAGG","MEANR")&lt;/Q&gt;&lt;R&gt;1&lt;/R&gt;&lt;C&gt;1&lt;/C&gt;&lt;D xsi:type="xsd:double"&gt;14.4380003546905&lt;/D&gt;&lt;/FQL&gt;&lt;FQL&gt;&lt;Q&gt;EWN^FMA_DIV_YLD(NTMA,NOW,NOW,M,"PORTAGG","MEANR")&lt;/Q&gt;&lt;R&gt;1&lt;/R&gt;&lt;C&gt;1&lt;/C&gt;&lt;D xsi:type="xsd:double"&gt;2.56456471418356&lt;/D&gt;&lt;/FQL&gt;&lt;FQL&gt;&lt;Q&gt;EWC^FMA_PE(LTM,0,,,"PORTAGG","MEANR")&lt;/Q&gt;&lt;R&gt;1&lt;/R&gt;&lt;C&gt;1&lt;/C&gt;&lt;D xsi:type="xsd:double"&gt;18.1981284075963&lt;/D&gt;&lt;/FQL&gt;&lt;FQL&gt;&lt;Q&gt;EWI^FG_TOTAL_RETURNC(0,-12AM)&lt;/Q&gt;&lt;R&gt;1&lt;/R&gt;&lt;C&gt;1&lt;/C&gt;&lt;D xsi:type="xsd:double"&gt;25.478601&lt;/D&gt;&lt;/FQL&gt;&lt;FQL&gt;&lt;Q&gt;EWU^JULIAN(FMA_DIV_YLD(NTMA,NOW,NOW,M,"PORTAGG","MEANR").DATES)&lt;/Q&gt;&lt;R&gt;1&lt;/R&gt;&lt;C&gt;1&lt;/C&gt;&lt;D xsi:type="xsd:long"&gt;45534&lt;/D&gt;&lt;/FQL&gt;&lt;FQL&gt;&lt;Q&gt;EWC^JULIAN(FMA_DIV_YLD(NTMA,NOW,NOW,M,"PORTAGG","MEANR").DATES)&lt;/Q&gt;&lt;R&gt;1&lt;/R&gt;&lt;C&gt;1&lt;/C&gt;&lt;D xsi:type="xsd:long"&gt;45534&lt;/D&gt;&lt;/FQL&gt;&lt;FQL&gt;&lt;Q&gt;PLATI-FDS^FG_PRICE_CHANGE(0,-6AM)&lt;/Q&gt;&lt;R&gt;1&lt;/R&gt;&lt;C&gt;1&lt;/C&gt;&lt;D xsi:type="xsd:double"&gt;4.86486486486486&lt;/D&gt;&lt;/FQL&gt;&lt;FQL&gt;&lt;Q&gt;VWO^FMA_EVAL_EBITDA(NTMA,0,,,"PORTAGG","MEANR")&lt;/Q&gt;&lt;R&gt;1&lt;/R&gt;&lt;C&gt;1&lt;/C&gt;&lt;D xsi:type="xsd:double"&gt;8.97828751386156&lt;/D&gt;&lt;/FQL&gt;&lt;FQL&gt;&lt;Q&gt;TLT^FG_TOTAL_RETURNC(0,-3AM)&lt;/Q&gt;&lt;R&gt;1&lt;/R&gt;&lt;C&gt;1&lt;/C&gt;&lt;D xsi:type="xsd:double"&gt;9.293806&lt;/D&gt;&lt;/FQL&gt;&lt;FQL&gt;&lt;Q&gt;EWA^FMA_EVAL_EBIT(LTMA,NOW,NOW,M,"PORTAGG","MEANR")&lt;/Q&gt;&lt;R&gt;1&lt;/R&gt;&lt;C&gt;1&lt;/C&gt;&lt;D xsi:type="xsd:double"&gt;12.8697409778925&lt;/D&gt;&lt;/FQL&gt;&lt;FQL&gt;&lt;Q&gt;ENZL^JULIAN(FG_TOTAL_RETURNC(-10AY,0,AM).DATES)&lt;/Q&gt;&lt;R&gt;121&lt;/R&gt;&lt;C&gt;1&lt;/C&gt;&lt;D xsi:type="xsd:long"&gt;41894&lt;/D&gt;&lt;D xsi:type="xsd:long"&gt;41922&lt;/D&gt;&lt;D xsi:type="xsd:long"&gt;41955&lt;/D&gt;&lt;D xsi:type="xsd:long"&gt;41985&lt;/D&gt;&lt;D xsi:type="xsd:long"&gt;42016&lt;/D&gt;&lt;D xsi:type="xsd:long"&gt;42047&lt;/D&gt;&lt;D xsi:type="xsd:long"&gt;42075&lt;/D&gt;&lt;D xsi:type="xsd:long"&gt;42104&lt;/D&gt;&lt;D xsi:type="xsd:long"&gt;42136&lt;/D&gt;&lt;D xsi:type="xsd:long"&gt;42167&lt;/D&gt;&lt;D xsi:type="xsd:long"&gt;42195&lt;/D&gt;&lt;D xsi:type="xsd:long"&gt;42228&lt;/D&gt;&lt;D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xsi:type="xsd:long"&gt;45547&lt;/D&gt;&lt;/FQL&gt;&lt;FQL&gt;&lt;Q&gt;SPY^PERCENT_CHANGE(FMA_EPS(+1,0,,,,"PORTAGG","MEAN"),FMA_EPS(+1,-3AM,,,,"PORTAGG","MEAN"))&lt;/Q&gt;&lt;R&gt;1&lt;/R&gt;&lt;C&gt;1&lt;/C&gt;&lt;D xsi:type="xsd:double"&gt;-0.843111062389374&lt;/D&gt;&lt;/FQL&gt;&lt;FQL&gt;&lt;Q&gt;EWI^P_PRICE(0)/P_PRICE_LOW_PR(0,,,,,,"PRICE","INTRA","52W")-1&lt;/Q&gt;&lt;R&gt;1&lt;/R&gt;&lt;C&gt;1&lt;/C&gt;&lt;D xsi:type="xsd:double"&gt;0.3127693&lt;/D&gt;&lt;/FQL&gt;&lt;FQL&gt;&lt;Q&gt;EWJ^FMA_PCT_ABOVE_MAVG(200,0,,,,"PORTAGG")&lt;/Q&gt;&lt;R&gt;1&lt;/R&gt;&lt;C&gt;1&lt;/C&gt;&lt;D xsi:type="xsd:double"&gt;50.251256281407&lt;/D&gt;&lt;/FQL&gt;&lt;FQL&gt;&lt;Q&gt;FXI^FMA_COS_DOWN("EPS","1M",+1,0,,,"PORTAGG","MEANR")&lt;/Q&gt;&lt;R&gt;1&lt;/R&gt;&lt;C&gt;1&lt;/C&gt;&lt;D xsi:type="xsd:double"&gt;21&lt;/D&gt;&lt;/FQL&gt;&lt;FQL&gt;&lt;Q&gt;QQQ^FMA_COS_DOWN("EPS","1M",+1,0,,,"PORTAGG","MEANR")&lt;/Q&gt;&lt;R&gt;1&lt;/R&gt;&lt;C&gt;1&lt;/C&gt;&lt;D xsi:type="xsd:double"&gt;26&lt;/D&gt;&lt;/FQL&gt;&lt;FQL&gt;&lt;Q&gt;TRYNL10Y-FDS^PCTCHG(FG_YIELD(0,,,,"YTM"),FG_YIELD(-1AM,,,,"YTM"))&lt;/Q&gt;&lt;R&gt;1&lt;/R&gt;&lt;C&gt;1&lt;/C&gt;&lt;D xsi:type="xsd:double"&gt;-3.7037077&lt;/D&gt;&lt;/FQL&gt;&lt;FQL&gt;&lt;Q&gt;EWL^FMA_EVAL_EBIT(LTMA,NOW,NOW,M,"PORTAGG","MEANR")&lt;/Q&gt;&lt;R&gt;1&lt;/R&gt;&lt;C&gt;1&lt;/C&gt;&lt;D xsi:type="xsd:double"&gt;17.1057015885552&lt;/D&gt;&lt;/FQL&gt;&lt;FQL&gt;&lt;Q&gt;TLT^FG_TOTAL_RETURNC(0,-1AM)&lt;/Q&gt;&lt;R&gt;1&lt;/R&gt;&lt;C&gt;1&lt;/C&gt;&lt;D xsi:type="xsd:double"&gt;3.985536&lt;/D&gt;&lt;/FQL&gt;&lt;FQL&gt;&lt;Q&gt;ENZL^FMA_PE(NTMA,0,,,"PORTAGG","MEANR")&lt;/Q&gt;&lt;R&gt;1&lt;/R&gt;&lt;C&gt;1&lt;/C&gt;&lt;D xsi:type="xsd:double"&gt;24.080723711179&lt;/D&gt;&lt;/FQL&gt;&lt;FQL&gt;&lt;Q&gt;EWU^FMA_DIV_YLD(NTMA,-10AY,0,AM,"PORTAGG","MEANR")&lt;/Q&gt;&lt;R&gt;121&lt;/R&gt;&lt;C&gt;1&lt;/C&gt;&lt;D xsi:type="xsd:double"&gt;3.92980686965837&lt;/D&gt;&lt;D xsi:type="xsd:double"&gt;4.24200475035231&lt;/D&gt;&lt;D xsi:type="xsd:double"&gt;4.0718576842402&lt;/D&gt;&lt;D xsi:type="xsd:double"&gt;4.29163473287798&lt;/D&gt;&lt;D xsi:type="xsd:double"&gt;4.22563401424052&lt;/D&gt;&lt;D xsi:type="xsd:double"&gt;4.00201203769952&lt;/D&gt;&lt;D xsi:type="xsd:double"&gt;4.03672012162017&lt;/D&gt;&lt;D xsi:type="xsd:double"&gt;3.89618276633237&lt;/D&gt;&lt;D xsi:type="xsd:double"&gt;3.8950972225602&lt;/D&gt;&lt;D xsi:type="xsd:double"&gt;4.01767392468039&lt;/D&gt;&lt;D xsi:type="xsd:double"&gt;4.1361340750538&lt;/D&gt;&lt;D xsi:type="xsd:double"&gt;4.14357519587328&lt;/D&gt;&lt;D xsi:type="xsd:double"&gt;4.48866255992631&lt;/D&gt;&lt;D xsi:type="xsd:double"&gt;4.2443844097229&lt;/D&gt;&lt;D xsi:type="xsd:double"&gt;4.35311712770625&lt;/D&gt;&lt;D xsi:type="xsd:double"&gt;4.47156315389068&lt;/D&gt;&lt;D xsi:type="xsd:double"&gt;4.55376510407403&lt;/D&gt;&lt;D xsi:type="xsd:double"&gt;4.65940023851053&lt;/D&gt;&lt;D xsi:type="xsd:double"&gt;4.37186829960877&lt;/D&gt;&lt;D xsi:type="xsd:double"&gt;4.32017169970141&lt;/D&gt;&lt;D xsi:type="xsd:double"&gt;4.39116873523232&lt;/D&gt;&lt;D xsi:type="xsd:double"&gt;4.38729510758901&lt;/D&gt;&lt;D xsi:type="xsd:double"&gt;4.16385862897716&lt;/D&gt;&lt;D xsi:type="xsd:double"&gt;4.06085857639101&lt;/D&gt;&lt;D xsi:type="xsd:double"&gt;4.20113268177793&lt;/D&gt;&lt;D xsi:type="xsd:double"&gt;4.25047207177295&lt;/D&gt;&lt;D xsi:type="xsd:double"&gt;4.44036754672159&lt;/D&gt;&lt;D xsi:type="xsd:double"&gt;4.36858885393571&lt;/D&gt;&lt;D xsi:type="xsd:double"&gt;4.23226149415959&lt;/D&gt;&lt;D xsi:type="xsd:double"&gt;4.2569869973864&lt;/D&gt;&lt;D xsi:type="xsd:double"&gt;4.3278016601037&lt;/D&gt;&lt;D xsi:type="xsd:double"&gt;4.32869499359501&lt;/D&gt;&lt;D xsi:type="xsd:double"&gt;4.25799264108268&lt;/D&gt;&lt;D xsi:type="xsd:double"&gt;4.27855053047219&lt;/D&gt;&lt;D xsi:type="xsd:double"&gt;4.30509952091583&lt;/D&gt;&lt;D xsi:type="xsd:double"&gt;4.36570533902133&lt;/D&gt;&lt;D xsi:type="xsd:double"&gt;4.3043397784272&lt;/D&gt;&lt;D xsi:type="xsd:double"&gt;4.2584832437934&lt;/D&gt;&lt;D xsi:type="xsd:double"&gt;4.34450700548192&lt;/D&gt;&lt;D xsi:type="xsd:double"&gt;4.30867082731101&lt;/D&gt;&lt;D xsi:type="xsd:double"&gt;4.137597051683&lt;/D&gt;&lt;D xsi:type="xsd:double"&gt;4.47837493007469&lt;/D&gt;&lt;D xsi:type="xsd:double"&gt;4.47386477834367&lt;/D&gt;&lt;D xsi:type="xsd:double"&gt;4.41913638977763&lt;/D&gt;&lt;D xsi:type="xsd:double"&gt;4.2620540999122&lt;/D&gt;&lt;D xsi:type="xsd:double"&gt;4.34006543532111&lt;/D&gt;&lt;D xsi:type="xsd:double"&gt;4.40538687623425&lt;/D&gt;&lt;D xsi:type="xsd:double"&gt;4.45522852636632&lt;/D&gt;&lt;D xsi:type="xsd:double"&gt;4.63604064562801&lt;/D&gt;&lt;D xsi:type="xsd:double"&gt;4.85521550953691&lt;/D&gt;&lt;D xsi:type="xsd:double"&gt;4.88812798399421&lt;/D&gt;&lt;D xsi:type="xsd:double"&gt;5.0810556045977&lt;/D&gt;&lt;D xsi:type="xsd:double"&gt;5.17625245358321&lt;/D&gt;&lt;D xsi:type="xsd:double"&gt;5.00679854840359&lt;/D&gt;&lt;D xsi:type="xsd:double"&gt;4.98612269589094&lt;/D&gt;&lt;D xsi:type="xsd:double"&gt;4.81619065104957&lt;/D&gt;&lt;D xsi:type="xsd:double"&gt;4.98737567884278&lt;/D&gt;&lt;D xsi:type="xsd:double"&gt;4.80319434965648&lt;/D&gt;&lt;D xsi:type="xsd:double"&gt;4.78297953537708&lt;/D&gt;&lt;D xsi:type="xsd:double"&gt;5.09702074096764&lt;/D&gt;&lt;D xsi:type="xsd:double"&gt;4.94814304097141&lt;/D&gt;&lt;D xsi:type="xsd:double"&gt;4.91700513563842&lt;/D&gt;&lt;D xsi:type="xsd:double"&gt;4.78375138732634&lt;/D&gt;&lt;D xsi:type="xsd:double"&gt;4.76311732250231&lt;/D&gt;&lt;D xsi:type="xsd:double"&gt;4.5751415440599&lt;/D&gt;&lt;D xsi:type="xsd:double"&gt;4.63012569041073&lt;/D&gt;&lt;D xsi:type="xsd:double"&gt;6.76969362567281&lt;/D&gt;&lt;D xsi:type="xsd:double"&gt;5.76954106621946&lt;/D&gt;&lt;D xsi:type="xsd:double"&gt;4.54337080839426&lt;/D&gt;&lt;D xsi:type="xsd:double"&gt;4.15143676028155&lt;/D&gt;&lt;D xsi:type="xsd:double"&gt;4.14671353568214&lt;/D&gt;&lt;D xsi:type="xsd:double"&gt;3.85941984419724&lt;/D&gt;&lt;D xsi:type="xsd:double"&gt;4.11042161433814&lt;/D&gt;&lt;D xsi:type="xsd:double"&gt;4.18831644244199&lt;/D&gt;&lt;D xsi:type="xsd:double"&gt;4.0316135511128&lt;/D&gt;&lt;D xsi:type="xsd:double"&gt;3.91369002132342&lt;/D&gt;&lt;D xsi:type="xsd:double"&gt;3.83767028986322&lt;/D&gt;&lt;D xsi:type="xsd:double"&gt;3.98490795425713&lt;/D&gt;&lt;D xsi:type="xsd:double"&gt;3.96184287709847&lt;/D&gt;&lt;D xsi:type="xsd:double"&gt;3.9820996065085&lt;/D&gt;&lt;D xsi:type="xsd:double"&gt;3.9146355107865&lt;/D&gt;&lt;D xsi:type="xsd:double"&gt;3.88337557890241&lt;/D&gt;&lt;D xsi:type="xsd:double"&gt;4.00168407158503&lt;/D&gt;&lt;D xsi:type="xsd:double"&gt;4.13412075776882&lt;/D&gt;&lt;D xsi:type="xsd:double"&gt;4.22521501543159&lt;/D&gt;&lt;D xsi:type="xsd:double"&gt;4.13206337357245&lt;/D&gt;&lt;D xsi:type="xsd:double"&gt;4.01891917699804&lt;/D&gt;&lt;D xsi:type="xsd:double"&gt;4.02122919390466&lt;/D&gt;&lt;D xsi:type="xsd:double"&gt;3.81916254979754&lt;/D&gt;&lt;D xsi:type="xsd:double"&gt;3.76214169445237&lt;/D&gt;&lt;D xsi:type="xsd:double"&gt;4.16608307017141&lt;/D&gt;&lt;D xsi:type="xsd:double"&gt;3.95751026803998&lt;/D&gt;&lt;D xsi:type="xsd:double"&gt;4.28400362156234&lt;/D&gt;&lt;D xsi:type="xsd:double"&gt;4.21898078252048&lt;/D&gt;&lt;D xsi:type="xsd:double"&gt;4.35435924222822&lt;/D&gt;&lt;D xsi:type="xsd:double"&gt;4.18287899962573&lt;/D&gt;&lt;D xsi:type="xsd:double"&gt;4.30828084277599&lt;/D&gt;&lt;D xsi:type="xsd:double"&gt;4.75193708090559&lt;/D&gt;&lt;D xsi:type="xsd:double"&gt;4.38093656749229&lt;/D&gt;&lt;D xsi:type="xsd:double"&gt;4.24872460077926&lt;/D&gt;&lt;D xsi:type="xsd:double"&gt;4.09244874406944&lt;/D&gt;&lt;D xsi:type="xsd:double"&gt;4.09535307383303&lt;/D&gt;&lt;D xsi:type="xsd:double"&gt;4.21483976992072&lt;/D&gt;&lt;D xsi:type="xsd:double"&gt;4.10850274611296&lt;/D&gt;&lt;D xsi:type="xsd:double"&gt;4.2731009809116&lt;/D&gt;&lt;D xsi:type="xsd:double"&gt;4.35943436190927&lt;/D&gt;&lt;D xsi:type="xsd:double"&gt;4.39764710518371&lt;/D&gt;&lt;D xsi:type="xsd:double"&gt;4.42687625577262&lt;/D&gt;&lt;D xsi:type="xsd:double"&gt;4.46745028059813&lt;/D&gt;&lt;D xsi:type="xsd:double"&gt;4.4361431438788&lt;/D&gt;&lt;D xsi:type="xsd:double"&gt;4.6163423421354&lt;/D&gt;&lt;D xsi:type="xsd:double"&gt;4.39629081242994&lt;/D&gt;&lt;D xsi:type="xsd:double"&gt;4.32363993244216&lt;/D&gt;&lt;D xsi:type="xsd:double"&gt;4.31928095994465&lt;/D&gt;&lt;D xsi:type="xsd:double"&gt;4.11062090113097&lt;/D&gt;&lt;D xsi:type="xsd:double"&gt;4.01772165065967&lt;/D&gt;&lt;D xsi:type="xsd:double"&gt;3.81852068823064&lt;/D&gt;&lt;D xsi:type="xsd:double"&gt;3.92291643814212&lt;/D&gt;&lt;D xsi:type="xsd:double"&gt;3.8829746486138&lt;/D&gt;&lt;D xsi:type="xsd:double"&gt;3.93383943244962&lt;/D&gt;&lt;D xsi:type="xsd:double"&gt;3.93899413338562&lt;/D&gt;&lt;/FQL&gt;&lt;FQL&gt;&lt;Q&gt;PLATI-FDS^FG_PRICE_CHANGE(0,-1AM)&lt;/Q&gt;&lt;R&gt;1&lt;/R&gt;&lt;C&gt;1&lt;/C&gt;&lt;D xsi:type="xsd:double"&gt;2.7542372881356&lt;/D&gt;&lt;/FQL&gt;&lt;FQL&gt;&lt;Q&gt;EWQ^FG_PRICE(0)&lt;/Q&gt;&lt;R&gt;1&lt;/R&gt;&lt;C&gt;1&lt;/C&gt;&lt;D xsi:type="xsd:double"&gt;38.99&lt;/D&gt;&lt;/FQL&gt;&lt;FQL&gt;&lt;Q&gt;SPY^PERCENT_CHANGE(FMA_EPS(+1,0,,,,"PORTAGG","MEAN"),FMA_EPS(+1,-1AM,,,,"PORTAGG","MEAN"))&lt;/Q&gt;&lt;R&gt;1&lt;/R&gt;&lt;C&gt;1&lt;/C&gt;&lt;D xsi:type="xsd:double"&gt;0.211495215127141&lt;/D&gt;&lt;/FQL&gt;&lt;FQL&gt;&lt;Q&gt;EWI^P_PRICE(0)/P_PRICE_HIGH_PR(0,,,,,,"PRICE","INTRA","52W")&lt;/Q&gt;&lt;R&gt;1&lt;/R&gt;&lt;C&gt;1&lt;/C&gt;&lt;D xsi:type="xsd:double"&gt;0.967488&lt;/D&gt;&lt;/FQL&gt;&lt;FQL&gt;&lt;Q&gt;EWG^FG_TOTAL_RETURNC(0,-12AM)&lt;/Q&gt;&lt;R&gt;1&lt;/R&gt;&lt;C&gt;1&lt;/C&gt;&lt;D xsi:type="xsd:double"&gt;21.000517&lt;/D&gt;&lt;/FQL&gt;&lt;FQL&gt;&lt;Q&gt;QQQ^FMA_COS_UP("EPS","1M",+1,0,,,"PORTAGG","MEANR")&lt;/Q&gt;&lt;R&gt;1&lt;/R&gt;&lt;C&gt;1&lt;/C&gt;&lt;D xsi:type="xsd:double"&gt;37&lt;/D&gt;&lt;/FQL&gt;&lt;FQL&gt;&lt;Q&gt;TRYUS10Y-FDS^PCTCHG(FG_YIELD(0,,,,"YTM"),FG_YIELD(-1AM,,,,"YTM"))&lt;/Q&gt;&lt;R&gt;1&lt;/R&gt;&lt;C&gt;1&lt;/C&gt;&lt;D xsi:type="xsd:double"&gt;-5.7134085&lt;/D&gt;&lt;/FQL&gt;&lt;FQL&gt;&lt;Q&gt;TRYGB10Y-FDS^FG_YIELD_NAME&lt;/Q&gt;&lt;R&gt;1&lt;/R&gt;&lt;C&gt;1&lt;/C&gt;&lt;D xsi:type="xsd:string"&gt;United Kingdom Benchmark Bond - 10 Year&lt;/D&gt;&lt;/FQL&gt;&lt;FQL&gt;&lt;Q&gt;VWO^FG_FCF_YIELD_NTM(0)&lt;/Q&gt;&lt;R&gt;1&lt;/R&gt;&lt;C&gt;1&lt;/C&gt;&lt;D xsi:type="xsd:double"&gt;5.46191937147909&lt;/D&gt;&lt;/FQL&gt;&lt;FQL&gt;&lt;Q&gt;EWN^FMA_PE(LTM,0,,,"PORTAGG","MEANR")&lt;/Q&gt;&lt;R&gt;1&lt;/R&gt;&lt;C&gt;1&lt;/C&gt;&lt;D xsi:type="xsd:double"&gt;20.9576838543151&lt;/D&gt;&lt;/FQL&gt;&lt;FQL&gt;&lt;Q&gt;EWA^FG_FCF_YIELD_NTM(0)&lt;/Q&gt;&lt;R&gt;1&lt;/R&gt;&lt;C&gt;1&lt;/C&gt;&lt;D xsi:type="xsd:double"&gt;4.83834883167389&lt;/D&gt;&lt;/FQL&gt;&lt;FQL&gt;&lt;Q&gt;USO^P_PRICE(0)/P_PRICE_HIGH_PR(0,,,USD,,,"PRICE","INTRA","52W")&lt;/Q&gt;&lt;R&gt;1&lt;/R&gt;&lt;C&gt;1&lt;/C&gt;&lt;D xsi:type="xsd:double"&gt;0.8379091&lt;/D&gt;&lt;/FQL&gt;&lt;FQL&gt;&lt;Q&gt;EWU^FMA_COS_DOWN("EPS","1M",+1,0,,,"PORTAGG","MEANR")&lt;/Q&gt;&lt;R&gt;1&lt;/R&gt;&lt;C&gt;1&lt;/C&gt;&lt;D xsi:type="xsd:double"&gt;34&lt;/D&gt;&lt;/FQL&gt;&lt;FQL&gt;&lt;Q&gt;EWI^FMA_RBICS_REV_CURRENT(30, LOC, "PORTAGG")&lt;/Q&gt;&lt;R&gt;1&lt;/R&gt;&lt;C&gt;1&lt;/C&gt;&lt;D xsi:type="xsd:double"&gt;38.0511836286508&lt;/D&gt;&lt;/FQL&gt;&lt;FQL&gt;&lt;Q&gt;TRYAU10Y-FDS^FG_YIELD_NAME&lt;/Q&gt;&lt;R&gt;1&lt;/R&gt;&lt;C&gt;1&lt;/C&gt;&lt;D xsi:type="xsd:string"&gt;Australia Benchmark Bond - 10 Year&lt;/D&gt;&lt;/FQL&gt;&lt;FQL&gt;&lt;Q&gt;TRYJP10Y-FDS^PCTCHG(FG_YIELD(0,,,,"YTM"),FG_YIELD(-1AM,,,,"YTM"))&lt;/Q&gt;&lt;R&gt;1&lt;/R&gt;&lt;C&gt;1&lt;/C&gt;&lt;D xsi:type="xsd:double"&gt;1.3486574&lt;/D&gt;&lt;/FQL&gt;&lt;FQL&gt;&lt;Q&gt;EWJ^FMA_DIV_YLD(NTMA,-10AY,0,AM,"PORTAGG","MEANR")&lt;/Q&gt;&lt;R&gt;121&lt;/R&gt;&lt;C&gt;1&lt;/C&gt;&lt;D xsi:type="xsd:double"&gt;2.03087911859775&lt;/D&gt;&lt;D xsi:type="xsd:double"&gt;2.16223506059452&lt;/D&gt;&lt;D xsi:type="xsd:double"&gt;1.9613494706872&lt;/D&gt;&lt;D xsi:type="xsd:double"&gt;1.98230305646273&lt;/D&gt;&lt;D xsi:type="xsd:double"&gt;2.02663394481204&lt;/D&gt;&lt;D xsi:type="xsd:double"&gt;1.96365422937086&lt;/D&gt;&lt;D xsi:type="xsd:double"&gt;1.86382993203494&lt;/D&gt;&lt;D xsi:type="xsd:double"&gt;1.84121609437922&lt;/D&gt;&lt;D xsi:type="xsd:double"&gt;1.87476496463943&lt;/D&gt;&lt;D xsi:type="xsd:double"&gt;1.88186802131432&lt;/D&gt;&lt;D xsi:type="xsd:double"&gt;1.98190899374002&lt;/D&gt;&lt;D xsi:type="xsd:double"&gt;1.9018691110502&lt;/D&gt;&lt;D xsi:type="xsd:double"&gt;2.15276343281783&lt;/D&gt;&lt;D xsi:type="xsd:double"&gt;2.10540834675515&lt;/D&gt;&lt;D xsi:type="xsd:double"&gt;2.01340889945574&lt;/D&gt;&lt;D xs</t>
        </r>
      </text>
    </comment>
    <comment ref="A14" authorId="0" shapeId="0" xr:uid="{8B8AB0F4-94EF-4F16-971F-CAC293C5AE57}">
      <text>
        <r>
          <rPr>
            <b/>
            <sz val="9"/>
            <color indexed="81"/>
            <rFont val="Tahoma"/>
            <charset val="1"/>
          </rPr>
          <t>i:type="xsd:double"&gt;2.07737373551735&lt;/D&gt;&lt;D xsi:type="xsd:double"&gt;2.32470785162513&lt;/D&gt;&lt;D xsi:type="xsd:double"&gt;2.72611818648658&lt;/D&gt;&lt;D xsi:type="xsd:double"&gt;2.36690275269492&lt;/D&gt;&lt;D xsi:type="xsd:double"&gt;2.48287902803494&lt;/D&gt;&lt;D xsi:type="xsd:double"&gt;2.3999232849791&lt;/D&gt;&lt;D xsi:type="xsd:double"&gt;2.37928286589849&lt;/D&gt;&lt;D xsi:type="xsd:double"&gt;2.44915865740849&lt;/D&gt;&lt;D xsi:type="xsd:double"&gt;2.38061433558784&lt;/D&gt;&lt;D xsi:type="xsd:double"&gt;2.38512329962418&lt;/D&gt;&lt;D xsi:type="xsd:double"&gt;2.37499587237878&lt;/D&gt;&lt;D xsi:type="xsd:double"&gt;2.32742917500156&lt;/D&gt;&lt;D xsi:type="xsd:double"&gt;2.09602360451266&lt;/D&gt;&lt;D xsi:type="xsd:double"&gt;2.11273113988096&lt;/D&gt;&lt;D xsi:type="xsd:double"&gt;2.12416716336401&lt;/D&gt;&lt;D xsi:type="xsd:double"&gt;2.11971840524454&lt;/D&gt;&lt;D xsi:type="xsd:double"&gt;2.2746130918821&lt;/D&gt;&lt;D xsi:type="xsd:double"&gt;2.1557088412763&lt;/D&gt;&lt;D xsi:type="xsd:double"&gt;2.17924101118784&lt;/D&gt;&lt;D xsi:type="xsd:double"&gt;2.16325298104767&lt;/D&gt;&lt;D xsi:type="xsd:double"&gt;2.18696468023619&lt;/D&gt;&lt;D xsi:type="xsd:double"&gt;2.20506502832413&lt;/D&gt;&lt;D xsi:type="xsd:double"&gt;2.13438437934356&lt;/D&gt;&lt;D xsi:type="xsd:double"&gt;2.03834834585761&lt;/D&gt;&lt;D xsi:type="xsd:double"&gt;2.05093245949547&lt;/D&gt;&lt;D xsi:type="xsd:double"&gt;1.99754769207599&lt;/D&gt;&lt;D xsi:type="xsd:double"&gt;2.20173165061581&lt;/D&gt;&lt;D xsi:type="xsd:double"&gt;2.22507246783737&lt;/D&gt;&lt;D xsi:type="xsd:double"&gt;2.2713811155011&lt;/D&gt;&lt;D xsi:type="xsd:double"&gt;2.19318180309022&lt;/D&gt;&lt;D xsi:type="xsd:double"&gt;2.22137184708753&lt;/D&gt;&lt;D xsi:type="xsd:double"&gt;2.32759187624754&lt;/D&gt;&lt;D xsi:type="xsd:double"&gt;2.32917541421516&lt;/D&gt;&lt;D xsi:type="xsd:double"&gt;2.37535775675061&lt;/D&gt;&lt;D xsi:type="xsd:double"&gt;2.3726804706327&lt;/D&gt;&lt;D xsi:type="xsd:double"&gt;2.43367436559136&lt;/D&gt;&lt;D xsi:type="xsd:double"&gt;2.54314727495319&lt;/D&gt;&lt;D xsi:type="xsd:double"&gt;2.69154535046905&lt;/D&gt;&lt;D xsi:type="xsd:double"&gt;2.62837629983161&lt;/D&gt;&lt;D xsi:type="xsd:double"&gt;2.56750804913802&lt;/D&gt;&lt;D xsi:type="xsd:double"&gt;2.58356196883387&lt;/D&gt;&lt;D xsi:type="xsd:double"&gt;2.67362095415688&lt;/D&gt;&lt;D xsi:type="xsd:double"&gt;2.68481967639823&lt;/D&gt;&lt;D xsi:type="xsd:double"&gt;2.64662367043927&lt;/D&gt;&lt;D xsi:type="xsd:double"&gt;2.77343685782501&lt;/D&gt;&lt;D xsi:type="xsd:double"&gt;2.60344895025201&lt;/D&gt;&lt;D xsi:type="xsd:double"&gt;2.61505750109942&lt;/D&gt;&lt;D xsi:type="xsd:double"&gt;2.45620737215594&lt;/D&gt;&lt;D xsi:type="xsd:double"&gt;2.45343063251007&lt;/D&gt;&lt;D xsi:type="xsd:double"&gt;2.42976294931197&lt;/D&gt;&lt;D xsi:type="xsd:double"&gt;2.4481086373666&lt;/D&gt;&lt;D xsi:type="xsd:double"&gt;3.12817877629605&lt;/D&gt;&lt;D xsi:type="xsd:double"&gt;2.91891273090207&lt;/D&gt;&lt;D xsi:type="xsd:double"&gt;2.77255645652104&lt;/D&gt;&lt;D xsi:type="xsd:double"&gt;2.50845525668854&lt;/D&gt;&lt;D xsi:type="xsd:double"&gt;2.54229012013272&lt;/D&gt;&lt;D xsi:type="xsd:double"&gt;2.41776614561208&lt;/D&gt;&lt;D xsi:type="xsd:double"&gt;2.36221485967061&lt;/D&gt;&lt;D xsi:type="xsd:double"&gt;2.3649216242697&lt;/D&gt;&lt;D xsi:type="xsd:double"&gt;2.25341411153196&lt;/D&gt;&lt;D xsi:type="xsd:double"&gt;2.16142976618696&lt;/D&gt;&lt;D xsi:type="xsd:double"&gt;2.08262729717413&lt;/D&gt;&lt;D xsi:type="xsd:double"&gt;2.02957906441056&lt;/D&gt;&lt;D xsi:type="xsd:double"&gt;2.05440034694333&lt;/D&gt;&lt;D xsi:type="xsd:double"&gt;2.07625890440097&lt;/D&gt;&lt;D xsi:type="xsd:double"&gt;2.20715055283259&lt;/D&gt;&lt;D xsi:type="xsd:double"&gt;2.16477351162069&lt;/D&gt;&lt;D xsi:type="xsd:double"&gt;2.19359439051417&lt;/D&gt;&lt;D xsi:type="xsd:double"&gt;2.22157872773453&lt;/D&gt;&lt;D xsi:type="xsd:double"&gt;2.12980080595635&lt;/D&gt;&lt;D xsi:type="xsd:double"&gt;2.26162190614707&lt;/D&gt;&lt;D xsi:type="xsd:double"&gt;2.21582597985448&lt;/D&gt;&lt;D xsi:type="xsd:double"&gt;2.31927917711885&lt;/D&gt;&lt;D xsi:type="xsd:double"&gt;2.29412221160067&lt;/D&gt;&lt;D xsi:type="xsd:double"&gt;2.41790896066474&lt;/D&gt;&lt;D xsi:type="xsd:double"&gt;2.70553347225369&lt;/D&gt;&lt;D xsi:type="xsd:double"&gt;2.62902691851983&lt;/D&gt;&lt;D xsi:type="xsd:double"&gt;2.70544286328931&lt;/D&gt;&lt;D xsi:type="xsd:double"&gt;2.58655461015119&lt;/D&gt;&lt;D xsi:type="xsd:double"&gt;2.68778505825873&lt;/D&gt;&lt;D xsi:type="xsd:double"&gt;2.57203477034034&lt;/D&gt;&lt;D xsi:type="xsd:double"&gt;2.57917270808885&lt;/D&gt;&lt;D xsi:type="xsd:double"&gt;2.76749712393642&lt;/D&gt;&lt;D xsi:type="xsd:double"&gt;2.59856578237879&lt;/D&gt;&lt;D xsi:type="xsd:double"&gt;2.64862360165775&lt;/D&gt;&lt;D xsi:type="xsd:double"&gt;2.7190636107779&lt;/D&gt;&lt;D xsi:type="xsd:double"&gt;2.60908499683828&lt;/D&gt;&lt;D xsi:type="xsd:double"&gt;2.57555402676874&lt;/D&gt;&lt;D xsi:type="xsd:double"&gt;2.61764374894407&lt;/D&gt;&lt;D xsi:type="xsd:double"&gt;2.53162841581285&lt;/D&gt;&lt;D xsi:type="xsd:double"&gt;2.36448580909708&lt;/D&gt;&lt;D xsi:type="xsd:double"&gt;2.41417559769549&lt;/D&gt;&lt;D xsi:type="xsd:double"&gt;2.36540009328313&lt;/D&gt;&lt;D xsi:type="xsd:double"&gt;2.31309526732711&lt;/D&gt;&lt;D xsi:type="xsd:double"&gt;2.36393022602263&lt;/D&gt;&lt;D xsi:type="xsd:double"&gt;2.40106163342274&lt;/D&gt;&lt;D xsi:type="xsd:double"&gt;2.4291082318492&lt;/D&gt;&lt;D xsi:type="xsd:double"&gt;2.29752239523818&lt;/D&gt;&lt;D xsi:type="xsd:double"&gt;2.27490644019846&lt;/D&gt;&lt;D xsi:type="xsd:double"&gt;2.22131713541411&lt;/D&gt;&lt;D xsi:type="xsd:double"&gt;2.17622996016363&lt;/D&gt;&lt;D xsi:type="xsd:double"&gt;2.2312119918819&lt;/D&gt;&lt;D xsi:type="xsd:double"&gt;2.24991458485305&lt;/D&gt;&lt;D xsi:type="xsd:double"&gt;2.17391094765929&lt;/D&gt;&lt;D xsi:type="xsd:double"&gt;2.58313701216493&lt;/D&gt;&lt;D xsi:type="xsd:double"&gt;2.51922808344789&lt;/D&gt;&lt;/FQL&gt;&lt;FQL&gt;&lt;Q&gt;PLATI-FDS^FG_PRICE_MAVG(0,,,,30)&lt;/Q&gt;&lt;R&gt;1&lt;/R&gt;&lt;C&gt;1&lt;/C&gt;&lt;D xsi:type="xsd:double"&gt;947.3333&lt;/D&gt;&lt;/FQL&gt;&lt;FQL&gt;&lt;Q&gt;SPY^FG_PRICE_MAVG(0,,,,200)&lt;/Q&gt;&lt;R&gt;1&lt;/R&gt;&lt;C&gt;1&lt;/C&gt;&lt;D xsi:type="xsd:double"&gt;515.41187&lt;/D&gt;&lt;/FQL&gt;&lt;FQL&gt;&lt;Q&gt;EWI^FG_TOTAL_RETURNC(0,-3AM)&lt;/Q&gt;&lt;R&gt;1&lt;/R&gt;&lt;C&gt;1&lt;/C&gt;&lt;D xsi:type="xsd:double"&gt;2.3374557&lt;/D&gt;&lt;/FQL&gt;&lt;FQL&gt;&lt;Q&gt;EWG^P_PRICE(0)/P_PRICE_LOW_PR(0,,,,,,"PRICE","INTRA","52W")-1&lt;/Q&gt;&lt;R&gt;1&lt;/R&gt;&lt;C&gt;1&lt;/C&gt;&lt;D xsi:type="xsd:double"&gt;0.30054653&lt;/D&gt;&lt;/FQL&gt;&lt;FQL&gt;&lt;Q&gt;FXI^FMA_COS_UP("EPS","1M",+1,0,,,"PORTAGG","MEANR")&lt;/Q&gt;&lt;R&gt;1&lt;/R&gt;&lt;C&gt;1&lt;/C&gt;&lt;D xsi:type="xsd:double"&gt;24&lt;/D&gt;&lt;/FQL&gt;&lt;FQL&gt;&lt;Q&gt;VWO^FMA_DIV_YLD(NTMA,NOW,NOW,M,"PORTAGG","MEANR")&lt;/Q&gt;&lt;R&gt;1&lt;/R&gt;&lt;C&gt;1&lt;/C&gt;&lt;D xsi:type="xsd:double"&gt;2.94305335410804&lt;/D&gt;&lt;/FQL&gt;&lt;FQL&gt;&lt;Q&gt;EWL^FMA_EVAL_EBITDA(NTMA,0,,,"PORTAGG","MEANR")&lt;/Q&gt;&lt;R&gt;1&lt;/R&gt;&lt;C&gt;1&lt;/C&gt;&lt;D xsi:type="xsd:double"&gt;13.0529932837067&lt;/D&gt;&lt;/FQL&gt;&lt;FQL&gt;&lt;Q&gt;USO^FG_TOTAL_RETURNC(0,-6AM)&lt;/Q&gt;&lt;R&gt;1&lt;/R&gt;&lt;C&gt;1&lt;/C&gt;&lt;D xsi:type="xsd:double"&gt;-4.717106&lt;/D&gt;&lt;/FQL&gt;&lt;FQL&gt;&lt;Q&gt;EWL^FG_FCF_YIELD_NTM(0)&lt;/Q&gt;&lt;R&gt;1&lt;/R&gt;&lt;C&gt;1&lt;/C&gt;&lt;D xsi:type="xsd:double"&gt;4.81631506341963&lt;/D&gt;&lt;/FQL&gt;&lt;FQL&gt;&lt;Q&gt;EWA^FMA_DIV_YLD(NTMA,NOW,NOW,M,"PORTAGG","MEANR")&lt;/Q&gt;&lt;R&gt;1&lt;/R&gt;&lt;C&gt;1&lt;/C&gt;&lt;D xsi:type="xsd:double"&gt;3.70422940203779&lt;/D&gt;&lt;/FQL&gt;&lt;FQL&gt;&lt;Q&gt;VWO^P_PRICE(0)/P_PRICE_HIGH_PR(0,,,USD,,,"PRICE","INTRA","52W")&lt;/Q&gt;&lt;R&gt;1&lt;/R&gt;&lt;C&gt;1&lt;/C&gt;&lt;D xsi:type="xsd:double"&gt;0.96796066&lt;/D&gt;&lt;/FQL&gt;&lt;FQL&gt;&lt;Q&gt;CPALM-FDS^FG_PRICE_CHANGE(0,-6AM)&lt;/Q&gt;&lt;R&gt;1&lt;/R&gt;&lt;C&gt;1&lt;/C&gt;&lt;D xsi:type="xsd:double"&gt;-4.28571428571428&lt;/D&gt;&lt;/FQL&gt;&lt;FQL&gt;&lt;Q&gt;EWG^FG_TOTAL_RETURNC(0,-6AM)&lt;/Q&gt;&lt;R&gt;1&lt;/R&gt;&lt;C&gt;1&lt;/C&gt;&lt;D xsi:type="xsd:double"&gt;4.782045&lt;/D&gt;&lt;/FQL&gt;&lt;FQL&gt;&lt;Q&gt;EWU^SIZE(FG_CONSTITUENTS)&lt;/Q&gt;&lt;R&gt;1&lt;/R&gt;&lt;C&gt;1&lt;/C&gt;&lt;D xsi:type="xsd:long"&gt;79&lt;/D&gt;&lt;/FQL&gt;&lt;FQL&gt;&lt;Q&gt;TRYCH10Y-FDS^FG_YIELD(0,,,,"YTM")&lt;/Q&gt;&lt;R&gt;1&lt;/R&gt;&lt;C&gt;1&lt;/C&gt;&lt;D xsi:type="xsd:double"&gt;0.441&lt;/D&gt;&lt;/FQL&gt;&lt;FQL&gt;&lt;Q&gt;VWO^JULIAN(FMA_DIV_YLD(NTMA,NOW,NOW,M,"PORTAGG","MEANR").DATES)&lt;/Q&gt;&lt;R&gt;1&lt;/R&gt;&lt;C&gt;1&lt;/C&gt;&lt;D xsi:type="xsd:long"&gt;45504&lt;/D&gt;&lt;/FQL&gt;&lt;FQL&gt;&lt;Q&gt;EWN^JULIAN(FMA_DIV_YLD(NTMA,NOW,NOW,M,"PORTAGG","MEANR").DATES)&lt;/Q&gt;&lt;R&gt;1&lt;/R&gt;&lt;C&gt;1&lt;/C&gt;&lt;D xsi:type="xsd:long"&gt;45534&lt;/D&gt;&lt;/FQL&gt;&lt;FQL&gt;&lt;Q&gt;CPALM-FDS^FG_PRICE_CHANGE(0,-3AM)&lt;/Q&gt;&lt;R&gt;1&lt;/R&gt;&lt;C&gt;1&lt;/C&gt;&lt;D xsi:type="xsd:double"&gt;1.46390711761737&lt;/D&gt;&lt;/FQL&gt;&lt;FQL&gt;&lt;Q&gt;SPY^FG_PRICE_MAVG(0,,,,60)&lt;/Q&gt;&lt;R&gt;1&lt;/R&gt;&lt;C&gt;1&lt;/C&gt;&lt;D xsi:type="xsd:double"&gt;548.8987&lt;/D&gt;&lt;/FQL&gt;&lt;FQL&gt;&lt;Q&gt;EWI^PERCENT_CHANGE(FMA_EPS(+1,0,,,,"PORTAGG","MEAN"),FMA_EPS(+1,-1AM,,,,"PORTAGG","MEAN"))&lt;/Q&gt;&lt;R&gt;1&lt;/R&gt;&lt;C&gt;1&lt;/C&gt;&lt;D xsi:type="xsd:double"&gt;0.380169286559939&lt;/D&gt;&lt;/FQL&gt;&lt;FQL&gt;&lt;Q&gt;REFGBBANK-FDS^(SUBARRAY(NOT_NA(NO_REPEAT_F(FG_YIELD(NOW,-10AY,D))),0,1)-SUBARRAY(NOT_NA(NO_REPEAT_F(FG_YIELD(NOW,-10AY,D))),1,1))*100&lt;/Q&gt;&lt;R&gt;1&lt;/R&gt;&lt;C&gt;1&lt;/C&gt;&lt;D xsi:type="xsd:double"&gt;-25&lt;/D&gt;&lt;/FQL&gt;&lt;FQL&gt;&lt;Q&gt;EWQ^FMA_EVAL_EBIT(LTMA,NOW,NOW,M,"PORTAGG","MEANR")&lt;/Q&gt;&lt;R&gt;1&lt;/R&gt;&lt;C&gt;1&lt;/C&gt;&lt;D xsi:type="xsd:double"&gt;13.348294152818&lt;/D&gt;&lt;/FQL&gt;&lt;FQL&gt;&lt;Q&gt;EWA^FMA_PE(NTMA,0,,,"PORTAGG","MEANR")&lt;/Q&gt;&lt;R&gt;1&lt;/R&gt;&lt;C&gt;1&lt;/C&gt;&lt;D xsi:type="xsd:double"&gt;17.6907421167543&lt;/D&gt;&lt;/FQL&gt;&lt;FQL&gt;&lt;Q&gt;VGK^JULIAN(FMA_DIV_YLD(NTMA,NOW,NOW,M,"PORTAGG","MEANR").DATES)&lt;/Q&gt;&lt;R&gt;1&lt;/R&gt;&lt;C&gt;1&lt;/C&gt;&lt;D xsi:type="xsd:long"&gt;45504&lt;/D&gt;&lt;/FQL&gt;&lt;FQL&gt;&lt;Q&gt;CPALM-FDS^FG_PRICE_MAVG(0,,,,30)&lt;/Q&gt;&lt;R&gt;1&lt;/R&gt;&lt;C&gt;1&lt;/C&gt;&lt;D xsi:type="xsd:double"&gt;3941.7666&lt;/D&gt;&lt;/FQL&gt;&lt;FQL&gt;&lt;Q&gt;SPY^FG_PRICE_MAVG(0,,,,30)&lt;/Q&gt;&lt;R&gt;1&lt;/R&gt;&lt;C&gt;1&lt;/C&gt;&lt;D xsi:type="xsd:double"&gt;547.5283&lt;/D&gt;&lt;/FQL&gt;&lt;FQL&gt;&lt;Q&gt;EWI^FMA_PCT_ABOVE_MAVG(200,0,,,,"PORTAGG")&lt;/Q&gt;&lt;R&gt;1&lt;/R&gt;&lt;C&gt;1&lt;/C&gt;&lt;D xsi:type="xsd:double"&gt;60&lt;/D&gt;&lt;/FQL&gt;&lt;FQL&gt;&lt;Q&gt;QQQ^P_PRICE(0)/P_PRICE_HIGH_PR(0,,,,,,"PRICE","INTRA","52W")&lt;/Q&gt;&lt;R&gt;1&lt;/R&gt;&lt;C&gt;1&lt;/C&gt;&lt;D xsi:type="xsd:double"&gt;0.9398237&lt;/D&gt;&lt;/FQL&gt;&lt;FQL&gt;&lt;Q&gt;EWG^PERCENT_CHANGE(FMA_EPS(+1,0,,,,"PORTAGG","MEAN"),FMA_EPS(+1,-3AM,,,,"PORTAGG","MEAN"))&lt;/Q&gt;&lt;R&gt;1&lt;/R&gt;&lt;C&gt;1&lt;/C&gt;&lt;D xsi:type="xsd:double"&gt;-0.72657552485765&lt;/D&gt;&lt;/FQL&gt;&lt;FQL&gt;&lt;Q&gt;SPY^FMA_RBICS_REV_CURRENT(30, LOC, "PORTAGG")&lt;/Q&gt;&lt;R&gt;1&lt;/R&gt;&lt;C&gt;1&lt;/C&gt;&lt;D xsi:type="xsd:double"&gt;12.8044634335906&lt;/D&gt;&lt;/FQL&gt;&lt;FQL&gt;&lt;Q&gt;REFGBBANK-FDS^FG_YIELD(NOW,,,0)&lt;/Q&gt;&lt;R&gt;1&lt;/R&gt;&lt;C&gt;1&lt;/C&gt;&lt;D xsi:type="xsd:double"&gt;5&lt;/D&gt;&lt;/FQL&gt;&lt;FQL&gt;&lt;Q&gt;TRYGB10Y-FDS^PCTCHG(FG_YIELD(0,,,,"YTM"),FG_YIELD(-3AM,,,,"YTM"))&lt;/Q&gt;&lt;R&gt;1&lt;/R&gt;&lt;C&gt;1&lt;/C&gt;&lt;D xsi:type="xsd:double"&gt;-8.8448515&lt;/D&gt;&lt;/FQL&gt;&lt;FQL&gt;&lt;Q&gt;TRYJP10Y-FDS^FG_YIELD(0,,,,"YTM")&lt;/Q&gt;&lt;R&gt;1&lt;/R&gt;&lt;C&gt;1&lt;/C&gt;&lt;D xsi:type="xsd:double"&gt;0.8642&lt;/D&gt;&lt;/FQL&gt;&lt;FQL&gt;&lt;Q&gt;VGK^FMA_EVAL_EBIT(LTMA,NOW,NOW,M,"PORTAGG","MEANR")&lt;/Q&gt;&lt;R&gt;1&lt;/R&gt;&lt;C&gt;1&lt;/C&gt;&lt;D xsi:type="xsd:double"&gt;13.3461330233976&lt;/D&gt;&lt;/FQL&gt;&lt;FQL&gt;&lt;Q&gt;EWQ^FMA_DIV_YLD(NTMA,NOW,NOW,M,"PORTAGG","MEANR")&lt;/Q&gt;&lt;R&gt;1&lt;/R&gt;&lt;C&gt;1&lt;/C&gt;&lt;D xsi:type="xsd:double"&gt;3.34592565905423&lt;/D&gt;&lt;/FQL&gt;&lt;FQL&gt;&lt;Q&gt;EWL^FMA_DIV_YLD(NTMA,NOW,NOW,M,"PORTAGG","MEANR")&lt;/Q&gt;&lt;R&gt;1&lt;/R&gt;&lt;C&gt;1&lt;/C&gt;&lt;D xsi:type="xsd:double"&gt;3.0847125341828&lt;/D&gt;&lt;/FQL&gt;&lt;FQL&gt;&lt;Q&gt;USO^FG_TOTAL_RETURNC(0,-1AM)&lt;/Q&gt;&lt;R&gt;1&lt;/R&gt;&lt;C&gt;1&lt;/C&gt;&lt;D xsi:type="xsd:double"&gt;-11.115349&lt;/D&gt;&lt;/FQL&gt;&lt;FQL&gt;&lt;Q&gt;REFGBBANK-FDS^PROPER_NAME(0,,,"SECURITY","NAME")&lt;/Q&gt;&lt;R&gt;1&lt;/R&gt;&lt;C&gt;1&lt;/C&gt;&lt;D xsi:type="xsd:string"&gt;UK Bank Rate&lt;/D&gt;&lt;/FQL&gt;&lt;FQL&gt;&lt;Q&gt;EWA^FMA_PE(LTM,0,,,"PORTAGG","MEANR")&lt;/Q&gt;&lt;R&gt;1&lt;/R&gt;&lt;C&gt;1&lt;/C&gt;&lt;D xsi:type="xsd:double"&gt;18.7596177083813&lt;/D&gt;&lt;/FQL&gt;&lt;FQL&gt;&lt;Q&gt;REFCHMPR-FDS^(SUBARRAY(NOT_NA(NO_REPEAT_F(FG_YIELD(NOW,-10AY,D))),0,1)-SUBARRAY(NOT_NA(NO_REPEAT_F(FG_YIELD(NOW,-10AY,D))),1,1))*100&lt;/Q&gt;&lt;R&gt;1&lt;/R&gt;&lt;C&gt;1&lt;/C&gt;&lt;D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xsi:type="xsd:double"&gt;-25&lt;/D&gt;&lt;/FQL&gt;&lt;FQL&gt;&lt;Q&gt;EWL^FMA_PE(LTM,0,,,"PORTAGG","MEANR")&lt;/Q&gt;&lt;R&gt;1&lt;/R&gt;&lt;C&gt;1&lt;/C&gt;&lt;D xsi:type="xsd:double"&gt;21.5868159705155&lt;/D&gt;&lt;/FQL&gt;&lt;FQL&gt;&lt;Q&gt;USDEUR^STD(FG_PRICE_CHANGE(0,-3AY,M))&lt;/Q&gt;&lt;R&gt;1&lt;/R&gt;&lt;C&gt;1&lt;/C&gt;&lt;D xsi:type="xsd:double"&gt;2.18410832220464&lt;/D&gt;&lt;/FQL&gt;&lt;FQL&gt;&lt;Q&gt;EWD^FMA_PE(NTMA,-10AY,0,AM,"PORTAGG","MEANR")&lt;/Q&gt;&lt;R&gt;121&lt;/R&gt;&lt;C&gt;1&lt;/C&gt;&lt;D xsi:type="xsd:double"&gt;14.0724987313292&lt;/D&gt;&lt;D xsi:type="xsd:double"&gt;13.5743584972697&lt;/D&gt;&lt;D xsi:type="xsd:double"&gt;15.2324071780601&lt;/D&gt;&lt;D xsi:type="xsd:double"&gt;15.2689985606935&lt;/D&gt;&lt;D xsi:type="xsd:double"&gt;15.4940680623888&lt;/D&gt;&lt;D xsi:type="xsd:double"&gt;16.6215815950796&lt;/D&gt;&lt;D xsi:type="xsd:double"&gt;17.0807357560313&lt;/D&gt;&lt;D xsi:type="xsd:double"&gt;17.1031650844149&lt;/D&gt;&lt;D xsi:type="xsd:double"&gt;15.28251727452&lt;/D&gt;&lt;D xsi:type="xsd:double"&gt;15.923576783166&lt;/D&gt;&lt;D xsi:type="xsd:double"&gt;15.9021586170153&lt;/D&gt;&lt;D xsi:type="xsd:double"&gt;15.7323471663721&lt;/D&gt;&lt;D xsi:type="xsd:double"&gt;14.8109783630453&lt;/D&gt;&lt;D xsi:type="xsd:double"&gt;15.0244646432922&lt;/D&gt;&lt;D xsi:type="xsd:double"&gt;15.2936038111158&lt;/D&gt;&lt;D xsi:type="xsd:double"&gt;14.4552181498819&lt;/D&gt;&lt;D xsi:type="xsd:double"&gt;14.064098074952&lt;/D&gt;&lt;D xsi:type="xsd:double"&gt;14.1745717619362&lt;/D&gt;&lt;D xsi:type="xsd:double"&gt;15.6747655272162&lt;/D&gt;&lt;D xsi:type="xsd:double"&gt;15.106438283999&lt;/D&gt;&lt;D xsi:type="xsd:double"&gt;14.6922201060657&lt;/D&gt;&lt;D xsi:type="xsd:double"&gt;14.415651769368&lt;/D&gt;&lt;D xsi:type="xsd:double"&gt;14.8858350375425&lt;/D&gt;&lt;D xsi:type="xsd:double"&gt;15.535038698419&lt;/D&gt;&lt;D xsi:type="xsd:double"&gt;15.380281044749&lt;/D&gt;&lt;D xsi:type="xsd:double"&gt;15.964088993371&lt;/D&gt;&lt;D xsi:type="xsd:double"&gt;15.9534793962779&lt;/D&gt;&lt;D xsi:type="xsd:double"&gt;16.6307151613847&lt;/D&gt;&lt;D xsi:type="xsd:double"&gt;16.3528887177814&lt;/D&gt;&lt;D xsi:type="xsd:double"&gt;16.0535738459264&lt;/D&gt;&lt;D xsi:type="xsd:double"&gt;16.8527444954059&lt;/D&gt;&lt;D xsi:type="xsd:double"&gt;16.961949816872&lt;/D&gt;&lt;D xsi:type="xsd:double"&gt;17.1026099700259&lt;/D&gt;&lt;D xsi:type="xsd:double"&gt;16.6955554052826&lt;/D&gt;&lt;D xsi:type="xsd:double"&gt;16.8784450591035&lt;/D&gt;&lt;D xsi:type="xsd:double"&gt;15.7500476247099&lt;/D&gt;&lt;D xsi:type="xsd:double"&gt;16.183317190679&lt;/D&gt;&lt;D xsi:type="xsd:double"&gt;16.813705508623&lt;/D&gt;&lt;D xsi:type="xsd:double"&gt;16.8997188487636&lt;/D&gt;&lt;D xsi:type="xsd:double"&gt;16.5640196162463&lt;/D&gt;&lt;D xsi:type="xsd:double"&gt;16.6348710617046&lt;/D&gt;&lt;D xsi:type="xsd:double"&gt;15.7857269448384&lt;/D&gt;&lt;D xsi:type="xsd:double"&gt;16.4103136209093&lt;/D&gt;&lt;D xsi:type="xsd:double"&gt;15.5274419420517&lt;/D&gt;&lt;D xsi:type="xsd:double"&gt;16.0129220680866&lt;/D&gt;&lt;D xsi:type="xsd:double"&gt;15.5136786607175&lt;/D&gt;&lt;D xsi:type="xsd:double"&gt;15.2939036693454&lt;/D&gt;&lt;D xsi:type="xsd:double"&gt;15.5691015985699&lt;/D&gt;&lt;D xsi:type="xsd:double"&gt;15.4925427780773&lt;/D&gt;&lt;D xsi:type="xsd:double"&gt;14.5692607356763&lt;/D&gt;&lt;D xsi:type="xsd:double"&gt;14.2633328016869&lt;/D&gt;&lt;D xsi:type="xsd:double"&gt;13.9898213269776&lt;/D&gt;&lt;D xsi:type="xsd:double"&gt;13.9631171629353&lt;/D&gt;&lt;D xsi:type="xsd:double"&gt;14.6540514626091&lt;/D&gt;&lt;D xsi:type="xsd:double"&gt;14.7318341085373&lt;/D&gt;&lt;D xsi:type="xsd:double"&gt;15.268900399777&lt;/D&gt;&lt;D xsi:type="xsd:double"&gt;14.9813018503785&lt;/D&gt;&lt;D xsi:type="xsd:double"&gt;14.7846633422026&lt;/D&gt;&lt;D xsi:type="xsd:double"&gt;15.0939481247939&lt;/D&gt;&lt;D xsi:type="xsd:double"&gt;13.6613414082236&lt;/D&gt;&lt;D xsi:type="xsd:double"&gt;14.657304169832&lt;/D&gt;&lt;D xsi:type="xsd:double"&gt;15.0667745209736&lt;/D&gt;&lt;D xsi:type="xsd:double"&gt;15.9965452452066&lt;/D&gt;&lt;D xsi:type="xsd:double"&gt;15.9575164953859&lt;/D&gt;&lt;D xsi:type="xsd:double"&gt;16.2701914172908&lt;/D&gt;&lt;D xsi:type="xsd:double"&gt;17.056244511998&lt;/D&gt;&lt;D xsi:type="xsd:double"&gt;12.0254791213824&lt;/D&gt;&lt;D xsi:type="xsd:double"&gt;15.6842281394485&lt;/D&gt;&lt;D xsi:type="xsd:double"&gt;18.2624558632925&lt;/D&gt;&lt;D xsi:type="xsd:double"&gt;18.4115964851328&lt;/D&gt;&lt;D xsi:type="xsd:double"&gt;19.5199342534149&lt;/D&gt;&lt;D xsi:type="xsd:double"&gt;18.9675204457072&lt;/D&gt;&lt;D xsi:type="xsd:double"&gt;18.2671045540754&lt;/D&gt;&lt;D xsi:type="xsd:double"&gt;18.3836994838884&lt;/D&gt;&lt;D xsi:type="xsd:double"&gt;17.0630922717195&lt;/D&gt;&lt;D xsi:type="xsd:double"&gt;17.1742451198595&lt;/D&gt;&lt;D xsi:type="xsd:double"&gt;18.8084326733585&lt;/D&gt;&lt;D xsi:type="xsd:double"&gt;18.812126664874&lt;/D&gt;&lt;D xsi:type="xsd:double"&gt;20.1108426355075&lt;/D&gt;&lt;D xsi:type="xsd:double"&gt;20.4048412723125&lt;/D&gt;&lt;D xsi:type="xsd:double"&gt;17.8361835702599&lt;/D&gt;&lt;D xsi:type="xsd:double"&gt;18.6963165299631&lt;/D&gt;&lt;D xsi:type="xsd:double"&gt;18.7095127471803&lt;/D&gt;&lt;D xsi:type="xsd:double"&gt;18.7327147602332&lt;/D&gt;&lt;D xsi:type="xsd:double"&gt;18.4758436647682&lt;/D&gt;&lt;D xsi:type="xsd:double"&gt;17.8223508531193&lt;/D&gt;&lt;D xsi:type="xsd:double"&gt;18.9647855969542&lt;/D&gt;&lt;D xsi:type="xsd:double"&gt;18.999171537292&lt;/D&gt;&lt;D xsi:type="xsd:double"&gt;17.9020389147356&lt;/D&gt;&lt;D xsi:type="xsd:double"&gt;16.4303174007052&lt;/D&gt;&lt;D xsi:type="xsd:double"&gt;14.7333133907451&lt;/D&gt;&lt;D xsi:type="xsd:double"&gt;15.0747400434466&lt;/D&gt;&lt;D xsi:type="xsd:double"&gt;15.6219764966931&lt;/D&gt;&lt;D xsi:type="xsd:double"&gt;15.1929871014415&lt;/D&gt;&lt;D xsi:type="xsd:double"&gt;14.8157074091043&lt;/D&gt;&lt;D xsi:type="xsd:double"&gt;15.1008417107399&lt;/D&gt;&lt;D xsi:type="xsd:double"&gt;14.4054791533216&lt;/D&gt;&lt;D xsi:type="xsd:double"&gt;12.900326380815&lt;/D&gt;&lt;D xsi:type="xsd:double"&gt;13.2401359212013&lt;/D&gt;&lt;D xsi:type="xsd:double"&gt;13.1908883823703&lt;/D&gt;&lt;D xsi:type="xsd:double"&gt;13.7440969584372&lt;/D&gt;&lt;D xsi:type="xsd:double"&gt;13.9522418566358&lt;/D&gt;&lt;D xsi:type="xsd:double"&gt;13.7023566875891&lt;/D&gt;&lt;D xsi:type="xsd:double"&gt;13.6903051575833&lt;/D&gt;&lt;D xsi:type="xsd:double"&gt;13.4817538276262&lt;/D&gt;&lt;D xsi:type="xsd:double"&gt;13.7105512596&lt;/D&gt;&lt;D xsi:type="xsd:double"&gt;13.4463467689564&lt;/D&gt;&lt;D xsi:type="xsd:double"&gt;13.0924612303311&lt;/D&gt;&lt;D xsi:type="xsd:double"&gt;12.9342894929413&lt;/D&gt;&lt;D xsi:type="xsd:double"&gt;13.2228190815534&lt;/D&gt;&lt;D xsi:type="xsd:double"&gt;12.7984855615799&lt;/D&gt;&lt;D xsi:type="xsd:double"&gt;15.2084429417551&lt;/D&gt;&lt;D xsi:type="xsd:double"&gt;15.4400868561774&lt;/D&gt;&lt;D xsi:type="xsd:double"&gt;15.8263747259358&lt;/D&gt;&lt;D xsi:type="xsd:double"&gt;16.6870617493076&lt;/D&gt;&lt;D xsi:type="xsd:double"&gt;16.1460935127456&lt;/D&gt;&lt;D xsi:type="xsd:double"&gt;16.4648553842574&lt;/D&gt;&lt;D xsi:type="xsd:double"&gt;16.3612544744017&lt;/D&gt;&lt;D xsi:type="xsd:double"&gt;16.7045656683271&lt;/D&gt;&lt;D xsi:type="xsd:double"&gt;15.3711809180799&lt;/D&gt;&lt;D xsi:type="xsd:double"&gt;15.5776625268684&lt;/D&gt;&lt;/FQL&gt;&lt;FQL&gt;&lt;Q&gt;SPY^FG_PRICE(0)&lt;/Q&gt;&lt;R&gt;1&lt;/R&gt;&lt;C&gt;1&lt;/C&gt;&lt;D xsi:type="xsd:double"&gt;559.09&lt;/D&gt;&lt;/FQL&gt;&lt;FQL&gt;&lt;Q&gt;QQQ^FG_TOTAL_RETURNC(0,-6AM)&lt;/Q&gt;&lt;R&gt;1&lt;/R&gt;&lt;C&gt;1&lt;/C&gt;&lt;D xsi:type="xsd:double"&gt;6.9741726&lt;/D&gt;&lt;/FQL&gt;&lt;FQL&gt;&lt;Q&gt;EWG^PERCENT_CHANGE(FMA_EPS(+1,0,,,,"PORTAGG","MEAN"),FMA_EPS(+1,-1AM,,,,"PORTAGG","MEAN"))&lt;/Q&gt;&lt;R&gt;1&lt;/R&gt;&lt;C&gt;1&lt;/C&gt;&lt;D xsi:type="xsd:double"&gt;-0.389536294403233&lt;/D&gt;&lt;/FQL&gt;&lt;FQL&gt;&lt;Q&gt;EWU^FMA_COS_UP("EPS","1M",+1,0,,,"PORTAGG","MEANR")&lt;/Q&gt;&lt;R&gt;1&lt;/R&gt;&lt;C&gt;1&lt;/C&gt;&lt;D xsi:type="xsd:double"&gt;32&lt;/D&gt;&lt;/FQL&gt;&lt;FQL&gt;&lt;Q&gt;QQQ^FMA_RBICS_REV_CURRENT(30, LOC, "PORTAGG")&lt;/Q&gt;&lt;R&gt;1&lt;/R&gt;&lt;C&gt;1&lt;/C&gt;&lt;D xsi:type="xsd:double"&gt;0.92389603226094&lt;/D&gt;&lt;/FQL&gt;&lt;FQL&gt;&lt;Q&gt;TRYGB10Y-FDS^PCTCHG(FG_YIELD(0,,,,"YTM"),FG_YIELD(-1AM,,,,"YTM"))&lt;/Q&gt;&lt;R&gt;1&lt;/R&gt;&lt;C&gt;1&lt;/C&gt;&lt;D xsi:type="xsd:double"&gt;-4.1179442&lt;/D&gt;&lt;/FQL&gt;&lt;FQL&gt;&lt;Q&gt;VGK^FMA_EVAL_EBITDA(NTMA,0,,,"PORTAGG","MEANR")&lt;/Q&gt;&lt;R&gt;1&lt;/R&gt;&lt;C&gt;1&lt;/C&gt;&lt;D xsi:type="xsd:double"&gt;8.86280238916196&lt;/D&gt;&lt;/FQL&gt;&lt;FQL&gt;&lt;Q&gt;EWL^FMA_PE(NTMA,0,,,"PORTAGG","MEANR")&lt;/Q&gt;&lt;R&gt;1&lt;/R&gt;&lt;C&gt;1&lt;/C&gt;&lt;D xsi:type="xsd:double"&gt;17.0296891122169&lt;/D&gt;&lt;/FQL&gt;&lt;FQL&gt;&lt;Q&gt;TRYCH10Y-FDS^PCTCHG(FG_YIELD(0,,,,"YTM"),FG_YIELD(-3AM,,,,"YTM"))&lt;/Q&gt;&lt;R&gt;1&lt;/R&gt;&lt;C&gt;1&lt;/C&gt;&lt;D xsi:type="xsd:double"&gt;-45.35316&lt;/D&gt;&lt;/FQL&gt;&lt;FQL&gt;&lt;Q&gt;TRYDE10Y-FDS^FG_YIELD(0,,,,"YTM")&lt;/Q&gt;&lt;R&gt;1&lt;/R&gt;&lt;C&gt;1&lt;/C&gt;&lt;D xsi:type="xsd:double"&gt;2.153&lt;/D&gt;&lt;/FQL&gt;&lt;FQL&gt;&lt;Q&gt;VGK^FG_FCF_YIELD_NTM(0)&lt;/Q&gt;&lt;R&gt;1&lt;/R&gt;&lt;C&gt;1&lt;/C&gt;&lt;D xsi:type="xsd:double"&gt;5.28265832219818&lt;/D&gt;&lt;/FQL&gt;&lt;FQL&gt;&lt;Q&gt;EWQ^FMA_PE(NTMA,0,,,"PORTAGG","MEANR")&lt;/Q&gt;&lt;R&gt;1&lt;/R&gt;&lt;C&gt;1&lt;/C&gt;&lt;D xsi:type="xsd:double"&gt;13.4139585576845&lt;/D&gt;&lt;/FQL&gt;&lt;FQL&gt;&lt;Q&gt;EWA^JULIAN(FMA_DIV_YLD(NTMA,NOW,NOW,M,"PORTAGG","MEANR").DATES)&lt;/Q&gt;&lt;R&gt;1&lt;/R&gt;&lt;C&gt;1&lt;/C&gt;&lt;D xsi:type="xsd:long"&gt;45534&lt;/D&gt;&lt;/FQL&gt;&lt;FQL&gt;&lt;Q&gt;DBA^P_PRICE(0)/P_PRICE_HIGH_PR(0,,,USD,,,"PRICE","INTRA","52W")&lt;/Q&gt;&lt;R&gt;1&lt;/R&gt;&lt;C&gt;1&lt;/C&gt;&lt;D xsi:type="xsd:double"&gt;0.9377937&lt;/D&gt;&lt;/FQL&gt;&lt;FQL&gt;&lt;Q&gt;EWL^FMA_RBICS_REV_CURRENT(30, LOC, "PORTAGG")&lt;/Q&gt;&lt;R&gt;1&lt;/R&gt;&lt;C&gt;1&lt;/C&gt;&lt;D xsi:type="xsd:double"&gt;17.5284373745121&lt;/D&gt;&lt;/FQL&gt;&lt;FQL&gt;&lt;Q&gt;REFCHMPR-FDS^PROPER_NAME(0,,,"SECURITY","NAME")&lt;/Q&gt;&lt;R&gt;1&lt;/R&gt;&lt;C&gt;1&lt;/C&gt;&lt;D xsi:type="xsd:string"&gt;Swiss Policy Rate - Sight Deposit Rate&lt;/D&gt;&lt;/FQL&gt;&lt;FQL&gt;&lt;Q&gt;EWQ^FMA_PE(LTM,0,,,"PORTAGG","MEANR")&lt;/Q&gt;&lt;R&gt;1&lt;/R&gt;&lt;C&gt;1&lt;/C&gt;&lt;D xsi:type="xsd:double"&gt;16.534265684185&lt;/D&gt;&lt;/FQL&gt;&lt;FQL&gt;&lt;Q&gt;DBA^FG_TOTAL_RETURNC(0,-6AM)&lt;/Q&gt;&lt;R&gt;1&lt;/R&gt;&lt;C&gt;1&lt;/C&gt;&lt;D xsi:type="xsd:double"&gt;8.47826&lt;/D&gt;&lt;/FQL&gt;&lt;FQL&gt;&lt;Q&gt;QQQ^PERCENT_CHANGE(FMA_EPS(+1,0,,,,"PORTAGG","MEAN"),FMA_EPS(+1,-1AM,,,,"PORTAGG","MEAN"))&lt;/Q&gt;&lt;R&gt;1&lt;/R&gt;&lt;C&gt;1&lt;/C&gt;&lt;D xsi:type="xsd:double"&gt;0.616427075721871&lt;/D&gt;&lt;/FQL&gt;&lt;FQL&gt;&lt;Q&gt;URTH^FMA_COS_DOWN("EPS","1M",+1,0,,,"PORTAGG","MEANR")&lt;/Q&gt;&lt;R&gt;1&lt;/R&gt;&lt;C&gt;1&lt;/C&gt;&lt;D xsi:type="xsd:double"&gt;515&lt;/D&gt;&lt;/FQL&gt;&lt;FQL&gt;&lt;Q&gt;EWJ^FMA_RBICS_REV_CURRENT(30, LOC, "PORTAGG")&lt;/Q&gt;&lt;R&gt;1&lt;/R&gt;&lt;C&gt;1&lt;/C&gt;&lt;D xsi:type="xsd:double"&gt;18.4737986742215&lt;/D&gt;&lt;/FQL&gt;&lt;FQL&gt;&lt;Q&gt;EWQ^JULIAN(FMA_DIV_YLD(NTMA,NOW,NOW,M,"PORTAGG","MEANR").DATES)&lt;/Q&gt;&lt;R&gt;1&lt;/R&gt;&lt;C&gt;1&lt;/C&gt;&lt;D xsi:type="xsd:long"&gt;45534&lt;/D&gt;&lt;/FQL&gt;&lt;FQL&gt;&lt;Q&gt;ENZL^FMA_EVAL_EBIT(LTMA,NOW,NOW,M,"PORTAGG","MEANR")&lt;/Q&gt;&lt;R&gt;1&lt;/R&gt;&lt;C&gt;1&lt;/C&gt;&lt;D xsi:type="xsd:double"&gt;21.6175078655264&lt;/D&gt;&lt;/FQL&gt;&lt;FQL&gt;&lt;Q&gt;USDEUR^FG_PRICE_CHANGE(0,-6AM)&lt;/Q&gt;&lt;R&gt;1&lt;/R&gt;&lt;C&gt;1&lt;/C&gt;&lt;D xsi:type="xsd:double"&gt;-1.1050701&lt;/D&gt;&lt;/FQL&gt;&lt;FQL&gt;&lt;Q&gt;EWJ^FMA_PE(NTMA,-10AY,0,AM,"PORTAGG","MEANR")&lt;/Q&gt;&lt;R&gt;121&lt;/R&gt;&lt;C&gt;1&lt;/C&gt;&lt;D xsi:type="xsd:double"&gt;13.9407136115072&lt;/D&gt;&lt;D xsi:type="xsd:double"&gt;13.1596564540028&lt;/D&gt;&lt;D xsi:type="xsd:double"&gt;14.427812339139&lt;/D&gt;&lt;D xsi:type="xsd:double"&gt;14.2531287900094&lt;/D&gt;&lt;D xsi:type="xsd:double"&gt;13.9127067535441&lt;/D&gt;&lt;D xsi:type="xsd:double"&gt;14.4072466283708&lt;/D&gt;&lt;D xsi:type="xsd:double"&gt;15.2972185807974&lt;/D&gt;&lt;D xsi:type="xsd:double"&gt;15.6172877626872&lt;/D&gt;&lt;D xsi:type="xsd:double"&gt;15.8620172333189&lt;/D&gt;&lt;D xsi:type="xsd:double"&gt;15.9038899955519&lt;/D&gt;&lt;D xsi:type="xsd:double"&gt;14.9094105664143&lt;/D&gt;&lt;D xsi:type="xsd:double"&gt;15.4748057070804&lt;/D&gt;&lt;D xsi:type="xsd:double"&gt;13.6481190642019&lt;/D&gt;&lt;D xsi:type="xsd:double"&gt;13.9926440476485&lt;/D&gt;&lt;D xsi:type="xsd:double"&gt;14.7089963319446&lt;/D&gt;&lt;D xsi:type="xsd:double"&gt;14.1751031803682&lt;/D&gt;&lt;D xsi:type="xsd:double"&gt;12.6960909520226&lt;/D&gt;&lt;D xsi:type="xsd:double"&gt;11.0013808009965&lt;/D&gt;&lt;D xsi:type="xsd:double"&gt;12.9482155711046&lt;/D&gt;&lt;D xsi:type="xsd:double"&gt;12.3834710542254&lt;/D&gt;&lt;D xsi:type="xsd:double"&gt;13.0212513158997&lt;/D&gt;&lt;D xsi:type="xsd:double"&gt;13.3577855484663&lt;/D&gt;&lt;D xsi:type="xsd:double"&gt;13.1180273448137&lt;/D&gt;&lt;D xsi:type="xsd:double"&gt;13.4356193501105&lt;/D&gt;&lt;D xsi:type="xsd:double"&gt;13.4005560211573&lt;/D&gt;&lt;D xsi:type="xsd:double"&gt;13.4099889717933&lt;/D&gt;&lt;D xsi:type="xsd:double"&gt;13.6887554780824&lt;/D&gt;&lt;D xsi:type="xsd:double"&gt;14.9654774893597&lt;/D&gt;&lt;D xsi:type="xsd:double"&gt;14.759029697002&lt;/D&gt;&lt;D xsi:type="xsd:double"&gt;14.4869528859572&lt;/D&gt;&lt;D xsi:type="xsd:double"&gt;14.403819184986&lt;/D&gt;&lt;D xsi:type="xsd:double"&gt;13.4370757457513&lt;/D&gt;&lt;D xsi:type="xsd:double"&gt;14.3116276988095&lt;/D&gt;&lt;D xsi:type="xsd:double"&gt;14.3157565194781&lt;/D&gt;&lt;D xsi:type="xsd:double"&gt;14.2681741780602&lt;/D&gt;&lt;D xsi:type="xsd:double"&gt;13.9592770856528&lt;/D&gt;&lt;D xsi:type="xsd:double"&gt;13.7068102908862&lt;/D&gt;&lt;D xsi:type="xsd:double"&gt;14.1195701112771&lt;/D&gt;&lt;D xsi:type="xsd:double"&gt;14.8770236369231&lt;/D&gt;&lt;D xsi:type="xsd:double"&gt;14.7525515613711&lt;/D&gt;&lt;D xsi:type="xsd:double"&gt;15.2294733698464&lt;/D&gt;&lt;D xsi:type="xsd:double"&gt;13.7047801095539&lt;/D&gt;&lt;D xsi:type="xsd:double"&gt;13.0343516666508&lt;/D&gt;&lt;D xsi:type="xsd:double"&gt;12.7933658124216&lt;/D&gt;&lt;D xsi:type="xsd:double"&gt;13.3479615239113&lt;/D&gt;&lt;D xsi:type="xsd:double"&gt;13.2449647449425&lt;/D&gt;&lt;D xsi:type="xsd:double"&gt;12.6500810486943&lt;/D&gt;&lt;D xsi:type="xsd:double"&gt;12.6502865565222&lt;/D&gt;&lt;D xsi:type="xsd:double"&gt;12.3731355299693&lt;/D&gt;&lt;D xsi:type="xsd:double"&gt;12.421521541262&lt;/D&gt;&lt;D xsi:type="xsd:double"&gt;12.193762910577&lt;/D&gt;&lt;D xsi:type="xsd:double"&gt;11.8665635379244&lt;/D&gt;&lt;D xsi:type="xsd:double"&gt;11.4645766704021&lt;/D&gt;&lt;D xsi:type="xsd:double"&gt;12.0397130837612&lt;/D&gt;&lt;D xsi:type="xsd:double"&gt;12.5399272967361&lt;/D&gt;&lt;D xsi:type="xsd:double"&gt;12.6040049477169&lt;/D&gt;&lt;D xsi:type="xsd:double"&gt;12.2375211438426&lt;/D&gt;&lt;D xsi:type="xsd:double"&gt;12.6482675956671&lt;/D&gt;&lt;D xsi:type="xsd:double"&gt;12.9252039439024&lt;/D&gt;&lt;D xsi:type="xsd:double"&gt;12.3889989736902&lt;/D&gt;&lt;D xsi:type="xsd:double"&gt;13.3132914673932&lt;/D&gt;&lt;D xsi:type="xsd:double"&gt;13.2674942504699&lt;/D&gt;&lt;D xsi:type="xsd:double"&gt;14.2100796998369&lt;/D&gt;&lt;D xsi:type="xsd:double"&gt;14.4663756522197&lt;/D&gt;&lt;D xsi:type="xsd:double"&gt;14.6490007714047&lt;/D&gt;&lt;D xsi:type="xsd:double"&gt;14.4707464151895&lt;/D&gt;&lt;D xsi:type="xsd:double"&gt;11.5484191462561&lt;/D&gt;&lt;D xsi:type="xsd:double"&gt;12.8765987539974&lt;/D&gt;&lt;D xsi:type="xsd:double"&gt;14.421608491961&lt;/D&gt;&lt;D xsi:type="xsd:double"&gt;17.2625611061717&lt;/D&gt;&lt;D xsi:type="xsd:double"&gt;17.4987566456253&lt;/D&gt;&lt;D xsi:type="xsd:double"&gt;17.7701819048906&lt;/D&gt;&lt;D xsi:type="xsd:double"&gt;18.374326510634&lt;/D&gt;&lt;D xsi:type="xsd:double"&gt;18.1323702012612&lt;/D&gt;&lt;D xsi:type="xsd:double"&gt;18.5012112546455&lt;/D&gt;&lt;D xsi:type="xsd:double"&gt;18.4881250333691&lt;/D&gt;&lt;D xsi:type="xsd:double"&gt;18.7481540150477&lt;/D&gt;&lt;D xsi:type="xsd:double"&gt;18.9205339579681&lt;/D&gt;&lt;D xsi:type="xsd:double"&gt;17.9672718235037&lt;/D&gt;&lt;D xsi:type="xsd:double"&gt;17.3880944041119&lt;/D&gt;&lt;D xsi:type="xsd:double"&gt;16.3520978690793&lt;/D&gt;&lt;D xsi:type="xsd:double"&gt;16.4842159920826&lt;/D&gt;&lt;D xsi:type="xsd:double"&gt;16.2074384389936&lt;/D&gt;&lt;D xsi:type="xsd:double"&gt;15.7866907521449&lt;/D&gt;&lt;D xsi:type="xsd:double"&gt;16.1269065674592&lt;/D&gt;&lt;D xsi:type="xsd:double"&gt;15.0926068107641&lt;/D&gt;&lt;D xsi:type="xsd:double"&gt;15.4077849516217&lt;/D&gt;&lt;D xsi:type="xsd:double"&gt;14.5354439193374&lt;/D&gt;&lt;D xsi:type="xsd:double"&gt;14.6699667004038&lt;/D&gt;&lt;D xsi:type="xsd:double"&gt;13.9138062533578&lt;/D&gt;&lt;D xsi:type="xsd:double"&gt;12.3279872542966&lt;/D&gt;&lt;D xsi:type="xsd:double"&gt;12.6803789497935&lt;/D&gt;&lt;D xsi:type="xsd:double"&gt;12.2684713121008&lt;/D&gt;&lt;D xsi:type="xsd:double"&gt;12.9388352819487&lt;/D&gt;&lt;D xsi:type="xsd:double"&gt;12.3954187090177&lt;/D&gt;&lt;D xsi:type="xsd:double"&gt;12.9635295697286&lt;/D&gt;&lt;D xsi:type="xsd:double"&gt;12.9398914301969&lt;/D&gt;&lt;D xsi:type="xsd:double"&gt;12.0853454705664&lt;/D&gt;&lt;D xsi:type="xsd:double"&gt;12.8816887797732&lt;/D&gt;&lt;D xsi:type="xsd:double"&gt;12.7130697520484&lt;/D&gt;&lt;D xsi:type="xsd:double"&gt;12.4043006355152&lt;/D&gt;&lt;D xsi:type="xsd:double"&gt;13.0462945148309&lt;/D&gt;&lt;D xsi:type="xsd:double"&gt;13.2766275162845&lt;/D&gt;&lt;D xsi:type="xsd:double"&gt;13.203984186364&lt;/D&gt;&lt;D xsi:type="xsd:double"&gt;13.7481711704381&lt;/D&gt;&lt;D xsi:type="xsd:double"&gt;14.6384432073827&lt;/D&gt;&lt;D xsi:type="xsd:double"&gt;14.3482525612129&lt;/D&gt;&lt;D xsi:type="xsd:double"&gt;14.5307347833241&lt;/D&gt;&lt;D xsi:type="xsd:double"&gt;14.7892669367488&lt;/D&gt;&lt;D xsi:type="xsd:double"&gt;14.4775726980349&lt;/D&gt;&lt;D xsi:type="xsd:double"&gt;14.2218305339527&lt;/D&gt;&lt;D xsi:type="xsd:double"&gt;14.0475234791186&lt;/D&gt;&lt;D xsi:type="xsd:double"&gt;14.8080033415326&lt;/D&gt;&lt;D xsi:type="xsd:double"&gt;15.0109407794016&lt;/D&gt;&lt;D xsi:type="xsd:double"&gt;15.3033790748233&lt;/D&gt;&lt;D xsi:type="xsd:double"&gt;15.7060806922502&lt;/D&gt;&lt;D xsi:type="xsd:double"&gt;15.319672893605&lt;/D&gt;&lt;D xsi:type="xsd:double"&gt;15.4024462136134&lt;/D&gt;&lt;D xsi:type="xsd:double"&gt;16.0272626286926&lt;/D&gt;&lt;D xsi:type="xsd:double"&gt;13.4143639795665&lt;/D&gt;&lt;D xsi:type="xsd:double"&gt;13.7924347699297&lt;/D&gt;&lt;/FQL&gt;&lt;FQL&gt;&lt;Q&gt;W-FDS^FG_PRICE_CHANGE(0,-6AM)&lt;/Q&gt;&lt;R&gt;1&lt;/R&gt;&lt;C&gt;1&lt;/C&gt;&lt;D xsi:type="xsd:double"&gt;5.13538748832865&lt;/D&gt;&lt;/FQL&gt;&lt;FQL&gt;&lt;Q&gt;QQQ^FG_PRICE(0)&lt;/Q&gt;&lt;R&gt;1&lt;/R&gt;&lt;C&gt;1&lt;/C&gt;&lt;D xsi:type="xsd:double"&gt;473.22&lt;/D&gt;&lt;/FQL&gt;&lt;FQL&gt;&lt;Q&gt;EWD^FG_TOTAL_RETURNC(0,-12AM)&lt;/Q&gt;&lt;R&gt;1&lt;/R&gt;&lt;C&gt;1&lt;/C&gt;&lt;D xsi:type="xsd:double"&gt;29.88857&lt;/D&gt;&lt;/FQL&gt;&lt;FQL&gt;&lt;Q&gt;EWJ^SIZE(FG_CONSTITUENTS)&lt;/Q&gt;&lt;R&gt;1&lt;/R&gt;&lt;C&gt;1&lt;/C&gt;&lt;D xsi:type="xsd:long"&gt;199&lt;/D&gt;&lt;/FQL&gt;&lt;FQL&gt;&lt;Q&gt;EWU^FMA_RBICS_REV_CURRENT(30, LOC, "PORTAGG")&lt;/Q&gt;&lt;R&gt;1&lt;/R&gt;&lt;C&gt;1&lt;/C&gt;&lt;D xsi:type="xsd:double"&gt;19.2590072352383&lt;/D&gt;&lt;/FQL&gt;&lt;FQL&gt;&lt;Q&gt;TRYCA10Y-FDS^FG_YIELD(0,,,,"YTM")&lt;/Q&gt;&lt;R&gt;1&lt;/R&gt;&lt;C&gt;1&lt;/C&gt;&lt;D xsi:type="xsd:double"&gt;2.9187&lt;/D&gt;&lt;/FQL&gt;&lt;FQL&gt;&lt;Q&gt;EWJ^FMA_EVAL_EBIT(LTMA,NOW,NOW,M,"PORTAGG","MEANR")&lt;/Q&gt;&lt;R&gt;1&lt;/R&gt;&lt;C&gt;1&lt;/C&gt;&lt;D xsi:type="xsd:double"&gt;17.0933818709319&lt;/D&gt;&lt;/FQL&gt;&lt;FQL&gt;&lt;Q&gt;W-FDS^FG_PRICE_CHANGE(0,-1AM)&lt;/Q&gt;&lt;R&gt;1&lt;/R&gt;&lt;C&gt;1&lt;/C&gt;&lt;D xsi:type="xsd:double"&gt;4.8905449464369&lt;/D&gt;&lt;/FQL&gt;&lt;FQL&gt;&lt;Q&gt;EWC^FMA_PE(NTMA,-10AY,0,AM,"PORTAGG","MEANR")&lt;/Q&gt;&lt;R&gt;121&lt;/R&gt;&lt;C&gt;1&lt;/C&gt;&lt;D xsi:type="xsd:double"&gt;15.1331289476547&lt;/D&gt;&lt;D xsi:type="xsd:double"&gt;13.7566973440183&lt;/D&gt;&lt;D xsi:type="xsd:double"&gt;14.6740786998623&lt;/D&gt;&lt;D xsi:type="xsd:double"&gt;14.4756396890698&lt;/D&gt;&lt;D xsi:type="xsd:double"&gt;15.2539733970248&lt;/D&gt;&lt;D xsi:type="xsd:double"&gt;17.3842606241492&lt;/D&gt;&lt;D xsi:type="xsd:double"&gt;16.9463634180449&lt;/D&gt;&lt;D xsi:type="xsd:double"&gt;17.3889493103798&lt;/D&gt;&lt;D xsi:type="xsd:double"&gt;16.7840429665152&lt;/D&gt;&lt;D xsi:type="xsd:double"&gt;16.2098284864258&lt;/D&gt;&lt;D xsi:type="xsd:double"&gt;15.6507552079045&lt;/D&gt;&lt;D xsi:type="xsd:double"&gt;15.4994165982953&lt;/D&gt;&lt;D xsi:type="xsd:double"&gt;14.6495285211832&lt;/D&gt;&lt;D xsi:type="xsd:double"&gt;15.2095682434334&lt;/D&gt;&lt;D xsi:type="xsd:double"&gt;14.3400074114265&lt;/D&gt;&lt;D xsi:type="xsd:double"&gt;13.9753990109654&lt;/D&gt;&lt;D xsi:type="xsd:double"&gt;13.6310205915928&lt;/D&gt;&lt;D xsi:type="xsd:double"&gt;14.2089876539957&lt;/D&gt;&lt;D xsi:type="xsd:double"&gt;15.764855796024&lt;/D&gt;&lt;D xsi:type="xsd:double"&gt;16.0352809272495&lt;/D&gt;&lt;D xsi:type="xsd:double"&gt;16.2890287057709&lt;/D&gt;&lt;D xsi:type="xsd:double"&gt;16.5638660182303&lt;/D&gt;&lt;D xsi:type="xsd:double"&gt;16.5934394634833&lt;/D&gt;&lt;D xsi:type="xsd:double"&gt;16.5464967313097&lt;/D&gt;&lt;D xsi:type="xsd:double"&gt;16.1193745187583&lt;/D&gt;&lt;D xsi:type="xsd:double"&gt;15.978705671797&lt;/D&gt;&lt;D xsi:type="xsd:double"&gt;15.6758626920737&lt;/D&gt;&lt;D xsi:type="xsd:double"&gt;15.9240162079385&lt;/D&gt;&lt;D xsi:type="xsd:double"&gt;15.8647717307565&lt;/D&gt;&lt;D xsi:type="xsd:double"&gt;16.2379249672495&lt;/D&gt;&lt;D xsi:type="xsd:double"&gt;15.9114596927576&lt;/D&gt;&lt;D xsi:type="xsd:double"&gt;15.8975351964404&lt;/D&gt;&lt;D xsi:type="xsd:double"&gt;15.6157592980341&lt;/D&gt;&lt;D xsi:type="xsd:double"&gt;15.3968820653791&lt;/D&gt;&lt;D xsi:type="xsd:double"&gt;15.2634261225841&lt;/D&gt;&lt;D xsi:type="xsd:double"&gt;15.4348748627939&lt;/D&gt;&lt;D xsi:type="xsd:double"&gt;15.2767551908827&lt;/D&gt;&lt;D xsi:type="xsd:double"&gt;15.7170463858824&lt;/D&gt;&lt;D xsi:type="xsd:double"&gt;15.9309487680888&lt;/D&gt;&lt;D xsi:type="xsd:double"&gt;16.0048601909634&lt;/D&gt;&lt;D xsi:type="xsd:double"&gt;15.8605221565807&lt;/D&gt;&lt;D xsi:type="xsd:double"&gt;14.4406139261771&lt;/D&gt;&lt;D xsi:type="xsd:double"&gt;14.4652675467517&lt;/D&gt;&lt;D xsi:type="xsd:double"&gt;13.977047348244&lt;/D&gt;&lt;D xsi:type="xsd:double"&gt;14.3439645129227&lt;/D&gt;&lt;D xsi:type="xsd:double"&gt;14.3926002711777&lt;/D&gt;&lt;D xsi:type="xsd:double"&gt;14.3782177395776&lt;/D&gt;&lt;D xsi:type="xsd:double"&gt;14.0206898622599&lt;/D&gt;&lt;D xsi:type="xsd:double"&gt;13.5310721303526&lt;/D&gt;&lt;D xsi:type="xsd:double"&gt;12.8759536274433&lt;/D&gt;&lt;D xsi:type="xsd:double"&gt;12.5969887100128&lt;/D&gt;&lt;D xsi:type="xsd:double"&gt;12.4743323226527&lt;/D&gt;&lt;D xsi:type="xsd:double"&gt;12.9128227284111&lt;/D&gt;&lt;D xsi:type="xsd:double"&gt;13.8058155744144&lt;/D&gt;&lt;D xsi:type="xsd:double"&gt;14.206386310445&lt;/D&gt;&lt;D xsi:type="xsd:double"&gt;14.0674127514822&lt;/D&gt;&lt;D xsi:type="xsd:double"&gt;13.600233920858&lt;/D&gt;&lt;D xsi:type="xsd:double"&gt;13.4886959345104&lt;/D&gt;&lt;D xsi:type="xsd:double"&gt;13.6863297151202&lt;/D&gt;&lt;D xsi:type="xsd:double"&gt;13.5010593342411&lt;/D&gt;&lt;D xsi:type="xsd:double"&gt;13.9165532860911&lt;/D&gt;&lt;D xsi:type="xsd:double"&gt;13.769537392674&lt;/D&gt;&lt;D xsi:type="xsd:double"&gt;14.3146871420628&lt;/D&gt;&lt;D xsi:type="xsd:double"&gt;14.3132843792322&lt;/D&gt;&lt;D xsi:type="xsd:double"&gt;14.4543699521625&lt;/D&gt;&lt;D xsi:type="xsd:double"&gt;14.9536876827213&lt;/D&gt;&lt;D xsi:type="xsd:double"&gt;10.8944401720234&lt;/D&gt;&lt;D xsi:type="xsd:double"&gt;14.6933365726659&lt;/D&gt;&lt;D xsi:type="xsd:double"&gt;17.7365565826056&lt;/D&gt;&lt;D xsi:type="xsd:double"&gt;17.6984908026726&lt;/D&gt;&lt;D xsi:type="xsd:double"&gt;17.5855953562723&lt;/D&gt;&lt;D xsi:type="xsd:double"&gt;17.6086628283508&lt;/D&gt;&lt;D xsi:type="xsd:double"&gt;16.747630176199&lt;/D&gt;&lt;D xsi:type="xsd:double"&gt;16.4469721601893&lt;/D&gt;&lt;D xsi:type="xsd:double"&gt;15.9390779793871&lt;/D&gt;&lt;D xsi:type="xsd:double"&gt;16.1704747839626&lt;/D&gt;&lt;D xsi:type="xsd:double"&gt;16.2112787476839&lt;/D&gt;&lt;D xsi:type="xsd:double"&gt;16.2879756623633&lt;/D&gt;&lt;D xsi:type="xsd:double"&gt;15.4849233659695&lt;/D&gt;&lt;D xsi:type="xsd:double"&gt;15.5678334583291&lt;/D&gt;&lt;D xsi:type="xsd:double"&gt;15.3149920548914&lt;/D&gt;&lt;D xsi:type="xsd:double"&gt;15.5821467785511&lt;/D&gt;&lt;D xsi:type="xsd:double"&gt;15.5065101524229&lt;/D&gt;&lt;D xsi:type="xsd:double"&gt;15.0885205059577&lt;/D&gt;&lt;D xsi:type="xsd:double"&gt;14.8635048609444&lt;/D&gt;&lt;D xsi:type="xsd:double"&gt;14.5658589476237&lt;/D&gt;&lt;D xsi:type="xsd:double"&gt;15.0832653599918&lt;/D&gt;&lt;D xsi:type="xsd:double"&gt;14.2121602392571&lt;/D&gt;&lt;D xsi:type="xsd:double"&gt;14.5174089610632&lt;/D&gt;&lt;D xsi:type="xsd:double"&gt;14.3682561642342&lt;/D&gt;&lt;D xsi:type="xsd:double"&gt;13.5264539867456&lt;/D&gt;&lt;D xsi:type="xsd:double"&gt;13.328954405345&lt;/D&gt;&lt;D xsi:type="xsd:double"&gt;11.8694308952&lt;/D&gt;&lt;D xsi:type="xsd:double"&gt;12.0595160011186&lt;/D&gt;&lt;D xsi:type="xsd:double"&gt;10.9125945107002&lt;/D&gt;&lt;D xsi:type="xsd:double"&gt;11.8424093117307&lt;/D&gt;&lt;D xsi:type="xsd:double"&gt;11.7067788079154&lt;/D&gt;&lt;D xsi:type="xsd:double"&gt;10.6155453727635&lt;/D&gt;&lt;D xsi:type="xsd:double"&gt;11.9564720953478&lt;/D&gt;&lt;D xsi:type="xsd:double"&gt;12.2078353073873&lt;/D&gt;&lt;D xsi:type="xsd:double"&gt;12.5542111657075&lt;/D&gt;&lt;D xsi:type="xsd:double"&gt;12.8805298121319&lt;/D&gt;&lt;D xsi:type="xsd:double"&gt;12.4710145457087&lt;/D&gt;&lt;D xsi:type="xsd:double"&gt;12.9164046112011&lt;/D&gt;&lt;D xsi:type="xsd:double"&gt;13.0546932838655&lt;/D&gt;&lt;D xsi:type="xsd:double"&gt;12.8644459958719&lt;/D&gt;&lt;D xsi:type="xsd:double"&gt;13.011809941761&lt;/D&gt;&lt;D xsi:type="xsd:double"&gt;13.2612575674658&lt;/D&gt;&lt;D xsi:type="xsd:double"&gt;13.0817526492912&lt;/D&gt;&lt;D xsi:type="xsd:double"&gt;12.5533035150429&lt;/D&gt;&lt;D xsi:type="xsd:double"&gt;12.4872963005758&lt;/D&gt;&lt;D xsi:type="xsd:double"&gt;13.105690389989&lt;/D&gt;&lt;D xsi:type="xsd:double"&gt;13.6289550236163&lt;/D&gt;&lt;D xsi:type="xsd:double"&gt;13.9195256773837&lt;/D&gt;&lt;D xsi:type="xsd:double"&gt;14.5054710147724&lt;/D&gt;&lt;D xsi:type="xsd:double"&gt;14.3390341881954&lt;/D&gt;&lt;D xsi:type="xsd:double"&gt;14.4712472897675&lt;/D&gt;&lt;D xsi:type="xsd:double"&gt;14.049505945608&lt;/D&gt;&lt;D xsi:type="xsd:double"&gt;14.3354184706581&lt;/D&gt;&lt;D xsi:type="xsd:double"&gt;13.9839356677743&lt;/D&gt;&lt;D xsi:type="xsd:double"&gt;14.5013359999113&lt;/D&gt;&lt;/FQL&gt;&lt;FQL&gt;&lt;Q&gt;EWU^FG_PRICE_MAVG(0,,,,200)&lt;/Q&gt;&lt;R&gt;1&lt;/R&gt;&lt;C&gt;1&lt;/C&gt;&lt;D xsi:type="xsd:double"&gt;34.39935&lt;/D&gt;&lt;/FQL&gt;&lt;FQL&gt;&lt;Q&gt;EWD^P_PRICE(0)/P_PRICE_LOW_PR(0,,,,,,"PRICE","INTRA","52W")-1&lt;/Q&gt;&lt;R&gt;1&lt;/R&gt;&lt;C&gt;1&lt;/C&gt;&lt;D xsi:type="xsd:double"&gt;0.33224714&lt;/D&gt;&lt;/FQL&gt;&lt;FQL&gt;&lt;Q&gt;EWG^FMA_PCT_ABOVE_MAVG(200,0,,,,"PORTAGG")&lt;/Q&gt;&lt;R&gt;1&lt;/R&gt;&lt;C&gt;1&lt;/C&gt;&lt;D xsi:type="xsd:double"&gt;56.140350877193&lt;/D&gt;&lt;/FQL&gt;&lt;FQL&gt;&lt;Q&gt;TRYJP10Y-FDS^PCTCHG(FG_YIELD(0,,,,"YTM"),FG_YIELD(-3AM,,,,"YTM"))&lt;/Q&gt;&lt;R&gt;1&lt;/R&gt;&lt;C&gt;1&lt;/C&gt;&lt;D xsi:type="xsd:double"&gt;-12.751133&lt;/D&gt;&lt;/FQL&gt;&lt;FQL&gt;&lt;Q&gt;VGK^FMA_DIV_YLD(NTMA,NOW,NOW,M,"PORTAGG","MEANR")&lt;/Q&gt;&lt;R&gt;1&lt;/R&gt;&lt;C&gt;1&lt;/C&gt;&lt;D xsi:type="xsd:double"&gt;3.47577222574143&lt;/D&gt;&lt;/FQL&gt;&lt;FQL&gt;&lt;Q&gt;EWC^FG_TOTAL_RETURNC(0,-12AM)&lt;/Q&gt;&lt;R&gt;1&lt;/R&gt;&lt;C&gt;1&lt;/C&gt;&lt;D xsi:type="xsd:double"&gt;19.890345&lt;/D&gt;&lt;/FQL&gt;&lt;FQL&gt;&lt;Q&gt;USDEUR^FG_COMPANY_NAME&lt;/Q&gt;&lt;R&gt;1&lt;/R&gt;&lt;C&gt;1&lt;/C&gt;&lt;D xsi:type="xsd:string"&gt;Euro per U.S. Dollar&lt;/D&gt;&lt;/FQL&gt;&lt;FQL&gt;&lt;Q&gt;EWU^FG_PRICE_MAVG(0,,,,60)&lt;/Q&gt;&lt;R&gt;1&lt;/R&gt;&lt;C&gt;1&lt;/C&gt;&lt;D xsi:type="xsd:double"&gt;35.926834&lt;/D&gt;&lt;/FQL&gt;&lt;FQL&gt;&lt;Q&gt;VGK^FG_PE_NTM(0,,,90,0)&lt;/Q&gt;&lt;R&gt;1&lt;/R&gt;&lt;C&gt;1&lt;/C&gt;&lt;D xsi:type="xsd:double"&gt;13.3760998270136&lt;/D&gt;&lt;/FQL&gt;&lt;FQL&gt;&lt;Q&gt;DBA^FG_TOTAL_RETURNC(0,-3AM)&lt;/Q&gt;&lt;R&gt;1&lt;/R&gt;&lt;C&gt;1&lt;/C&gt;&lt;D xsi:type="xsd:double"&gt;-3.1067908&lt;/D&gt;&lt;/FQL&gt;&lt;FQL&gt;&lt;Q&gt;EWD^FMA_PE(LTMA,-10AY,0,AM,"PORTAGG","MEANR")&lt;/Q&gt;&lt;R&gt;121&lt;/R&gt;&lt;C&gt;1&lt;/C&gt;&lt;D xsi:type="xsd:double"&gt;15.5418822235997&lt;/D&gt;&lt;D xsi:type="xsd:double"&gt;15.2323805172852&lt;/D&gt;&lt;D xsi:type="xsd:double"&gt;16.6183359274511&lt;/D&gt;&lt;D xsi:type="xsd:double"&gt;17.0741162601201&lt;/D&gt;&lt;D xsi:type="xsd:double"&gt;17.4373772538314&lt;/D&gt;&lt;D xsi:type="xsd:double"&gt;19.6105342602877&lt;/D&gt;&lt;D xsi:type="xsd:double"&gt;20.1410003491491&lt;/D&gt;&lt;D xsi:type="xsd:double"&gt;19.9010533588037&lt;/D&gt;&lt;D xsi:type="xsd:double"&gt;18.8823577906612&lt;/D&gt;&lt;D xsi:type="xsd:double"&gt;18.9313195328227&lt;/D&gt;&lt;D xsi:type="xsd:double"&gt;18.6423040518817&lt;/D&gt;&lt;D xsi:type="xsd:double"&gt;18.2625751108138&lt;/D&gt;&lt;D xsi:type="xsd:double"&gt;17.2793039634111&lt;/D&gt;&lt;D xsi:type="xsd:double"&gt;16.9966740122579&lt;/D&gt;&lt;D xsi:type="xsd:double"&gt;16.7066078928272&lt;/D&gt;&lt;D xsi:type="xsd:double"&gt;15.838998612314&lt;/D&gt;&lt;D xsi:type="xsd:double"&gt;14.9039948452798&lt;/D&gt;&lt;D xsi:type="xsd:double"&gt;14.3012901753472&lt;/D&gt;&lt;D xsi:type="xsd:double"&gt;15.6817963226905&lt;/D&gt;&lt;D xsi:type="xsd:double"&gt;15.5877059667434&lt;/D&gt;&lt;D xsi:type="xsd:double"&gt;15.4457572685912&lt;/D&gt;&lt;D xsi:type="xsd:double"&gt;15.3255573180106&lt;/D&gt;&lt;D xsi:type="xsd:double"&gt;15.541289513041&lt;/D&gt;&lt;D xsi:type="xsd:double"&gt;16.0431876198889&lt;/D&gt;&lt;D xsi:type="xsd:double"&gt;16.0112249603807&lt;/D&gt;&lt;D xsi:type="xsd:double"&gt;16.8897210267663&lt;/D&gt;&lt;D xsi:type="xsd:double"&gt;17.0412387106005&lt;/D&gt;&lt;D xsi:type="xsd:double"&gt;18.1222543428208&lt;/D&gt;&lt;D xsi:type="xsd:double"&gt;18.0287140291838&lt;/D&gt;&lt;D xsi:type="xsd:double"&gt;18.4676890876899&lt;/D&gt;&lt;D xsi:type=</t>
        </r>
      </text>
    </comment>
    <comment ref="A15" authorId="0" shapeId="0" xr:uid="{09C6F917-FEB5-4A6B-83DD-CEC87F1ED1A3}">
      <text>
        <r>
          <rPr>
            <b/>
            <sz val="9"/>
            <color indexed="81"/>
            <rFont val="Tahoma"/>
            <charset val="1"/>
          </rPr>
          <t>"xsd:double"&gt;17.5196757699805&lt;/D&gt;&lt;D xsi:type="xsd:double"&gt;17.5684191063748&lt;/D&gt;&lt;D xsi:type="xsd:double"&gt;17.669918177105&lt;/D&gt;&lt;D xsi:type="xsd:double"&gt;17.5534519362452&lt;/D&gt;&lt;D xsi:type="xsd:double"&gt;17.7637900817527&lt;/D&gt;&lt;D xsi:type="xsd:double"&gt;16.846638162441&lt;/D&gt;&lt;D xsi:type="xsd:double"&gt;17.131104289101&lt;/D&gt;&lt;D xsi:type="xsd:double"&gt;17.5952712335342&lt;/D&gt;&lt;D xsi:type="xsd:double"&gt;18.2248621997234&lt;/D&gt;&lt;D xsi:type="xsd:double"&gt;18.2193808122637&lt;/D&gt;&lt;D xsi:type="xsd:double"&gt;18.241840340287&lt;/D&gt;&lt;D xsi:type="xsd:double"&gt;16.379729656481&lt;/D&gt;&lt;D xsi:type="xsd:double"&gt;16.9841784090093&lt;/D&gt;&lt;D xsi:type="xsd:double"&gt;16.7265237824984&lt;/D&gt;&lt;D xsi:type="xsd:double"&gt;16.8282702397389&lt;/D&gt;&lt;D xsi:type="xsd:double"&gt;16.5705550456273&lt;/D&gt;&lt;D xsi:type="xsd:double"&gt;16.4299902575832&lt;/D&gt;&lt;D xsi:type="xsd:double"&gt;16.597937316627&lt;/D&gt;&lt;D xsi:type="xsd:double"&gt;16.5820610554219&lt;/D&gt;&lt;D xsi:type="xsd:double"&gt;15.6954705019185&lt;/D&gt;&lt;D xsi:type="xsd:double"&gt;15.0787866374217&lt;/D&gt;&lt;D xsi:type="xsd:double"&gt;14.5841407223411&lt;/D&gt;&lt;D xsi:type="xsd:double"&gt;14.4829776621313&lt;/D&gt;&lt;D xsi:type="xsd:double"&gt;16.9904187254336&lt;/D&gt;&lt;D xsi:type="xsd:double"&gt;18.0248693064008&lt;/D&gt;&lt;D xsi:type="xsd:double"&gt;17.8625117461428&lt;/D&gt;&lt;D xsi:type="xsd:double"&gt;17.5561521936487&lt;/D&gt;&lt;D xsi:type="xsd:double"&gt;17.1744218136512&lt;/D&gt;&lt;D xsi:type="xsd:double"&gt;17.0875739493227&lt;/D&gt;&lt;D xsi:type="xsd:double"&gt;15.9237832333782&lt;/D&gt;&lt;D xsi:type="xsd:double"&gt;16.3353948000789&lt;/D&gt;&lt;D xsi:type="xsd:double"&gt;16.4483794446096&lt;/D&gt;&lt;D xsi:type="xsd:double"&gt;17.0792807095343&lt;/D&gt;&lt;D xsi:type="xsd:double"&gt;16.028992602978&lt;/D&gt;&lt;D xsi:type="xsd:double"&gt;16.3580854696463&lt;/D&gt;&lt;D xsi:type="xsd:double"&gt;14.437295874623&lt;/D&gt;&lt;D xsi:type="xsd:double"&gt;12.3816194566341&lt;/D&gt;&lt;D xsi:type="xsd:double"&gt;13.6224721458717&lt;/D&gt;&lt;D xsi:type="xsd:double"&gt;15.3802795351307&lt;/D&gt;&lt;D xsi:type="xsd:double"&gt;16.0995964177658&lt;/D&gt;&lt;D xsi:type="xsd:double"&gt;17.6676947285208&lt;/D&gt;&lt;D xsi:type="xsd:double"&gt;17.7632659200746&lt;/D&gt;&lt;D xsi:type="xsd:double"&gt;17.6413207335192&lt;/D&gt;&lt;D xsi:type="xsd:double"&gt;18.4635366690597&lt;/D&gt;&lt;D xsi:type="xsd:double"&gt;16.3106199963202&lt;/D&gt;&lt;D xsi:type="xsd:double"&gt;17.0456956384353&lt;/D&gt;&lt;D xsi:type="xsd:double"&gt;18.7044935457883&lt;/D&gt;&lt;D xsi:type="xsd:double"&gt;17.5829419146992&lt;/D&gt;&lt;D xsi:type="xsd:double"&gt;17.9168588167607&lt;/D&gt;&lt;D xsi:type="xsd:double"&gt;18.3293909010091&lt;/D&gt;&lt;D xsi:type="xsd:double"&gt;17.4550864027749&lt;/D&gt;&lt;D xsi:type="xsd:double"&gt;17.9053411091939&lt;/D&gt;&lt;D xsi:type="xsd:double"&gt;17.8095120616393&lt;/D&gt;&lt;D xsi:type="xsd:double"&gt;17.6599248575449&lt;/D&gt;&lt;D xsi:type="xsd:double"&gt;17.4599766898171&lt;/D&gt;&lt;D xsi:type="xsd:double"&gt;16.9891129109252&lt;/D&gt;&lt;D xsi:type="xsd:double"&gt;16.9254252080878&lt;/D&gt;&lt;D xsi:type="xsd:double"&gt;16.5781978280861&lt;/D&gt;&lt;D xsi:type="xsd:double"&gt;16.2481841562482&lt;/D&gt;&lt;D xsi:type="xsd:double"&gt;12.3356387412845&lt;/D&gt;&lt;D xsi:type="xsd:double"&gt;11.7206012849664&lt;/D&gt;&lt;D xsi:type="xsd:double"&gt;12.1973842453943&lt;/D&gt;&lt;D xsi:type="xsd:double"&gt;13.1466221015058&lt;/D&gt;&lt;D xsi:type="xsd:double"&gt;13.4548493770405&lt;/D&gt;&lt;D xsi:type="xsd:double"&gt;13.9418043414101&lt;/D&gt;&lt;D xsi:type="xsd:double"&gt;14.8747923985004&lt;/D&gt;&lt;D xsi:type="xsd:double"&gt;15.0819730482651&lt;/D&gt;&lt;D xsi:type="xsd:double"&gt;14.3806188323875&lt;/D&gt;&lt;D xsi:type="xsd:double"&gt;14.2778378826689&lt;/D&gt;&lt;D xsi:type="xsd:double"&gt;15.7111944799543&lt;/D&gt;&lt;D xsi:type="xsd:double"&gt;16.7534190601039&lt;/D&gt;&lt;D xsi:type="xsd:double"&gt;25.9090195943243&lt;/D&gt;&lt;D xsi:type="xsd:double"&gt;25.2303229068894&lt;/D&gt;&lt;D xsi:type="xsd:double"&gt;23.9596142461178&lt;/D&gt;&lt;D xsi:type="xsd:double"&gt;22.7816617966654&lt;/D&gt;&lt;D xsi:type="xsd:double"&gt;21.650881010514&lt;/D&gt;&lt;D xsi:type="xsd:double"&gt;20.3799937722867&lt;/D&gt;&lt;D xsi:type="xsd:double"&gt;18.9451671231805&lt;/D&gt;&lt;D xsi:type="xsd:double"&gt;17.4495169449285&lt;/D&gt;&lt;D xsi:type="xsd:double"&gt;16.4841385327763&lt;/D&gt;&lt;D xsi:type="xsd:double"&gt;15.5916466989067&lt;/D&gt;&lt;D xsi:type="xsd:double"&gt;17.8134563871753&lt;/D&gt;&lt;D xsi:type="xsd:double"&gt;17.4294384523652&lt;/D&gt;&lt;D xsi:type="xsd:double"&gt;15.2144444988846&lt;/D&gt;&lt;D xsi:type="xsd:double"&gt;15.9101769605974&lt;/D&gt;&lt;D xsi:type="xsd:double"&gt;15.8911607232096&lt;/D&gt;&lt;D xsi:type="xsd:double"&gt;16.108731808758&lt;/D&gt;&lt;D xsi:type="xsd:double"&gt;16.190190115944&lt;/D&gt;&lt;D xsi:type="xsd:double"&gt;16.6608951641324&lt;/D&gt;&lt;D xsi:type="xsd:double"&gt;16.0303312965749&lt;/D&gt;&lt;D xsi:type="xsd:double"&gt;16.6650925045518&lt;/D&gt;&lt;/FQL&gt;&lt;FQL&gt;&lt;Q&gt;W-FDS^FG_PRICE_MAVG(0,,,,30)&lt;/Q&gt;&lt;R&gt;1&lt;/R&gt;&lt;C&gt;1&lt;/C&gt;&lt;D xsi:type="xsd:double"&gt;5.3585&lt;/D&gt;&lt;/FQL&gt;&lt;FQL&gt;&lt;Q&gt;EWU^FG_PRICE_MAVG(0,,,,30)&lt;/Q&gt;&lt;R&gt;1&lt;/R&gt;&lt;C&gt;1&lt;/C&gt;&lt;D xsi:type="xsd:double"&gt;36.384335&lt;/D&gt;&lt;/FQL&gt;&lt;FQL&gt;&lt;Q&gt;URTH^P_PRICE(0)/P_PRICE_HIGH_PR(0,,,,,,"PRICE","INTRA","52W")&lt;/Q&gt;&lt;R&gt;1&lt;/R&gt;&lt;C&gt;1&lt;/C&gt;&lt;D xsi:type="xsd:double"&gt;0.98749113&lt;/D&gt;&lt;/FQL&gt;&lt;FQL&gt;&lt;Q&gt;EWD^P_PRICE(0)/P_PRICE_HIGH_PR(0,,,,,,"PRICE","INTRA","52W")&lt;/Q&gt;&lt;R&gt;1&lt;/R&gt;&lt;C&gt;1&lt;/C&gt;&lt;D xsi:type="xsd:double"&gt;0.95849943&lt;/D&gt;&lt;/FQL&gt;&lt;FQL&gt;&lt;Q&gt;URTH^FMA_COS_UP("EPS","1M",+1,0,,,"PORTAGG","MEANR")&lt;/Q&gt;&lt;R&gt;1&lt;/R&gt;&lt;C&gt;1&lt;/C&gt;&lt;D xsi:type="xsd:double"&gt;540&lt;/D&gt;&lt;/FQL&gt;&lt;FQL&gt;&lt;Q&gt;EWG^SIZE(FG_CONSTITUENTS)&lt;/Q&gt;&lt;R&gt;1&lt;/R&gt;&lt;C&gt;1&lt;/C&gt;&lt;D xsi:type="xsd:long"&gt;57&lt;/D&gt;&lt;/FQL&gt;&lt;FQL&gt;&lt;Q&gt;EWG^FMA_RBICS_REV_CURRENT(30, LOC, "PORTAGG")&lt;/Q&gt;&lt;R&gt;1&lt;/R&gt;&lt;C&gt;1&lt;/C&gt;&lt;D xsi:type="xsd:double"&gt;23.4666496440462&lt;/D&gt;&lt;/FQL&gt;&lt;FQL&gt;&lt;Q&gt;REFJPTON-FDS^(SUBARRAY(NOT_NA(NO_REPEAT_F(FG_YIELD(NOW,-10AY,D))),0,1)-SUBARRAY(NOT_NA(NO_REPEAT_F(FG_YIELD(NOW,-10AY,D))),1,1))*100&lt;/Q&gt;&lt;R&gt;1&lt;/R&gt;&lt;C&gt;1&lt;/C&gt;&lt;D xsi:type="xsd:double"&gt;15&lt;/D&gt;&lt;/FQL&gt;&lt;FQL&gt;&lt;Q&gt;USDAUD^STD(FG_PRICE_CHANGE(0,-3AY,M))&lt;/Q&gt;&lt;R&gt;1&lt;/R&gt;&lt;C&gt;1&lt;/C&gt;&lt;D xsi:type="xsd:double"&gt;3.13974050035568&lt;/D&gt;&lt;/FQL&gt;&lt;FQL&gt;&lt;Q&gt;BRENT-FDS^FG_PRICE_CHANGE(0,-6AM)&lt;/Q&gt;&lt;R&gt;1&lt;/R&gt;&lt;C&gt;1&lt;/C&gt;&lt;D xsi:type="xsd:double"&gt;0&lt;/D&gt;&lt;/FQL&gt;&lt;FQL&gt;&lt;Q&gt;EWL^FG_PRICE_MAVG(0,,,,200)&lt;/Q&gt;&lt;R&gt;1&lt;/R&gt;&lt;C&gt;1&lt;/C&gt;&lt;D xsi:type="xsd:double"&gt;48.11465&lt;/D&gt;&lt;/FQL&gt;&lt;FQL&gt;&lt;Q&gt;URTH^FG_TOTAL_RETURNC(0,-6AM)&lt;/Q&gt;&lt;R&gt;1&lt;/R&gt;&lt;C&gt;1&lt;/C&gt;&lt;D xsi:type="xsd:double"&gt;7.2935104&lt;/D&gt;&lt;/FQL&gt;&lt;FQL&gt;&lt;Q&gt;EWD^PERCENT_CHANGE(FMA_EPS(+1,0,,,,"PORTAGG","MEAN"),FMA_EPS(+1,-3AM,,,,"PORTAGG","MEAN"))&lt;/Q&gt;&lt;R&gt;1&lt;/R&gt;&lt;C&gt;1&lt;/C&gt;&lt;D xsi:type="xsd:double"&gt;-5.41039432113931&lt;/D&gt;&lt;/FQL&gt;&lt;FQL&gt;&lt;Q&gt;EWU^P_PRICE(0)/P_PRICE_LOW_PR(0,,,,,,"PRICE","INTRA","52W")-1&lt;/Q&gt;&lt;R&gt;1&lt;/R&gt;&lt;C&gt;1&lt;/C&gt;&lt;D xsi:type="xsd:double"&gt;0.22063708&lt;/D&gt;&lt;/FQL&gt;&lt;FQL&gt;&lt;Q&gt;EWC^P_PRICE(0)/P_PRICE_LOW_PR(0,,,,,,"PRICE","INTRA","52W")-1&lt;/Q&gt;&lt;R&gt;1&lt;/R&gt;&lt;C&gt;1&lt;/C&gt;&lt;D xsi:type="xsd:double"&gt;0.2862146&lt;/D&gt;&lt;/FQL&gt;&lt;FQL&gt;&lt;Q&gt;VWO^SIZE(FG_CONSTITUENTS)&lt;/Q&gt;&lt;R&gt;1&lt;/R&gt;&lt;C&gt;1&lt;/C&gt;&lt;D xsi:type="xsd:long"&gt;4826&lt;/D&gt;&lt;/FQL&gt;&lt;FQL&gt;&lt;Q&gt;EWG^FMA_COS_DOWN("EPS","1M",+1,0,,,"PORTAGG","MEANR")&lt;/Q&gt;&lt;R&gt;1&lt;/R&gt;&lt;C&gt;1&lt;/C&gt;&lt;D xsi:type="xsd:double"&gt;24&lt;/D&gt;&lt;/FQL&gt;&lt;FQL&gt;&lt;Q&gt;EWA^FMA_RBICS_REV_CURRENT(30, LOC, "PORTAGG")&lt;/Q&gt;&lt;R&gt;1&lt;/R&gt;&lt;C&gt;1&lt;/C&gt;&lt;D xsi:type="xsd:double"&gt;43.4940120023797&lt;/D&gt;&lt;/FQL&gt;&lt;FQL&gt;&lt;Q&gt;REFJPTON-FDS^FG_YIELD(NOW,,,0)&lt;/Q&gt;&lt;R&gt;1&lt;/R&gt;&lt;C&gt;1&lt;/C&gt;&lt;D xsi:type="xsd:double"&gt;0.25&lt;/D&gt;&lt;/FQL&gt;&lt;FQL&gt;&lt;Q&gt;TRYDE10Y-FDS^PCTCHG(FG_YIELD(0,,,,"YTM"),FG_YIELD(-3AM,,,,"YTM"))&lt;/Q&gt;&lt;R&gt;1&lt;/R&gt;&lt;C&gt;1&lt;/C&gt;&lt;D xsi:type="xsd:double"&gt;-15.069033&lt;/D&gt;&lt;/FQL&gt;&lt;FQL&gt;&lt;Q&gt;TRYAU10Y-FDS^FG_YIELD(0,,,,"YTM")&lt;/Q&gt;&lt;R&gt;1&lt;/R&gt;&lt;C&gt;1&lt;/C&gt;&lt;D xsi:type="xsd:double"&gt;3.853&lt;/D&gt;&lt;/FQL&gt;&lt;FQL&gt;&lt;Q&gt;SPY^FMA_EVAL_EBITDA(NTMA,0,,,"PORTAGG","MEANR")&lt;/Q&gt;&lt;R&gt;1&lt;/R&gt;&lt;C&gt;1&lt;/C&gt;&lt;D xsi:type="xsd:double"&gt;14.3207859588312&lt;/D&gt;&lt;/FQL&gt;&lt;FQL&gt;&lt;Q&gt;EWJ^FG_FCF_YIELD_NTM(0)&lt;/Q&gt;&lt;R&gt;1&lt;/R&gt;&lt;C&gt;1&lt;/C&gt;&lt;D xsi:type="xsd:double"&gt;4.16397976987282&lt;/D&gt;&lt;/FQL&gt;&lt;FQL&gt;&lt;Q&gt;ENZL^FG_FCF_YIELD_NTM(0)&lt;/Q&gt;&lt;R&gt;1&lt;/R&gt;&lt;C&gt;1&lt;/C&gt;&lt;D xsi:type="xsd:double"&gt;1.84939186445077&lt;/D&gt;&lt;/FQL&gt;&lt;FQL&gt;&lt;Q&gt;DBA^FG_TOTAL_RETURNC(0,-1AM)&lt;/Q&gt;&lt;R&gt;1&lt;/R&gt;&lt;C&gt;1&lt;/C&gt;&lt;D xsi:type="xsd:double"&gt;4.0450454&lt;/D&gt;&lt;/FQL&gt;&lt;FQL&gt;&lt;Q&gt;EWD^PERCENT_CHANGE(FMA_EPS(+1,0,,,,"PORTAGG","MEAN"),FMA_EPS(+1,-1AM,,,,"PORTAGG","MEAN"))&lt;/Q&gt;&lt;R&gt;1&lt;/R&gt;&lt;C&gt;1&lt;/C&gt;&lt;D xsi:type="xsd:double"&gt;-1.26627560566812&lt;/D&gt;&lt;/FQL&gt;&lt;FQL&gt;&lt;Q&gt;EWU^P_PRICE(0)/P_PRICE_HIGH_PR(0,,,,,,"PRICE","INTRA","52W")&lt;/Q&gt;&lt;R&gt;1&lt;/R&gt;&lt;C&gt;1&lt;/C&gt;&lt;D xsi:type="xsd:double"&gt;0.97638005&lt;/D&gt;&lt;/FQL&gt;&lt;FQL&gt;&lt;Q&gt;EWC^FG_TOTAL_RETURNC(0,-1AM)&lt;/Q&gt;&lt;R&gt;1&lt;/R&gt;&lt;C&gt;1&lt;/C&gt;&lt;D xsi:type="xsd:double"&gt;6.596303&lt;/D&gt;&lt;/FQL&gt;&lt;FQL&gt;&lt;Q&gt;VWO^FMA_COS_DOWN("EPS","1M",+1,0,,,"PORTAGG","MEANR")&lt;/Q&gt;&lt;R&gt;1&lt;/R&gt;&lt;C&gt;1&lt;/C&gt;&lt;D xsi:type="xsd:double"&gt;1193&lt;/D&gt;&lt;/FQL&gt;&lt;FQL&gt;&lt;Q&gt;EWG^FMA_COS_UP("EPS","1M",+1,0,,,"PORTAGG","MEANR")&lt;/Q&gt;&lt;R&gt;1&lt;/R&gt;&lt;C&gt;1&lt;/C&gt;&lt;D xsi:type="xsd:double"&gt;24&lt;/D&gt;&lt;/FQL&gt;&lt;FQL&gt;&lt;Q&gt;EWI^FMA_EVAL_EBIT(LTMA,NOW,NOW,M,"PORTAGG","MEANR")&lt;/Q&gt;&lt;R&gt;1&lt;/R&gt;&lt;C&gt;1&lt;/C&gt;&lt;D xsi:type="xsd:double"&gt;11.4842402050919&lt;/D&gt;&lt;/FQL&gt;&lt;FQL&gt;&lt;Q&gt;USDAUD^FG_PRICE_CHANGE(0,-6AM)&lt;/Q&gt;&lt;R&gt;1&lt;/R&gt;&lt;C&gt;1&lt;/C&gt;&lt;D xsi:type="xsd:double"&gt;-1.3748765&lt;/D&gt;&lt;/FQL&gt;&lt;FQL&gt;&lt;Q&gt;EWQ^FMA_PE(LTMA,-10AY,0,AM,"PORTAGG","MEANR")&lt;/Q&gt;&lt;R&gt;121&lt;/R&gt;&lt;C&gt;1&lt;/C&gt;&lt;D xsi:type="xsd:double"&gt;15.5301553522875&lt;/D&gt;&lt;D xsi:type="xsd:double"&gt;14.5261243865285&lt;/D&gt;&lt;D xsi:type="xsd:double"&gt;14.8011011790498&lt;/D&gt;&lt;D xsi:type="xsd:double"&gt;14.6271358430067&lt;/D&gt;&lt;D xsi:type="xsd:double"&gt;14.8956924615078&lt;/D&gt;&lt;D xsi:type="xsd:double"&gt;16.5832303209066&lt;/D&gt;&lt;D xsi:type="xsd:double"&gt;17.5476247516409&lt;/D&gt;&lt;D xsi:type="xsd:double"&gt;17.7251653235171&lt;/D&gt;&lt;D xsi:type="xsd:double"&gt;17.3919850440315&lt;/D&gt;&lt;D xsi:type="xsd:double"&gt;17.2157728087021&lt;/D&gt;&lt;D xsi:type="xsd:double"&gt;17.0925287416513&lt;/D&gt;&lt;D xsi:type="xsd:double"&gt;16.8008902260701&lt;/D&gt;&lt;D xsi:type="xsd:double"&gt;15.8479709675718&lt;/D&gt;&lt;D xsi:type="xsd:double"&gt;16.0384298511244&lt;/D&gt;&lt;D xsi:type="xsd:double"&gt;16.247368465854&lt;/D&gt;&lt;D xsi:type="xsd:double"&gt;15.2843130643889&lt;/D&gt;&lt;D xsi:type="xsd:double"&gt;14.5363901246701&lt;/D&gt;&lt;D xsi:type="xsd:double"&gt;13.963219371119&lt;/D&gt;&lt;D xsi:type="xsd:double"&gt;15.2184878228901&lt;/D&gt;&lt;D xsi:type="xsd:double"&gt;15.1085581735543&lt;/D&gt;&lt;D xsi:type="xsd:double"&gt;15.0404538118041&lt;/D&gt;&lt;D xsi:type="xsd:double"&gt;14.9770349644531&lt;/D&gt;&lt;D xsi:type="xsd:double"&gt;14.931812736612&lt;/D&gt;&lt;D xsi:type="xsd:double"&gt;15.0967390108048&lt;/D&gt;&lt;D xsi:type="xsd:double"&gt;14.9285199007636&lt;/D&gt;&lt;D xsi:type="xsd:double"&gt;14.8577798374795&lt;/D&gt;&lt;D xsi:type="xsd:double"&gt;14.7815856200756&lt;/D&gt;&lt;D xsi:type="xsd:double"&gt;15.4873401974193&lt;/D&gt;&lt;D xsi:type="xsd:double"&gt;15.7991286376698&lt;/D&gt;&lt;D xsi:type="xsd:double"&gt;15.447801357946&lt;/D&gt;&lt;D xsi:type="xsd:double"&gt;15.6137152627227&lt;/D&gt;&lt;D xsi:type="xsd:double"&gt;15.6380703790501&lt;/D&gt;&lt;D xsi:type="xsd:double"&gt;15.8646644684196&lt;/D&gt;&lt;D xsi:type="xsd:double"&gt;15.6673353825032&lt;/D&gt;&lt;D xsi:type="xsd:double"&gt;15.6805748738571&lt;/D&gt;&lt;D xsi:type="xsd:double"&gt;15.3988447690825&lt;/D&gt;&lt;D xsi:type="xsd:double"&gt;15.7182891778802&lt;/D&gt;&lt;D xsi:type="xsd:double"&gt;16.0679810724266&lt;/D&gt;&lt;D xsi:type="xsd:double"&gt;15.992135723025&lt;/D&gt;&lt;D xsi:type="xsd:double"&gt;16.2723225873807&lt;/D&gt;&lt;D xsi:type="xsd:double"&gt;16.5394323685896&lt;/D&gt;&lt;D xsi:type="xsd:double"&gt;15.5493247100445&lt;/D&gt;&lt;D xsi:type="xsd:double"&gt;15.5848575573156&lt;/D&gt;&lt;D xsi:type="xsd:double"&gt;15.51757291037&lt;/D&gt;&lt;D xsi:type="xsd:double"&gt;15.612696251901&lt;/D&gt;&lt;D xsi:type="xsd:double"&gt;15.3605452404549&lt;/D&gt;&lt;D xsi:type="xsd:double"&gt;15.2697417461751&lt;/D&gt;&lt;D xsi:type="xsd:double"&gt;15.0933105345294&lt;/D&gt;&lt;D xsi:type="xsd:double"&gt;14.8597061102997&lt;/D&gt;&lt;D xsi:type="xsd:double"&gt;14.224698213194&lt;/D&gt;&lt;D xsi:type="xsd:double"&gt;14.026653022777&lt;/D&gt;&lt;D xsi:type="xsd:double"&gt;13.516957956207&lt;/D&gt;&lt;D xsi:type="xsd:double"&gt;13.1270548197616&lt;/D&gt;&lt;D xsi:type="xsd:double"&gt;13.9346030168052&lt;/D&gt;&lt;D xsi:type="xsd:double"&gt;14.5473188981188&lt;/D&gt;&lt;D xsi:type="xsd:double"&gt;14.6353468837481&lt;/D&gt;&lt;D xsi:type="xsd:double"&gt;14.4692526783722&lt;/D&gt;&lt;D xsi:type="xsd:double"&gt;14.4935592320365&lt;/D&gt;&lt;D xsi:type="xsd:double"&gt;14.7922855390339&lt;/D&gt;&lt;D xsi:type="xsd:double"&gt;14.494396088382&lt;/D&gt;&lt;D xsi:type="xsd:double"&gt;15.1048729673798&lt;/D&gt;&lt;D xsi:type="xsd:double"&gt;15.2362506577177&lt;/D&gt;&lt;D xsi:type="xsd:double"&gt;16.0271699648432&lt;/D&gt;&lt;D xsi:type="xsd:double"&gt;16.1368787659149&lt;/D&gt;&lt;D xsi:type="xsd:double"&gt;16.6427641023904&lt;/D&gt;&lt;D xsi:type="xsd:double"&gt;16.7211486766231&lt;/D&gt;&lt;D xsi:type="xsd:double"&gt;14.0806231313616&lt;/D&gt;&lt;D xsi:type="xsd:double"&gt;14.9664952573501&lt;/D&gt;&lt;D xsi:type="xsd:double"&gt;16.1198689362043&lt;/D&gt;&lt;D xsi:type="xsd:double"&gt;17.6419712742797&lt;/D&gt;&lt;D xsi:type="xsd:double"&gt;19.3130869505241&lt;/D&gt;&lt;D xsi:type="xsd:double"&gt;22.2588299274629&lt;/D&gt;&lt;D xsi:type="xsd:double"&gt;23.238757077212&lt;/D&gt;&lt;D xsi:type="xsd:double"&gt;24.1830916776675&lt;/D&gt;&lt;D xsi:type="xsd:double"&gt;26.5700357873614&lt;/D&gt;&lt;D xsi:type="xsd:double"&gt;27.8805833683025&lt;/D&gt;&lt;D xsi:type="xsd:double"&gt;29.0685782825818&lt;/D&gt;&lt;D xsi:type="xsd:double"&gt;27.3971054746672&lt;/D&gt;&lt;D xsi:type="xsd:double"&gt;26.8416752396224&lt;/D&gt;&lt;D xsi:type="xsd:double"&gt;25.9915566884335&lt;/D&gt;&lt;D xsi:type="xsd:double"&gt;25.0012099095392&lt;/D&gt;&lt;D xsi:type="xsd:double"&gt;24.4150027778193&lt;/D&gt;&lt;D xsi:type="xsd:double"&gt;23.2693215900181&lt;/D&gt;&lt;D xsi:type="xsd:double"&gt;22.0160469632064&lt;/D&gt;&lt;D xsi:type="xsd:double"&gt;20.6959375194388&lt;/D&gt;&lt;D xsi:type="xsd:double"&gt;19.1215929931371&lt;/D&gt;&lt;D xsi:type="xsd:double"&gt;18.6495887796094&lt;/D&gt;&lt;D xsi:type="xsd:double"&gt;17.5127061593818&lt;/D&gt;&lt;D xsi:type="xsd:double"&gt;17.2422756070974&lt;/D&gt;&lt;D xsi:type="xsd:double"&gt;16.1214063339529&lt;/D&gt;&lt;D xsi:type="xsd:double"&gt;15.2637703212249&lt;/D&gt;&lt;D xsi:type="xsd:double"&gt;15.0855033411512&lt;/D&gt;&lt;D xsi:type="xsd:double"&gt;14.4185994733495&lt;/D&gt;&lt;D xsi:type="xsd:double"&gt;14.0452810899985&lt;/D&gt;&lt;D xsi:type="xsd:double"&gt;13.3923558217037&lt;/D&gt;&lt;D xsi:type="xsd:double"&gt;13.2499209525851&lt;/D&gt;&lt;D xsi:type="xsd:double"&gt;12.6562447682549&lt;/D&gt;&lt;D xsi:type="xsd:double"&gt;11.3639420348302&lt;/D&gt;&lt;D xsi:type="xsd:double"&gt;12.2343396854177&lt;/D&gt;&lt;D xsi:type="xsd:double"&gt;11.9642778620491&lt;/D&gt;&lt;D xsi:type="xsd:double"&gt;12.4934855403251&lt;/D&gt;&lt;D xsi:type="xsd:double"&gt;12.6138671192771&lt;/D&gt;&lt;D xsi:type="xsd:double"&gt;12.9135662478042&lt;/D&gt;&lt;D xsi:type="xsd:double"&gt;13.0861824191091&lt;/D&gt;&lt;D xsi:type="xsd:double"&gt;13.1503588114702&lt;/D&gt;&lt;D xsi:type="xsd:double"&gt;13.1470363584969&lt;/D&gt;&lt;D xsi:type="xsd:double"&gt;13.2889145394208&lt;/D&gt;&lt;D xsi:type="xsd:double"&gt;13.3368195676712&lt;/D&gt;&lt;D xsi:type="xsd:double"&gt;13.1898110071168&lt;/D&gt;&lt;D xsi:type="xsd:double"&gt;12.9366734942956&lt;/D&gt;&lt;D xsi:type="xsd:double"&gt;12.8791774983761&lt;/D&gt;&lt;D xsi:type="xsd:double"&gt;13.9164855119951&lt;/D&gt;&lt;D xsi:type="xsd:double"&gt;14.0656813740227&lt;/D&gt;&lt;D xsi:type="xsd:double"&gt;14.756772217468&lt;/D&gt;&lt;D xsi:type="xsd:double"&gt;15.5178892506383&lt;/D&gt;&lt;D xsi:type="xsd:double"&gt;15.4175972898899&lt;/D&gt;&lt;D xsi:type="xsd:double"&gt;15.5364487243544&lt;/D&gt;&lt;D xsi:type="xsd:double"&gt;15.2420026633988&lt;/D&gt;&lt;D xsi:type="xsd:double"&gt;15.0978683286849&lt;/D&gt;&lt;D xsi:type="xsd:double"&gt;14.6459218717977&lt;/D&gt;&lt;D xsi:type="xsd:double"&gt;14.7459588996398&lt;/D&gt;&lt;/FQL&gt;&lt;FQL&gt;&lt;Q&gt;BRENT-FDS^FG_PRICE_CHANGE(0,-3AM)&lt;/Q&gt;&lt;R&gt;1&lt;/R&gt;&lt;C&gt;1&lt;/C&gt;&lt;D xsi:type="xsd:double"&gt;0&lt;/D&gt;&lt;/FQL&gt;&lt;FQL&gt;&lt;Q&gt;SPY^FMA_DIV_YLD(NTMA,NOW,NOW,M,"PORTAGG","MEANR")&lt;/Q&gt;&lt;R&gt;1&lt;/R&gt;&lt;C&gt;1&lt;/C&gt;&lt;D xsi:type="xsd:double"&gt;1.37396165186428&lt;/D&gt;&lt;/FQL&gt;&lt;FQL&gt;&lt;Q&gt;EWJ^FMA_DIV_YLD(NTMA,NOW,NOW,M,"PORTAGG","MEANR")&lt;/Q&gt;&lt;R&gt;1&lt;/R&gt;&lt;C&gt;1&lt;/C&gt;&lt;D xsi:type="xsd:double"&gt;2.37520994994013&lt;/D&gt;&lt;/FQL&gt;&lt;FQL&gt;&lt;Q&gt;EWC^FMA_PE(LTMA,-10AY,0,AM,"PORTAGG","MEANR")&lt;/Q&gt;&lt;R&gt;121&lt;/R&gt;&lt;C&gt;1&lt;/C&gt;&lt;D xsi:type="xsd:double"&gt;16.4250048759668&lt;/D&gt;&lt;D xsi:type="xsd:double"&gt;15.3566460622082&lt;/D&gt;&lt;D xsi:type="xsd:double"&gt;15.8354356765716&lt;/D&gt;&lt;D xsi:type="xsd:double"&gt;14.8072666396075&lt;/D&gt;&lt;D xsi:type="xsd:double"&gt;15.204058448148&lt;/D&gt;&lt;D xsi:type="xsd:double"&gt;16.6780105485581&lt;/D&gt;&lt;D xsi:type="xsd:double"&gt;16.9782580691328&lt;/D&gt;&lt;D xsi:type="xsd:double"&gt;17.2093417824561&lt;/D&gt;&lt;D xsi:type="xsd:double"&gt;17.2157701632821&lt;/D&gt;&lt;D xsi:type="xsd:double"&gt;17.1208002137&lt;/D&gt;&lt;D xsi:type="xsd:double"&gt;16.9457934484426&lt;/D&gt;&lt;D xsi:type="xsd:double"&gt;16.960923627564&lt;/D&gt;&lt;D xsi:type="xsd:double"&gt;16.4451589072329&lt;/D&gt;&lt;D xsi:type="xsd:double"&gt;17.0538587571275&lt;/D&gt;&lt;D xsi:type="xsd:double"&gt;16.3998845222462&lt;/D&gt;&lt;D xsi:type="xsd:double"&gt;15.8825064152861&lt;/D&gt;&lt;D xsi:type="xsd:double"&gt;15.0105306018084&lt;/D&gt;&lt;D xsi:type="xsd:double"&gt;14.9497150856927&lt;/D&gt;&lt;D xsi:type="xsd:double"&gt;15.9050554668237&lt;/D&gt;&lt;D xsi:type="xsd:double"&gt;16.0849995201493&lt;/D&gt;&lt;D xsi:type="xsd:double"&gt;16.3646217535248&lt;/D&gt;&lt;D xsi:type="xsd:double"&gt;16.7352595149435&lt;/D&gt;&lt;D xsi:type="xsd:double"&gt;17.0990147071659&lt;/D&gt;&lt;D xsi:type="xsd:double"&gt;17.4514686515311&lt;/D&gt;&lt;D xsi:type="xsd:double"&gt;17.5849646513265&lt;/D&gt;&lt;D xsi:type="xsd:double"&gt;17.8997672542299&lt;/D&gt;&lt;D xsi:type="xsd:double"&gt;18.267031202304&lt;/D&gt;&lt;D xsi:type="xsd:double"&gt;19.1354350165924&lt;/D&gt;&lt;D xsi:type="xsd:double"&gt;19.4459166316526&lt;/D&gt;&lt;D xsi:type="xsd:double"&gt;19.8096750901768&lt;/D&gt;&lt;D xsi:type="xsd:double"&gt;19.3120615915666&lt;/D&gt;&lt;D xsi:type="xsd:double"&gt;19.0146268854819&lt;/D&gt;&lt;D xsi:type="xsd:double"&gt;18.6533510647507&lt;/D&gt;&lt;D xsi:type="xsd:double"&gt;18.2858303061406&lt;/D&gt;&lt;D xsi:type="xsd:double"&gt;17.9756932994555&lt;/D&gt;&lt;D xsi:type="xsd:double"&gt;17.7475737700226&lt;/D&gt;&lt;D xsi:type="xsd:double"&gt;17.3795821451443&lt;/D&gt;&lt;D xsi:type="xsd:double"&gt;17.5237500123982&lt;/D&gt;&lt;D xsi:type="xsd:double"&gt;17.4332531234355&lt;/D&gt;&lt;D xsi:type="xsd:double"&gt;17.3039975661147&lt;/D&gt;&lt;D xsi:type="xsd:double"&gt;17.271454816987&lt;/D&gt;&lt;D xsi:type="xsd:double"&gt;15.8970458269857&lt;/D&gt;&lt;D xsi:type="xsd:double"&gt;15.8111557389349&lt;/D&gt;&lt;D xsi:type="xsd:double"&gt;15.5899387224604&lt;/D&gt;&lt;D xsi:type="xsd:double"&gt;15.6290746823206&lt;/D&gt;&lt;D xsi:type="xsd:double"&gt;15.6045680188102&lt;/D&gt;&lt;D xsi:type="xsd:double"&gt;15.576726892816&lt;/D&gt;&lt;D xsi:type="xsd:double"&gt;15.3916115569486&lt;/D&gt;&lt;D xsi:type="xsd:double"&gt;15.030625623716&lt;/D&gt;&lt;D xsi:type="xsd:double"&gt;14.5102549502659&lt;/D&gt;&lt;D xsi:type="xsd:double"&gt;14.0972551105341&lt;/D&gt;&lt;D xsi:type="xsd:double"&gt;13.6555775828118&lt;/D&gt;&lt;D xsi:type="xsd:double"&gt;13.7305129754452&lt;/D&gt;&lt;D xsi:type="xsd:double"&gt;14.6443657428184&lt;/D&gt;&lt;D xsi:type="xsd:double"&gt;14.7341939110926&lt;/D&gt;&lt;D xsi:type="xsd:double"&gt;14.7010571244936&lt;/D&gt;&lt;D xsi:type="xsd:double"&gt;14.510113844369&lt;/D&gt;&lt;D xsi:type="xsd:double"&gt;14.4179867178769&lt;/D&gt;&lt;D xsi:type="xsd:double"&gt;14.4831957166581&lt;/D&gt;&lt;D xsi:type="xsd:double"&gt;14.3321390361383&lt;/D&gt;&lt;D xsi:type="xsd:double"&gt;14.608059523879&lt;/D&gt;&lt;D xsi:type="xsd:double"&gt;14.5619943785231&lt;/D&gt;&lt;D xsi:type="xsd:double"&gt;15.0536196381134&lt;/D&gt;&lt;D xsi:type="xsd:double"&gt;15.1038199086379&lt;/D&gt;&lt;D xsi:type="xsd:double"&gt;15.3662787589315&lt;/D&gt;&lt;D xsi:type="xsd:double"&gt;15.8422185505828&lt;/D&gt;&lt;D xsi:type="xsd:double"&gt;13.7740924252043&lt;/D&gt;&lt;D xsi:type="xsd:double"&gt;14.7024224119322&lt;/D&gt;&lt;D xsi:type="xsd:double"&gt;16.3630351101852&lt;/D&gt;&lt;D xsi:type="xsd:double"&gt;17.0070582605343&lt;/D&gt;&lt;D xsi:type="xsd:double"&gt;17.54963884573&lt;/D&gt;&lt;D xsi:type="xsd:double"&gt;18.2178793055733&lt;/D&gt;&lt;D xsi:type="xsd:double"&gt;18.2152915262953&lt;/D&gt;&lt;D xsi:type="xsd:double"&gt;18.8662293632058&lt;/D&gt;&lt;D xsi:type="xsd:double"&gt;19.1387266271038&lt;/D&gt;&lt;D xsi:type="xsd:double"&gt;20.21175959142&lt;/D&gt;&lt;D xsi:type="xsd:double"&gt;21.2584362857464&lt;/D&gt;&lt;D xsi:type="xsd:double"&gt;20.9761429933679&lt;/D&gt;&lt;D xsi:type="xsd:double"&gt;19.8566267002582&lt;/D&gt;&lt;D xsi:type="xsd:double"&gt;19.4829147620968&lt;/D&gt;&lt;D xsi:type="xsd:double"&gt;19.0236182860594&lt;/D&gt;&lt;D xsi:type="xsd:double"&gt;18.6776812581821&lt;/D&gt;&lt;D xsi:type="xsd:double"&gt;18.2533011306976&lt;/D&gt;&lt;D xsi:type="xsd:double"&gt;17.6187250437264&lt;/D&gt;&lt;D xsi:type="xsd:double"&gt;17.0214922610531&lt;/D&gt;&lt;D xsi:type="xsd:double"&gt;16.4443285875491&lt;/D&gt;&lt;D xsi:type="xsd:double"&gt;16.6119244998053&lt;/D&gt;&lt;D xsi:type="xsd:double"&gt;15.5465493038929&lt;/D&gt;&lt;D xsi:type="xsd:double"&gt;15.5603003996719&lt;/D&gt;&lt;D xsi:type="xsd:double"&gt;15.7028059969481&lt;/D&gt;&lt;D xsi:type="xsd:double"&gt;15.1225456297367&lt;/D&gt;&lt;D xsi:type="xsd:double"&gt;14.920822063283&lt;/D&gt;&lt;D xsi:type="xsd:double"&gt;14.2267207713805&lt;/D&gt;&lt;D xsi:type="xsd:double"&gt;14.0463034229785&lt;/D&gt;&lt;D xsi:type="xsd:double"&gt;13.1568083663837&lt;/D&gt;&lt;D xsi:type="xsd:double"&gt;13.3467989073145&lt;/D&gt;&lt;D xsi:type="xsd:double"&gt;12.967159122455&lt;/D&gt;&lt;D xsi:type="xsd:double"&gt;11.9173004588886&lt;/D&gt;&lt;D xsi:type="xsd:double"&gt;12.7041396517295&lt;/D&gt;&lt;D xsi:type="xsd:double"&gt;12.5759539683473&lt;/D&gt;&lt;D xsi:type="xsd:double"&gt;12.5213679759179&lt;/D&gt;&lt;D xsi:type="xsd:double"&gt;12.8442552131191&lt;/D&gt;&lt;D xsi:type="xsd:double"&gt;12.5461106527594&lt;/D&gt;&lt;D xsi:type="xsd:double"&gt;12.7125429610763&lt;/D&gt;&lt;D xsi:type="xsd:double"&gt;12.8459512651235&lt;/D&gt;&lt;D xsi:type="xsd:double"&gt;12.8901042021966&lt;/D&gt;&lt;D xsi:type="xsd:double"&gt;13.1258452922927&lt;/D&gt;&lt;D xsi:type="xsd:double"&gt;13.4825825054393&lt;/D&gt;&lt;D xsi:type="xsd:double"&gt;13.5663214598964&lt;/D&gt;&lt;D xsi:type="xsd:double"&gt;13.2728229145805&lt;/D&gt;&lt;D xsi:type="xsd:double"&gt;13.3799360276828&lt;/D&gt;&lt;D xsi:type="xsd:double"&gt;13.9719042760641&lt;/D&gt;&lt;D xsi:type="xsd:double"&gt;14.5954321598484&lt;/D&gt;&lt;D xsi:type="xsd:double"&gt;14.6608222901889&lt;/D&gt;&lt;D xsi:type="xsd:double"&gt;14.9210730005801&lt;/D&gt;&lt;D xsi:type="xsd:double"&gt;14.9002923203496&lt;/D&gt;&lt;D xsi:type="xsd:double"&gt;14.9839869619721&lt;/D&gt;&lt;D xsi:type="xsd:double"&gt;14.8525240364204&lt;/D&gt;&lt;D xsi:type="xsd:double"&gt;15.0911866446178&lt;/D&gt;&lt;D xsi:type="xsd:double"&gt;14.9492197708973&lt;/D&gt;&lt;D xsi:type="xsd:double"&gt;15.4089628366483&lt;/D&gt;&lt;/FQL&gt;&lt;FQL&gt;&lt;Q&gt;BRENT-FDS^FG_PRICE_MAVG(0,,,,30)&lt;/Q&gt;&lt;R&gt;1&lt;/R&gt;&lt;C&gt;1&lt;/C&gt;&lt;D xsi:type="xsd:double"&gt;85.86&lt;/D&gt;&lt;/FQL&gt;&lt;FQL&gt;&lt;Q&gt;EWL^FG_PRICE(0)&lt;/Q&gt;&lt;R&gt;1&lt;/R&gt;&lt;C&gt;1&lt;/C&gt;&lt;D xsi:type="xsd:double"&gt;51.07&lt;/D&gt;&lt;/FQL&gt;&lt;FQL&gt;&lt;Q&gt;URTH^FG_TOTAL_RETURNC(0,-3AM)&lt;/Q&gt;&lt;R&gt;1&lt;/R&gt;&lt;C&gt;1&lt;/C&gt;&lt;D xsi:type="xsd:double"&gt;3.4141064&lt;/D&gt;&lt;/FQL&gt;&lt;FQL&gt;&lt;Q&gt;EWD^FMA_PCT_ABOVE_MAVG(200,0,,,,"PORTAGG")&lt;/Q&gt;&lt;R&gt;1&lt;/R&gt;&lt;C&gt;1&lt;/C&gt;&lt;D xsi:type="xsd:double"&gt;55.5555555555556&lt;/D&gt;&lt;/FQL&gt;&lt;FQL&gt;&lt;Q&gt;EWC^PERCENT_CHANGE(FMA_EPS(+1,0,,,,"PORTAGG","MEAN"),FMA_EPS(+1,-3AM,,,,"PORTAGG","MEAN"))&lt;/Q&gt;&lt;R&gt;1&lt;/R&gt;&lt;C&gt;1&lt;/C&gt;&lt;D xsi:type="xsd:double"&gt;1.86751821460101&lt;/D&gt;&lt;/FQL&gt;&lt;FQL&gt;&lt;Q&gt;VWO^FMA_COS_UP("EPS","1M",+1,0,,,"PORTAGG","MEANR")&lt;/Q&gt;&lt;R&gt;1&lt;/R&gt;&lt;C&gt;1&lt;/C&gt;&lt;D xsi:type="xsd:double"&gt;970&lt;/D&gt;&lt;/FQL&gt;&lt;FQL&gt;&lt;Q&gt;EWC^FMA_COS_DOWN("EPS","1M",+1,0,,,"PORTAGG","MEANR")&lt;/Q&gt;&lt;R&gt;1&lt;/R&gt;&lt;C&gt;1&lt;/C&gt;&lt;D xsi:type="xsd:double"&gt;39&lt;/D&gt;&lt;/FQL&gt;&lt;FQL&gt;&lt;Q&gt;ENZL^FMA_RBICS_REV_CURRENT(30, LOC, "PORTAGG")&lt;/Q&gt;&lt;R&gt;1&lt;/R&gt;&lt;C&gt;1&lt;/C&gt;&lt;D xsi:type="xsd:double"&gt;14.6363346162214&lt;/D&gt;&lt;/FQL&gt;&lt;FQL&gt;&lt;Q&gt;REFJPTON-FDS^PROPER_NAME(0,,,"SECURITY","NAME")&lt;/Q&gt;&lt;R&gt;1&lt;/R&gt;&lt;C&gt;1&lt;/C&gt;&lt;D xsi:type="xsd:string"&gt;Japan Policy Rate&lt;/D&gt;&lt;/FQL&gt;&lt;FQL&gt;&lt;Q&gt;TRYDE10Y-FDS^PCTCHG(FG_YIELD(0,,,,"YTM"),FG_YIELD(-1AM,,,,"YTM"))&lt;/Q&gt;&lt;R&gt;1&lt;/R&gt;&lt;C&gt;1&lt;/C&gt;&lt;D xsi:type="xsd:double"&gt;-3.711983&lt;/D&gt;&lt;/FQL&gt;&lt;FQL&gt;&lt;Q&gt;EWI^FMA_EVAL_EBITDA(NTMA,0,,,"PORTAGG","MEANR")&lt;/Q&gt;&lt;R&gt;1&lt;/R&gt;&lt;C&gt;1&lt;/C&gt;&lt;D xsi:type="xsd:double"&gt;7.27409889165132&lt;/D&gt;&lt;/FQL&gt;&lt;FQL&gt;&lt;Q&gt;EWJ^FMA_PE(NTMA,0,,,"PORTAGG","MEANR")&lt;/Q&gt;&lt;R&gt;1&lt;/R&gt;&lt;C&gt;1&lt;/C&gt;&lt;D xsi:type="xsd:double"&gt;13.7924347699297&lt;/D&gt;&lt;/FQL&gt;&lt;FQL&gt;&lt;Q&gt;QQQ^P_PRICE(0)/P_PRICE_HIGH_PR(0,,,USD,,,"PRICE","INTRA","52W")&lt;/Q&gt;&lt;R&gt;1&lt;/R&gt;&lt;C&gt;1&lt;/C&gt;&lt;D xsi:type="xsd:double"&gt;0.9398237&lt;/D&gt;&lt;/FQL&gt;&lt;FQL&gt;&lt;Q&gt;TRYFR10Y-FDS^FG_YIELD(0,,,,"YTM")&lt;/Q&gt;&lt;R&gt;1&lt;/R&gt;&lt;C&gt;1&lt;/C&gt;&lt;D xsi:type="xsd:double"&gt;2.847&lt;/D&gt;&lt;/FQL&gt;&lt;FQL&gt;&lt;Q&gt;EWN^FMA_EVAL_EBITDA(NTMA,0,,,"PORTAGG","MEANR")&lt;/Q&gt;&lt;R&gt;1&lt;/R&gt;&lt;C&gt;1&lt;/C&gt;&lt;D xsi:type="xsd:double"&gt;11.6948057833004&lt;/D&gt;&lt;/FQL&gt;&lt;FQL&gt;&lt;Q&gt;DUMMY^ECON_DATE(45425,,, 'MM/YYYY')&lt;/Q&gt;&lt;R&gt;1&lt;/R&gt;&lt;C&gt;1&lt;/C&gt;&lt;D xsi:type="xsd:string"&gt;05/2024&lt;/D&gt;&lt;/FQL&gt;&lt;FQL&gt;&lt;Q&gt;DUMMY^ECON_DATE(45517,,, 'MM/YYYY')&lt;/Q&gt;&lt;R&gt;1&lt;/R&gt;&lt;C&gt;1&lt;/C&gt;&lt;D xsi:type="xsd:string"&gt;08/2024&lt;/D&gt;&lt;/FQL&gt;&lt;FQL&gt;&lt;Q&gt;DUMMY^ECON_EXPR_DATA('FDS_ECON[NTCPMIMFGSA@NZ]',08/2024,,Q)&lt;/Q&gt;&lt;R&gt;1&lt;/R&gt;&lt;C&gt;1&lt;/C&gt;&lt;D xsi:type="xsd:double"&gt;45.525333&lt;/D&gt;&lt;/FQL&gt;&lt;FQL&gt;&lt;Q&gt;DUMMY^ECON_EXPR_DATA('FDS_ECON[NTCPMIMFGSA@NZ]',05/2024,,Q)&lt;/Q&gt;&lt;R&gt;1&lt;/R&gt;&lt;C&gt;1&lt;/C&gt;&lt;D xsi:type="xsd:double"&gt;47.698093&lt;/D&gt;&lt;/FQL&gt;&lt;FQL&gt;&lt;Q&gt;DUMMY^ECON_EXPR_DATA('FDS_ECON[NTCPMIMFGSA@AU]',08/2024,,Q)&lt;/Q&gt;&lt;R&gt;1&lt;/R&gt;&lt;C&gt;1&lt;/C&gt;&lt;D xsi:type="xsd:double"&gt;48.811333&lt;/D&gt;&lt;/FQL&gt;&lt;FQL&gt;&lt;Q&gt;DUMMY^ECON_EXPR_DATA('FDS_ECON[NTCPMIMFGSA@AU]',05/2024,,Q)&lt;/Q&gt;&lt;R&gt;1&lt;/R&gt;&lt;C&gt;1&lt;/C&gt;&lt;D xsi:type="xsd:double"&gt;48.39547&lt;/D&gt;&lt;/FQL&gt;&lt;FQL&gt;&lt;Q&gt;DUMMY^ECON_EXPR_DATA('FDS_ECON[NTCPMIMFGSA@CA]',08/2024,,Q)&lt;/Q&gt;&lt;R&gt;1&lt;/R&gt;&lt;C&gt;1&lt;/C&gt;&lt;D xsi:type="xsd:double"&gt;49.331886&lt;/D&gt;&lt;/FQL&gt;&lt;FQL&gt;&lt;Q&gt;DUMMY^ECON_EXPR_DATA('FDS_ECON[NTCPMIMFGSA@CA]',05/2024,,Q)&lt;/Q&gt;&lt;R&gt;1&lt;/R&gt;&lt;C&gt;1&lt;/C&gt;&lt;D xsi:type="xsd:double"&gt;49.30091&lt;/D&gt;&lt;/FQL&gt;&lt;FQL&gt;&lt;Q&gt;DUMMY^ECON_EXPR_DATA('FDS_ECON[NTCPMIMFGSA@DE]',08/2024,,Q)&lt;/Q&gt;&lt;R&gt;1&lt;/R&gt;&lt;C&gt;1&lt;/C&gt;&lt;D xsi:type="xsd:double"&gt;43.782&lt;/D&gt;&lt;/FQL&gt;&lt;FQL&gt;&lt;Q&gt;DUMMY^ECON_EXPR_DATA('FDS_ECON[NTCPMIMFGSA@DE]',05/2024,,Q)&lt;/Q&gt;&lt;R&gt;1&lt;/R&gt;&lt;C&gt;1&lt;/C&gt;&lt;D xsi:type="xsd:double"&gt;43.319096&lt;/D&gt;&lt;/FQL&gt;&lt;FQL&gt;&lt;Q&gt;DUMMY^ECON_EXPR_DATA('FDS_ECON[NTCPMIMFGSA@JP]',08/2024,,Q)&lt;/Q&gt;&lt;R&gt;1&lt;/R&gt;&lt;C&gt;1&lt;/C&gt;&lt;D xsi:type="xsd:double"&gt;49.991356&lt;/D&gt;&lt;/FQL&gt;&lt;FQL&gt;&lt;Q&gt;DUMMY^ECON_EXPR_DATA('FDS_ECON[NTCPMIMFGSA@JP]',05/2024,,Q)&lt;/Q&gt;&lt;R&gt;1&lt;/R&gt;&lt;C&gt;1&lt;/C&gt;&lt;D xsi:type="xsd:double"&gt;47.808857&lt;/D&gt;&lt;/FQL&gt;&lt;FQL&gt;&lt;Q&gt;DUMMY^ECON_EXPR_DATA('FDS_ECON[NTCPMIMFGSA@CH]',08/2024,,Q)&lt;/Q&gt;&lt;R&gt;1&lt;/R&gt;&lt;C&gt;1&lt;/C&gt;&lt;D xsi:type="xsd:double"&gt;43.896877&lt;/D&gt;&lt;/FQL&gt;&lt;FQL&gt;&lt;Q&gt;DUMMY^ECON_EXPR_DATA('FDS_ECON[NTCPMIMFGSA@CH]',05/2024,,Q)&lt;/Q&gt;&lt;R&gt;1&lt;/R&gt;&lt;C&gt;1&lt;/C&gt;&lt;D xsi:type="xsd:double"&gt;44.08605&lt;/D&gt;&lt;/FQL&gt;&lt;FQL&gt;&lt;Q&gt;DUMMY^ECON_EXPR_DATA('FDS_ECON[NTCPMIMFGSA@GB]',08/2024,,Q)&lt;/Q&gt;&lt;R&gt;1&lt;/R&gt;&lt;C&gt;1&lt;/C&gt;&lt;D xsi:type="xsd:double"&gt;50.395269999999996&lt;/D&gt;&lt;/FQL&gt;&lt;FQL&gt;&lt;Q&gt;DUMMY^ECON_EXPR_DATA('FDS_ECON[NTCPMIMFGSA@GB]',05/2024,,Q)&lt;/Q&gt;&lt;R&gt;1&lt;/R&gt;&lt;C&gt;1&lt;/C&gt;&lt;D xsi:type="xsd:double"&gt;48.24796&lt;/D&gt;&lt;/FQL&gt;&lt;FQL&gt;&lt;Q&gt;DUMMY^ECON_EXPR_DATA('FDS_ECON[NTCPMIMFGMESA@US]',08/2024,,Q)&lt;/Q&gt;&lt;R&gt;1&lt;/R&gt;&lt;C&gt;1&lt;/C&gt;&lt;D xsi:type="xsd:double"&gt;50.939392&lt;/D&gt;&lt;/FQL&gt;&lt;FQL&gt;&lt;Q&gt;DUMMY^ECON_EXPR_DATA('FDS_ECON[NTCPMIMFGMESA@US]',05/2024,,Q)&lt;/Q&gt;&lt;R&gt;1&lt;/R&gt;&lt;C&gt;1&lt;/C&gt;&lt;D xsi:type="xsd:double"&gt;51.582687&lt;/D&gt;&lt;/FQL&gt;&lt;FQL&gt;&lt;Q&gt;DUMMY^ECON_EXPR_DATA('FDS_ECON[NTCPMIMFGSA@FR]',08/2024,,Q)&lt;/Q&gt;&lt;R&gt;1&lt;/R&gt;&lt;C&gt;1&lt;/C&gt;&lt;D xsi:type="xsd:double"&gt;45.684513&lt;/D&gt;&lt;/FQL&gt;&lt;FQL&gt;&lt;Q&gt;DUMMY^ECON_EXPR_DATA('FDS_ECON[NTCPMIMFGSA@FR]',05/2024,,Q)&lt;/Q&gt;&lt;R&gt;1&lt;/R&gt;&lt;C&gt;1&lt;/C&gt;&lt;D xsi:type="xsd:double"&gt;45.498753&lt;/D&gt;&lt;/FQL&gt;&lt;FQL&gt;&lt;Q&gt;DUMMY^ECON_EXPR_DATA('FDS_ECON[NTCPMIMFGSA@NL]',08/2024,,Q)&lt;/Q&gt;&lt;R&gt;1&lt;/R&gt;&lt;C&gt;1&lt;/C&gt;&lt;D xsi:type="xsd:double"&gt;51.49388&lt;/D&gt;&lt;/FQL&gt;&lt;FQL&gt;&lt;Q&gt;DUMMY^ECON_EXPR_DATA('FDS_ECON[NTCPMIMFGSA@NL]',05/2024,,Q)&lt;/Q&gt;&lt;R&gt;1&lt;/R&gt;&lt;C&gt;1&lt;/C&gt;&lt;D xsi:type="xsd:double"&gt;49.325874&lt;/D&gt;&lt;/FQL&gt;&lt;FQL&gt;&lt;Q&gt;DUMMY^ECON_EXPR_DATA('FDS_ECON[]',08/2024,,Q)&lt;/Q&gt;&lt;R&gt;0&lt;/R&gt;&lt;C&gt;0&lt;/C&gt;&lt;/FQL&gt;&lt;FQL&gt;&lt;Q&gt;DUMMY^ECON_EXPR_DATA('FDS_ECON[]',05/2024,,Q)&lt;/Q&gt;&lt;R&gt;0&lt;/R&gt;&lt;C&gt;0&lt;/C&gt;&lt;/FQL&gt;&lt;FQL&gt;&lt;Q&gt;DUMMY^ECON_EXPR_DATA('FDS_ECON[NTCPMIMFGSA@IT]',08/2024,,Q)&lt;/Q&gt;&lt;R&gt;1&lt;/R&gt;&lt;C&gt;1&lt;/C&gt;&lt;D xsi:type="xsd:double"&gt;46.215786&lt;/D&gt;&lt;/FQL&gt;&lt;FQL&gt;&lt;Q&gt;DUMMY^ECON_EXPR_DATA('FDS_ECON[NTCPMIMFGSA@IT]',05/2024,,Q)&lt;/Q&gt;&lt;R&gt;1&lt;/R&gt;&lt;C&gt;1&lt;/C&gt;&lt;D xsi:type="xsd:double"&gt;49.208153&lt;/D&gt;&lt;/FQL&gt;&lt;FQL&gt;&lt;Q&gt;DUMMY^ECON_EXPR_DATA('FDS_ECON[PMIDMMANHE]',08/2024,,Q)&lt;/Q&gt;&lt;R&gt;1&lt;/R&gt;&lt;C&gt;1&lt;/C&gt;&lt;D xsi:type="xsd:double"&gt;49.418606&lt;/D&gt;&lt;/FQL&gt;&lt;FQL&gt;&lt;Q&gt;DUMMY^ECON_EXPR_DATA('FDS_ECON[PMIDMMANHE]',05/2024,,Q)&lt;/Q&gt;&lt;R&gt;1&lt;/R&gt;&lt;C&gt;1&lt;/C&gt;&lt;D xsi:type="xsd:double"&gt;49.135414&lt;/D&gt;&lt;/FQL&gt;&lt;FQL&gt;&lt;Q&gt;DUMMY^ECON_EXPR_DATA('FDS_ECON[NTCPMIMFGSA@EME]',08/2024,,Q)&lt;/Q&gt;&lt;R&gt;1&lt;/R&gt;&lt;C&gt;1&lt;/C&gt;&lt;D xsi:type="xsd:double"&gt;52.00181&lt;/D&gt;&lt;/FQL&gt;&lt;FQL&gt;&lt;Q&gt;DUMMY^ECON_EXPR_DATA('FDS_ECON[NTCPMIMFGSA@EME]',05/2024,,Q)&lt;/Q&gt;&lt;R&gt;1&lt;/R&gt;&lt;C&gt;1&lt;/C&gt;&lt;D xsi:type="xsd:double"&gt;51.518684&lt;/D&gt;&lt;/FQL&gt;&lt;/Schema&gt;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<sst xmlns="http://schemas.openxmlformats.org/spreadsheetml/2006/main" count="2053" uniqueCount="915">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</sst>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4.8070821661682299E-2</v>
      </c>
      <c r="O13" s="55">
        <f>N13*(1+N9)</f>
        <v>5.0955070961383242E-2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3.8578165347860148E-2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3.6801E-2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-6.9291783383177014E-3</v>
      </c>
      <c r="O21" s="57">
        <f>O13-O16</f>
        <v>5.9550709613832437E-3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1.1269821661682299E-2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5</v>
      </c>
      <c r="E8" s="11">
        <f t="shared" ref="E8:E17" si="0">D8</f>
        <v>5</v>
      </c>
    </row>
    <row r="9" spans="3:9" x14ac:dyDescent="0.35">
      <c r="C9" s="56" t="s">
        <v>1</v>
      </c>
      <c r="D9">
        <f>'Asset class'!S4</f>
        <v>2</v>
      </c>
      <c r="E9" s="58">
        <f t="shared" si="0"/>
        <v>2</v>
      </c>
      <c r="H9" s="62" t="s">
        <v>903</v>
      </c>
      <c r="I9" s="171">
        <f>Timing!L22</f>
        <v>1</v>
      </c>
    </row>
    <row r="10" spans="3:9" x14ac:dyDescent="0.35">
      <c r="C10" s="56" t="s">
        <v>888</v>
      </c>
      <c r="D10">
        <f>'Asset class'!S5</f>
        <v>1</v>
      </c>
      <c r="E10" s="58">
        <f t="shared" si="0"/>
        <v>1</v>
      </c>
      <c r="H10" s="56" t="s">
        <v>904</v>
      </c>
      <c r="I10" s="57">
        <f>Timing!M22</f>
        <v>0.92307692307692313</v>
      </c>
    </row>
    <row r="11" spans="3:9" ht="15" thickBot="1" x14ac:dyDescent="0.4">
      <c r="C11" s="56" t="s">
        <v>889</v>
      </c>
      <c r="D11">
        <f>'Asset class'!S6</f>
        <v>9</v>
      </c>
      <c r="E11" s="58">
        <f t="shared" si="0"/>
        <v>9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7</v>
      </c>
      <c r="E12" s="58">
        <f t="shared" si="0"/>
        <v>7</v>
      </c>
    </row>
    <row r="13" spans="3:9" x14ac:dyDescent="0.35">
      <c r="C13" s="56" t="s">
        <v>890</v>
      </c>
      <c r="D13">
        <f>'Asset class'!S8</f>
        <v>8</v>
      </c>
      <c r="E13" s="58">
        <f t="shared" si="0"/>
        <v>8</v>
      </c>
    </row>
    <row r="14" spans="3:9" ht="15" thickBot="1" x14ac:dyDescent="0.4">
      <c r="C14" s="12" t="s">
        <v>457</v>
      </c>
      <c r="D14">
        <f>'Asset class'!S9</f>
        <v>10</v>
      </c>
      <c r="E14" s="14">
        <f t="shared" si="0"/>
        <v>10</v>
      </c>
    </row>
    <row r="15" spans="3:9" ht="15" thickBot="1" x14ac:dyDescent="0.4">
      <c r="C15" s="144" t="s">
        <v>891</v>
      </c>
      <c r="D15">
        <f>'Asset class'!S10</f>
        <v>3</v>
      </c>
      <c r="E15" s="14">
        <f t="shared" si="0"/>
        <v>3</v>
      </c>
    </row>
    <row r="16" spans="3:9" ht="15" thickBot="1" x14ac:dyDescent="0.4">
      <c r="C16" s="178" t="s">
        <v>536</v>
      </c>
      <c r="D16">
        <f>'Asset class'!S11</f>
        <v>5</v>
      </c>
      <c r="E16" s="14">
        <f t="shared" si="0"/>
        <v>5</v>
      </c>
    </row>
    <row r="17" spans="2:15" ht="15" thickBot="1" x14ac:dyDescent="0.4">
      <c r="C17" s="148" t="s">
        <v>46</v>
      </c>
      <c r="D17">
        <f>'Asset class'!S12</f>
        <v>6</v>
      </c>
      <c r="E17" s="14">
        <f t="shared" si="0"/>
        <v>6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0.33200795228628233</v>
      </c>
      <c r="D23" s="170"/>
      <c r="E23" s="171">
        <f>'Momnetum ranking'!I22</f>
        <v>0.32405566600397612</v>
      </c>
    </row>
    <row r="24" spans="2:15" x14ac:dyDescent="0.35">
      <c r="B24" s="56" t="s">
        <v>51</v>
      </c>
      <c r="C24" s="9">
        <f>'Momnetum ranking'!H10</f>
        <v>0.36274509803921567</v>
      </c>
      <c r="D24" s="9"/>
      <c r="E24" s="57">
        <f>'Momnetum ranking'!I10</f>
        <v>0.25490196078431371</v>
      </c>
    </row>
    <row r="25" spans="2:15" x14ac:dyDescent="0.35">
      <c r="B25" s="56" t="s">
        <v>895</v>
      </c>
      <c r="C25" s="9">
        <f>'Momnetum ranking'!H23</f>
        <v>0.46153846153846156</v>
      </c>
      <c r="D25" s="9"/>
      <c r="E25" s="57">
        <f>'Momnetum ranking'!I23</f>
        <v>0.40384615384615385</v>
      </c>
    </row>
    <row r="26" spans="2:15" x14ac:dyDescent="0.35">
      <c r="B26" s="56" t="s">
        <v>46</v>
      </c>
      <c r="C26" s="9">
        <f>'Momnetum ranking'!H21</f>
        <v>0.53266331658291455</v>
      </c>
      <c r="D26" s="9"/>
      <c r="E26" s="57">
        <f>'Momnetum ranking'!I21</f>
        <v>0.39698492462311558</v>
      </c>
    </row>
    <row r="27" spans="2:15" ht="15" thickBot="1" x14ac:dyDescent="0.4">
      <c r="B27" s="12" t="s">
        <v>536</v>
      </c>
      <c r="C27" s="172">
        <f>'Momnetum ranking'!H18</f>
        <v>0.33177933177933178</v>
      </c>
      <c r="D27" s="172"/>
      <c r="E27" s="59">
        <f>'Momnetum ranking'!I18</f>
        <v>0.46620046620046618</v>
      </c>
    </row>
    <row r="28" spans="2:15" x14ac:dyDescent="0.35">
      <c r="B28" s="62" t="s">
        <v>6</v>
      </c>
      <c r="C28" s="170">
        <f>'Momnetum ranking'!H19</f>
        <v>0.20099461251554082</v>
      </c>
      <c r="D28" s="170"/>
      <c r="E28" s="171">
        <f>'Momnetum ranking'!I19</f>
        <v>0.24720265230004143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-0.1344211344211344</v>
      </c>
      <c r="F35" s="5">
        <f>'Momnetum ranking'!K18</f>
        <v>0.63370253164557</v>
      </c>
      <c r="G35" s="9">
        <f>'Momnetum ranking'!Q18</f>
        <v>0.97482769999999996</v>
      </c>
      <c r="H35" s="3">
        <f>'Momnetum ranking'!O18</f>
        <v>0.86911917000000005</v>
      </c>
      <c r="K35">
        <f>_xlfn.RANK.EQ(E35,$E$35:$E$39)</f>
        <v>5</v>
      </c>
      <c r="L35">
        <f>_xlfn.RANK.EQ(F35,$F$35:$F$39)</f>
        <v>2</v>
      </c>
      <c r="M35">
        <f>_xlfn.RANK.EQ(G35,$G$35:$G$39)</f>
        <v>3</v>
      </c>
      <c r="N35">
        <f>_xlfn.RANK.EQ(H35,$H$35:$H$39)</f>
        <v>5</v>
      </c>
      <c r="O35" s="58">
        <f>MEDIAN(K35:N35)</f>
        <v>4</v>
      </c>
    </row>
    <row r="36" spans="3:15" x14ac:dyDescent="0.35">
      <c r="C36" s="56" t="s">
        <v>749</v>
      </c>
      <c r="E36" s="9">
        <f>'Momnetum ranking'!J19</f>
        <v>-4.620803978450061E-2</v>
      </c>
      <c r="F36" s="5">
        <f>'Momnetum ranking'!K19</f>
        <v>0.40878090366581399</v>
      </c>
      <c r="G36" s="9">
        <f>'Momnetum ranking'!Q19</f>
        <v>0.96796066000000003</v>
      </c>
      <c r="H36" s="3">
        <f>'Momnetum ranking'!O19</f>
        <v>1.6974092000000001</v>
      </c>
      <c r="K36">
        <f t="shared" ref="K36:K39" si="1">_xlfn.RANK.EQ(E36,$E$35:$E$39)</f>
        <v>4</v>
      </c>
      <c r="L36">
        <f t="shared" ref="L36:L39" si="2">_xlfn.RANK.EQ(F36,$F$35:$F$39)</f>
        <v>5</v>
      </c>
      <c r="M36">
        <f t="shared" ref="M36:M39" si="3">_xlfn.RANK.EQ(G36,$G$35:$G$39)</f>
        <v>5</v>
      </c>
      <c r="N36">
        <f t="shared" ref="N36:N39" si="4">_xlfn.RANK.EQ(H36,$H$35:$H$39)</f>
        <v>4</v>
      </c>
      <c r="O36" s="58">
        <f t="shared" ref="O36:O39" si="5">MEDIAN(K36:N36)</f>
        <v>4.5</v>
      </c>
    </row>
    <row r="37" spans="3:15" x14ac:dyDescent="0.35">
      <c r="C37" s="56" t="s">
        <v>781</v>
      </c>
      <c r="E37" s="9">
        <f>'Momnetum ranking'!J20</f>
        <v>1.7705382436260575E-2</v>
      </c>
      <c r="F37" s="5">
        <f>'Momnetum ranking'!K20</f>
        <v>0.61095305832147906</v>
      </c>
      <c r="G37" s="9">
        <f>'Momnetum ranking'!Q20</f>
        <v>0.98749112999999999</v>
      </c>
      <c r="H37" s="3">
        <f>'Momnetum ranking'!O20</f>
        <v>3.4141064000000001</v>
      </c>
      <c r="K37">
        <f t="shared" si="1"/>
        <v>2</v>
      </c>
      <c r="L37">
        <f t="shared" si="2"/>
        <v>3</v>
      </c>
      <c r="M37">
        <f t="shared" si="3"/>
        <v>2</v>
      </c>
      <c r="N37">
        <f t="shared" si="4"/>
        <v>2</v>
      </c>
      <c r="O37" s="58">
        <f t="shared" si="5"/>
        <v>2</v>
      </c>
    </row>
    <row r="38" spans="3:15" x14ac:dyDescent="0.35">
      <c r="C38" s="56" t="s">
        <v>816</v>
      </c>
      <c r="E38" s="9">
        <f>'Momnetum ranking'!J21</f>
        <v>0.13567839195979897</v>
      </c>
      <c r="F38" s="5">
        <f>'Momnetum ranking'!K21</f>
        <v>0.50251256281406997</v>
      </c>
      <c r="G38" s="9">
        <f>'Momnetum ranking'!Q21</f>
        <v>0.97131009999999995</v>
      </c>
      <c r="H38" s="3">
        <f>'Momnetum ranking'!O21</f>
        <v>2.7197003</v>
      </c>
      <c r="K38">
        <f t="shared" si="1"/>
        <v>1</v>
      </c>
      <c r="L38">
        <f t="shared" si="2"/>
        <v>4</v>
      </c>
      <c r="M38">
        <f t="shared" si="3"/>
        <v>4</v>
      </c>
      <c r="N38">
        <f t="shared" si="4"/>
        <v>3</v>
      </c>
      <c r="O38" s="58">
        <f t="shared" si="5"/>
        <v>3.5</v>
      </c>
    </row>
    <row r="39" spans="3:15" ht="15" thickBot="1" x14ac:dyDescent="0.4">
      <c r="C39" s="12" t="s">
        <v>119</v>
      </c>
      <c r="D39" s="13"/>
      <c r="E39" s="172">
        <f>'Momnetum ranking'!J22</f>
        <v>7.952286282306209E-3</v>
      </c>
      <c r="F39" s="17">
        <f>'Momnetum ranking'!K22</f>
        <v>0.67465069860279403</v>
      </c>
      <c r="G39" s="172">
        <f>'Momnetum ranking'!Q22</f>
        <v>0.98925980000000002</v>
      </c>
      <c r="H39" s="175">
        <f>'Momnetum ranking'!O22</f>
        <v>3.6087275000000001</v>
      </c>
      <c r="I39" s="13"/>
      <c r="J39" s="13"/>
      <c r="K39" s="13">
        <f t="shared" si="1"/>
        <v>3</v>
      </c>
      <c r="L39" s="13">
        <f t="shared" si="2"/>
        <v>1</v>
      </c>
      <c r="M39" s="13">
        <f t="shared" si="3"/>
        <v>1</v>
      </c>
      <c r="N39" s="13">
        <f t="shared" si="4"/>
        <v>1</v>
      </c>
      <c r="O39" s="14">
        <f t="shared" si="5"/>
        <v>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1.1888384999999999</v>
      </c>
      <c r="F3" s="3" cm="1">
        <f t="array" ref="F3">_xll.FDS(C3,"FG_TOTAL_RETURNC(0,-3AM)")</f>
        <v>1.6974092000000001</v>
      </c>
      <c r="G3" s="3" cm="1">
        <f t="array" ref="G3">_xll.FDS(C3,"FG_TOTAL_RETURNC(0,-6AM)")</f>
        <v>5.3107259999999998</v>
      </c>
      <c r="H3" s="9" cm="1">
        <f t="array" ref="H3">_xll.FDS(C3,"P_PRICE(0)/P_PRICE_HIGH_PR(0,,,USD,,,""PRICE"",""INTRA"",""52W"")")</f>
        <v>0.96796066000000003</v>
      </c>
      <c r="K3" s="4">
        <f>_xlfn.RANK.EQ(H3,H$3:H$12)</f>
        <v>6</v>
      </c>
      <c r="L3" s="4">
        <f>_xlfn.RANK.EQ(F3,F$3:F$12)</f>
        <v>5</v>
      </c>
      <c r="M3" s="4">
        <f>_xlfn.RANK.EQ(G3,G$3:G$12)</f>
        <v>6</v>
      </c>
      <c r="N3" s="4"/>
      <c r="P3" s="3">
        <f t="shared" ref="P3:P12" si="0">SUMPRODUCT($K$2:$M$2,K3:M3)</f>
        <v>5.6099999999999994</v>
      </c>
      <c r="Q3">
        <f t="shared" ref="Q3:Q12" si="1">COUNTIF(K3:N3,"&gt;70")</f>
        <v>0</v>
      </c>
      <c r="S3" s="3">
        <f>11-_xlfn.RANK.EQ(P3,$P$3:$P$12)</f>
        <v>5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4.8418283000000004</v>
      </c>
      <c r="F4" s="3" cm="1">
        <f t="array" ref="F4">_xll.FDS(C4,"FG_TOTAL_RETURNC(0,-3AM)")</f>
        <v>3.6087275000000001</v>
      </c>
      <c r="G4" s="3" cm="1">
        <f t="array" ref="G4">_xll.FDS(C4,"FG_TOTAL_RETURNC(0,-6AM)")</f>
        <v>8.8762760000000007</v>
      </c>
      <c r="H4" s="9" cm="1">
        <f t="array" ref="H4">_xll.FDS(C4,"P_PRICE(0)/P_PRICE_HIGH_PR(0,,,USD,,,""PRICE"",""INTRA"",""52W"")")</f>
        <v>0.98925980000000002</v>
      </c>
      <c r="I4" s="177"/>
      <c r="K4" s="4">
        <f t="shared" ref="K4:K12" si="3">_xlfn.RANK.EQ(H4,H$3:H$12)</f>
        <v>2</v>
      </c>
      <c r="L4" s="4">
        <f t="shared" ref="L4:M12" si="4">_xlfn.RANK.EQ(F4,F$3:F$12)</f>
        <v>3</v>
      </c>
      <c r="M4" s="4">
        <f t="shared" si="4"/>
        <v>2</v>
      </c>
      <c r="N4" s="4"/>
      <c r="P4" s="3">
        <f t="shared" si="0"/>
        <v>2.31</v>
      </c>
      <c r="Q4">
        <f t="shared" si="1"/>
        <v>0</v>
      </c>
      <c r="S4" s="3">
        <f t="shared" ref="S4:S12" si="5">11-_xlfn.RANK.EQ(P4,$P$3:$P$12)</f>
        <v>2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3.4674524999999998</v>
      </c>
      <c r="F5" s="3" cm="1">
        <f t="array" ref="F5">_xll.FDS(C5,"FG_TOTAL_RETURNC(0,-3AM)")</f>
        <v>10.064268</v>
      </c>
      <c r="G5" s="3" cm="1">
        <f t="array" ref="G5">_xll.FDS(C5,"FG_TOTAL_RETURNC(0,-6AM)")</f>
        <v>18.289207000000001</v>
      </c>
      <c r="H5" s="9" cm="1">
        <f t="array" ref="H5">_xll.FDS(C5,"P_PRICE(0)/P_PRICE_HIGH_PR(0,,,USD,,,""PRICE"",""INTRA"",""52W"")")</f>
        <v>0.99949250000000001</v>
      </c>
      <c r="I5" s="177"/>
      <c r="K5" s="4">
        <f t="shared" si="3"/>
        <v>1</v>
      </c>
      <c r="L5" s="4">
        <f t="shared" si="4"/>
        <v>1</v>
      </c>
      <c r="M5" s="4">
        <f t="shared" si="4"/>
        <v>1</v>
      </c>
      <c r="N5" s="4"/>
      <c r="P5" s="3">
        <f t="shared" si="0"/>
        <v>0.99</v>
      </c>
      <c r="Q5">
        <f t="shared" si="1"/>
        <v>0</v>
      </c>
      <c r="S5" s="3">
        <f t="shared" si="5"/>
        <v>1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-1.2250601999999999</v>
      </c>
      <c r="F6" s="3" cm="1">
        <f t="array" ref="F6">_xll.FDS(C6,"FG_TOTAL_RETURNC(0,-3AM)")</f>
        <v>-1.8434823</v>
      </c>
      <c r="G6" s="3" cm="1">
        <f t="array" ref="G6">_xll.FDS(C6,"FG_TOTAL_RETURNC(0,-6AM)")</f>
        <v>1.4013648000000001</v>
      </c>
      <c r="H6" s="9" cm="1">
        <f t="array" ref="H6">_xll.FDS(C6,"P_PRICE(0)/P_PRICE_HIGH_PR(0,,,USD,,,""PRICE"",""INTRA"",""52W"")")</f>
        <v>0.93552124999999997</v>
      </c>
      <c r="I6" s="177"/>
      <c r="K6" s="4">
        <f t="shared" si="3"/>
        <v>9</v>
      </c>
      <c r="L6" s="4">
        <f t="shared" si="4"/>
        <v>8</v>
      </c>
      <c r="M6" s="4">
        <f t="shared" si="4"/>
        <v>8</v>
      </c>
      <c r="N6" s="4"/>
      <c r="P6" s="3">
        <f t="shared" si="0"/>
        <v>8.25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4.8384904999999998</v>
      </c>
      <c r="F7" s="3" cm="1">
        <f t="array" ref="F7">_xll.FDS(C7,"FG_TOTAL_RETURNC(0,-3AM)")</f>
        <v>-3.578663E-2</v>
      </c>
      <c r="G7" s="3" cm="1">
        <f t="array" ref="G7">_xll.FDS(C7,"FG_TOTAL_RETURNC(0,-6AM)")</f>
        <v>6.9741726000000002</v>
      </c>
      <c r="H7" s="9" cm="1">
        <f t="array" ref="H7">_xll.FDS(C7,"P_PRICE(0)/P_PRICE_HIGH_PR(0,,,USD,,,""PRICE"",""INTRA"",""52W"")")</f>
        <v>0.93982370000000004</v>
      </c>
      <c r="I7" s="1"/>
      <c r="K7" s="4">
        <f t="shared" si="3"/>
        <v>7</v>
      </c>
      <c r="L7" s="4">
        <f t="shared" si="4"/>
        <v>7</v>
      </c>
      <c r="M7" s="4">
        <f t="shared" si="4"/>
        <v>5</v>
      </c>
      <c r="N7" s="4"/>
      <c r="P7" s="3">
        <f t="shared" si="0"/>
        <v>6.2700000000000005</v>
      </c>
      <c r="Q7">
        <f t="shared" si="1"/>
        <v>0</v>
      </c>
      <c r="S7" s="3">
        <f t="shared" si="5"/>
        <v>7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4.0450454000000002</v>
      </c>
      <c r="F8" s="3" cm="1">
        <f t="array" ref="F8">_xll.FDS(C8,"FG_TOTAL_RETURNC(0,-3AM)")</f>
        <v>-3.1067908000000002</v>
      </c>
      <c r="G8" s="3" cm="1">
        <f t="array" ref="G8">_xll.FDS(C8,"FG_TOTAL_RETURNC(0,-6AM)")</f>
        <v>8.4782600000000006</v>
      </c>
      <c r="H8" s="9" cm="1">
        <f t="array" ref="H8">_xll.FDS(C8,"P_PRICE(0)/P_PRICE_HIGH_PR(0,,,USD,,,""PRICE"",""INTRA"",""52W"")")</f>
        <v>0.93779369999999995</v>
      </c>
      <c r="I8" s="1"/>
      <c r="K8" s="4">
        <f t="shared" si="3"/>
        <v>8</v>
      </c>
      <c r="L8" s="4">
        <f t="shared" si="4"/>
        <v>9</v>
      </c>
      <c r="M8" s="4">
        <f t="shared" si="4"/>
        <v>3</v>
      </c>
      <c r="N8" s="4"/>
      <c r="P8" s="3">
        <f t="shared" si="0"/>
        <v>6.6000000000000005</v>
      </c>
      <c r="Q8">
        <f t="shared" si="1"/>
        <v>0</v>
      </c>
      <c r="S8" s="3">
        <f t="shared" si="5"/>
        <v>8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-11.115349</v>
      </c>
      <c r="F9" s="3" cm="1">
        <f t="array" ref="F9">_xll.FDS(C9,"FG_TOTAL_RETURNC(0,-3AM)")</f>
        <v>-8.0152750000000008</v>
      </c>
      <c r="G9" s="3" cm="1">
        <f t="array" ref="G9">_xll.FDS(C9,"FG_TOTAL_RETURNC(0,-6AM)")</f>
        <v>-4.7171060000000002</v>
      </c>
      <c r="H9" s="9" cm="1">
        <f t="array" ref="H9">_xll.FDS(C9,"P_PRICE(0)/P_PRICE_HIGH_PR(0,,,USD,,,""PRICE"",""INTRA"",""52W"")")</f>
        <v>0.83790909999999996</v>
      </c>
      <c r="I9" s="1"/>
      <c r="K9" s="4">
        <f t="shared" si="3"/>
        <v>10</v>
      </c>
      <c r="L9" s="4">
        <f t="shared" si="4"/>
        <v>10</v>
      </c>
      <c r="M9" s="4">
        <f t="shared" si="4"/>
        <v>10</v>
      </c>
      <c r="N9" s="4"/>
      <c r="P9" s="3">
        <f t="shared" si="0"/>
        <v>9.9</v>
      </c>
      <c r="Q9">
        <f t="shared" si="1"/>
        <v>0</v>
      </c>
      <c r="S9" s="3">
        <f t="shared" si="5"/>
        <v>10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3.9855360000000002</v>
      </c>
      <c r="F10" s="3" cm="1">
        <f t="array" ref="F10">_xll.FDS(C10,"FG_TOTAL_RETURNC(0,-3AM)")</f>
        <v>9.293806</v>
      </c>
      <c r="G10" s="3" cm="1">
        <f t="array" ref="G10">_xll.FDS(C10,"FG_TOTAL_RETURNC(0,-6AM)")</f>
        <v>7.6678157000000002</v>
      </c>
      <c r="H10" s="9" cm="1">
        <f t="array" ref="H10">_xll.FDS(C10,"P_PRICE(0)/P_PRICE_HIGH_PR(0,,,USD,,,""PRICE"",""INTRA"",""52W"")")</f>
        <v>0.98918355000000002</v>
      </c>
      <c r="K10" s="4">
        <f t="shared" si="3"/>
        <v>3</v>
      </c>
      <c r="L10" s="4">
        <f t="shared" si="4"/>
        <v>2</v>
      </c>
      <c r="M10" s="4">
        <f t="shared" si="4"/>
        <v>4</v>
      </c>
      <c r="N10" s="4"/>
      <c r="P10" s="3">
        <f t="shared" si="0"/>
        <v>2.9699999999999998</v>
      </c>
      <c r="Q10">
        <f t="shared" si="1"/>
        <v>0</v>
      </c>
      <c r="S10" s="3">
        <f t="shared" si="5"/>
        <v>3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4.2405963</v>
      </c>
      <c r="F11" s="3" cm="1">
        <f t="array" ref="F11">_xll.FDS(C11,"FG_TOTAL_RETURNC(0,-3AM)")</f>
        <v>0.86911917000000005</v>
      </c>
      <c r="G11" s="3" cm="1">
        <f t="array" ref="G11">_xll.FDS(C11,"FG_TOTAL_RETURNC(0,-6AM)")</f>
        <v>4.8554063000000003</v>
      </c>
      <c r="H11" s="9" cm="1">
        <f t="array" ref="H11">_xll.FDS(C11,"P_PRICE(0)/P_PRICE_HIGH_PR(0,,,USD,,,""PRICE"",""INTRA"",""52W"")")</f>
        <v>0.97482769999999996</v>
      </c>
      <c r="K11" s="4">
        <f t="shared" si="3"/>
        <v>4</v>
      </c>
      <c r="L11" s="4">
        <f t="shared" si="4"/>
        <v>6</v>
      </c>
      <c r="M11" s="4">
        <f t="shared" si="4"/>
        <v>7</v>
      </c>
      <c r="P11" s="3">
        <f t="shared" si="0"/>
        <v>5.6099999999999994</v>
      </c>
      <c r="Q11">
        <f t="shared" si="1"/>
        <v>0</v>
      </c>
      <c r="S11" s="3">
        <f t="shared" si="5"/>
        <v>5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6.8766116999999998</v>
      </c>
      <c r="F12" s="3" cm="1">
        <f t="array" ref="F12">_xll.FDS(C12,"FG_TOTAL_RETURNC(0,-3AM)")</f>
        <v>2.7197003</v>
      </c>
      <c r="G12" s="3" cm="1">
        <f t="array" ref="G12">_xll.FDS(C12,"FG_TOTAL_RETURNC(0,-6AM)")</f>
        <v>1.1360645</v>
      </c>
      <c r="H12" s="9" cm="1">
        <f t="array" ref="H12">_xll.FDS(C12,"P_PRICE(0)/P_PRICE_HIGH_PR(0,,,USD,,,""PRICE"",""INTRA"",""52W"")")</f>
        <v>0.97131009999999995</v>
      </c>
      <c r="K12" s="4">
        <f t="shared" si="3"/>
        <v>5</v>
      </c>
      <c r="L12" s="4">
        <f t="shared" si="4"/>
        <v>4</v>
      </c>
      <c r="M12" s="4">
        <f t="shared" si="4"/>
        <v>9</v>
      </c>
      <c r="P12" s="3">
        <f t="shared" si="0"/>
        <v>5.94</v>
      </c>
      <c r="Q12">
        <f t="shared" si="1"/>
        <v>0</v>
      </c>
      <c r="S12" s="3">
        <f t="shared" si="5"/>
        <v>6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H29" sqref="H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78.5</v>
      </c>
      <c r="F6" s="153">
        <f>VLOOKUP(B6,Safety!$B$4:$R$16,17,FALSE)</f>
        <v>78.5</v>
      </c>
      <c r="G6" s="179">
        <f t="shared" ref="G6:G18" si="0">(D6*$D$2 +E6*$E$2 +F6*$F$2)/($D$2+$E$2+$F$2)</f>
        <v>71.366666666666674</v>
      </c>
      <c r="H6" s="124" cm="1">
        <f t="array" ref="H6">_xlfn.PERCENTRANK.EXC(_xlfn._xlws.FILTER($G$6:G$18, ISNUMBER($G$6:G$18)),G6)*100</f>
        <v>85.7</v>
      </c>
      <c r="I6" s="153">
        <f>VLOOKUP(B6,'LIQIDITY 2'!$A$3:$X$15,24,FALSE)</f>
        <v>35.699999999999996</v>
      </c>
      <c r="J6" s="120">
        <f ca="1">VLOOKUP(B6,'Momnetum ranking'!$A$3:$AJ$15,36,FALSE)</f>
        <v>57.099999999999994</v>
      </c>
      <c r="K6" s="163">
        <f>VLOOKUP(B6,'Momnetum ranking'!$A$3:$H$15,8,FALSE)</f>
        <v>0.45833333333333331</v>
      </c>
      <c r="L6" s="120">
        <f>VLOOKUP(B6,'Currency- 2'!$A$3:$U$15,21,FALSE)</f>
        <v>92.800000000000011</v>
      </c>
      <c r="M6" s="162">
        <f t="shared" ref="M6:M18" ca="1" si="1">D6*$D$2 + E6*$E$2 + F6*$F$2 + I6*$I$2 + J6*$J$2 + L6*$L$2</f>
        <v>60.667859</v>
      </c>
      <c r="N6" s="120" cm="1">
        <f t="array" aca="1" ref="N6" ca="1">_xlfn.PERCENTRANK.EXC(_xlfn._xlws.FILTER($M$6:M$18, ISNUMBER($M$6:M$18)),M6)*100</f>
        <v>78.5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50</v>
      </c>
      <c r="F7" s="159">
        <f>VLOOKUP(B7,Safety!$B$4:$R$16,17,FALSE)</f>
        <v>71.399999999999991</v>
      </c>
      <c r="G7" s="180">
        <f t="shared" si="0"/>
        <v>57.133333333333333</v>
      </c>
      <c r="H7" s="125" cm="1">
        <f t="array" ref="H7">_xlfn.PERCENTRANK.EXC(_xlfn._xlws.FILTER($G$6:G$18, ISNUMBER($G$6:G$18)),G7)*100</f>
        <v>57.099999999999994</v>
      </c>
      <c r="I7" s="159">
        <f>VLOOKUP(B7,'LIQIDITY 2'!$A$3:$X$15,24,FALSE)</f>
        <v>7.1</v>
      </c>
      <c r="J7" s="121">
        <f ca="1">VLOOKUP(B7,'Momnetum ranking'!$A$3:$AJ$15,36,FALSE)</f>
        <v>42.8</v>
      </c>
      <c r="K7" s="161">
        <f>VLOOKUP(B7,'Momnetum ranking'!$A$3:$H$15,8,FALSE)</f>
        <v>0.53266331658291455</v>
      </c>
      <c r="L7" s="121">
        <f>VLOOKUP(B7,'Currency- 2'!$A$3:$U$15,21,FALSE)</f>
        <v>78.5</v>
      </c>
      <c r="M7" s="160">
        <f t="shared" ca="1" si="1"/>
        <v>43.528286000000001</v>
      </c>
      <c r="N7" s="121" cm="1">
        <f t="array" aca="1" ref="N7" ca="1">_xlfn.PERCENTRANK.EXC(_xlfn._xlws.FILTER($M$6:M$18, ISNUMBER($M$6:M$18)),M7)*100</f>
        <v>50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85.7</v>
      </c>
      <c r="F8" s="159">
        <f>VLOOKUP(B8,Safety!$B$4:$R$16,17,FALSE)</f>
        <v>92.800000000000011</v>
      </c>
      <c r="G8" s="180">
        <f t="shared" si="0"/>
        <v>64.233333333333348</v>
      </c>
      <c r="H8" s="125" cm="1">
        <f t="array" ref="H8">_xlfn.PERCENTRANK.EXC(_xlfn._xlws.FILTER($G$6:G$18, ISNUMBER($G$6:G$18)),G8)*100</f>
        <v>78.5</v>
      </c>
      <c r="I8" s="159">
        <f>VLOOKUP(B8,'LIQIDITY 2'!$A$3:$X$15,24,FALSE)</f>
        <v>14.2</v>
      </c>
      <c r="J8" s="121">
        <f ca="1">VLOOKUP(B8,'Momnetum ranking'!$A$3:$AJ$15,36,FALSE)</f>
        <v>28.499999999999996</v>
      </c>
      <c r="K8" s="161">
        <f>VLOOKUP(B8,'Momnetum ranking'!$A$3:$H$15,8,FALSE)</f>
        <v>0.36274509803921567</v>
      </c>
      <c r="L8" s="121">
        <f>VLOOKUP(B8,'Currency- 2'!$A$3:$U$15,21,FALSE)</f>
        <v>35.699999999999996</v>
      </c>
      <c r="M8" s="160">
        <f t="shared" ca="1" si="1"/>
        <v>37.078072999999996</v>
      </c>
      <c r="N8" s="121" cm="1">
        <f t="array" aca="1" ref="N8" ca="1">_xlfn.PERCENTRANK.EXC(_xlfn._xlws.FILTER($M$6:M$18, ISNUMBER($M$6:M$18)),M8)*100</f>
        <v>21.4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57.099999999999994</v>
      </c>
      <c r="G9" s="180">
        <f t="shared" si="0"/>
        <v>59.466666666666669</v>
      </c>
      <c r="H9" s="125" cm="1">
        <f t="array" ref="H9">_xlfn.PERCENTRANK.EXC(_xlfn._xlws.FILTER($G$6:G$18, ISNUMBER($G$6:G$18)),G9)*100</f>
        <v>64.2</v>
      </c>
      <c r="I9" s="159">
        <f>VLOOKUP(B9,'LIQIDITY 2'!$A$3:$X$15,24,FALSE)</f>
        <v>14.2</v>
      </c>
      <c r="J9" s="121">
        <f ca="1">VLOOKUP(B9,'Momnetum ranking'!$A$3:$AJ$15,36,FALSE)</f>
        <v>64.2</v>
      </c>
      <c r="K9" s="161">
        <f>VLOOKUP(B9,'Momnetum ranking'!$A$3:$H$15,8,FALSE)</f>
        <v>0.33200795228628233</v>
      </c>
      <c r="L9" s="121">
        <f>VLOOKUP(B9,'Currency- 2'!$A$3:$U$15,21,FALSE)</f>
        <v>35.699999999999996</v>
      </c>
      <c r="M9" s="160">
        <f t="shared" ca="1" si="1"/>
        <v>49.928215999999999</v>
      </c>
      <c r="N9" s="121" cm="1">
        <f t="array" aca="1" ref="N9" ca="1">_xlfn.PERCENTRANK.EXC(_xlfn._xlws.FILTER($M$6:M$18, ISNUMBER($M$6:M$18)),M9)*100</f>
        <v>57.099999999999994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78.5</v>
      </c>
      <c r="E10" s="121">
        <f>VLOOKUP(B10,'Quality - 2'!$B$2:$S$14,18,FALSE)</f>
        <v>42.8</v>
      </c>
      <c r="F10" s="159">
        <f>VLOOKUP(B10,Safety!$B$4:$R$16,17,FALSE)</f>
        <v>21.4</v>
      </c>
      <c r="G10" s="180">
        <f t="shared" si="0"/>
        <v>47.56666666666667</v>
      </c>
      <c r="H10" s="125" cm="1">
        <f t="array" ref="H10">_xlfn.PERCENTRANK.EXC(_xlfn._xlws.FILTER($G$6:G$18, ISNUMBER($G$6:G$18)),G10)*100</f>
        <v>42.8</v>
      </c>
      <c r="I10" s="159">
        <f>VLOOKUP(B10,'LIQIDITY 2'!$A$3:$X$15,24,FALSE)</f>
        <v>42.8</v>
      </c>
      <c r="J10" s="121">
        <f ca="1">VLOOKUP(B10,'Momnetum ranking'!$A$3:$AJ$15,36,FALSE)</f>
        <v>50</v>
      </c>
      <c r="K10" s="161">
        <f>VLOOKUP(B10,'Momnetum ranking'!$A$3:$H$15,8,FALSE)</f>
        <v>0.42105263157894735</v>
      </c>
      <c r="L10" s="121">
        <f>VLOOKUP(B10,'Currency- 2'!$A$3:$U$15,21,FALSE)</f>
        <v>71.399999999999991</v>
      </c>
      <c r="M10" s="160">
        <f t="shared" ca="1" si="1"/>
        <v>49.968572999999999</v>
      </c>
      <c r="N10" s="121" cm="1">
        <f t="array" aca="1" ref="N10" ca="1">_xlfn.PERCENTRANK.EXC(_xlfn._xlws.FILTER($M$6:M$18, ISNUMBER($M$6:M$18)),M10)*100</f>
        <v>64.2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57.099999999999994</v>
      </c>
      <c r="F11" s="159">
        <f>VLOOKUP(B11,Safety!$B$4:$R$16,17,FALSE)</f>
        <v>35.699999999999996</v>
      </c>
      <c r="G11" s="180">
        <f t="shared" si="0"/>
        <v>59.500000000000007</v>
      </c>
      <c r="H11" s="125" cm="1">
        <f t="array" ref="H11">_xlfn.PERCENTRANK.EXC(_xlfn._xlws.FILTER($G$6:G$18, ISNUMBER($G$6:G$18)),G11)*100</f>
        <v>71.399999999999991</v>
      </c>
      <c r="I11" s="159">
        <f>VLOOKUP(B11,'LIQIDITY 2'!$A$3:$X$15,24,FALSE)</f>
        <v>42.8</v>
      </c>
      <c r="J11" s="121">
        <f ca="1">VLOOKUP(B11,'Momnetum ranking'!$A$3:$AJ$15,36,FALSE)</f>
        <v>71.399999999999991</v>
      </c>
      <c r="K11" s="161">
        <f>VLOOKUP(B11,'Momnetum ranking'!$A$3:$H$15,8,FALSE)</f>
        <v>0.4050632911392405</v>
      </c>
      <c r="L11" s="121">
        <f>VLOOKUP(B11,'Currency- 2'!$A$3:$U$15,21,FALSE)</f>
        <v>57.099999999999994</v>
      </c>
      <c r="M11" s="160">
        <f t="shared" ca="1" si="1"/>
        <v>60.678215000000002</v>
      </c>
      <c r="N11" s="121" cm="1">
        <f t="array" aca="1" ref="N11" ca="1">_xlfn.PERCENTRANK.EXC(_xlfn._xlws.FILTER($M$6:M$18, ISNUMBER($M$6:M$18)),M11)*100</f>
        <v>92.800000000000011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64.2</v>
      </c>
      <c r="F12" s="159">
        <f>VLOOKUP(B12,Safety!$B$4:$R$16,17,FALSE)</f>
        <v>42.8</v>
      </c>
      <c r="G12" s="180">
        <f t="shared" si="0"/>
        <v>49.933333333333344</v>
      </c>
      <c r="H12" s="125" cm="1">
        <f t="array" ref="H12">_xlfn.PERCENTRANK.EXC(_xlfn._xlws.FILTER($G$6:G$18, ISNUMBER($G$6:G$18)),G12)*100</f>
        <v>50</v>
      </c>
      <c r="I12" s="159">
        <f>VLOOKUP(B12,'LIQIDITY 2'!$A$3:$X$15,24,FALSE)</f>
        <v>42.8</v>
      </c>
      <c r="J12" s="121">
        <f ca="1">VLOOKUP(B12,'Momnetum ranking'!$A$3:$AJ$15,36,FALSE)</f>
        <v>85.7</v>
      </c>
      <c r="K12" s="161">
        <f>VLOOKUP(B12,'Momnetum ranking'!$A$3:$H$15,8,FALSE)</f>
        <v>0.27906976744186046</v>
      </c>
      <c r="L12" s="121">
        <f>VLOOKUP(B12,'Currency- 2'!$A$3:$U$15,21,FALSE)</f>
        <v>28.499999999999996</v>
      </c>
      <c r="M12" s="160">
        <f t="shared" ca="1" si="1"/>
        <v>60.668502000000004</v>
      </c>
      <c r="N12" s="121" cm="1">
        <f t="array" aca="1" ref="N12" ca="1">_xlfn.PERCENTRANK.EXC(_xlfn._xlws.FILTER($M$6:M$18, ISNUMBER($M$6:M$18)),M12)*100</f>
        <v>85.7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21.4</v>
      </c>
      <c r="F13" s="159">
        <f>VLOOKUP(B13,Safety!$B$4:$R$16,17,FALSE)</f>
        <v>14.2</v>
      </c>
      <c r="G13" s="180">
        <f t="shared" si="0"/>
        <v>19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14.2</v>
      </c>
      <c r="J13" s="121">
        <f ca="1">VLOOKUP(B13,'Momnetum ranking'!$A$3:$AJ$15,36,FALSE)</f>
        <v>78.5</v>
      </c>
      <c r="K13" s="161">
        <f>VLOOKUP(B13,'Momnetum ranking'!$A$3:$H$15,8,FALSE)</f>
        <v>0.39655172413793105</v>
      </c>
      <c r="L13" s="121">
        <f>VLOOKUP(B13,'Currency- 2'!$A$3:$U$15,21,FALSE)</f>
        <v>21.4</v>
      </c>
      <c r="M13" s="160">
        <f t="shared" ca="1" si="1"/>
        <v>42.079430000000002</v>
      </c>
      <c r="N13" s="121" cm="1">
        <f t="array" aca="1" ref="N13" ca="1">_xlfn.PERCENTRANK.EXC(_xlfn._xlws.FILTER($M$6:M$18, ISNUMBER($M$6:M$18)),M13)*100</f>
        <v>35.699999999999996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14.2</v>
      </c>
      <c r="F14" s="159">
        <f>VLOOKUP(B14,Safety!$B$4:$R$16,17,FALSE)</f>
        <v>64.2</v>
      </c>
      <c r="G14" s="180">
        <f t="shared" si="0"/>
        <v>28.5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42.8</v>
      </c>
      <c r="J14" s="121">
        <f ca="1">VLOOKUP(B14,'Momnetum ranking'!$A$3:$AJ$15,36,FALSE)</f>
        <v>92.800000000000011</v>
      </c>
      <c r="K14" s="161">
        <f>VLOOKUP(B14,'Momnetum ranking'!$A$3:$H$15,8,FALSE)</f>
        <v>0.30769230769230771</v>
      </c>
      <c r="L14" s="121">
        <f>VLOOKUP(B14,'Currency- 2'!$A$3:$U$15,21,FALSE)</f>
        <v>7.1</v>
      </c>
      <c r="M14" s="160">
        <f t="shared" ca="1" si="1"/>
        <v>54.939145000000003</v>
      </c>
      <c r="N14" s="121" cm="1">
        <f t="array" aca="1" ref="N14" ca="1">_xlfn.PERCENTRANK.EXC(_xlfn._xlws.FILTER($M$6:M$18, ISNUMBER($M$6:M$18)),M14)*100</f>
        <v>71.399999999999991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64.2</v>
      </c>
      <c r="E15" s="121">
        <f>VLOOKUP(B15,'Quality - 2'!$B$2:$S$14,18,FALSE)</f>
        <v>71.399999999999991</v>
      </c>
      <c r="F15" s="159">
        <f>VLOOKUP(B15,Safety!$B$4:$R$16,17,FALSE)</f>
        <v>85.7</v>
      </c>
      <c r="G15" s="180">
        <f t="shared" si="0"/>
        <v>73.766666666666666</v>
      </c>
      <c r="H15" s="125" cm="1">
        <f t="array" ref="H15">_xlfn.PERCENTRANK.EXC(_xlfn._xlws.FILTER($G$6:G$18, ISNUMBER($G$6:G$18)),G15)*100</f>
        <v>92.800000000000011</v>
      </c>
      <c r="I15" s="159">
        <f>VLOOKUP(B15,'LIQIDITY 2'!$A$3:$X$15,24,FALSE)</f>
        <v>42.8</v>
      </c>
      <c r="J15" s="121">
        <f ca="1">VLOOKUP(B15,'Momnetum ranking'!$A$3:$AJ$15,36,FALSE)</f>
        <v>7.1</v>
      </c>
      <c r="K15" s="161">
        <f>VLOOKUP(B15,'Momnetum ranking'!$A$3:$H$15,8,FALSE)</f>
        <v>0.31147540983606559</v>
      </c>
      <c r="L15" s="121">
        <f>VLOOKUP(B15,'Currency- 2'!$A$3:$U$15,21,FALSE)</f>
        <v>85.7</v>
      </c>
      <c r="M15" s="160">
        <f t="shared" ca="1" si="1"/>
        <v>42.097787000000004</v>
      </c>
      <c r="N15" s="121" cm="1">
        <f t="array" aca="1" ref="N15" ca="1">_xlfn.PERCENTRANK.EXC(_xlfn._xlws.FILTER($M$6:M$18, ISNUMBER($M$6:M$18)),M15)*100</f>
        <v>42.8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28.499999999999996</v>
      </c>
      <c r="F16" s="159">
        <f>VLOOKUP(B16,Safety!$B$4:$R$16,17,FALSE)</f>
        <v>50</v>
      </c>
      <c r="G16" s="180">
        <f t="shared" si="0"/>
        <v>38.06666666666667</v>
      </c>
      <c r="H16" s="125" cm="1">
        <f t="array" ref="H16">_xlfn.PERCENTRANK.EXC(_xlfn._xlws.FILTER($G$6:G$18, ISNUMBER($G$6:G$18)),G16)*100</f>
        <v>28.499999999999996</v>
      </c>
      <c r="I16" s="159">
        <f>VLOOKUP(B16,'LIQIDITY 2'!$A$3:$X$15,24,FALSE)</f>
        <v>42.8</v>
      </c>
      <c r="J16" s="121">
        <f ca="1">VLOOKUP(B16,'Momnetum ranking'!$A$3:$AJ$15,36,FALSE)</f>
        <v>14.2</v>
      </c>
      <c r="K16" s="161">
        <f>VLOOKUP(B16,'Momnetum ranking'!$A$3:$H$15,8,FALSE)</f>
        <v>0.27777777777777779</v>
      </c>
      <c r="L16" s="121">
        <f>VLOOKUP(B16,'Currency- 2'!$A$3:$U$15,21,FALSE)</f>
        <v>64.2</v>
      </c>
      <c r="M16" s="160">
        <f t="shared" ca="1" si="1"/>
        <v>32.078857999999997</v>
      </c>
      <c r="N16" s="121" cm="1">
        <f t="array" aca="1" ref="N16" ca="1">_xlfn.PERCENTRANK.EXC(_xlfn._xlws.FILTER($M$6:M$18, ISNUMBER($M$6:M$18)),M16)*100</f>
        <v>14.2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28.499999999999996</v>
      </c>
      <c r="F17" s="159">
        <f>VLOOKUP(B17,Safety!$B$4:$R$16,17,FALSE)</f>
        <v>7.1</v>
      </c>
      <c r="G17" s="180">
        <f t="shared" si="0"/>
        <v>35.666666666666671</v>
      </c>
      <c r="H17" s="125" cm="1">
        <f t="array" ref="H17">_xlfn.PERCENTRANK.EXC(_xlfn._xlws.FILTER($G$6:G$18, ISNUMBER($G$6:G$18)),G17)*100</f>
        <v>21.4</v>
      </c>
      <c r="I17" s="159">
        <f>VLOOKUP(B17,'LIQIDITY 2'!$A$3:$X$15,24,FALSE)</f>
        <v>42.8</v>
      </c>
      <c r="J17" s="121">
        <f ca="1">VLOOKUP(B17,'Momnetum ranking'!$A$3:$AJ$15,36,FALSE)</f>
        <v>21.4</v>
      </c>
      <c r="K17" s="161">
        <f>VLOOKUP(B17,'Momnetum ranking'!$A$3:$H$15,8,FALSE)</f>
        <v>0.27659574468085107</v>
      </c>
      <c r="L17" s="121">
        <f>VLOOKUP(B17,'Currency- 2'!$A$3:$U$15,21,FALSE)</f>
        <v>14.2</v>
      </c>
      <c r="M17" s="160">
        <f t="shared" ca="1" si="1"/>
        <v>29.238930000000003</v>
      </c>
      <c r="N17" s="121" cm="1">
        <f t="array" aca="1" ref="N17" ca="1">_xlfn.PERCENTRANK.EXC(_xlfn._xlws.FILTER($M$6:M$18, ISNUMBER($M$6:M$18)),M17)*100</f>
        <v>7.1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28.499999999999996</v>
      </c>
      <c r="G18" s="181">
        <f t="shared" si="0"/>
        <v>42.800000000000011</v>
      </c>
      <c r="H18" s="126" cm="1">
        <f t="array" ref="H18">_xlfn.PERCENTRANK.EXC(_xlfn._xlws.FILTER($G$6:G$18, ISNUMBER($G$6:G$18)),G18)*100</f>
        <v>35.699999999999996</v>
      </c>
      <c r="I18" s="154">
        <f>VLOOKUP(B18,'LIQIDITY 2'!$A$3:$X$15,24,FALSE)</f>
        <v>42.8</v>
      </c>
      <c r="J18" s="122">
        <f ca="1">VLOOKUP(B18,'Momnetum ranking'!$A$3:$AJ$15,36,FALSE)</f>
        <v>35.699999999999996</v>
      </c>
      <c r="K18" s="165">
        <f>VLOOKUP(B18,'Momnetum ranking'!$A$3:$H$15,8,FALSE)</f>
        <v>0.42307692307692307</v>
      </c>
      <c r="L18" s="122">
        <f>VLOOKUP(B18,'Currency- 2'!$A$3:$U$15,21,FALSE)</f>
        <v>50</v>
      </c>
      <c r="M18" s="164">
        <f t="shared" ca="1" si="1"/>
        <v>40.678716000000001</v>
      </c>
      <c r="N18" s="122" cm="1">
        <f t="array" aca="1" ref="N18" ca="1">_xlfn.PERCENTRANK.EXC(_xlfn._xlws.FILTER($M$6:M$18, ISNUMBER($M$6:M$18)),M18)*100</f>
        <v>28.499999999999996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0</v>
      </c>
      <c r="S3" s="148">
        <f ca="1">COUNTIF(S9:S17,"&gt;0")</f>
        <v>0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0.18969569223636132</v>
      </c>
      <c r="F9">
        <f ca="1">VLOOKUP(B9,OUTPUT_COUNTRY!$B$6:$N$18, 9, FALSE)</f>
        <v>92.800000000000011</v>
      </c>
      <c r="G9" s="47">
        <f>IFERROR(VLOOKUP(B9,OUTPUT_COUNTRY!$B$6:$N$18, 7, FALSE),0)</f>
        <v>14.2</v>
      </c>
      <c r="H9">
        <f>VLOOKUP(B9,OUTPUT_COUNTRY!$B$6:$N$18, 8, FALSE)</f>
        <v>42.8</v>
      </c>
      <c r="I9">
        <f>VLOOKUP(B9,OUTPUT_COUNTRY!$B$6:$N$18, 11, FALSE)</f>
        <v>7.1</v>
      </c>
      <c r="J9" s="47">
        <f t="shared" ref="J9:J21" ca="1" si="0">IF(F9&gt;=$D$3,1/E9,0)</f>
        <v>5.2716009953141025</v>
      </c>
      <c r="K9" s="136">
        <f ca="1">J9/$J$22</f>
        <v>0.26714558787269271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 t="e">
        <f>N9/$N$22</f>
        <v>#DIV/0!</v>
      </c>
      <c r="P9">
        <f t="shared" ref="P9:P21" si="3">IF(I9&gt;=$F$5,1/E9,0)</f>
        <v>0</v>
      </c>
      <c r="Q9" s="136">
        <f>P9/$P$22</f>
        <v>0</v>
      </c>
      <c r="R9" s="156" t="e">
        <f t="shared" ref="R9:R21" ca="1" si="4">IF($D$2*K9+$D$4*M9+$F$2*O9+$F$4*Q9 = 0,"",$D$2*K9+$D$4*M9+$F$2*O9+$F$4*Q9)</f>
        <v>#DIV/0!</v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0.22144751793159292</v>
      </c>
      <c r="F10">
        <f ca="1">VLOOKUP(B10,OUTPUT_COUNTRY!$B$6:$N$18, 9, FALSE)</f>
        <v>78.5</v>
      </c>
      <c r="G10" s="47">
        <f>IFERROR(VLOOKUP(B10,OUTPUT_COUNTRY!$B$6:$N$18, 7, FALSE),0)</f>
        <v>7.1</v>
      </c>
      <c r="H10">
        <f>VLOOKUP(B10,OUTPUT_COUNTRY!$B$6:$N$18, 8, FALSE)</f>
        <v>14.2</v>
      </c>
      <c r="I10">
        <f>VLOOKUP(B10,OUTPUT_COUNTRY!$B$6:$N$18, 11, FALSE)</f>
        <v>21.4</v>
      </c>
      <c r="J10" s="47">
        <f t="shared" ca="1" si="0"/>
        <v>4.5157426434055079</v>
      </c>
      <c r="K10" s="136">
        <f t="shared" ref="K10:K21" ca="1" si="6">J10/$J$22</f>
        <v>0.22884143246552222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 t="e">
        <f t="shared" ref="O10:O21" si="8">N10/$N$22</f>
        <v>#DIV/0!</v>
      </c>
      <c r="P10">
        <f t="shared" si="3"/>
        <v>0</v>
      </c>
      <c r="Q10" s="136">
        <f t="shared" ref="Q10:Q21" si="9">P10/$P$22</f>
        <v>0</v>
      </c>
      <c r="R10" s="156" t="e">
        <f t="shared" ca="1" si="4"/>
        <v>#DIV/0!</v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0.20997658457443408</v>
      </c>
      <c r="F11">
        <f ca="1">VLOOKUP(B11,OUTPUT_COUNTRY!$B$6:$N$18, 9, FALSE)</f>
        <v>85.7</v>
      </c>
      <c r="G11" s="47">
        <f>IFERROR(VLOOKUP(B11,OUTPUT_COUNTRY!$B$6:$N$18, 7, FALSE),0)</f>
        <v>50</v>
      </c>
      <c r="H11">
        <f>VLOOKUP(B11,OUTPUT_COUNTRY!$B$6:$N$18, 8, FALSE)</f>
        <v>42.8</v>
      </c>
      <c r="I11">
        <f>VLOOKUP(B11,OUTPUT_COUNTRY!$B$6:$N$18, 11, FALSE)</f>
        <v>28.499999999999996</v>
      </c>
      <c r="J11" s="47">
        <f t="shared" ca="1" si="0"/>
        <v>4.7624357831456798</v>
      </c>
      <c r="K11" s="136">
        <f t="shared" ca="1" si="6"/>
        <v>0.24134294460550196</v>
      </c>
      <c r="L11">
        <f t="shared" si="1"/>
        <v>0</v>
      </c>
      <c r="M11" s="136">
        <f t="shared" si="7"/>
        <v>0</v>
      </c>
      <c r="N11">
        <f t="shared" si="2"/>
        <v>0</v>
      </c>
      <c r="O11" s="136" t="e">
        <f t="shared" si="8"/>
        <v>#DIV/0!</v>
      </c>
      <c r="P11">
        <f t="shared" si="3"/>
        <v>0</v>
      </c>
      <c r="Q11" s="136">
        <f t="shared" si="9"/>
        <v>0</v>
      </c>
      <c r="R11" s="156" t="e">
        <f t="shared" ca="1" si="4"/>
        <v>#DIV/0!</v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0.24108587008163712</v>
      </c>
      <c r="F12">
        <f ca="1">VLOOKUP(B12,OUTPUT_COUNTRY!$B$6:$N$18, 9, FALSE)</f>
        <v>50</v>
      </c>
      <c r="G12" s="47">
        <f>IFERROR(VLOOKUP(B12,OUTPUT_COUNTRY!$B$6:$N$18, 7, FALSE),0)</f>
        <v>42.8</v>
      </c>
      <c r="H12">
        <f>VLOOKUP(B12,OUTPUT_COUNTRY!$B$6:$N$18, 8, FALSE)</f>
        <v>42.8</v>
      </c>
      <c r="I12">
        <f>VLOOKUP(B12,OUTPUT_COUNTRY!$B$6:$N$18, 11, FALSE)</f>
        <v>71.399999999999991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 t="e">
        <f t="shared" si="8"/>
        <v>#DIV/0!</v>
      </c>
      <c r="P12">
        <f t="shared" si="3"/>
        <v>4.1478996660458671</v>
      </c>
      <c r="Q12" s="136">
        <f t="shared" si="9"/>
        <v>0.17512207749012129</v>
      </c>
      <c r="R12" s="156" t="e">
        <f t="shared" ca="1" si="4"/>
        <v>#DIV/0!</v>
      </c>
      <c r="S12" s="156" t="str">
        <f t="shared" ca="1" si="5"/>
        <v/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0.17595721425144487</v>
      </c>
      <c r="F13">
        <f ca="1">VLOOKUP(B13,OUTPUT_COUNTRY!$B$6:$N$18, 9, FALSE)</f>
        <v>42.8</v>
      </c>
      <c r="G13" s="47">
        <f>IFERROR(VLOOKUP(B13,OUTPUT_COUNTRY!$B$6:$N$18, 7, FALSE),0)</f>
        <v>57.099999999999994</v>
      </c>
      <c r="H13">
        <f>VLOOKUP(B13,OUTPUT_COUNTRY!$B$6:$N$18, 8, FALSE)</f>
        <v>7.1</v>
      </c>
      <c r="I13">
        <f>VLOOKUP(B13,OUTPUT_COUNTRY!$B$6:$N$18, 11, FALSE)</f>
        <v>78.5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 t="e">
        <f t="shared" si="8"/>
        <v>#DIV/0!</v>
      </c>
      <c r="P13">
        <f t="shared" si="3"/>
        <v>5.6831997724798518</v>
      </c>
      <c r="Q13" s="136">
        <f t="shared" si="9"/>
        <v>0.23994161649932516</v>
      </c>
      <c r="R13" s="156" t="e">
        <f t="shared" ca="1" si="4"/>
        <v>#DIV/0!</v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0.18930805096965836</v>
      </c>
      <c r="F14">
        <f ca="1">VLOOKUP(B14,OUTPUT_COUNTRY!$B$6:$N$18, 9, FALSE)</f>
        <v>57.099999999999994</v>
      </c>
      <c r="G14" s="47">
        <f>IFERROR(VLOOKUP(B14,OUTPUT_COUNTRY!$B$6:$N$18, 7, FALSE),0)</f>
        <v>85.7</v>
      </c>
      <c r="H14">
        <f>VLOOKUP(B14,OUTPUT_COUNTRY!$B$6:$N$18, 8, FALSE)</f>
        <v>35.699999999999996</v>
      </c>
      <c r="I14">
        <f>VLOOKUP(B14,OUTPUT_COUNTRY!$B$6:$N$18, 11, FALSE)</f>
        <v>92.800000000000011</v>
      </c>
      <c r="J14" s="47">
        <f t="shared" ca="1" si="0"/>
        <v>0</v>
      </c>
      <c r="K14" s="136">
        <f t="shared" ca="1" si="6"/>
        <v>0</v>
      </c>
      <c r="L14">
        <f t="shared" si="1"/>
        <v>5.2823955181931304</v>
      </c>
      <c r="M14" s="136">
        <f t="shared" si="7"/>
        <v>0.27328942990668026</v>
      </c>
      <c r="N14">
        <f t="shared" si="2"/>
        <v>0</v>
      </c>
      <c r="O14" s="136" t="e">
        <f t="shared" si="8"/>
        <v>#DIV/0!</v>
      </c>
      <c r="P14">
        <f t="shared" si="3"/>
        <v>5.2823955181931304</v>
      </c>
      <c r="Q14" s="136">
        <f t="shared" si="9"/>
        <v>0.22301987795002212</v>
      </c>
      <c r="R14" s="156" t="e">
        <f t="shared" ca="1" si="4"/>
        <v>#DIV/0!</v>
      </c>
      <c r="S14" s="156" t="str">
        <f t="shared" ca="1" si="5"/>
        <v/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0.19292785798175097</v>
      </c>
      <c r="F15">
        <f ca="1">VLOOKUP(B15,OUTPUT_COUNTRY!$B$6:$N$18, 9, FALSE)</f>
        <v>71.399999999999991</v>
      </c>
      <c r="G15" s="47">
        <f>IFERROR(VLOOKUP(B15,OUTPUT_COUNTRY!$B$6:$N$18, 7, FALSE),0)</f>
        <v>71.399999999999991</v>
      </c>
      <c r="H15">
        <f>VLOOKUP(B15,OUTPUT_COUNTRY!$B$6:$N$18, 8, FALSE)</f>
        <v>42.8</v>
      </c>
      <c r="I15">
        <f>VLOOKUP(B15,OUTPUT_COUNTRY!$B$6:$N$18, 11, FALSE)</f>
        <v>57.099999999999994</v>
      </c>
      <c r="J15" s="47">
        <f t="shared" ca="1" si="0"/>
        <v>5.1832846249430187</v>
      </c>
      <c r="K15" s="136">
        <f t="shared" ca="1" si="6"/>
        <v>0.26267003505628311</v>
      </c>
      <c r="L15">
        <f t="shared" si="1"/>
        <v>5.1832846249430187</v>
      </c>
      <c r="M15" s="136">
        <f t="shared" si="7"/>
        <v>0.26816183970246743</v>
      </c>
      <c r="N15">
        <f t="shared" si="2"/>
        <v>0</v>
      </c>
      <c r="O15" s="136" t="e">
        <f t="shared" si="8"/>
        <v>#DIV/0!</v>
      </c>
      <c r="P15">
        <f t="shared" si="3"/>
        <v>0</v>
      </c>
      <c r="Q15" s="136">
        <f t="shared" si="9"/>
        <v>0</v>
      </c>
      <c r="R15" s="156" t="e">
        <f t="shared" ca="1" si="4"/>
        <v>#DIV/0!</v>
      </c>
      <c r="S15" s="156" t="str">
        <f t="shared" ca="1" si="5"/>
        <v/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0.22685645005355021</v>
      </c>
      <c r="F16">
        <f ca="1">VLOOKUP(B16,OUTPUT_COUNTRY!$B$6:$N$18, 9, FALSE)</f>
        <v>28.499999999999996</v>
      </c>
      <c r="G16" s="47">
        <f>IFERROR(VLOOKUP(B16,OUTPUT_COUNTRY!$B$6:$N$18, 7, FALSE),0)</f>
        <v>78.5</v>
      </c>
      <c r="H16">
        <f>VLOOKUP(B16,OUTPUT_COUNTRY!$B$6:$N$18, 8, FALSE)</f>
        <v>14.2</v>
      </c>
      <c r="I16">
        <f>VLOOKUP(B16,OUTPUT_COUNTRY!$B$6:$N$18, 11, FALSE)</f>
        <v>35.699999999999996</v>
      </c>
      <c r="J16" s="47">
        <f t="shared" ca="1" si="0"/>
        <v>0</v>
      </c>
      <c r="K16" s="136">
        <f t="shared" ca="1" si="6"/>
        <v>0</v>
      </c>
      <c r="L16">
        <f t="shared" si="1"/>
        <v>4.4080739153061188</v>
      </c>
      <c r="M16" s="136">
        <f t="shared" si="7"/>
        <v>0.22805562422417472</v>
      </c>
      <c r="N16">
        <f t="shared" si="2"/>
        <v>0</v>
      </c>
      <c r="O16" s="136" t="e">
        <f t="shared" si="8"/>
        <v>#DIV/0!</v>
      </c>
      <c r="P16">
        <f t="shared" si="3"/>
        <v>0</v>
      </c>
      <c r="Q16" s="136">
        <f t="shared" si="9"/>
        <v>0</v>
      </c>
      <c r="R16" s="156" t="e">
        <f t="shared" ca="1" si="4"/>
        <v>#DIV/0!</v>
      </c>
      <c r="S16" s="156" t="str">
        <f t="shared" ca="1" si="5"/>
        <v/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0.18384488801006627</v>
      </c>
      <c r="F17">
        <f ca="1">VLOOKUP(B17,OUTPUT_COUNTRY!$B$6:$N$18, 9, FALSE)</f>
        <v>64.2</v>
      </c>
      <c r="G17" s="47">
        <f>IFERROR(VLOOKUP(B17,OUTPUT_COUNTRY!$B$6:$N$18, 7, FALSE),0)</f>
        <v>64.2</v>
      </c>
      <c r="H17">
        <f>VLOOKUP(B17,OUTPUT_COUNTRY!$B$6:$N$18, 8, FALSE)</f>
        <v>14.2</v>
      </c>
      <c r="I17">
        <f>VLOOKUP(B17,OUTPUT_COUNTRY!$B$6:$N$18, 11, FALSE)</f>
        <v>35.699999999999996</v>
      </c>
      <c r="J17" s="47">
        <f t="shared" ca="1" si="0"/>
        <v>0</v>
      </c>
      <c r="K17" s="136">
        <f t="shared" ca="1" si="6"/>
        <v>0</v>
      </c>
      <c r="L17">
        <f t="shared" si="1"/>
        <v>0</v>
      </c>
      <c r="M17" s="136">
        <f t="shared" si="7"/>
        <v>0</v>
      </c>
      <c r="N17">
        <f t="shared" si="2"/>
        <v>0</v>
      </c>
      <c r="O17" s="136" t="e">
        <f t="shared" si="8"/>
        <v>#DIV/0!</v>
      </c>
      <c r="P17">
        <f t="shared" si="3"/>
        <v>0</v>
      </c>
      <c r="Q17" s="136">
        <f t="shared" si="9"/>
        <v>0</v>
      </c>
      <c r="R17" s="156" t="e">
        <f t="shared" ca="1" si="4"/>
        <v>#DIV/0!</v>
      </c>
      <c r="S17" s="156" t="str">
        <f t="shared" ca="1" si="5"/>
        <v/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0.22445742602310509</v>
      </c>
      <c r="F18">
        <f ca="1">VLOOKUP(B18,OUTPUT_COUNTRY!$B$6:$N$18, 9, FALSE)</f>
        <v>7.1</v>
      </c>
      <c r="G18" s="47">
        <f>IFERROR(VLOOKUP(B18,OUTPUT_COUNTRY!$B$6:$N$18, 7, FALSE),0)</f>
        <v>92.800000000000011</v>
      </c>
      <c r="H18">
        <f>VLOOKUP(B18,OUTPUT_COUNTRY!$B$6:$N$18, 8, FALSE)</f>
        <v>42.8</v>
      </c>
      <c r="I18">
        <f>VLOOKUP(B18,OUTPUT_COUNTRY!$B$6:$N$18, 11, FALSE)</f>
        <v>85.7</v>
      </c>
      <c r="J18" s="47">
        <f t="shared" ca="1" si="0"/>
        <v>0</v>
      </c>
      <c r="K18" s="136">
        <f t="shared" ca="1" si="6"/>
        <v>0</v>
      </c>
      <c r="L18">
        <f t="shared" si="1"/>
        <v>4.4551878622053813</v>
      </c>
      <c r="M18" s="136">
        <f t="shared" si="7"/>
        <v>0.23049310616667745</v>
      </c>
      <c r="N18">
        <f t="shared" si="2"/>
        <v>0</v>
      </c>
      <c r="O18" s="136" t="e">
        <f t="shared" si="8"/>
        <v>#DIV/0!</v>
      </c>
      <c r="P18">
        <f t="shared" si="3"/>
        <v>4.4551878622053813</v>
      </c>
      <c r="Q18" s="136">
        <f t="shared" si="9"/>
        <v>0.18809561871151376</v>
      </c>
      <c r="R18" s="156" t="e">
        <f t="shared" ca="1" si="4"/>
        <v>#DIV/0!</v>
      </c>
      <c r="S18" s="156" t="str">
        <f t="shared" ca="1" si="5"/>
        <v/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0.24289070209906014</v>
      </c>
      <c r="F19">
        <f ca="1">VLOOKUP(B19,OUTPUT_COUNTRY!$B$6:$N$18, 9, FALSE)</f>
        <v>14.2</v>
      </c>
      <c r="G19" s="47">
        <f>IFERROR(VLOOKUP(B19,OUTPUT_COUNTRY!$B$6:$N$18, 7, FALSE),0)</f>
        <v>28.499999999999996</v>
      </c>
      <c r="H19">
        <f>VLOOKUP(B19,OUTPUT_COUNTRY!$B$6:$N$18, 8, FALSE)</f>
        <v>42.8</v>
      </c>
      <c r="I19">
        <f>VLOOKUP(B19,OUTPUT_COUNTRY!$B$6:$N$18, 11, FALSE)</f>
        <v>64.2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0</v>
      </c>
      <c r="O19" s="136" t="e">
        <f t="shared" si="8"/>
        <v>#DIV/0!</v>
      </c>
      <c r="P19">
        <f t="shared" si="3"/>
        <v>4.1170781399123371</v>
      </c>
      <c r="Q19" s="136">
        <f t="shared" si="9"/>
        <v>0.17382080934901767</v>
      </c>
      <c r="R19" s="156" t="e">
        <f t="shared" ca="1" si="4"/>
        <v>#DIV/0!</v>
      </c>
      <c r="S19" s="156" t="str">
        <f t="shared" ca="1" si="5"/>
        <v/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0.25507793513406701</v>
      </c>
      <c r="F20">
        <f ca="1">VLOOKUP(B20,OUTPUT_COUNTRY!$B$6:$N$18, 9, FALSE)</f>
        <v>21.4</v>
      </c>
      <c r="G20" s="47">
        <f>IFERROR(VLOOKUP(B20,OUTPUT_COUNTRY!$B$6:$N$18, 7, FALSE),0)</f>
        <v>21.4</v>
      </c>
      <c r="H20">
        <f>VLOOKUP(B20,OUTPUT_COUNTRY!$B$6:$N$18, 8, FALSE)</f>
        <v>42.8</v>
      </c>
      <c r="I20">
        <f>VLOOKUP(B20,OUTPUT_COUNTRY!$B$6:$N$18, 11, FALSE)</f>
        <v>14.2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 t="e">
        <f t="shared" si="8"/>
        <v>#DIV/0!</v>
      </c>
      <c r="P20">
        <f t="shared" si="3"/>
        <v>0</v>
      </c>
      <c r="Q20" s="136">
        <f t="shared" si="9"/>
        <v>0</v>
      </c>
      <c r="R20" s="156" t="e">
        <f t="shared" ca="1" si="4"/>
        <v>#DIV/0!</v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0.267831724875085</v>
      </c>
      <c r="F21" s="13">
        <f ca="1">VLOOKUP(B21,OUTPUT_COUNTRY!$B$6:$N$18, 9, FALSE)</f>
        <v>35.699999999999996</v>
      </c>
      <c r="G21" s="138">
        <f>IFERROR(VLOOKUP(B21,OUTPUT_COUNTRY!$B$6:$N$18, 7, FALSE),0)</f>
        <v>35.699999999999996</v>
      </c>
      <c r="H21" s="13">
        <f>VLOOKUP(B21,OUTPUT_COUNTRY!$B$6:$N$18, 8, FALSE)</f>
        <v>42.8</v>
      </c>
      <c r="I21" s="13">
        <f>VLOOKUP(B21,OUTPUT_COUNTRY!$B$6:$N$18, 11, FALSE)</f>
        <v>50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 t="e">
        <f t="shared" si="8"/>
        <v>#DIV/0!</v>
      </c>
      <c r="P21" s="13">
        <f t="shared" si="3"/>
        <v>0</v>
      </c>
      <c r="Q21" s="137">
        <f t="shared" si="9"/>
        <v>0</v>
      </c>
      <c r="R21" s="157" t="e">
        <f t="shared" ca="1" si="4"/>
        <v>#DIV/0!</v>
      </c>
      <c r="S21" s="157" t="str">
        <f t="shared" ca="1" si="5"/>
        <v/>
      </c>
    </row>
    <row r="22" spans="2:21" x14ac:dyDescent="0.35">
      <c r="J22" s="47">
        <f ca="1">SUM(J9:J21)</f>
        <v>19.733064046808309</v>
      </c>
      <c r="K22" s="169"/>
      <c r="L22">
        <f>SUM(L9:L21)</f>
        <v>19.328941920647651</v>
      </c>
      <c r="N22">
        <f>SUM(N9:N21)</f>
        <v>0</v>
      </c>
      <c r="P22">
        <f>SUM(P9:P21)</f>
        <v>23.685760958836568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-</v>
      </c>
      <c r="J4" s="120" t="str">
        <f ca="1">IF(VLOOKUP(C4,OUTPUT_COUNTRY!$B$6:$N$18,9,FALSE)&gt;75,"++",(IF(VLOOKUP(C4,OUTPUT_COUNTRY!$B$6:$N$18,9,FALSE)&gt;50,"+",(IF(VLOOKUP(C4,OUTPUT_COUNTRY!$B$6:$N$18,9,FALSE)&gt;25,"-","--")))))</f>
        <v>+</v>
      </c>
      <c r="K4" s="153" t="str">
        <f>IF(VLOOKUP(C4,OUTPUT_COUNTRY!$B$6:$N$18,11,FALSE)&gt;75,"++",(IF(VLOOKUP(C4,OUTPUT_COUNTRY!$B$6:$N$18,11,FALSE)&gt;50,"+",(IF(VLOOKUP(C4,OUTPUT_COUNTRY!$B$6:$N$18,11,FALSE)&gt;25,"-","--")))))</f>
        <v>++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-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++</v>
      </c>
      <c r="L5" s="121" t="str">
        <f ca="1">IF(VLOOKUP(C5,OUTPUT_COUNTRY!$B$6:$N$18,13,FALSE)&gt;75,"++",(IF(VLOOKUP(C5,OUTPUT_COUNTRY!$B$6:$N$18,13,FALSE)&gt;50,"+",(IF(VLOOKUP(C5,OUTPUT_COUNTRY!$B$6:$N$18,13,FALSE)&gt;25,"-","--")))))</f>
        <v>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++</v>
      </c>
      <c r="H6" s="121" t="str">
        <f>IF(VLOOKUP(C6,OUTPUT_COUNTRY!$B$6:$N$18,7,FALSE)&gt;75,"++",(IF(VLOOKUP(C6,OUTPUT_COUNTRY!$B$6:$N$18,7,FALSE)&gt;50,"+",(IF(VLOOKUP(C6,OUTPUT_COUNTRY!$B$6:$N$18,7,FALSE)&gt;25,"-","--")))))</f>
        <v>++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-</v>
      </c>
      <c r="K6" s="159" t="str">
        <f>IF(VLOOKUP(C6,OUTPUT_COUNTRY!$B$6:$N$18,11,FALSE)&gt;75,"++",(IF(VLOOKUP(C6,OUTPUT_COUNTRY!$B$6:$N$18,11,FALSE)&gt;50,"+",(IF(VLOOKUP(C6,OUTPUT_COUNTRY!$B$6:$N$18,11,FALSE)&gt;25,"-","--")))))</f>
        <v>-</v>
      </c>
      <c r="L6" s="121" t="str">
        <f ca="1">IF(VLOOKUP(C6,OUTPUT_COUNTRY!$B$6:$N$18,13,FALSE)&gt;75,"++",(IF(VLOOKUP(C6,OUTPUT_COUNTRY!$B$6:$N$18,13,FALSE)&gt;50,"+",(IF(VLOOKUP(C6,OUTPUT_COUNTRY!$B$6:$N$18,13,FALSE)&gt;25,"-","--")))))</f>
        <v>--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+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</v>
      </c>
      <c r="K7" s="159" t="str">
        <f>IF(VLOOKUP(C7,OUTPUT_COUNTRY!$B$6:$N$18,11,FALSE)&gt;75,"++",(IF(VLOOKUP(C7,OUTPUT_COUNTRY!$B$6:$N$18,11,FALSE)&gt;50,"+",(IF(VLOOKUP(C7,OUTPUT_COUNTRY!$B$6:$N$18,11,FALSE)&gt;25,"-","--")))))</f>
        <v>-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</v>
      </c>
      <c r="L8" s="121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-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</v>
      </c>
      <c r="J9" s="121" t="str">
        <f ca="1">IF(VLOOKUP(C9,OUTPUT_COUNTRY!$B$6:$N$18,9,FALSE)&gt;75,"++",(IF(VLOOKUP(C9,OUTPUT_COUNTRY!$B$6:$N$18,9,FALSE)&gt;50,"+",(IF(VLOOKUP(C9,OUTPUT_COUNTRY!$B$6:$N$18,9,FALSE)&gt;25,"-","--")))))</f>
        <v>+</v>
      </c>
      <c r="K9" s="159" t="str">
        <f>IF(VLOOKUP(C9,OUTPUT_COUNTRY!$B$6:$N$18,11,FALSE)&gt;75,"++",(IF(VLOOKUP(C9,OUTPUT_COUNTRY!$B$6:$N$18,11,FALSE)&gt;50,"+",(IF(VLOOKUP(C9,OUTPUT_COUNTRY!$B$6:$N$18,11,FALSE)&gt;25,"-","--")))))</f>
        <v>+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-</v>
      </c>
      <c r="I10" s="159" t="str">
        <f>IF(VLOOKUP(C10,OUTPUT_COUNTRY!$B$6:$N$18,8,FALSE)&gt;75,"++",(IF(VLOOKUP(C10,OUTPUT_COUNTRY!$B$6:$N$18,8,FALSE)&gt;50,"+",(IF(VLOOKUP(C10,OUTPUT_COUNTRY!$B$6:$N$18,8,FALSE)&gt;25,"-","--")))))</f>
        <v>-</v>
      </c>
      <c r="J10" s="121" t="str">
        <f ca="1">IF(VLOOKUP(C10,OUTPUT_COUNTRY!$B$6:$N$18,9,FALSE)&gt;75,"++",(IF(VLOOKUP(C10,OUTPUT_COUNTRY!$B$6:$N$18,9,FALSE)&gt;50,"+",(IF(VLOOKUP(C10,OUTPUT_COUNTRY!$B$6:$N$18,9,FALSE)&gt;25,"-","--")))))</f>
        <v>++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++</v>
      </c>
      <c r="K11" s="159" t="str">
        <f>IF(VLOOKUP(C11,OUTPUT_COUNTRY!$B$6:$N$18,11,FALSE)&gt;75,"++",(IF(VLOOKUP(C11,OUTPUT_COUNTRY!$B$6:$N$18,11,FALSE)&gt;50,"+",(IF(VLOOKUP(C11,OUTPUT_COUNTRY!$B$6:$N$18,11,FALSE)&gt;25,"-","--")))))</f>
        <v>--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</v>
      </c>
      <c r="J12" s="121" t="str">
        <f ca="1">IF(VLOOKUP(C12,OUTPUT_COUNTRY!$B$6:$N$18,9,FALSE)&gt;75,"++",(IF(VLOOKUP(C12,OUTPUT_COUNTRY!$B$6:$N$18,9,FALSE)&gt;50,"+",(IF(VLOOKUP(C12,OUTPUT_COUNTRY!$B$6:$N$18,9,FALSE)&gt;25,"-","--")))))</f>
        <v>++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+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++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-</v>
      </c>
      <c r="J14" s="121" t="str">
        <f ca="1">IF(VLOOKUP(C14,OUTPUT_COUNTRY!$B$6:$N$18,9,FALSE)&gt;75,"++",(IF(VLOOKUP(C14,OUTPUT_COUNTRY!$B$6:$N$18,9,FALSE)&gt;50,"+",(IF(VLOOKUP(C14,OUTPUT_COUNTRY!$B$6:$N$18,9,FALSE)&gt;25,"-","--")))))</f>
        <v>--</v>
      </c>
      <c r="K14" s="159" t="str">
        <f>IF(VLOOKUP(C14,OUTPUT_COUNTRY!$B$6:$N$18,11,FALSE)&gt;75,"++",(IF(VLOOKUP(C14,OUTPUT_COUNTRY!$B$6:$N$18,11,FALSE)&gt;50,"+",(IF(VLOOKUP(C14,OUTPUT_COUNTRY!$B$6:$N$18,11,FALSE)&gt;25,"-","--")))))</f>
        <v>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--</v>
      </c>
      <c r="I15" s="159" t="str">
        <f>IF(VLOOKUP(C15,OUTPUT_COUNTRY!$B$6:$N$18,8,FALSE)&gt;75,"++",(IF(VLOOKUP(C15,OUTPUT_COUNTRY!$B$6:$N$18,8,FALSE)&gt;50,"+",(IF(VLOOKUP(C15,OUTPUT_COUNTRY!$B$6:$N$18,8,FALSE)&gt;25,"-","--")))))</f>
        <v>-</v>
      </c>
      <c r="J15" s="121" t="str">
        <f ca="1">IF(VLOOKUP(C15,OUTPUT_COUNTRY!$B$6:$N$18,9,FALSE)&gt;75,"++",(IF(VLOOKUP(C15,OUTPUT_COUNTRY!$B$6:$N$18,9,FALSE)&gt;50,"+",(IF(VLOOKUP(C15,OUTPUT_COUNTRY!$B$6:$N$18,9,FALSE)&gt;25,"-","--")))))</f>
        <v>--</v>
      </c>
      <c r="K15" s="159" t="str">
        <f>IF(VLOOKUP(C15,OUTPUT_COUNTRY!$B$6:$N$18,11,FALSE)&gt;75,"++",(IF(VLOOKUP(C15,OUTPUT_COUNTRY!$B$6:$N$18,11,FALSE)&gt;50,"+",(IF(VLOOKUP(C15,OUTPUT_COUNTRY!$B$6:$N$18,11,FALSE)&gt;25,"-","--")))))</f>
        <v>--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-</v>
      </c>
      <c r="J16" s="122" t="str">
        <f ca="1">IF(VLOOKUP(C16,OUTPUT_COUNTRY!$B$6:$N$18,9,FALSE)&gt;75,"++",(IF(VLOOKUP(C16,OUTPUT_COUNTRY!$B$6:$N$18,9,FALSE)&gt;50,"+",(IF(VLOOKUP(C16,OUTPUT_COUNTRY!$B$6:$N$18,9,FALSE)&gt;25,"-","--")))))</f>
        <v>-</v>
      </c>
      <c r="K16" s="154" t="str">
        <f>IF(VLOOKUP(C16,OUTPUT_COUNTRY!$B$6:$N$18,11,FALSE)&gt;75,"++",(IF(VLOOKUP(C16,OUTPUT_COUNTRY!$B$6:$N$18,11,FALSE)&gt;50,"+",(IF(VLOOKUP(C16,OUTPUT_COUNTRY!$B$6:$N$18,11,FALSE)&gt;25,"-","--")))))</f>
        <v>-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45534</v>
      </c>
      <c r="G3" s="4" cm="1">
        <f t="array" ref="G3">_xll.FDS(D3,"FMA_PE(LTM,0,,,""PORTAGG"",""MEANR"")")</f>
        <v>47.860713781103101</v>
      </c>
      <c r="H3" s="4" cm="1">
        <f t="array" ref="H3">_xll.FDS(D3,"FMA_PE(NTMA,0,,,""PORTAGG"",""MEANR"")")</f>
        <v>24.080723711179001</v>
      </c>
      <c r="I3" cm="1">
        <f t="array" ref="I3">_xll.FDS(D3,"FMA_DIV_YLD(NTMA,NOW,NOW,M,""PORTAGG"",""MEANR"")")</f>
        <v>2.5139272453512902</v>
      </c>
      <c r="J3" s="52" cm="1">
        <f t="array" ref="J3">IFERROR(_xll.FDS(D3,"FG_FCF_YIELD_NTM(0)"),(1/G3*100))</f>
        <v>1.8493918644507701</v>
      </c>
      <c r="K3" s="3" cm="1">
        <f t="array" ref="K3">_xll.FDS(D3,"FMA_EVAL_EBITDA(NTMA,0,,,""PORTAGG"",""MEANR"")")</f>
        <v>12.926893295395001</v>
      </c>
      <c r="L3" cm="1">
        <f t="array" ref="L3">_xll.FDS(D3,"FMA_EVAL_EBIT(LTMA,NOW,NOW,M,""PORTAGG"",""MEANR"")")</f>
        <v>21.617507865526399</v>
      </c>
      <c r="M3">
        <f>HLOOKUP(D3,'Index ROE'!$A$1:$N$25,25,FALSE)</f>
        <v>6.5791075391831502</v>
      </c>
      <c r="N3">
        <f>VLOOKUP(A3,'LIQIDITY 2'!$A$3:$E$16,5,FALSE)</f>
        <v>4.1525999999999996</v>
      </c>
      <c r="O3" cm="1">
        <f t="array" ref="O3">IFERROR(IFERROR(IFERROR(IFERROR(_xll.FDS(B3,"IMF_IFS_RCPI_Q(0)"),_xll.FDS(B3,"IMF_IFS_RCPI_Q(-1AM)")),_xll.FDS(B3,"IMF_IFS_RCPI_Q(-2AM)")),_xll.FDS(B3,"IMF_IFS_RCPI_Q(-3AM)")),$D$31)</f>
        <v>3.3306260000000001</v>
      </c>
      <c r="P3">
        <f>VLOOKUP(E3,GDP_GROWTH!$B$10:$W$165,22,FALSE)</f>
        <v>2.7196134550164452</v>
      </c>
      <c r="Q3">
        <f t="shared" ref="Q3:Q11" si="0">I3-N3</f>
        <v>-1.6386727546487094</v>
      </c>
      <c r="R3" s="52">
        <f t="shared" ref="R3:R11" si="1">J3-N3</f>
        <v>-2.3032081355492293</v>
      </c>
      <c r="S3">
        <f t="shared" ref="S3:S11" si="2">M3-N3</f>
        <v>2.4265075391831505</v>
      </c>
      <c r="T3">
        <f t="shared" ref="T3:T11" si="3">M3-O3</f>
        <v>3.2484815391831501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7.1999999999999957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9.64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45534</v>
      </c>
      <c r="G4" s="4" cm="1">
        <f t="array" ref="G4">_xll.FDS(D4,"FMA_PE(LTM,0,,,""PORTAGG"",""MEANR"")")</f>
        <v>18.759617708381299</v>
      </c>
      <c r="H4" s="4" cm="1">
        <f t="array" ref="H4">_xll.FDS(D4,"FMA_PE(NTMA,0,,,""PORTAGG"",""MEANR"")")</f>
        <v>17.690742116754301</v>
      </c>
      <c r="I4" cm="1">
        <f t="array" ref="I4">_xll.FDS(D4,"FMA_DIV_YLD(NTMA,NOW,NOW,M,""PORTAGG"",""MEANR"")")</f>
        <v>3.7042294020377899</v>
      </c>
      <c r="J4" s="52" cm="1">
        <f t="array" ref="J4">IFERROR(_xll.FDS(D4,"FG_FCF_YIELD_NTM(0)"),(1/G4*100))</f>
        <v>4.8383488316738896</v>
      </c>
      <c r="K4" s="3" cm="1">
        <f t="array" ref="K4">_xll.FDS(D4,"FMA_EVAL_EBITDA(NTMA,0,,,""PORTAGG"",""MEANR"")")</f>
        <v>8.6948164833351296</v>
      </c>
      <c r="L4" cm="1">
        <f t="array" ref="L4">_xll.FDS(D4,"FMA_EVAL_EBIT(LTMA,NOW,NOW,M,""PORTAGG"",""MEANR"")")</f>
        <v>12.8697409778925</v>
      </c>
      <c r="M4">
        <f>HLOOKUP(D4,'Index ROE'!$A$1:$N$25,25,FALSE)</f>
        <v>13.226394097123199</v>
      </c>
      <c r="N4">
        <f>VLOOKUP(A4,'LIQIDITY 2'!$A$3:$E$16,5,FALSE)</f>
        <v>3.8530000000000002</v>
      </c>
      <c r="O4" cm="1">
        <f t="array" ref="O4">IFERROR(IFERROR(IFERROR(IFERROR(_xll.FDS(B4,"IMF_IFS_RCPI_Q(0)"),_xll.FDS(B4,"IMF_IFS_RCPI_Q(-1AM)")),_xll.FDS(B4,"IMF_IFS_RCPI_Q(-2AM)")),_xll.FDS(B4,"IMF_IFS_RCPI_Q(-3AM)")),$D$31)</f>
        <v>3.8145099999999998</v>
      </c>
      <c r="P4">
        <f>VLOOKUP(E4,GDP_GROWTH!$B$10:$W$165,22,FALSE)</f>
        <v>2.0879441195558623</v>
      </c>
      <c r="Q4">
        <f t="shared" si="0"/>
        <v>-0.14877059796221026</v>
      </c>
      <c r="R4" s="52">
        <f t="shared" si="1"/>
        <v>0.98534883167388942</v>
      </c>
      <c r="S4">
        <f t="shared" si="2"/>
        <v>9.3733940971231995</v>
      </c>
      <c r="T4">
        <f t="shared" si="3"/>
        <v>9.411884097123199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42.900000000000006</v>
      </c>
      <c r="Y4" cm="1">
        <f t="array" ref="Y4">(1-_xlfn.PERCENTRANK.EXC(_xlfn._xlws.FILTER(H$3:H$15, ISNUMBER(H$3:H$15)),H4))*100</f>
        <v>28.6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30.704999999999998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45534</v>
      </c>
      <c r="G5" s="4" cm="1">
        <f t="array" ref="G5">_xll.FDS(D5,"FMA_PE(LTM,0,,,""PORTAGG"",""MEANR"")")</f>
        <v>18.1981284075963</v>
      </c>
      <c r="H5" s="4" cm="1">
        <f t="array" ref="H5">_xll.FDS(D5,"FMA_PE(NTMA,0,,,""PORTAGG"",""MEANR"")")</f>
        <v>14.5013359999113</v>
      </c>
      <c r="I5" cm="1">
        <f t="array" ref="I5">_xll.FDS(D5,"FMA_DIV_YLD(NTMA,NOW,NOW,M,""PORTAGG"",""MEANR"")")</f>
        <v>3.14359117249623</v>
      </c>
      <c r="J5" s="52" cm="1">
        <f t="array" ref="J5">IFERROR(_xll.FDS(D5,"FG_FCF_YIELD_NTM(0)"),(1/G5*100))</f>
        <v>4.9972263690598604</v>
      </c>
      <c r="K5" s="3" cm="1">
        <f t="array" ref="K5">_xll.FDS(D5,"FMA_EVAL_EBITDA(NTMA,0,,,""PORTAGG"",""MEANR"")")</f>
        <v>9.6632641001424702</v>
      </c>
      <c r="L5" cm="1">
        <f t="array" ref="L5">_xll.FDS(D5,"FMA_EVAL_EBIT(LTMA,NOW,NOW,M,""PORTAGG"",""MEANR"")")</f>
        <v>16.121368356562598</v>
      </c>
      <c r="M5">
        <f>HLOOKUP(D5,'Index ROE'!$A$1:$N$25,25,FALSE)</f>
        <v>13.1491479008301</v>
      </c>
      <c r="N5">
        <f>VLOOKUP(A5,'LIQIDITY 2'!$A$3:$E$16,5,FALSE)</f>
        <v>2.9186999999999999</v>
      </c>
      <c r="O5" cm="1">
        <f t="array" ref="O5">IFERROR(IFERROR(IFERROR(IFERROR(_xll.FDS(B5,"IMF_IFS_RCPI_Q(0)"),_xll.FDS(B5,"IMF_IFS_RCPI_Q(-1AM)")),_xll.FDS(B5,"IMF_IFS_RCPI_Q(-2AM)")),_xll.FDS(B5,"IMF_IFS_RCPI_Q(-3AM)")),$D$31)</f>
        <v>2.7411842000000002</v>
      </c>
      <c r="P5">
        <f>VLOOKUP(E5,GDP_GROWTH!$B$10:$W$165,22,FALSE)</f>
        <v>1.4598842535213041</v>
      </c>
      <c r="Q5">
        <f t="shared" si="0"/>
        <v>0.22489117249623014</v>
      </c>
      <c r="R5" s="52">
        <f t="shared" si="1"/>
        <v>2.0785263690598605</v>
      </c>
      <c r="S5">
        <f t="shared" si="2"/>
        <v>10.2304479008301</v>
      </c>
      <c r="T5">
        <f t="shared" si="3"/>
        <v>10.407963700830098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50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57.2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50.36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45534</v>
      </c>
      <c r="G6" s="4" cm="1">
        <f t="array" ref="G6">_xll.FDS(D6,"FMA_PE(LTM,0,,,""PORTAGG"",""MEANR"")")</f>
        <v>15.1748580106392</v>
      </c>
      <c r="H6" s="4" cm="1">
        <f t="array" ref="H6">_xll.FDS(D6,"FMA_PE(NTMA,0,,,""PORTAGG"",""MEANR"")")</f>
        <v>11.9514489729844</v>
      </c>
      <c r="I6" cm="1">
        <f t="array" ref="I6">_xll.FDS(D6,"FMA_DIV_YLD(NTMA,NOW,NOW,M,""PORTAGG"",""MEANR"")")</f>
        <v>3.3328752187489701</v>
      </c>
      <c r="J6" s="52" cm="1">
        <f t="array" ref="J6">IFERROR(_xll.FDS(D6,"FG_FCF_YIELD_NTM(0)"),(1/G6*100))</f>
        <v>5.9755113946395904</v>
      </c>
      <c r="K6" s="3" cm="1">
        <f t="array" ref="K6">_xll.FDS(D6,"FMA_EVAL_EBITDA(NTMA,0,,,""PORTAGG"",""MEANR"")")</f>
        <v>8.4864112150600999</v>
      </c>
      <c r="L6" cm="1">
        <f t="array" ref="L6">_xll.FDS(D6,"FMA_EVAL_EBIT(LTMA,NOW,NOW,M,""PORTAGG"",""MEANR"")")</f>
        <v>13.866475485098301</v>
      </c>
      <c r="M6">
        <f>HLOOKUP(D6,'Index ROE'!$A$1:$N$25,25,FALSE)</f>
        <v>11.93889064433</v>
      </c>
      <c r="N6">
        <f>VLOOKUP(A6,'LIQIDITY 2'!$A$3:$E$16,5,FALSE)</f>
        <v>2.153</v>
      </c>
      <c r="O6" cm="1">
        <f t="array" ref="O6">IFERROR(IFERROR(IFERROR(IFERROR(_xll.FDS(B6,"IMF_IFS_RCPI_Q(0)"),_xll.FDS(B6,"IMF_IFS_RCPI_Q(-1AM)")),_xll.FDS(B6,"IMF_IFS_RCPI_Q(-2AM)")),_xll.FDS(B6,"IMF_IFS_RCPI_Q(-3AM)")),$D$31)</f>
        <v>2.2863680999999998</v>
      </c>
      <c r="P6">
        <f>VLOOKUP(E6,GDP_GROWTH!$B$10:$W$165,22,FALSE)</f>
        <v>0.863192929992318</v>
      </c>
      <c r="Q6">
        <f t="shared" si="0"/>
        <v>1.1798752187489701</v>
      </c>
      <c r="R6" s="52">
        <f t="shared" si="1"/>
        <v>3.8225113946395903</v>
      </c>
      <c r="S6">
        <f t="shared" si="2"/>
        <v>9.7858906443299993</v>
      </c>
      <c r="T6">
        <f t="shared" si="3"/>
        <v>9.6525225443300009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71.500000000000014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67.86</v>
      </c>
      <c r="AC6" cm="1">
        <f t="array" ref="AC6">_xlfn.PERCENTRANK.EXC(_xlfn._xlws.FILTER(AB$3:AB$15, ISNUMBER(AB$3:AB$15)),AB6)*100</f>
        <v>78.5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45534</v>
      </c>
      <c r="G7" s="4" cm="1">
        <f t="array" ref="G7">_xll.FDS(D7,"FMA_PE(LTM,0,,,""PORTAGG"",""MEANR"")")</f>
        <v>17.109133442159699</v>
      </c>
      <c r="H7" s="4" cm="1">
        <f t="array" ref="H7">_xll.FDS(D7,"FMA_PE(NTMA,0,,,""PORTAGG"",""MEANR"")")</f>
        <v>13.792434769929701</v>
      </c>
      <c r="I7" cm="1">
        <f t="array" ref="I7">_xll.FDS(D7,"FMA_DIV_YLD(NTMA,NOW,NOW,M,""PORTAGG"",""MEANR"")")</f>
        <v>2.37520994994013</v>
      </c>
      <c r="J7" s="52" cm="1">
        <f t="array" ref="J7">IFERROR(_xll.FDS(D7,"FG_FCF_YIELD_NTM(0)"),(1/G7*100))</f>
        <v>4.16397976987282</v>
      </c>
      <c r="K7" s="3" cm="1">
        <f t="array" ref="K7">_xll.FDS(D7,"FMA_EVAL_EBITDA(NTMA,0,,,""PORTAGG"",""MEANR"")")</f>
        <v>9.5394599792490808</v>
      </c>
      <c r="L7" cm="1">
        <f t="array" ref="L7">_xll.FDS(D7,"FMA_EVAL_EBIT(LTMA,NOW,NOW,M,""PORTAGG"",""MEANR"")")</f>
        <v>17.0933818709319</v>
      </c>
      <c r="M7">
        <f>HLOOKUP(D7,'Index ROE'!$A$1:$N$25,25,FALSE)</f>
        <v>9.2997687113842105</v>
      </c>
      <c r="N7">
        <f>VLOOKUP(A7,'LIQIDITY 2'!$A$3:$E$16,5,FALSE)</f>
        <v>0.86419999999999997</v>
      </c>
      <c r="O7" cm="1">
        <f t="array" ref="O7">IFERROR(IFERROR(IFERROR(IFERROR(_xll.FDS(B7,"IMF_IFS_RCPI_Q(0)"),_xll.FDS(B7,"IMF_IFS_RCPI_Q(-1AM)")),_xll.FDS(B7,"IMF_IFS_RCPI_Q(-2AM)")),_xll.FDS(B7,"IMF_IFS_RCPI_Q(-3AM)")),$D$31)</f>
        <v>2.7266946000000001</v>
      </c>
      <c r="P7">
        <f>VLOOKUP(E7,GDP_GROWTH!$B$10:$W$165,22,FALSE)</f>
        <v>0.31456851442112077</v>
      </c>
      <c r="Q7">
        <f t="shared" si="0"/>
        <v>1.5110099499401302</v>
      </c>
      <c r="R7" s="52">
        <f t="shared" si="1"/>
        <v>3.2997797698728202</v>
      </c>
      <c r="S7">
        <f t="shared" si="2"/>
        <v>8.4355687113842102</v>
      </c>
      <c r="T7">
        <f t="shared" si="3"/>
        <v>6.5730741113842104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71.399999999999991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64.3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54.990000000000009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45534</v>
      </c>
      <c r="G8" s="4" cm="1">
        <f t="array" ref="G8">_xll.FDS(D8,"FMA_PE(LTM,0,,,""PORTAGG"",""MEANR"")")</f>
        <v>21.586815970515499</v>
      </c>
      <c r="H8" s="4" cm="1">
        <f t="array" ref="H8">_xll.FDS(D8,"FMA_PE(NTMA,0,,,""PORTAGG"",""MEANR"")")</f>
        <v>17.0296891122169</v>
      </c>
      <c r="I8" cm="1">
        <f t="array" ref="I8">_xll.FDS(D8,"FMA_DIV_YLD(NTMA,NOW,NOW,M,""PORTAGG"",""MEANR"")")</f>
        <v>3.0847125341827999</v>
      </c>
      <c r="J8" s="52" cm="1">
        <f t="array" ref="J8">IFERROR(_xll.FDS(D8,"FG_FCF_YIELD_NTM(0)"),(1/G8*100))</f>
        <v>4.8163150634196299</v>
      </c>
      <c r="K8" s="3" cm="1">
        <f t="array" ref="K8">_xll.FDS(D8,"FMA_EVAL_EBITDA(NTMA,0,,,""PORTAGG"",""MEANR"")")</f>
        <v>13.0529932837067</v>
      </c>
      <c r="L8" cm="1">
        <f t="array" ref="L8">_xll.FDS(D8,"FMA_EVAL_EBIT(LTMA,NOW,NOW,M,""PORTAGG"",""MEANR"")")</f>
        <v>17.105701588555199</v>
      </c>
      <c r="M8">
        <f>HLOOKUP(D8,'Index ROE'!$A$1:$N$25,25,FALSE)</f>
        <v>19.302463641340701</v>
      </c>
      <c r="N8">
        <f>VLOOKUP(A8,'LIQIDITY 2'!$A$3:$E$16,5,FALSE)</f>
        <v>0.441</v>
      </c>
      <c r="O8" cm="1">
        <f t="array" ref="O8">IFERROR(IFERROR(IFERROR(IFERROR(_xll.FDS(B8,"IMF_IFS_RCPI_Q(0)"),_xll.FDS(B8,"IMF_IFS_RCPI_Q(-1AM)")),_xll.FDS(B8,"IMF_IFS_RCPI_Q(-2AM)")),_xll.FDS(B8,"IMF_IFS_RCPI_Q(-3AM)")),$D$31)</f>
        <v>1.3619825999999999</v>
      </c>
      <c r="P8">
        <f>VLOOKUP(E8,GDP_GROWTH!$B$10:$W$165,22,FALSE)</f>
        <v>2.077185911672963</v>
      </c>
      <c r="Q8">
        <f t="shared" si="0"/>
        <v>2.6437125341828001</v>
      </c>
      <c r="R8" s="52">
        <f t="shared" si="1"/>
        <v>4.3753150634196301</v>
      </c>
      <c r="S8">
        <f t="shared" si="2"/>
        <v>18.861463641340702</v>
      </c>
      <c r="T8">
        <f t="shared" si="3"/>
        <v>17.9404810413407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28.6</v>
      </c>
      <c r="Y8" cm="1">
        <f t="array" ref="Y8">(1-_xlfn.PERCENTRANK.EXC(_xlfn._xlws.FILTER(H$3:H$15, ISNUMBER(H$3:H$15)),H8))*100</f>
        <v>35.799999999999997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61.08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45534</v>
      </c>
      <c r="G9" s="4" cm="1">
        <f t="array" ref="G9">_xll.FDS(D9,"FMA_PE(LTM,0,,,""PORTAGG"",""MEANR"")")</f>
        <v>13.8185790738134</v>
      </c>
      <c r="H9" s="4" cm="1">
        <f t="array" ref="H9">_xll.FDS(D9,"FMA_PE(NTMA,0,,,""PORTAGG"",""MEANR"")")</f>
        <v>11.467811428928201</v>
      </c>
      <c r="I9" cm="1">
        <f t="array" ref="I9">_xll.FDS(D9,"FMA_DIV_YLD(NTMA,NOW,NOW,M,""PORTAGG"",""MEANR"")")</f>
        <v>3.8119012406027899</v>
      </c>
      <c r="J9" s="52" cm="1">
        <f t="array" ref="J9">IFERROR(_xll.FDS(D9,"FG_FCF_YIELD_NTM(0)"),(1/G9*100))</f>
        <v>6.3278185751829099</v>
      </c>
      <c r="K9" s="3" cm="1">
        <f t="array" ref="K9">_xll.FDS(D9,"FMA_EVAL_EBITDA(NTMA,0,,,""PORTAGG"",""MEANR"")")</f>
        <v>7.53602074406162</v>
      </c>
      <c r="L9" cm="1">
        <f t="array" ref="L9">_xll.FDS(D9,"FMA_EVAL_EBIT(LTMA,NOW,NOW,M,""PORTAGG"",""MEANR"")")</f>
        <v>10.9308597149683</v>
      </c>
      <c r="M9">
        <f>HLOOKUP(D9,'Index ROE'!$A$1:$N$25,25,FALSE)</f>
        <v>14.7207876109821</v>
      </c>
      <c r="N9">
        <f>VLOOKUP(A9,'LIQIDITY 2'!$A$3:$E$16,5,FALSE)</f>
        <v>3.7719999999999998</v>
      </c>
      <c r="O9" cm="1">
        <f t="array" ref="O9">IFERROR(IFERROR(IFERROR(IFERROR(_xll.FDS(B9,"IMF_IFS_RCPI_Q(0)"),_xll.FDS(B9,"IMF_IFS_RCPI_Q(-1AM)")),_xll.FDS(B9,"IMF_IFS_RCPI_Q(-2AM)")),_xll.FDS(B9,"IMF_IFS_RCPI_Q(-3AM)")),$D$31)</f>
        <v>2.8697004000000002</v>
      </c>
      <c r="P9">
        <f>VLOOKUP(E9,GDP_GROWTH!$B$10:$W$165,22,FALSE)</f>
        <v>1.0976426250664972</v>
      </c>
      <c r="Q9">
        <f t="shared" si="0"/>
        <v>3.99012406027901E-2</v>
      </c>
      <c r="R9" s="52">
        <f t="shared" si="1"/>
        <v>2.5558185751829101</v>
      </c>
      <c r="S9">
        <f t="shared" si="2"/>
        <v>10.9487876109821</v>
      </c>
      <c r="T9">
        <f t="shared" si="3"/>
        <v>11.851087210982101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57.099999999999994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71.089999999999989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45534</v>
      </c>
      <c r="G10" s="4" cm="1">
        <f t="array" ref="G10">_xll.FDS(D10,"FMA_PE(LTM,0,,,""PORTAGG"",""MEANR"")")</f>
        <v>34.913304409376401</v>
      </c>
      <c r="H10" s="4" cm="1">
        <f t="array" ref="H10">_xll.FDS(D10,"FMA_PE(NTMA,0,,,""PORTAGG"",""MEANR"")")</f>
        <v>25.8375847254087</v>
      </c>
      <c r="I10" cm="1">
        <f t="array" ref="I10">_xll.FDS(D10,"FMA_DIV_YLD(NTMA,NOW,NOW,M,""PORTAGG"",""MEANR"")")</f>
        <v>0.83581193447465096</v>
      </c>
      <c r="J10" s="52" cm="1">
        <f t="array" ref="J10">IFERROR(_xll.FDS(D10,"FG_FCF_YIELD_NTM(0)"),(1/G10*100))</f>
        <v>3.6188800064104498</v>
      </c>
      <c r="K10" s="3" cm="1">
        <f t="array" ref="K10">_xll.FDS(D10,"FMA_EVAL_EBITDA(NTMA,0,,,""PORTAGG"",""MEANR"")")</f>
        <v>16.307769115219401</v>
      </c>
      <c r="L10" cm="1">
        <f t="array" ref="L10">_xll.FDS(D10,"FMA_EVAL_EBIT(LTMA,NOW,NOW,M,""PORTAGG"",""MEANR"")")</f>
        <v>24.779386567992798</v>
      </c>
      <c r="M10">
        <f>HLOOKUP(D10,'Index ROE'!$A$1:$N$25,25,FALSE)</f>
        <v>25.304063208905301</v>
      </c>
      <c r="N10">
        <f>VLOOKUP(A10,'LIQIDITY 2'!$A$3:$E$16,5,FALSE)</f>
        <v>3.6800999999999999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2.0868572594445189</v>
      </c>
      <c r="Q10">
        <f t="shared" si="0"/>
        <v>-2.8442880655253489</v>
      </c>
      <c r="R10" s="52">
        <f t="shared" si="1"/>
        <v>-6.1219993589550104E-2</v>
      </c>
      <c r="S10">
        <f t="shared" si="2"/>
        <v>21.623963208905302</v>
      </c>
      <c r="T10">
        <f t="shared" si="3"/>
        <v>22.105173208905303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14.3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27.840000000000003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45534</v>
      </c>
      <c r="G11" s="4" cm="1">
        <f t="array" ref="G11">_xll.FDS(D11,"FMA_PE(LTM,0,,,""PORTAGG"",""MEANR"")")</f>
        <v>25.921398567893998</v>
      </c>
      <c r="H11" s="4" cm="1">
        <f t="array" ref="H11">_xll.FDS(D11,"FMA_PE(NTMA,0,,,""PORTAGG"",""MEANR"")")</f>
        <v>20.8026400513372</v>
      </c>
      <c r="I11" cm="1">
        <f t="array" ref="I11">_xll.FDS(D11,"FMA_DIV_YLD(NTMA,NOW,NOW,M,""PORTAGG"",""MEANR"")")</f>
        <v>1.3739616518642801</v>
      </c>
      <c r="J11" s="52" cm="1">
        <f t="array" ref="J11">IFERROR(_xll.FDS(D11,"FG_FCF_YIELD_NTM(0)"),(1/G11*100))</f>
        <v>4.1106274523404398</v>
      </c>
      <c r="K11" s="3" cm="1">
        <f t="array" ref="K11">_xll.FDS(D11,"FMA_EVAL_EBITDA(NTMA,0,,,""PORTAGG"",""MEANR"")")</f>
        <v>14.3207859588312</v>
      </c>
      <c r="L11" cm="1">
        <f t="array" ref="L11">_xll.FDS(D11,"FMA_EVAL_EBIT(LTMA,NOW,NOW,M,""PORTAGG"",""MEANR"")")</f>
        <v>21.049812134441002</v>
      </c>
      <c r="M11">
        <f>HLOOKUP(D11,'Index ROE'!$A$1:$N$25,25,FALSE)</f>
        <v>20.344034080875101</v>
      </c>
      <c r="N11">
        <f>VLOOKUP(A11,'LIQIDITY 2'!$A$3:$E$16,5,FALSE)</f>
        <v>3.6800999999999999</v>
      </c>
      <c r="O11" cm="1">
        <f t="array" ref="O11">IFERROR(IFERROR(IFERROR(IFERROR(_xll.FDS(B11,"IMF_IFS_RCPI_Q(0)"),_xll.FDS(B11,"IMF_IFS_RCPI_Q(-1AM)")),_xll.FDS(B11,"IMF_IFS_RCPI_Q(-2AM)")),_xll.FDS(B11,"IMF_IFS_RCPI_Q(-3AM)")),$D$31)</f>
        <v>3.19889</v>
      </c>
      <c r="P11">
        <f>VLOOKUP(E11,GDP_GROWTH!$B$10:$W$165,22,FALSE)</f>
        <v>2.0868572594445189</v>
      </c>
      <c r="Q11">
        <f t="shared" si="0"/>
        <v>-2.3061383481357201</v>
      </c>
      <c r="R11" s="52">
        <f t="shared" si="1"/>
        <v>0.43052745234043988</v>
      </c>
      <c r="S11">
        <f t="shared" si="2"/>
        <v>16.663934080875102</v>
      </c>
      <c r="T11">
        <f t="shared" si="3"/>
        <v>17.145144080875102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45534</v>
      </c>
      <c r="G12" s="4" cm="1">
        <f t="array" ref="G12">_xll.FDS(D12,"FMA_PE(LTM,0,,,""PORTAGG"",""MEANR"")")</f>
        <v>16.534265684185002</v>
      </c>
      <c r="H12" s="4" cm="1">
        <f t="array" ref="H12">_xll.FDS(D12,"FMA_PE(NTMA,0,,,""PORTAGG"",""MEANR"")")</f>
        <v>13.4139585576845</v>
      </c>
      <c r="I12" cm="1">
        <f t="array" ref="I12">_xll.FDS(D12,"FMA_DIV_YLD(NTMA,NOW,NOW,M,""PORTAGG"",""MEANR"")")</f>
        <v>3.3459256590542301</v>
      </c>
      <c r="J12" s="52" cm="1">
        <f t="array" ref="J12">IFERROR(_xll.FDS(D12,"FG_FCF_YIELD_NTM(0)"),(1/G12*100))</f>
        <v>6.0364916817980303</v>
      </c>
      <c r="K12" s="3" cm="1">
        <f t="array" ref="K12">_xll.FDS(D12,"FMA_EVAL_EBITDA(NTMA,0,,,""PORTAGG"",""MEANR"")")</f>
        <v>8.9655680830536006</v>
      </c>
      <c r="L12" cm="1">
        <f t="array" ref="L12">_xll.FDS(D12,"FMA_EVAL_EBIT(LTMA,NOW,NOW,M,""PORTAGG"",""MEANR"")")</f>
        <v>13.348294152817999</v>
      </c>
      <c r="M12">
        <f>HLOOKUP(D12,'Index ROE'!$A$1:$N$25,25,FALSE)</f>
        <v>13.229989317507099</v>
      </c>
      <c r="N12">
        <f>VLOOKUP(A12,'LIQIDITY 2'!$A$3:$E$16,5,FALSE)</f>
        <v>2.847</v>
      </c>
      <c r="O12" cm="1">
        <f t="array" ref="O12">IFERROR(IFERROR(IFERROR(IFERROR(_xll.FDS(B12,"IMF_IFS_RCPI_Q(0)"),_xll.FDS(B12,"IMF_IFS_RCPI_Q(-1AM)")),_xll.FDS(B12,"IMF_IFS_RCPI_Q(-2AM)")),_xll.FDS(B12,"IMF_IFS_RCPI_Q(-3AM)")),$D$31)</f>
        <v>2.2093682000000001</v>
      </c>
      <c r="P12">
        <f>VLOOKUP(E12,GDP_GROWTH!$B$10:$W$165,22,FALSE)</f>
        <v>0.9426946158151317</v>
      </c>
      <c r="Q12">
        <f t="shared" ref="Q12:Q15" si="4">I12-N12</f>
        <v>0.49892565905423014</v>
      </c>
      <c r="R12" s="52">
        <f t="shared" ref="R12:R15" si="5">J12-N12</f>
        <v>3.1894916817980303</v>
      </c>
      <c r="S12">
        <f t="shared" ref="S12:S15" si="6">M12-N12</f>
        <v>10.3829893175071</v>
      </c>
      <c r="T12">
        <f t="shared" ref="T12:T15" si="7">M12-O12</f>
        <v>11.020621117507099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63.565000000000005</v>
      </c>
      <c r="AC12" cm="1">
        <f t="array" ref="AC12">_xlfn.PERCENTRANK.EXC(_xlfn._xlws.FILTER(AB$3:AB$15, ISNUMBER(AB$3:AB$15)),AB12)*100</f>
        <v>64.2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45534</v>
      </c>
      <c r="G13" s="4" cm="1">
        <f t="array" ref="G13">_xll.FDS(D13,"FMA_PE(LTM,0,,,""PORTAGG"",""MEANR"")")</f>
        <v>20.9576838543151</v>
      </c>
      <c r="H13" s="4" cm="1">
        <f t="array" ref="H13">_xll.FDS(D13,"FMA_PE(NTMA,0,,,""PORTAGG"",""MEANR"")")</f>
        <v>14.626002444629</v>
      </c>
      <c r="I13" cm="1">
        <f t="array" ref="I13">_xll.FDS(D13,"FMA_DIV_YLD(NTMA,NOW,NOW,M,""PORTAGG"",""MEANR"")")</f>
        <v>2.5645647141835601</v>
      </c>
      <c r="J13" s="52" cm="1">
        <f t="array" ref="J13">IFERROR(_xll.FDS(D13,"FG_FCF_YIELD_NTM(0)"),(1/G13*100))</f>
        <v>4.1738393482927396</v>
      </c>
      <c r="K13" s="3" cm="1">
        <f t="array" ref="K13">_xll.FDS(D13,"FMA_EVAL_EBITDA(NTMA,0,,,""PORTAGG"",""MEANR"")")</f>
        <v>11.694805783300399</v>
      </c>
      <c r="L13" cm="1">
        <f t="array" ref="L13">_xll.FDS(D13,"FMA_EVAL_EBIT(LTMA,NOW,NOW,M,""PORTAGG"",""MEANR"")")</f>
        <v>21.336047822479902</v>
      </c>
      <c r="M13">
        <f>HLOOKUP(D13,'Index ROE'!$A$1:$N$25,25,FALSE)</f>
        <v>12.750726724682799</v>
      </c>
      <c r="N13">
        <f>VLOOKUP(A13,'LIQIDITY 2'!$A$3:$E$16,5,FALSE)</f>
        <v>2.444</v>
      </c>
      <c r="O13" cm="1">
        <f t="array" ref="O13">IFERROR(IFERROR(IFERROR(IFERROR(_xll.FDS(B13,"IMF_IFS_RCPI_Q(0)"),_xll.FDS(B13,"IMF_IFS_RCPI_Q(-1AM)")),_xll.FDS(B13,"IMF_IFS_RCPI_Q(-2AM)")),_xll.FDS(B13,"IMF_IFS_RCPI_Q(-3AM)")),$D$31)</f>
        <v>2.8881169999999998</v>
      </c>
      <c r="P13">
        <f>VLOOKUP(E13,GDP_GROWTH!$B$10:$W$165,22,FALSE)</f>
        <v>1.7793785730007783</v>
      </c>
      <c r="Q13">
        <f t="shared" si="4"/>
        <v>0.12056471418356018</v>
      </c>
      <c r="R13" s="52">
        <f t="shared" si="5"/>
        <v>1.7298393482927397</v>
      </c>
      <c r="S13">
        <f t="shared" si="6"/>
        <v>10.3067267246828</v>
      </c>
      <c r="T13">
        <f t="shared" si="7"/>
        <v>9.8626097246827999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35.799999999999997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41.085000000000001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45534</v>
      </c>
      <c r="G14" s="4" cm="1">
        <f t="array" ref="G14">_xll.FDS(D14,"FMA_PE(LTM,0,,,""PORTAGG"",""MEANR"")")</f>
        <v>13.8804435467092</v>
      </c>
      <c r="H14" s="4" cm="1">
        <f t="array" ref="H14">_xll.FDS(D14,"FMA_PE(NTMA,0,,,""PORTAGG"",""MEANR"")")</f>
        <v>15.5776625268684</v>
      </c>
      <c r="I14" cm="1">
        <f t="array" ref="I14">_xll.FDS(D14,"FMA_DIV_YLD(NTMA,NOW,NOW,M,""PORTAGG"",""MEANR"")")</f>
        <v>3.2049431047209702</v>
      </c>
      <c r="J14" s="52" cm="1">
        <f t="array" ref="J14">IFERROR(_xll.FDS(D14,"FG_FCF_YIELD_NTM(0)"),(1/G14*100))</f>
        <v>5.2495487547648496</v>
      </c>
      <c r="K14" s="3" cm="1">
        <f t="array" ref="K14">_xll.FDS(D14,"FMA_EVAL_EBITDA(NTMA,0,,,""PORTAGG"",""MEANR"")")</f>
        <v>10.598757947892601</v>
      </c>
      <c r="L14" cm="1">
        <f t="array" ref="L14">_xll.FDS(D14,"FMA_EVAL_EBIT(LTMA,NOW,NOW,M,""PORTAGG"",""MEANR"")")</f>
        <v>16.377221287824099</v>
      </c>
      <c r="M14">
        <f>HLOOKUP(D14,'Index ROE'!$A$1:$N$25,25,FALSE)</f>
        <v>15.368050598586001</v>
      </c>
      <c r="N14">
        <f>VLOOKUP(A14,'LIQIDITY 2'!$A$3:$E$16,5,FALSE)</f>
        <v>1.9</v>
      </c>
      <c r="O14" cm="1">
        <f t="array" ref="O14">IFERROR(IFERROR(IFERROR(IFERROR(_xll.FDS(B14,"IMF_IFS_RCPI_Q(0)"),_xll.FDS(B14,"IMF_IFS_RCPI_Q(-1AM)")),_xll.FDS(B14,"IMF_IFS_RCPI_Q(-2AM)")),_xll.FDS(B14,"IMF_IFS_RCPI_Q(-3AM)")),$D$31)</f>
        <v>3.39215</v>
      </c>
      <c r="P14">
        <f>VLOOKUP(E14,GDP_GROWTH!$B$10:$W$165,22,FALSE)</f>
        <v>1.8182767577278436</v>
      </c>
      <c r="Q14">
        <f t="shared" si="4"/>
        <v>1.3049431047209703</v>
      </c>
      <c r="R14" s="52">
        <f t="shared" si="5"/>
        <v>3.3495487547648497</v>
      </c>
      <c r="S14">
        <f t="shared" si="6"/>
        <v>13.468050598586</v>
      </c>
      <c r="T14">
        <f t="shared" si="7"/>
        <v>11.975900598586001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78.5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64.2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67.13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45534</v>
      </c>
      <c r="G15" s="4" cm="1">
        <f t="array" ref="G15">_xll.FDS(D15,"FMA_PE(LTM,0,,,""PORTAGG"",""MEANR"")")</f>
        <v>11.14687822314</v>
      </c>
      <c r="H15" s="4" cm="1">
        <f t="array" ref="H15">_xll.FDS(D15,"FMA_PE(NTMA,0,,,""PORTAGG"",""MEANR"")")</f>
        <v>9.7839973881915991</v>
      </c>
      <c r="I15" cm="1">
        <f t="array" ref="I15">_xll.FDS(D15,"FMA_DIV_YLD(NTMA,NOW,NOW,M,""PORTAGG"",""MEANR"")")</f>
        <v>5.2757532177159199</v>
      </c>
      <c r="J15" s="52" cm="1">
        <f t="array" ref="J15">IFERROR(_xll.FDS(D15,"FG_FCF_YIELD_NTM(0)"),(1/G15*100))</f>
        <v>5.4462495065518999</v>
      </c>
      <c r="K15" s="3" cm="1">
        <f t="array" ref="K15">_xll.FDS(D15,"FMA_EVAL_EBITDA(NTMA,0,,,""PORTAGG"",""MEANR"")")</f>
        <v>7.2740988916513203</v>
      </c>
      <c r="L15" cm="1">
        <f t="array" ref="L15">_xll.FDS(D15,"FMA_EVAL_EBIT(LTMA,NOW,NOW,M,""PORTAGG"",""MEANR"")")</f>
        <v>11.484240205091901</v>
      </c>
      <c r="M15">
        <f>HLOOKUP(D15,'Index ROE'!$A$1:$N$25,25,FALSE)</f>
        <v>13.3572149047324</v>
      </c>
      <c r="N15">
        <f>VLOOKUP(A15,'LIQIDITY 2'!$A$3:$E$16,5,FALSE)</f>
        <v>3.4769999999999999</v>
      </c>
      <c r="O15" cm="1">
        <f t="array" ref="O15">IFERROR(IFERROR(IFERROR(IFERROR(_xll.FDS(B15,"IMF_IFS_RCPI_Q(0)"),_xll.FDS(B15,"IMF_IFS_RCPI_Q(-1AM)")),_xll.FDS(B15,"IMF_IFS_RCPI_Q(-2AM)")),_xll.FDS(B15,"IMF_IFS_RCPI_Q(-3AM)")),$D$31)</f>
        <v>0.80847347000000003</v>
      </c>
      <c r="P15">
        <f>VLOOKUP(E15,GDP_GROWTH!$B$10:$W$165,22,FALSE)</f>
        <v>0.32855305426654491</v>
      </c>
      <c r="Q15">
        <f t="shared" si="4"/>
        <v>1.79875321771592</v>
      </c>
      <c r="R15" s="52">
        <f t="shared" si="5"/>
        <v>1.9692495065519</v>
      </c>
      <c r="S15">
        <f t="shared" si="6"/>
        <v>9.8802149047323997</v>
      </c>
      <c r="T15">
        <f t="shared" si="7"/>
        <v>12.548741434732399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42.8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72.144999999999996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45504</v>
      </c>
      <c r="G19" s="4" cm="1">
        <f t="array" ref="G19">_xll.FDS(D19,"FG_PE(0)")</f>
        <v>14.4368140650878</v>
      </c>
      <c r="H19" s="4" cm="1">
        <f t="array" ref="H19">_xll.FDS(D19,"FG_PE_NTM(0,,,90,0)")</f>
        <v>13.376099827013601</v>
      </c>
      <c r="I19" cm="1">
        <f t="array" ref="I19">_xll.FDS(D19,"FMA_DIV_YLD(NTMA,NOW,NOW,M,""PORTAGG"",""MEANR"")")</f>
        <v>3.4757722257414301</v>
      </c>
      <c r="J19" s="52" cm="1">
        <f t="array" ref="J19">_xll.FDS(D19,"FG_FCF_YIELD_NTM(0)")</f>
        <v>5.2826583221981798</v>
      </c>
      <c r="K19" s="3" cm="1">
        <f t="array" ref="K19">_xll.FDS(D19,"FMA_EVAL_EBITDA(NTMA,0,,,""PORTAGG"",""MEANR"")")</f>
        <v>8.8628023891619598</v>
      </c>
      <c r="L19" cm="1">
        <f t="array" ref="L19">_xll.FDS(D19,"FMA_EVAL_EBIT(LTMA,NOW,NOW,M,""PORTAGG"",""MEANR"")")</f>
        <v>13.3461330233976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45504</v>
      </c>
      <c r="G20" s="4" cm="1">
        <f t="array" ref="G20">_xll.FDS(D20,"FG_PE(0)")</f>
        <v>15.1582445076425</v>
      </c>
      <c r="H20" s="4" cm="1">
        <f t="array" ref="H20">_xll.FDS(D20,"FG_PE_NTM(0,,,90,0)")</f>
        <v>12.8760659329158</v>
      </c>
      <c r="I20" cm="1">
        <f t="array" ref="I20">_xll.FDS(D20,"FMA_DIV_YLD(NTMA,NOW,NOW,M,""PORTAGG"",""MEANR"")")</f>
        <v>2.9430533541080401</v>
      </c>
      <c r="J20" s="52" cm="1">
        <f t="array" ref="J20">_xll.FDS(D20,"FG_FCF_YIELD_NTM(0)")</f>
        <v>5.4619193714790901</v>
      </c>
      <c r="K20" s="3" cm="1">
        <f t="array" ref="K20">_xll.FDS(D20,"FMA_EVAL_EBITDA(NTMA,0,,,""PORTAGG"",""MEANR"")")</f>
        <v>8.9782875138615594</v>
      </c>
      <c r="L20" cm="1">
        <f t="array" ref="L20">_xll.FDS(D20,"FMA_EVAL_EBIT(LTMA,NOW,NOW,M,""PORTAGG"",""MEANR"")")</f>
        <v>14.4380003546905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3.19889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4.1525999999999996</v>
      </c>
      <c r="G3" s="26" cm="1">
        <f t="array" ref="G3">_xll.FDSB(C3,"PCTCHG(FG_YIELD(0,,,,""YTM""),FG_YIELD(-1AM,,,,""YTM""))")</f>
        <v>-2.2917692999999999</v>
      </c>
      <c r="H3" s="26" cm="1">
        <f t="array" ref="H3">_xll.FDSB(C3,"PCTCHG(FG_YIELD(0,,,,""YTM""),FG_YIELD(-3AM,,,,""YTM""))")</f>
        <v>-12.296191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5.25</v>
      </c>
      <c r="M3" s="36" cm="1">
        <f t="array" ref="M3">_xll.FDSB(J3,"(SUBARRAY(NOT_NA(NO_REPEAT_F(FG_YIELD(now,-10AY,D))),0,1)-SUBARRAY(NOT_NA(NO_REPEAT_F(FG_YIELD(now,-10AY,D))),1,1))*100")</f>
        <v>-25</v>
      </c>
      <c r="N3" s="38">
        <f t="shared" ref="N3:N15" si="0">M3*-1</f>
        <v>25</v>
      </c>
      <c r="O3" s="26">
        <f>L3-E3</f>
        <v>1.0974000000000004</v>
      </c>
      <c r="S3">
        <f t="shared" ref="S3:S15" si="1">IF(M3&gt; 0, 0, 1)</f>
        <v>1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1</v>
      </c>
      <c r="X3">
        <f>_xlfn.PERCENTRANK.EXC($V$3:$V$15,V3)*100</f>
        <v>42.8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3.8530000000000002</v>
      </c>
      <c r="G4" s="26" cm="1">
        <f t="array" ref="G4">_xll.FDSB(C4,"PCTCHG(FG_YIELD(0,,,,""YTM""),FG_YIELD(-1AM,,,,""YTM""))")</f>
        <v>-4.8406982000000003</v>
      </c>
      <c r="H4" s="26" cm="1">
        <f t="array" ref="H4">_xll.FDSB(C4,"PCTCHG(FG_YIELD(0,,,,""YTM""),FG_YIELD(-3AM,,,,""YTM""))")</f>
        <v>-9.9555939999999996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0.49699999999999944</v>
      </c>
      <c r="S4">
        <f t="shared" si="1"/>
        <v>0</v>
      </c>
      <c r="T4">
        <f t="shared" si="2"/>
        <v>1</v>
      </c>
      <c r="U4">
        <f t="shared" si="3"/>
        <v>1</v>
      </c>
      <c r="V4" s="47">
        <f t="shared" si="4"/>
        <v>0.5</v>
      </c>
      <c r="X4">
        <f t="shared" ref="X4:X15" si="6">_xlfn.PERCENTRANK.EXC($V$3:$V$15,V4)*100</f>
        <v>14.2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2.9186999999999999</v>
      </c>
      <c r="G5" s="26" cm="1">
        <f t="array" ref="G5">_xll.FDSB(C5,"PCTCHG(FG_YIELD(0,,,,""YTM""),FG_YIELD(-1AM,,,,""YTM""))")</f>
        <v>-5.4763922999999997</v>
      </c>
      <c r="H5" s="26" cm="1">
        <f t="array" ref="H5">_xll.FDSB(C5,"PCTCHG(FG_YIELD(0,,,,""YTM""),FG_YIELD(-3AM,,,,""YTM""))")</f>
        <v>-15.353386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4.25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1.3313000000000001</v>
      </c>
      <c r="S5">
        <f t="shared" si="1"/>
        <v>1</v>
      </c>
      <c r="T5">
        <f t="shared" si="2"/>
        <v>1</v>
      </c>
      <c r="U5">
        <f t="shared" si="3"/>
        <v>1</v>
      </c>
      <c r="V5" s="47">
        <f t="shared" si="4"/>
        <v>1</v>
      </c>
      <c r="X5">
        <f t="shared" si="6"/>
        <v>42.8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2.153</v>
      </c>
      <c r="G6" s="26" cm="1">
        <f t="array" ref="G6">_xll.FDSB(C6,"PCTCHG(FG_YIELD(0,,,,""YTM""),FG_YIELD(-1AM,,,,""YTM""))")</f>
        <v>-3.711983</v>
      </c>
      <c r="H6" s="26" cm="1">
        <f t="array" ref="H6">_xll.FDSB(C6,"PCTCHG(FG_YIELD(0,,,,""YTM""),FG_YIELD(-3AM,,,,""YTM""))")</f>
        <v>-15.069032999999999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2.097</v>
      </c>
      <c r="S6">
        <f t="shared" si="1"/>
        <v>1</v>
      </c>
      <c r="T6">
        <f t="shared" si="2"/>
        <v>1</v>
      </c>
      <c r="U6">
        <f t="shared" si="3"/>
        <v>1</v>
      </c>
      <c r="V6" s="47">
        <f t="shared" si="4"/>
        <v>1</v>
      </c>
      <c r="X6">
        <f t="shared" si="6"/>
        <v>42.8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0.86419999999999997</v>
      </c>
      <c r="G7" s="26" cm="1">
        <f t="array" ref="G7">_xll.FDSB(C7,"PCTCHG(FG_YIELD(0,,,,""YTM""),FG_YIELD(-1AM,,,,""YTM""))")</f>
        <v>1.3486574</v>
      </c>
      <c r="H7" s="26" cm="1">
        <f t="array" ref="H7">_xll.FDSB(C7,"PCTCHG(FG_YIELD(0,,,,""YTM""),FG_YIELD(-3AM,,,,""YTM""))")</f>
        <v>-12.751132999999999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0.25</v>
      </c>
      <c r="M7" s="36" cm="1">
        <f t="array" ref="M7">_xll.FDSB(J7,"(SUBARRAY(NOT_NA(NO_REPEAT_F(FG_YIELD(now,-10AY,D))),0,1)-SUBARRAY(NOT_NA(NO_REPEAT_F(FG_YIELD(now,-10AY,D))),1,1))*100")</f>
        <v>15</v>
      </c>
      <c r="N7" s="38">
        <f t="shared" si="0"/>
        <v>-15</v>
      </c>
      <c r="O7" s="26">
        <f t="shared" si="5"/>
        <v>-0.61419999999999997</v>
      </c>
      <c r="S7">
        <f t="shared" si="1"/>
        <v>0</v>
      </c>
      <c r="T7">
        <f t="shared" si="2"/>
        <v>0</v>
      </c>
      <c r="U7">
        <f t="shared" si="3"/>
        <v>1</v>
      </c>
      <c r="V7" s="47">
        <f t="shared" si="4"/>
        <v>0.25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0.441</v>
      </c>
      <c r="G8" s="26" cm="1">
        <f t="array" ref="G8">_xll.FDSB(C8,"PCTCHG(FG_YIELD(0,,,,""YTM""),FG_YIELD(-1AM,,,,""YTM""))")</f>
        <v>6.7796674000000001</v>
      </c>
      <c r="H8" s="26" cm="1">
        <f t="array" ref="H8">_xll.FDSB(C8,"PCTCHG(FG_YIELD(0,,,,""YTM""),FG_YIELD(-3AM,,,,""YTM""))")</f>
        <v>-45.353160000000003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0.80899999999999994</v>
      </c>
      <c r="S8">
        <f t="shared" si="1"/>
        <v>1</v>
      </c>
      <c r="T8">
        <f t="shared" si="2"/>
        <v>0</v>
      </c>
      <c r="U8">
        <f t="shared" si="3"/>
        <v>1</v>
      </c>
      <c r="V8" s="47">
        <f t="shared" si="4"/>
        <v>0.75</v>
      </c>
      <c r="X8">
        <f t="shared" si="6"/>
        <v>35.699999999999996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3.7719999999999998</v>
      </c>
      <c r="G9" s="26" cm="1">
        <f t="array" ref="G9">_xll.FDSB(C9,"PCTCHG(FG_YIELD(0,,,,""YTM""),FG_YIELD(-1AM,,,,""YTM""))")</f>
        <v>-4.1179442000000002</v>
      </c>
      <c r="H9" s="26" cm="1">
        <f t="array" ref="H9">_xll.FDSB(C9,"PCTCHG(FG_YIELD(0,,,,""YTM""),FG_YIELD(-3AM,,,,""YTM""))")</f>
        <v>-8.8448515000000008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</v>
      </c>
      <c r="M9" s="36" cm="1">
        <f t="array" ref="M9">_xll.FDSB(J9,"(SUBARRAY(NOT_NA(NO_REPEAT_F(FG_YIELD(now,-10AY,D))),0,1)-SUBARRAY(NOT_NA(NO_REPEAT_F(FG_YIELD(now,-10AY,D))),1,1))*100")</f>
        <v>-25</v>
      </c>
      <c r="N9" s="38">
        <f t="shared" si="0"/>
        <v>25</v>
      </c>
      <c r="O9" s="26">
        <f t="shared" si="5"/>
        <v>1.2280000000000002</v>
      </c>
      <c r="S9">
        <f t="shared" si="1"/>
        <v>1</v>
      </c>
      <c r="T9">
        <f t="shared" si="2"/>
        <v>1</v>
      </c>
      <c r="U9">
        <f t="shared" si="3"/>
        <v>1</v>
      </c>
      <c r="V9" s="47">
        <f t="shared" si="4"/>
        <v>1</v>
      </c>
      <c r="X9">
        <f t="shared" si="6"/>
        <v>42.8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3.6800999999999999</v>
      </c>
      <c r="G10" s="26" cm="1">
        <f t="array" ref="G10">_xll.FDSB(C10,"PCTCHG(FG_YIELD(0,,,,""YTM""),FG_YIELD(-1AM,,,,""YTM""))")</f>
        <v>-5.7134084999999999</v>
      </c>
      <c r="H10" s="26" cm="1">
        <f t="array" ref="H10">_xll.FDSB(C10,"PCTCHG(FG_YIELD(0,,,,""YTM""),FG_YIELD(-3AM,,,,""YTM""))")</f>
        <v>-15.003351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1.8199000000000001</v>
      </c>
      <c r="S10">
        <f t="shared" si="1"/>
        <v>0</v>
      </c>
      <c r="T10">
        <f t="shared" si="2"/>
        <v>1</v>
      </c>
      <c r="U10">
        <f t="shared" si="3"/>
        <v>1</v>
      </c>
      <c r="V10" s="47">
        <f t="shared" si="4"/>
        <v>0.5</v>
      </c>
      <c r="X10">
        <f t="shared" si="6"/>
        <v>14.2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3.6800999999999999</v>
      </c>
      <c r="G11" s="26" cm="1">
        <f t="array" ref="G11">_xll.FDSB(C11,"PCTCHG(FG_YIELD(0,,,,""YTM""),FG_YIELD(-1AM,,,,""YTM""))")</f>
        <v>-5.7134084999999999</v>
      </c>
      <c r="H11" s="26" cm="1">
        <f t="array" ref="H11">_xll.FDSB(C11,"PCTCHG(FG_YIELD(0,,,,""YTM""),FG_YIELD(-3AM,,,,""YTM""))")</f>
        <v>-15.003351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1.8199000000000001</v>
      </c>
      <c r="S11">
        <f t="shared" si="1"/>
        <v>0</v>
      </c>
      <c r="T11">
        <f t="shared" si="2"/>
        <v>1</v>
      </c>
      <c r="U11">
        <f t="shared" si="3"/>
        <v>1</v>
      </c>
      <c r="V11" s="47">
        <f t="shared" si="4"/>
        <v>0.5</v>
      </c>
      <c r="X11">
        <f t="shared" si="6"/>
        <v>14.2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2.847</v>
      </c>
      <c r="G12" s="26" cm="1">
        <f t="array" ref="G12">_xll.FDSB(C12,"PCTCHG(FG_YIELD(0,,,,""YTM""),FG_YIELD(-1AM,,,,""YTM""))")</f>
        <v>-4.270346</v>
      </c>
      <c r="H12" s="26" cm="1">
        <f t="array" ref="H12">_xll.FDSB(C12,"PCTCHG(FG_YIELD(0,,,,""YTM""),FG_YIELD(-3AM,,,,""YTM""))")</f>
        <v>-9.5328949999999999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1.403</v>
      </c>
      <c r="S12">
        <f t="shared" si="1"/>
        <v>1</v>
      </c>
      <c r="T12">
        <f t="shared" si="2"/>
        <v>1</v>
      </c>
      <c r="U12">
        <f t="shared" si="3"/>
        <v>1</v>
      </c>
      <c r="V12" s="47">
        <f t="shared" si="4"/>
        <v>1</v>
      </c>
      <c r="X12">
        <f t="shared" si="6"/>
        <v>42.8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2.444</v>
      </c>
      <c r="G13" s="26" cm="1">
        <f t="array" ref="G13">_xll.FDSB(C13,"PCTCHG(FG_YIELD(0,,,,""YTM""),FG_YIELD(-1AM,,,,""YTM""))")</f>
        <v>-3.7037076999999998</v>
      </c>
      <c r="H13" s="26" cm="1">
        <f t="array" ref="H13">_xll.FDSB(C13,"PCTCHG(FG_YIELD(0,,,,""YTM""),FG_YIELD(-3AM,,,,""YTM""))")</f>
        <v>-14.605171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1.806</v>
      </c>
      <c r="S13">
        <f t="shared" si="1"/>
        <v>1</v>
      </c>
      <c r="T13">
        <f t="shared" si="2"/>
        <v>1</v>
      </c>
      <c r="U13">
        <f t="shared" si="3"/>
        <v>1</v>
      </c>
      <c r="V13" s="47">
        <f t="shared" si="4"/>
        <v>1</v>
      </c>
      <c r="X13">
        <f t="shared" si="6"/>
        <v>42.8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1.9</v>
      </c>
      <c r="G14" s="26" cm="1">
        <f t="array" ref="G14">_xll.FDSB(C14,"PCTCHG(FG_YIELD(0,,,,""YTM""),FG_YIELD(-1AM,,,,""YTM""))")</f>
        <v>-2.6140441999999999</v>
      </c>
      <c r="H14" s="26" cm="1">
        <f t="array" ref="H14">_xll.FDSB(C14,"PCTCHG(FG_YIELD(0,,,,""YTM""),FG_YIELD(-3AM,,,,""YTM""))")</f>
        <v>-15.216419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1.6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42.8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3.4769999999999999</v>
      </c>
      <c r="G15" s="26" cm="1">
        <f t="array" ref="G15">_xll.FDSB(C15,"PCTCHG(FG_YIELD(0,,,,""YTM""),FG_YIELD(-1AM,,,,""YTM""))")</f>
        <v>-4.4780249999999997</v>
      </c>
      <c r="H15" s="26" cm="1">
        <f t="array" ref="H15">_xll.FDSB(C15,"PCTCHG(FG_YIELD(0,,,,""YTM""),FG_YIELD(-3AM,,,,""YTM""))")</f>
        <v>-11.594206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0.77300000000000013</v>
      </c>
      <c r="S15">
        <f t="shared" si="1"/>
        <v>1</v>
      </c>
      <c r="T15">
        <f t="shared" si="2"/>
        <v>1</v>
      </c>
      <c r="U15">
        <f t="shared" si="3"/>
        <v>1</v>
      </c>
      <c r="V15" s="47">
        <f t="shared" si="4"/>
        <v>1</v>
      </c>
      <c r="X15">
        <f t="shared" si="6"/>
        <v>42.8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3.6800999999999999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4.1525999999999996</v>
      </c>
      <c r="H2" cm="1">
        <f t="array" ref="H2">_xll.FDS(B2,"FG_ROE(0)")</f>
        <v>3.4094904295204098</v>
      </c>
      <c r="I2">
        <f>HLOOKUP(B2,'Index ROE'!$B$1:$N$25,24,FALSE)</f>
        <v>9.8238973987983247</v>
      </c>
      <c r="J2" cm="1">
        <f t="array" ref="J2">_xll.FDS(B2, "FMA_RBICS_REV_CURRENT(30, LOC, ""PORTAGG"")")</f>
        <v>14.636334616221401</v>
      </c>
      <c r="K2" s="74">
        <f>HLOOKUP(B2,'Index earnings'!$B$1:$N$25,25,FALSE)</f>
        <v>-9.3828148339384354E-3</v>
      </c>
      <c r="L2">
        <f>HLOOKUP(A2,'Yearly returns'!$B$1:$N$128,126,FALSE)</f>
        <v>-32.64808</v>
      </c>
      <c r="M2">
        <f t="shared" ref="M2:M10" si="0">I2-G2</f>
        <v>5.6712973987983251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28.499999999999996</v>
      </c>
      <c r="R2">
        <f>N2*Assumption!$F$64 + O2*Assumption!$F$61 + P2*Assumption!$F$62 + Q2*Assumption!$F$63</f>
        <v>28.55</v>
      </c>
      <c r="S2" cm="1">
        <f t="array" ref="S2">_xlfn.PERCENTRANK.EXC(_xlfn._xlws.FILTER(R$2:R$14, ISNUMBER(R$2:R$14)),R2)*100</f>
        <v>14.2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3.8530000000000002</v>
      </c>
      <c r="H3" cm="1">
        <f t="array" ref="H3">_xll.FDS(B3,"FG_ROE(0)")</f>
        <v>12.7476808987524</v>
      </c>
      <c r="I3">
        <f>HLOOKUP(B3,'Index ROE'!$B$1:$N$25,24,FALSE)</f>
        <v>13.020733299173699</v>
      </c>
      <c r="J3" cm="1">
        <f t="array" ref="J3">_xll.FDS(B3, "FMA_RBICS_REV_CURRENT(30, LOC, ""PORTAGG"")")</f>
        <v>43.494012002379698</v>
      </c>
      <c r="K3" s="74">
        <f>HLOOKUP(B3,'Index earnings'!$B$1:$N$25,25,FALSE)</f>
        <v>1.1174820218081027E-2</v>
      </c>
      <c r="L3">
        <f>HLOOKUP(A3,'Yearly returns'!$B$1:$N$128,126,FALSE)</f>
        <v>-26.150469999999999</v>
      </c>
      <c r="M3">
        <f t="shared" si="0"/>
        <v>9.1677332991736993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57.099999999999994</v>
      </c>
      <c r="R3">
        <f>N3*Assumption!$F$64 + O3*Assumption!$F$61 + P3*Assumption!$F$62 + Q3*Assumption!$F$63</f>
        <v>32.125</v>
      </c>
      <c r="S3" cm="1">
        <f t="array" ref="S3">_xlfn.PERCENTRANK.EXC(_xlfn._xlws.FILTER(R$2:R$14, ISNUMBER(R$2:R$14)),R3)*100</f>
        <v>21.4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2.9186999999999999</v>
      </c>
      <c r="H4" cm="1">
        <f t="array" ref="H4">_xll.FDS(B4,"FG_ROE(0)")</f>
        <v>10.9096492716596</v>
      </c>
      <c r="I4">
        <f>HLOOKUP(B4,'Index ROE'!$B$1:$N$25,24,FALSE)</f>
        <v>12.7516875895064</v>
      </c>
      <c r="J4" cm="1">
        <f t="array" ref="J4">_xll.FDS(B4, "FMA_RBICS_REV_CURRENT(30, LOC, ""PORTAGG"")")</f>
        <v>40.919776568347203</v>
      </c>
      <c r="K4" s="74">
        <f>HLOOKUP(B4,'Index earnings'!$B$1:$N$25,25,FALSE)</f>
        <v>4.091721115481306E-2</v>
      </c>
      <c r="L4">
        <f>HLOOKUP(A4,'Yearly returns'!$B$1:$N$128,126,FALSE)</f>
        <v>-25.861834999999999</v>
      </c>
      <c r="M4">
        <f t="shared" si="0"/>
        <v>9.8329875895064003</v>
      </c>
      <c r="N4" cm="1">
        <f t="array" ref="N4">_xlfn.PERCENTRANK.EXC(_xlfn._xlws.FILTER(M$2:M$14, ISNUMBER(M$2:M$14)),M4)*100</f>
        <v>50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71.399999999999991</v>
      </c>
      <c r="R4">
        <f>N4*Assumption!$F$64 + O4*Assumption!$F$61 + P4*Assumption!$F$62 + Q4*Assumption!$F$63</f>
        <v>51.774999999999991</v>
      </c>
      <c r="S4" cm="1">
        <f t="array" ref="S4">_xlfn.PERCENTRANK.EXC(_xlfn._xlws.FILTER(R$2:R$14, ISNUMBER(R$2:R$14)),R4)*100</f>
        <v>64.2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2.153</v>
      </c>
      <c r="H5" cm="1">
        <f t="array" ref="H5">_xll.FDS(B5,"FG_ROE(0)")</f>
        <v>10.761961939019701</v>
      </c>
      <c r="I5">
        <f>HLOOKUP(B5,'Index ROE'!$B$1:$N$25,24,FALSE)</f>
        <v>11.983677793053701</v>
      </c>
      <c r="J5" cm="1">
        <f t="array" ref="J5">_xll.FDS(B5, "FMA_RBICS_REV_CURRENT(30, LOC, ""PORTAGG"")")</f>
        <v>23.4666496440462</v>
      </c>
      <c r="K5" s="74">
        <f>HLOOKUP(B5,'Index earnings'!$B$1:$N$25,25,FALSE)</f>
        <v>2.8283515901657452E-2</v>
      </c>
      <c r="L5">
        <f>HLOOKUP(A5,'Yearly returns'!$B$1:$N$128,126,FALSE)</f>
        <v>-36.912567000000003</v>
      </c>
      <c r="M5">
        <f t="shared" si="0"/>
        <v>9.8306777930537006</v>
      </c>
      <c r="N5" cm="1">
        <f t="array" ref="N5">_xlfn.PERCENTRANK.EXC(_xlfn._xlws.FILTER(M$2:M$14, ISNUMBER(M$2:M$14)),M5)*100</f>
        <v>42.8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21.4</v>
      </c>
      <c r="R5">
        <f>N5*Assumption!$F$64 + O5*Assumption!$F$61 + P5*Assumption!$F$62 + Q5*Assumption!$F$63</f>
        <v>41.050000000000004</v>
      </c>
      <c r="S5" cm="1">
        <f t="array" ref="S5">_xlfn.PERCENTRANK.EXC(_xlfn._xlws.FILTER(R$2:R$14, ISNUMBER(R$2:R$14)),R5)*100</f>
        <v>42.8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0.86419999999999997</v>
      </c>
      <c r="H6" cm="1">
        <f t="array" ref="H6">_xll.FDS(B6,"FG_ROE(0)")</f>
        <v>9.2802735527020204</v>
      </c>
      <c r="I6">
        <f>HLOOKUP(B6,'Index ROE'!$B$1:$N$25,24,FALSE)</f>
        <v>8.994618118763011</v>
      </c>
      <c r="J6" cm="1">
        <f t="array" ref="J6">_xll.FDS(B6, "FMA_RBICS_REV_CURRENT(30, LOC, ""PORTAGG"")")</f>
        <v>18.473798674221499</v>
      </c>
      <c r="K6" s="74">
        <f>HLOOKUP(B6,'Index earnings'!$B$1:$N$25,25,FALSE)</f>
        <v>2.4111181364210088E-2</v>
      </c>
      <c r="L6">
        <f>HLOOKUP(A6,'Yearly returns'!$B$1:$N$128,126,FALSE)</f>
        <v>-26.358080000000001</v>
      </c>
      <c r="M6">
        <f t="shared" si="0"/>
        <v>8.1304181187630107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50</v>
      </c>
      <c r="R6">
        <f>N6*Assumption!$F$64 + O6*Assumption!$F$61 + P6*Assumption!$F$62 + Q6*Assumption!$F$63</f>
        <v>42.849999999999994</v>
      </c>
      <c r="S6" cm="1">
        <f t="array" ref="S6">_xlfn.PERCENTRANK.EXC(_xlfn._xlws.FILTER(R$2:R$14, ISNUMBER(R$2:R$14)),R6)*100</f>
        <v>50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0.441</v>
      </c>
      <c r="H7" cm="1">
        <f t="array" ref="H7">_xll.FDS(B7,"FG_ROE(0)")</f>
        <v>19.0513015463467</v>
      </c>
      <c r="I7">
        <f>HLOOKUP(B7,'Index ROE'!$B$1:$N$25,24,FALSE)</f>
        <v>15.55096443559315</v>
      </c>
      <c r="J7" cm="1">
        <f t="array" ref="J7">_xll.FDS(B7, "FMA_RBICS_REV_CURRENT(30, LOC, ""PORTAGG"")")</f>
        <v>17.528437374512102</v>
      </c>
      <c r="K7" s="74">
        <f>HLOOKUP(B7,'Index earnings'!$B$1:$N$25,25,FALSE)</f>
        <v>4.6616158051884682E-2</v>
      </c>
      <c r="L7">
        <f>HLOOKUP(A7,'Yearly returns'!$B$1:$N$128,126,FALSE)</f>
        <v>-20.374065000000002</v>
      </c>
      <c r="M7">
        <f t="shared" si="0"/>
        <v>15.109964435593149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3.7719999999999998</v>
      </c>
      <c r="H8" cm="1">
        <f t="array" ref="H8">_xll.FDS(B8,"FG_ROE(0)")</f>
        <v>13.948835010217399</v>
      </c>
      <c r="I8">
        <f>HLOOKUP(B8,'Index ROE'!$B$1:$N$25,24,FALSE)</f>
        <v>14.561964916400001</v>
      </c>
      <c r="J8" cm="1">
        <f t="array" ref="J8">_xll.FDS(B8, "FMA_RBICS_REV_CURRENT(30, LOC, ""PORTAGG"")")</f>
        <v>19.2590072352383</v>
      </c>
      <c r="K8" s="74">
        <f>HLOOKUP(B8,'Index earnings'!$B$1:$N$25,25,FALSE)</f>
        <v>3.7109465036002653E-3</v>
      </c>
      <c r="L8">
        <f>HLOOKUP(A8,'Yearly returns'!$B$1:$N$128,126,FALSE)</f>
        <v>-26.038128</v>
      </c>
      <c r="M8">
        <f t="shared" si="0"/>
        <v>10.789964916400001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64.2</v>
      </c>
      <c r="R8">
        <f>N8*Assumption!$F$64 + O8*Assumption!$F$61 + P8*Assumption!$F$62 + Q8*Assumption!$F$63</f>
        <v>48.150000000000006</v>
      </c>
      <c r="S8" cm="1">
        <f t="array" ref="S8">_xlfn.PERCENTRANK.EXC(_xlfn._xlws.FILTER(R$2:R$14, ISNUMBER(R$2:R$14)),R8)*100</f>
        <v>57.099999999999994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3.6800999999999999</v>
      </c>
      <c r="H9" cm="1">
        <f t="array" ref="H9">_xll.FDS(B9,"FG_ROE(0)")</f>
        <v>22.4762302222851</v>
      </c>
      <c r="I9">
        <f>HLOOKUP(B9,'Index ROE'!$B$1:$N$25,24,FALSE)</f>
        <v>21.036882269896502</v>
      </c>
      <c r="J9" cm="1">
        <f t="array" ref="J9">_xll.FDS(B9, "FMA_RBICS_REV_CURRENT(30, LOC, ""PORTAGG"")")</f>
        <v>0.92389603226093997</v>
      </c>
      <c r="K9" s="74">
        <f>HLOOKUP(B9,'Index earnings'!$B$1:$N$25,25,FALSE)</f>
        <v>0.12988959921025178</v>
      </c>
      <c r="L9">
        <f>HLOOKUP(A9,'Yearly returns'!$B$1:$N$128,126,FALSE)</f>
        <v>-27.803039999999999</v>
      </c>
      <c r="M9">
        <f t="shared" si="0"/>
        <v>17.356782269896502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42.8</v>
      </c>
      <c r="R9">
        <f>N9*Assumption!$F$64 + O9*Assumption!$F$61 + P9*Assumption!$F$62 + Q9*Assumption!$F$63</f>
        <v>80.325000000000003</v>
      </c>
      <c r="S9" cm="1">
        <f t="array" ref="S9">_xlfn.PERCENTRANK.EXC(_xlfn._xlws.FILTER(R$2:R$14, ISNUMBER(R$2:R$14)),R9)*100</f>
        <v>85.7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3.6800999999999999</v>
      </c>
      <c r="H10" cm="1">
        <f t="array" ref="H10">_xll.FDS(B10,"FG_ROE(0)")</f>
        <v>18.606491417355599</v>
      </c>
      <c r="I10">
        <f>HLOOKUP(B10,'Index ROE'!$B$1:$N$25,24,FALSE)</f>
        <v>16.391058174766847</v>
      </c>
      <c r="J10" cm="1">
        <f t="array" ref="J10">_xll.FDS(B10, "FMA_RBICS_REV_CURRENT(30, LOC, ""PORTAGG"")")</f>
        <v>12.8044634335906</v>
      </c>
      <c r="K10" s="74">
        <f>HLOOKUP(B10,'Index earnings'!$B$1:$N$25,25,FALSE)</f>
        <v>5.9884631603759342E-2</v>
      </c>
      <c r="L10">
        <f>HLOOKUP(A10,'Yearly returns'!$B$1:$N$128,126,FALSE)</f>
        <v>-16.524159999999998</v>
      </c>
      <c r="M10">
        <f t="shared" si="0"/>
        <v>12.710958174766848</v>
      </c>
      <c r="N10" cm="1">
        <f t="array" ref="N10">_xlfn.PERCENTRANK.EXC(_xlfn._xlws.FILTER(M$2:M$14, ISNUMBER(M$2:M$14)),M10)*100</f>
        <v>78.5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83.9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2.847</v>
      </c>
      <c r="H11" cm="1">
        <f t="array" ref="H11">_xll.FDS(B11,"FG_ROE(0)")</f>
        <v>12.131643026487099</v>
      </c>
      <c r="I11">
        <f>HLOOKUP(B11,'Index ROE'!$B$1:$N$25,24,FALSE)</f>
        <v>11.16089938202855</v>
      </c>
      <c r="J11" cm="1">
        <f t="array" ref="J11">_xll.FDS(B11, "FMA_RBICS_REV_CURRENT(30, LOC, ""PORTAGG"")")</f>
        <v>11.598844152413299</v>
      </c>
      <c r="K11" s="74">
        <f>HLOOKUP(B11,'Index earnings'!$B$1:$N$25,25,FALSE)</f>
        <v>1.8516989400983785E-2</v>
      </c>
      <c r="L11">
        <f>HLOOKUP(A11,'Yearly returns'!$B$1:$N$128,126,FALSE)</f>
        <v>-23.426998000000001</v>
      </c>
      <c r="M11">
        <f t="shared" ref="M11:M14" si="1">I11-G11</f>
        <v>8.3138993820285503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57.125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2.444</v>
      </c>
      <c r="H12" cm="1">
        <f t="array" ref="H12">_xll.FDS(B12,"FG_ROE(0)")</f>
        <v>11.0136885219344</v>
      </c>
      <c r="I12">
        <f>HLOOKUP(B12,'Index ROE'!$B$1:$N$25,24,FALSE)</f>
        <v>13.04966082823935</v>
      </c>
      <c r="J12" cm="1">
        <f t="array" ref="J12">_xll.FDS(B12, "FMA_RBICS_REV_CURRENT(30, LOC, ""PORTAGG"")")</f>
        <v>25.711875275245699</v>
      </c>
      <c r="K12" s="74">
        <f>HLOOKUP(B12,'Index earnings'!$B$1:$N$25,25,FALSE)</f>
        <v>3.4820198321761975E-2</v>
      </c>
      <c r="L12">
        <f>HLOOKUP(A12,'Yearly returns'!$B$1:$N$128,126,FALSE)</f>
        <v>-37.997672999999999</v>
      </c>
      <c r="M12">
        <f t="shared" si="1"/>
        <v>10.605660828239351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1.9</v>
      </c>
      <c r="H13" cm="1">
        <f t="array" ref="H13">_xll.FDS(B13,"FG_ROE(0)")</f>
        <v>17.028547124828901</v>
      </c>
      <c r="I13">
        <f>HLOOKUP(B13,'Index ROE'!$B$1:$N$25,24,FALSE)</f>
        <v>14.442959457883401</v>
      </c>
      <c r="J13" cm="1">
        <f t="array" ref="J13">_xll.FDS(B13, "FMA_RBICS_REV_CURRENT(30, LOC, ""PORTAGG"")")</f>
        <v>27.3013128847697</v>
      </c>
      <c r="K13" s="74">
        <f>HLOOKUP(B13,'Index earnings'!$B$1:$N$25,25,FALSE)</f>
        <v>2.4305006375947347E-2</v>
      </c>
      <c r="L13">
        <f>HLOOKUP(A13,'Yearly returns'!$B$1:$N$128,126,FALSE)</f>
        <v>-37.174624999999999</v>
      </c>
      <c r="M13">
        <f t="shared" si="1"/>
        <v>12.5429594578834</v>
      </c>
      <c r="N13" cm="1">
        <f t="array" ref="N13">_xlfn.PERCENTRANK.EXC(_xlfn._xlws.FILTER(M$2:M$14, ISNUMBER(M$2:M$14)),M13)*100</f>
        <v>71.399999999999991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14.2</v>
      </c>
      <c r="R13">
        <f>N13*Assumption!$F$64 + O13*Assumption!$F$61 + P13*Assumption!$F$62 + Q13*Assumption!$F$63</f>
        <v>41.05</v>
      </c>
      <c r="S13" cm="1">
        <f t="array" ref="S13">_xlfn.PERCENTRANK.EXC(_xlfn._xlws.FILTER(R$2:R$14, ISNUMBER(R$2:R$14)),R13)*100</f>
        <v>28.499999999999996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3.4769999999999999</v>
      </c>
      <c r="H14" cm="1">
        <f t="array" ref="H14">_xll.FDS(B14,"FG_ROE(0)")</f>
        <v>13.387218565622099</v>
      </c>
      <c r="I14">
        <f>HLOOKUP(B14,'Index ROE'!$B$1:$N$25,24,FALSE)</f>
        <v>9.6445775045501065</v>
      </c>
      <c r="J14" cm="1">
        <f t="array" ref="J14">_xll.FDS(B14, "FMA_RBICS_REV_CURRENT(30, LOC, ""PORTAGG"")")</f>
        <v>38.051183628650797</v>
      </c>
      <c r="K14" s="74">
        <f>HLOOKUP(B14,'Index earnings'!$B$1:$N$25,25,FALSE)</f>
        <v>9.2743946932130061E-3</v>
      </c>
      <c r="L14">
        <f>HLOOKUP(A14,'Yearly returns'!$B$1:$N$128,126,FALSE)</f>
        <v>-30.655563000000001</v>
      </c>
      <c r="M14">
        <f t="shared" si="1"/>
        <v>6.1675775045501062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35.699999999999996</v>
      </c>
      <c r="R14">
        <f>N14*Assumption!$F$64 + O14*Assumption!$F$61 + P14*Assumption!$F$62 + Q14*Assumption!$F$63</f>
        <v>23.199999999999996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99393.66</v>
      </c>
      <c r="E3" cm="1">
        <f t="array" ref="E3">_xll.FDS(C3,"FMA_COS_UP(""EPS"",""1M"",+1,0,,,""PORTAGG"",""MEANR"")")</f>
        <v>8</v>
      </c>
      <c r="F3" cm="1">
        <f t="array" ref="F3">_xll.FDS(C3,"FMA_COS_DOWN(""EPS"",""1M"",+1,0,,,""PORTAGG"",""MEANR"")")</f>
        <v>14</v>
      </c>
      <c r="G3" cm="1">
        <f t="array" ref="G3">_xll.FDS(A3,"SIZE(FG_CONSTITUENTS)")</f>
        <v>26</v>
      </c>
      <c r="H3" s="9">
        <f t="shared" ref="H3:H11" si="0">E3/$G3</f>
        <v>0.30769230769230771</v>
      </c>
      <c r="I3" s="9">
        <f t="shared" ref="I3:I11" si="1">F3/$G3</f>
        <v>0.53846153846153844</v>
      </c>
      <c r="J3" s="9">
        <f t="shared" ref="J3:J11" si="2">H3-I3</f>
        <v>-0.23076923076923073</v>
      </c>
      <c r="K3" s="5" cm="1">
        <f t="array" ref="K3">_xll.FDS(A3,"FMA_PCT_ABOVE_MAVG(200,0,,,,""PORTAGG"")")/100</f>
        <v>0.57692307692307698</v>
      </c>
      <c r="L3" s="41" cm="1">
        <f t="array" ref="L3">_xll.FDSB(A3,"PERCENT_CHANGE(FMA_EPS(+1,0,,,,""PORTAGG"",""MEAN""),FMA_EPS(+1,-1AM,,,,""PORTAGG"",""MEAN""))")</f>
        <v>14.6786282752647</v>
      </c>
      <c r="M3" s="41" cm="1">
        <f t="array" ref="M3">_xll.FDSB(A3,"PERCENT_CHANGE(FMA_EPS(+1,0,,,,""PORTAGG"",""MEAN""),FMA_EPS(+1,-3AM,,,,""PORTAGG"",""MEAN""))")</f>
        <v>8.5822486771988693</v>
      </c>
      <c r="N3" s="3" cm="1">
        <f t="array" ref="N3">_xll.FDS(C3,"FG_TOTAL_RETURNC(0,-1AM)")</f>
        <v>8.5130579999999991</v>
      </c>
      <c r="O3" s="3" cm="1">
        <f t="array" ref="O3">_xll.FDS(C3,"FG_TOTAL_RETURNC(0,-3AM)")</f>
        <v>8.4017280000000003</v>
      </c>
      <c r="P3" s="3" cm="1">
        <f t="array" ref="P3">_xll.FDS(C3,"FG_TOTAL_RETURNC(0,-6AM)")</f>
        <v>10.256349999999999</v>
      </c>
      <c r="Q3" s="9" cm="1">
        <f t="array" ref="Q3">_xll.FDS(C3,"P_PRICE(0)/P_PRICE_HIGH_PR(0,,,,,,""PRICE"",""INTRA"",""52W"")")</f>
        <v>0.99821000000000004</v>
      </c>
      <c r="R3" s="9" cm="1">
        <f t="array" ref="R3">_xll.FDS(C3,"P_PRICE(0)/P_PRICE_low_PR(0,,,,,,""PRICE"",""INTRA"",""52W"")-1")</f>
        <v>0.22324823999999999</v>
      </c>
      <c r="S3" s="3" cm="1">
        <f t="array" ref="S3">_xll.FDS(C3,"FG_TOTAL_RETURNC(0,-12AM)")</f>
        <v>17.307556000000002</v>
      </c>
      <c r="T3" s="4" cm="1">
        <f t="array" ref="T3">_xlfn.PERCENTRANK.EXC(_xlfn._xlws.FILTER($R$3:$R$15, ISNUMBER($R$3:$R$15)),R3)*100</f>
        <v>21.4</v>
      </c>
      <c r="U3" s="4">
        <f t="shared" ref="U3:U11" si="3">100-T3</f>
        <v>78.599999999999994</v>
      </c>
      <c r="V3" s="4" cm="1">
        <f t="array" ref="V3">_xlfn.PERCENTRANK.EXC(_xlfn._xlws.FILTER($Q$3:$Q$15, ISNUMBER($Q$3:$Q$15)),Q3)*100</f>
        <v>92.800000000000011</v>
      </c>
      <c r="W3" s="4" cm="1">
        <f t="array" ref="W3">_xlfn.PERCENTRANK.EXC(_xlfn._xlws.FILTER($O$3:$O$15, ISNUMBER($O$3:$O$15)),O3)*100</f>
        <v>85.7</v>
      </c>
      <c r="X3" s="4" cm="1">
        <f t="array" ref="X3">_xlfn.PERCENTRANK.EXC(_xlfn._xlws.FILTER($P$3:$P$15, ISNUMBER($P$3:$P$15)),P3)*100</f>
        <v>85.7</v>
      </c>
      <c r="Y3" s="201" cm="1">
        <f t="array" ref="Y3">_xlfn.PERCENTRANK.EXC(_xlfn._xlws.FILTER($S$3:$S$15, ISNUMBER($S$3:$S$15)),S3)*100</f>
        <v>28.499999999999996</v>
      </c>
      <c r="Z3" s="4" cm="1">
        <f t="array" ref="Z3">_xlfn.PERCENTRANK.EXC(_xlfn._xlws.FILTER($K$3:$K$15, ISNUMBER($K$3:$K$15)),K3)*100</f>
        <v>57.099999999999994</v>
      </c>
      <c r="AA3" s="4" cm="1">
        <f t="array" ref="AA3">_xlfn.PERCENTRANK.EXC(_xlfn._xlws.FILTER($H$3:$H$15, ISNUMBER($H$3:$H$15)),H3)*100</f>
        <v>28.499999999999996</v>
      </c>
      <c r="AB3" s="4" cm="1">
        <f t="array" ref="AB3">_xlfn.PERCENTRANK.EXC(_xlfn._xlws.FILTER($J$3:$J$15, ISNUMBER($J$3:$J$15)),J3)*100</f>
        <v>7.1</v>
      </c>
      <c r="AC3" s="4">
        <f t="shared" ref="AC3:AC15" si="4">_xlfn.PERCENTRANK.EXC($L$3:$L$15,L3)*100</f>
        <v>92.800000000000011</v>
      </c>
      <c r="AD3" s="4">
        <f t="shared" ref="AD3:AD15" si="5">_xlfn.PERCENTRANK.EXC($M$3:$M$15,M3)*100</f>
        <v>85.7</v>
      </c>
      <c r="AE3" s="4">
        <f t="shared" ref="AE3:AE15" si="6">_xlfn.PERCENTRANK.EXC($D$3:$D$15,D3)*100</f>
        <v>7.1</v>
      </c>
      <c r="AF3" s="4">
        <f>'Economic Momentum'!Q4</f>
        <v>21.4</v>
      </c>
      <c r="AG3" s="4">
        <f ca="1">'Economic Momentum'!R4</f>
        <v>14.2</v>
      </c>
      <c r="AH3" s="4">
        <f t="shared" ref="AH3:AH15" ca="1" si="7">SUMPRODUCT($U$2:$AG$2,U3:AG3)</f>
        <v>88.54</v>
      </c>
      <c r="AJ3" s="3" cm="1">
        <f t="array" aca="1" ref="AJ3" ca="1">_xlfn.PERCENTRANK.EXC(_xlfn._xlws.FILTER($AH$3:$AH$15, ISNUMBER($AH$3:$AH$15)),AH3)*100</f>
        <v>92.800000000000011</v>
      </c>
      <c r="AK3">
        <f t="shared" ref="AK3:AK15" si="8">COUNTIF(V3:AB3,"&gt;70")</f>
        <v>3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1750377.6</v>
      </c>
      <c r="E4" cm="1">
        <f t="array" ref="E4">_xll.FDS(C4,"FMA_COS_UP(""EPS"",""1M"",+1,0,,,""PORTAGG"",""MEANR"")")</f>
        <v>23</v>
      </c>
      <c r="F4" cm="1">
        <f t="array" ref="F4">_xll.FDS(C4,"FMA_COS_DOWN(""EPS"",""1M"",+1,0,,,""PORTAGG"",""MEANR"")")</f>
        <v>30</v>
      </c>
      <c r="G4" cm="1">
        <f t="array" ref="G4">_xll.FDS(A4,"SIZE(FG_CONSTITUENTS)")</f>
        <v>58</v>
      </c>
      <c r="H4" s="9">
        <f t="shared" si="0"/>
        <v>0.39655172413793105</v>
      </c>
      <c r="I4" s="9">
        <f t="shared" si="1"/>
        <v>0.51724137931034486</v>
      </c>
      <c r="J4" s="9">
        <f t="shared" si="2"/>
        <v>-0.12068965517241381</v>
      </c>
      <c r="K4" s="5" cm="1">
        <f t="array" ref="K4">_xll.FDS(A4,"FMA_PCT_ABOVE_MAVG(200,0,,,,""PORTAGG"")")/100</f>
        <v>0.63793103448275901</v>
      </c>
      <c r="L4" s="41" cm="1">
        <f t="array" ref="L4">_xll.FDSB(A4,"PERCENT_CHANGE(FMA_EPS(+1,0,,,,""PORTAGG"",""MEAN""),FMA_EPS(+1,-1AM,,,,""PORTAGG"",""MEAN""))")</f>
        <v>2.2982918509902399</v>
      </c>
      <c r="M4" s="41" cm="1">
        <f t="array" ref="M4">_xll.FDSB(A4,"PERCENT_CHANGE(FMA_EPS(+1,0,,,,""PORTAGG"",""MEAN""),FMA_EPS(+1,-3AM,,,,""PORTAGG"",""MEAN""))")</f>
        <v>-0.32978937425960198</v>
      </c>
      <c r="N4" s="3" cm="1">
        <f t="array" ref="N4">_xll.FDS(C4,"FG_TOTAL_RETURNC(0,-1AM)")</f>
        <v>7.4226736999999998</v>
      </c>
      <c r="O4" s="3" cm="1">
        <f t="array" ref="O4">_xll.FDS(C4,"FG_TOTAL_RETURNC(0,-3AM)")</f>
        <v>6.7622900000000001</v>
      </c>
      <c r="P4" s="3" cm="1">
        <f t="array" ref="P4">_xll.FDS(C4,"FG_TOTAL_RETURNC(0,-6AM)")</f>
        <v>8.7980630000000009</v>
      </c>
      <c r="Q4" s="9" cm="1">
        <f t="array" ref="Q4">_xll.FDS(C4,"P_PRICE(0)/P_PRICE_HIGH_PR(0,,,,,,""PRICE"",""INTRA"",""52W"")")</f>
        <v>0.9961759</v>
      </c>
      <c r="R4" s="9" cm="1">
        <f t="array" ref="R4">_xll.FDS(C4,"P_PRICE(0)/P_PRICE_low_PR(0,,,,,,""PRICE"",""INTRA"",""52W"")-1")</f>
        <v>0.27321600000000001</v>
      </c>
      <c r="S4" s="3" cm="1">
        <f t="array" ref="S4">_xll.FDS(C4,"FG_TOTAL_RETURNC(0,-12AM)")</f>
        <v>23.203564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78.5</v>
      </c>
      <c r="W4" s="4" cm="1">
        <f t="array" ref="W4">_xlfn.PERCENTRANK.EXC(_xlfn._xlws.FILTER($O$3:$O$15, ISNUMBER($O$3:$O$15)),O4)*100</f>
        <v>78.5</v>
      </c>
      <c r="X4" s="4" cm="1">
        <f t="array" ref="X4">_xlfn.PERCENTRANK.EXC(_xlfn._xlws.FILTER($P$3:$P$15, ISNUMBER($P$3:$P$15)),P4)*100</f>
        <v>71.399999999999991</v>
      </c>
      <c r="Y4" s="201" cm="1">
        <f t="array" ref="Y4">_xlfn.PERCENTRANK.EXC(_xlfn._xlws.FILTER($S$3:$S$15, ISNUMBER($S$3:$S$15)),S4)*100</f>
        <v>57.099999999999994</v>
      </c>
      <c r="Z4" s="4" cm="1">
        <f t="array" ref="Z4">_xlfn.PERCENTRANK.EXC(_xlfn._xlws.FILTER($K$3:$K$15, ISNUMBER($K$3:$K$15)),K4)*100</f>
        <v>78.5</v>
      </c>
      <c r="AA4" s="4" cm="1">
        <f t="array" ref="AA4">_xlfn.PERCENTRANK.EXC(_xlfn._xlws.FILTER($H$3:$H$15, ISNUMBER($H$3:$H$15)),H4)*100</f>
        <v>57.099999999999994</v>
      </c>
      <c r="AB4" s="4" cm="1">
        <f t="array" ref="AB4">_xlfn.PERCENTRANK.EXC(_xlfn._xlws.FILTER($J$3:$J$15, ISNUMBER($J$3:$J$15)),J4)*100</f>
        <v>21.4</v>
      </c>
      <c r="AC4" s="4">
        <f t="shared" si="4"/>
        <v>85.7</v>
      </c>
      <c r="AD4" s="4">
        <f t="shared" si="5"/>
        <v>42.8</v>
      </c>
      <c r="AE4" s="4">
        <f t="shared" si="6"/>
        <v>35.699999999999996</v>
      </c>
      <c r="AF4" s="4">
        <f>'Economic Momentum'!Q5</f>
        <v>57.099999999999994</v>
      </c>
      <c r="AG4" s="4">
        <f ca="1">'Economic Momentum'!R5</f>
        <v>57.099999999999994</v>
      </c>
      <c r="AH4" s="4">
        <f t="shared" ca="1" si="7"/>
        <v>76.37</v>
      </c>
      <c r="AJ4" s="3" cm="1">
        <f t="array" aca="1" ref="AJ4" ca="1">_xlfn.PERCENTRANK.EXC(_xlfn._xlws.FILTER($AH$3:$AH$15, ISNUMBER($AH$3:$AH$15)),AH4)*100</f>
        <v>78.5</v>
      </c>
      <c r="AK4">
        <f t="shared" si="8"/>
        <v>4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2893755.8</v>
      </c>
      <c r="E5" cm="1">
        <f t="array" ref="E5">_xll.FDS(C5,"FMA_COS_UP(""EPS"",""1M"",+1,0,,,""PORTAGG"",""MEANR"")")</f>
        <v>24</v>
      </c>
      <c r="F5" cm="1">
        <f t="array" ref="F5">_xll.FDS(C5,"FMA_COS_DOWN(""EPS"",""1M"",+1,0,,,""PORTAGG"",""MEANR"")")</f>
        <v>39</v>
      </c>
      <c r="G5" cm="1">
        <f t="array" ref="G5">_xll.FDS(A5,"SIZE(FG_CONSTITUENTS)")</f>
        <v>86</v>
      </c>
      <c r="H5" s="9">
        <f t="shared" si="0"/>
        <v>0.27906976744186046</v>
      </c>
      <c r="I5" s="9">
        <f t="shared" si="1"/>
        <v>0.45348837209302323</v>
      </c>
      <c r="J5" s="9">
        <f t="shared" si="2"/>
        <v>-0.17441860465116277</v>
      </c>
      <c r="K5" s="5" cm="1">
        <f t="array" ref="K5">_xll.FDS(A5,"FMA_PCT_ABOVE_MAVG(200,0,,,,""PORTAGG"")")/100</f>
        <v>0.6744186046511631</v>
      </c>
      <c r="L5" s="41" cm="1">
        <f t="array" ref="L5">_xll.FDSB(A5,"PERCENT_CHANGE(FMA_EPS(+1,0,,,,""PORTAGG"",""MEAN""),FMA_EPS(+1,-1AM,,,,""PORTAGG"",""MEAN""))")</f>
        <v>1.2054373976103201</v>
      </c>
      <c r="M5" s="41" cm="1">
        <f t="array" ref="M5">_xll.FDSB(A5,"PERCENT_CHANGE(FMA_EPS(+1,0,,,,""PORTAGG"",""MEAN""),FMA_EPS(+1,-3AM,,,,""PORTAGG"",""MEAN""))")</f>
        <v>1.8675182146010101</v>
      </c>
      <c r="N5" s="3" cm="1">
        <f t="array" ref="N5">_xll.FDS(C5,"FG_TOTAL_RETURNC(0,-1AM)")</f>
        <v>6.5963029999999998</v>
      </c>
      <c r="O5" s="3" cm="1">
        <f t="array" ref="O5">_xll.FDS(C5,"FG_TOTAL_RETURNC(0,-3AM)")</f>
        <v>8.8655360000000005</v>
      </c>
      <c r="P5" s="3" cm="1">
        <f t="array" ref="P5">_xll.FDS(C5,"FG_TOTAL_RETURNC(0,-6AM)")</f>
        <v>7.8332186000000004</v>
      </c>
      <c r="Q5" s="9" cm="1">
        <f t="array" ref="Q5">_xll.FDS(C5,"P_PRICE(0)/P_PRICE_HIGH_PR(0,,,,,,""PRICE"",""INTRA"",""52W"")")</f>
        <v>0.99727726000000005</v>
      </c>
      <c r="R5" s="9" cm="1">
        <f t="array" ref="R5">_xll.FDS(C5,"P_PRICE(0)/P_PRICE_low_PR(0,,,,,,""PRICE"",""INTRA"",""52W"")-1")</f>
        <v>0.28621459999999999</v>
      </c>
      <c r="S5" s="3" cm="1">
        <f t="array" ref="S5">_xll.FDS(C5,"FG_TOTAL_RETURNC(0,-12AM)")</f>
        <v>19.890345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64.2</v>
      </c>
      <c r="Y5" s="201" cm="1">
        <f t="array" ref="Y5">_xlfn.PERCENTRANK.EXC(_xlfn._xlws.FILTER($S$3:$S$15, ISNUMBER($S$3:$S$15)),S5)*100</f>
        <v>42.8</v>
      </c>
      <c r="Z5" s="4" cm="1">
        <f t="array" ref="Z5">_xlfn.PERCENTRANK.EXC(_xlfn._xlws.FILTER($K$3:$K$15, ISNUMBER($K$3:$K$15)),K5)*100</f>
        <v>85.7</v>
      </c>
      <c r="AA5" s="4" cm="1">
        <f t="array" ref="AA5">_xlfn.PERCENTRANK.EXC(_xlfn._xlws.FILTER($H$3:$H$15, ISNUMBER($H$3:$H$15)),H5)*100</f>
        <v>21.4</v>
      </c>
      <c r="AB5" s="4" cm="1">
        <f t="array" ref="AB5">_xlfn.PERCENTRANK.EXC(_xlfn._xlws.FILTER($J$3:$J$15, ISNUMBER($J$3:$J$15)),J5)*100</f>
        <v>14.2</v>
      </c>
      <c r="AC5" s="4">
        <f t="shared" si="4"/>
        <v>50</v>
      </c>
      <c r="AD5" s="4">
        <f t="shared" si="5"/>
        <v>64.2</v>
      </c>
      <c r="AE5" s="4">
        <f t="shared" si="6"/>
        <v>57.099999999999994</v>
      </c>
      <c r="AF5" s="4">
        <f>'Economic Momentum'!Q6</f>
        <v>78.5</v>
      </c>
      <c r="AG5" s="4">
        <f ca="1">'Economic Momentum'!R6</f>
        <v>42.8</v>
      </c>
      <c r="AH5" s="4">
        <f t="shared" ca="1" si="7"/>
        <v>81.38000000000001</v>
      </c>
      <c r="AJ5" s="3" cm="1">
        <f t="array" aca="1" ref="AJ5" ca="1">_xlfn.PERCENTRANK.EXC(_xlfn._xlws.FILTER($AH$3:$AH$15, ISNUMBER($AH$3:$AH$15)),AH5)*100</f>
        <v>85.7</v>
      </c>
      <c r="AK5">
        <f t="shared" si="8"/>
        <v>3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2288816.2999999998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24</v>
      </c>
      <c r="G6" cm="1">
        <f t="array" ref="G6">_xll.FDS(A6,"SIZE(FG_CONSTITUENTS)")</f>
        <v>57</v>
      </c>
      <c r="H6" s="9">
        <f t="shared" si="0"/>
        <v>0.42105263157894735</v>
      </c>
      <c r="I6" s="9">
        <f t="shared" si="1"/>
        <v>0.42105263157894735</v>
      </c>
      <c r="J6" s="9">
        <f t="shared" si="2"/>
        <v>0</v>
      </c>
      <c r="K6" s="5" cm="1">
        <f t="array" ref="K6">_xll.FDS(A6,"FMA_PCT_ABOVE_MAVG(200,0,,,,""PORTAGG"")")/100</f>
        <v>0.56140350877193002</v>
      </c>
      <c r="L6" s="41" cm="1">
        <f t="array" ref="L6">_xll.FDSB(A6,"PERCENT_CHANGE(FMA_EPS(+1,0,,,,""PORTAGG"",""MEAN""),FMA_EPS(+1,-1AM,,,,""PORTAGG"",""MEAN""))")</f>
        <v>-0.38953629440323301</v>
      </c>
      <c r="M6" s="41" cm="1">
        <f t="array" ref="M6">_xll.FDSB(A6,"PERCENT_CHANGE(FMA_EPS(+1,0,,,,""PORTAGG"",""MEAN""),FMA_EPS(+1,-3AM,,,,""PORTAGG"",""MEAN""))")</f>
        <v>-0.72657552485764998</v>
      </c>
      <c r="N6" s="3" cm="1">
        <f t="array" ref="N6">_xll.FDS(C6,"FG_TOTAL_RETURNC(0,-1AM)")</f>
        <v>6.7441940000000002</v>
      </c>
      <c r="O6" s="3" cm="1">
        <f t="array" ref="O6">_xll.FDS(C6,"FG_TOTAL_RETURNC(0,-3AM)")</f>
        <v>2.4880409999999999</v>
      </c>
      <c r="P6" s="3" cm="1">
        <f t="array" ref="P6">_xll.FDS(C6,"FG_TOTAL_RETURNC(0,-6AM)")</f>
        <v>4.7820450000000001</v>
      </c>
      <c r="Q6" s="9" cm="1">
        <f t="array" ref="Q6">_xll.FDS(C6,"P_PRICE(0)/P_PRICE_HIGH_PR(0,,,,,,""PRICE"",""INTRA"",""52W"")")</f>
        <v>0.9811436</v>
      </c>
      <c r="R6" s="9" cm="1">
        <f t="array" ref="R6">_xll.FDS(C6,"P_PRICE(0)/P_PRICE_low_PR(0,,,,,,""PRICE"",""INTRA"",""52W"")-1")</f>
        <v>0.30054652999999998</v>
      </c>
      <c r="S6" s="3" cm="1">
        <f t="array" ref="S6">_xll.FDS(C6,"FG_TOTAL_RETURNC(0,-12AM)")</f>
        <v>21.000516999999999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64.2</v>
      </c>
      <c r="W6" s="4" cm="1">
        <f t="array" ref="W6">_xlfn.PERCENTRANK.EXC(_xlfn._xlws.FILTER($O$3:$O$15, ISNUMBER($O$3:$O$15)),O6)*100</f>
        <v>42.8</v>
      </c>
      <c r="X6" s="4" cm="1">
        <f t="array" ref="X6">_xlfn.PERCENTRANK.EXC(_xlfn._xlws.FILTER($P$3:$P$15, ISNUMBER($P$3:$P$15)),P6)*100</f>
        <v>35.699999999999996</v>
      </c>
      <c r="Y6" s="201" cm="1">
        <f t="array" ref="Y6">_xlfn.PERCENTRANK.EXC(_xlfn._xlws.FILTER($S$3:$S$15, ISNUMBER($S$3:$S$15)),S6)*100</f>
        <v>50</v>
      </c>
      <c r="Z6" s="4" cm="1">
        <f t="array" ref="Z6">_xlfn.PERCENTRANK.EXC(_xlfn._xlws.FILTER($K$3:$K$15, ISNUMBER($K$3:$K$15)),K6)*100</f>
        <v>42.8</v>
      </c>
      <c r="AA6" s="4" cm="1">
        <f t="array" ref="AA6">_xlfn.PERCENTRANK.EXC(_xlfn._xlws.FILTER($H$3:$H$15, ISNUMBER($H$3:$H$15)),H6)*100</f>
        <v>71.399999999999991</v>
      </c>
      <c r="AB6" s="4" cm="1">
        <f t="array" ref="AB6">_xlfn.PERCENTRANK.EXC(_xlfn._xlws.FILTER($J$3:$J$15, ISNUMBER($J$3:$J$15)),J6)*100</f>
        <v>57.099999999999994</v>
      </c>
      <c r="AC6" s="4">
        <f t="shared" si="4"/>
        <v>14.2</v>
      </c>
      <c r="AD6" s="4">
        <f t="shared" si="5"/>
        <v>35.699999999999996</v>
      </c>
      <c r="AE6" s="4">
        <f t="shared" si="6"/>
        <v>50</v>
      </c>
      <c r="AF6" s="4">
        <f>'Economic Momentum'!Q7</f>
        <v>7.1</v>
      </c>
      <c r="AG6" s="4">
        <f ca="1">'Economic Momentum'!R7</f>
        <v>64.2</v>
      </c>
      <c r="AH6" s="4">
        <f t="shared" ca="1" si="7"/>
        <v>49.230000000000004</v>
      </c>
      <c r="AJ6" s="3" cm="1">
        <f t="array" aca="1" ref="AJ6" ca="1">_xlfn.PERCENTRANK.EXC(_xlfn._xlws.FILTER($AH$3:$AH$15, ISNUMBER($AH$3:$AH$15)),AH6)*100</f>
        <v>50</v>
      </c>
      <c r="AK6">
        <f t="shared" si="8"/>
        <v>1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6658570</v>
      </c>
      <c r="E7" cm="1">
        <f t="array" ref="E7">_xll.FDS(C7,"FMA_COS_UP(""EPS"",""1M"",+1,0,,,""PORTAGG"",""MEANR"")")</f>
        <v>106</v>
      </c>
      <c r="F7" cm="1">
        <f t="array" ref="F7">_xll.FDS(C7,"FMA_COS_DOWN(""EPS"",""1M"",+1,0,,,""PORTAGG"",""MEANR"")")</f>
        <v>79</v>
      </c>
      <c r="G7" cm="1">
        <f t="array" ref="G7">_xll.FDS(A7,"SIZE(FG_CONSTITUENTS)")</f>
        <v>199</v>
      </c>
      <c r="H7" s="9">
        <f t="shared" si="0"/>
        <v>0.53266331658291455</v>
      </c>
      <c r="I7" s="9">
        <f t="shared" si="1"/>
        <v>0.39698492462311558</v>
      </c>
      <c r="J7" s="9">
        <f t="shared" si="2"/>
        <v>0.13567839195979897</v>
      </c>
      <c r="K7" s="5" cm="1">
        <f t="array" ref="K7">_xll.FDS(A7,"FMA_PCT_ABOVE_MAVG(200,0,,,,""PORTAGG"")")/100</f>
        <v>0.50251256281406997</v>
      </c>
      <c r="L7" s="41" cm="1">
        <f t="array" ref="L7">_xll.FDSB(A7,"PERCENT_CHANGE(FMA_EPS(+1,0,,,,""PORTAGG"",""MEAN""),FMA_EPS(+1,-1AM,,,,""PORTAGG"",""MEAN""))")</f>
        <v>1.54321458427339</v>
      </c>
      <c r="M7" s="41" cm="1">
        <f t="array" ref="M7">_xll.FDSB(A7,"PERCENT_CHANGE(FMA_EPS(+1,0,,,,""PORTAGG"",""MEAN""),FMA_EPS(+1,-3AM,,,,""PORTAGG"",""MEAN""))")</f>
        <v>10.304060791150899</v>
      </c>
      <c r="N7" s="3" cm="1">
        <f t="array" ref="N7">_xll.FDS(C7,"FG_TOTAL_RETURNC(0,-1AM)")</f>
        <v>6.8766116999999998</v>
      </c>
      <c r="O7" s="3" cm="1">
        <f t="array" ref="O7">_xll.FDS(C7,"FG_TOTAL_RETURNC(0,-3AM)")</f>
        <v>2.7197003</v>
      </c>
      <c r="P7" s="3" cm="1">
        <f t="array" ref="P7">_xll.FDS(C7,"FG_TOTAL_RETURNC(0,-6AM)")</f>
        <v>1.1360645</v>
      </c>
      <c r="Q7" s="9" cm="1">
        <f t="array" ref="Q7">_xll.FDS(C7,"P_PRICE(0)/P_PRICE_HIGH_PR(0,,,,,,""PRICE"",""INTRA"",""52W"")")</f>
        <v>0.97131009999999995</v>
      </c>
      <c r="R7" s="9" cm="1">
        <f t="array" ref="R7">_xll.FDS(C7,"P_PRICE(0)/P_PRICE_low_PR(0,,,,,,""PRICE"",""INTRA"",""52W"")-1")</f>
        <v>0.22814678999999999</v>
      </c>
      <c r="S7" s="3" cm="1">
        <f t="array" ref="S7">_xll.FDS(C7,"FG_TOTAL_RETURNC(0,-12AM)")</f>
        <v>15.186310000000001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50</v>
      </c>
      <c r="W7" s="4" cm="1">
        <f t="array" ref="W7">_xlfn.PERCENTRANK.EXC(_xlfn._xlws.FILTER($O$3:$O$15, ISNUMBER($O$3:$O$15)),O7)*100</f>
        <v>50</v>
      </c>
      <c r="X7" s="4" cm="1">
        <f t="array" ref="X7">_xlfn.PERCENTRANK.EXC(_xlfn._xlws.FILTER($P$3:$P$15, ISNUMBER($P$3:$P$15)),P7)*100</f>
        <v>28.499999999999996</v>
      </c>
      <c r="Y7" s="201" cm="1">
        <f t="array" ref="Y7">_xlfn.PERCENTRANK.EXC(_xlfn._xlws.FILTER($S$3:$S$15, ISNUMBER($S$3:$S$15)),S7)*100</f>
        <v>14.2</v>
      </c>
      <c r="Z7" s="4" cm="1">
        <f t="array" ref="Z7">_xlfn.PERCENTRANK.EXC(_xlfn._xlws.FILTER($K$3:$K$15, ISNUMBER($K$3:$K$15)),K7)*100</f>
        <v>21.4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4"/>
        <v>64.2</v>
      </c>
      <c r="AD7" s="4">
        <f t="shared" si="5"/>
        <v>92.800000000000011</v>
      </c>
      <c r="AE7" s="4">
        <f t="shared" si="6"/>
        <v>78.5</v>
      </c>
      <c r="AF7" s="4">
        <f>'Economic Momentum'!Q8</f>
        <v>85.7</v>
      </c>
      <c r="AG7" s="4">
        <f ca="1">'Economic Momentum'!R8</f>
        <v>92.800000000000011</v>
      </c>
      <c r="AH7" s="4">
        <f t="shared" ca="1" si="7"/>
        <v>43.55</v>
      </c>
      <c r="AJ7" s="3" cm="1">
        <f t="array" aca="1" ref="AJ7" ca="1">_xlfn.PERCENTRANK.EXC(_xlfn._xlws.FILTER($AH$3:$AH$15, ISNUMBER($AH$3:$AH$15)),AH7)*100</f>
        <v>42.8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2279770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17</v>
      </c>
      <c r="G8" cm="1">
        <f t="array" ref="G8">_xll.FDS(A8,"SIZE(FG_CONSTITUENTS)")</f>
        <v>48</v>
      </c>
      <c r="H8" s="9">
        <f t="shared" si="0"/>
        <v>0.45833333333333331</v>
      </c>
      <c r="I8" s="9">
        <f t="shared" si="1"/>
        <v>0.35416666666666669</v>
      </c>
      <c r="J8" s="9">
        <f t="shared" si="2"/>
        <v>0.10416666666666663</v>
      </c>
      <c r="K8" s="5" cm="1">
        <f t="array" ref="K8">_xll.FDS(A8,"FMA_PCT_ABOVE_MAVG(200,0,,,,""PORTAGG"")")/100</f>
        <v>0.54347826086956497</v>
      </c>
      <c r="L8" s="41" cm="1">
        <f t="array" ref="L8">_xll.FDSB(A8,"PERCENT_CHANGE(FMA_EPS(+1,0,,,,""PORTAGG"",""MEAN""),FMA_EPS(+1,-1AM,,,,""PORTAGG"",""MEAN""))")</f>
        <v>2.1628370172009799</v>
      </c>
      <c r="M8" s="41" cm="1">
        <f t="array" ref="M8">_xll.FDSB(A8,"PERCENT_CHANGE(FMA_EPS(+1,0,,,,""PORTAGG"",""MEAN""),FMA_EPS(+1,-3AM,,,,""PORTAGG"",""MEAN""))")</f>
        <v>5.0491446779307099</v>
      </c>
      <c r="N8" s="3" cm="1">
        <f t="array" ref="N8">_xll.FDS(C8,"FG_TOTAL_RETURNC(0,-1AM)")</f>
        <v>3.1508802999999999</v>
      </c>
      <c r="O8" s="3" cm="1">
        <f t="array" ref="O8">_xll.FDS(C8,"FG_TOTAL_RETURNC(0,-3AM)")</f>
        <v>4.1394710000000003</v>
      </c>
      <c r="P8" s="3" cm="1">
        <f t="array" ref="P8">_xll.FDS(C8,"FG_TOTAL_RETURNC(0,-6AM)")</f>
        <v>7.0004343999999996</v>
      </c>
      <c r="Q8" s="9" cm="1">
        <f t="array" ref="Q8">_xll.FDS(C8,"P_PRICE(0)/P_PRICE_HIGH_PR(0,,,,,,""PRICE"",""INTRA"",""52W"")")</f>
        <v>0.9630398</v>
      </c>
      <c r="R8" s="9" cm="1">
        <f t="array" ref="R8">_xll.FDS(C8,"P_PRICE(0)/P_PRICE_low_PR(0,,,,,,""PRICE"",""INTRA"",""52W"")-1")</f>
        <v>0.22912157</v>
      </c>
      <c r="S8" s="3" cm="1">
        <f t="array" ref="S8">_xll.FDS(C8,"FG_TOTAL_RETURNC(0,-12AM)")</f>
        <v>15.407954999999999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71.399999999999991</v>
      </c>
      <c r="X8" s="4" cm="1">
        <f t="array" ref="X8">_xlfn.PERCENTRANK.EXC(_xlfn._xlws.FILTER($P$3:$P$15, ISNUMBER($P$3:$P$15)),P8)*100</f>
        <v>57.099999999999994</v>
      </c>
      <c r="Y8" s="201" cm="1">
        <f t="array" ref="Y8">_xlfn.PERCENTRANK.EXC(_xlfn._xlws.FILTER($S$3:$S$15, ISNUMBER($S$3:$S$15)),S8)*100</f>
        <v>21.4</v>
      </c>
      <c r="Z8" s="4" cm="1">
        <f t="array" ref="Z8">_xlfn.PERCENTRANK.EXC(_xlfn._xlws.FILTER($K$3:$K$15, ISNUMBER($K$3:$K$15)),K8)*100</f>
        <v>28.499999999999996</v>
      </c>
      <c r="AA8" s="4" cm="1">
        <f t="array" ref="AA8">_xlfn.PERCENTRANK.EXC(_xlfn._xlws.FILTER($H$3:$H$15, ISNUMBER($H$3:$H$15)),H8)*100</f>
        <v>85.7</v>
      </c>
      <c r="AB8" s="4" cm="1">
        <f t="array" ref="AB8">_xlfn.PERCENTRANK.EXC(_xlfn._xlws.FILTER($J$3:$J$15, ISNUMBER($J$3:$J$15)),J8)*100</f>
        <v>71.399999999999991</v>
      </c>
      <c r="AC8" s="4">
        <f t="shared" si="4"/>
        <v>78.5</v>
      </c>
      <c r="AD8" s="4">
        <f t="shared" si="5"/>
        <v>78.5</v>
      </c>
      <c r="AE8" s="4">
        <f t="shared" si="6"/>
        <v>42.8</v>
      </c>
      <c r="AF8" s="4">
        <f>'Economic Momentum'!Q9</f>
        <v>64.2</v>
      </c>
      <c r="AG8" s="4">
        <f ca="1">'Economic Momentum'!R9</f>
        <v>35.699999999999996</v>
      </c>
      <c r="AH8" s="4">
        <f t="shared" ca="1" si="7"/>
        <v>52.83</v>
      </c>
      <c r="AJ8" s="3" cm="1">
        <f t="array" aca="1" ref="AJ8" ca="1">_xlfn.PERCENTRANK.EXC(_xlfn._xlws.FILTER($AH$3:$AH$15, ISNUMBER($AH$3:$AH$15)),AH8)*100</f>
        <v>57.099999999999994</v>
      </c>
      <c r="AK8">
        <f t="shared" si="8"/>
        <v>3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3334609.5</v>
      </c>
      <c r="E9" cm="1">
        <f t="array" ref="E9">_xll.FDS(C9,"FMA_COS_UP(""EPS"",""1M"",+1,0,,,""PORTAGG"",""MEANR"")")</f>
        <v>32</v>
      </c>
      <c r="F9" cm="1">
        <f t="array" ref="F9">_xll.FDS(C9,"FMA_COS_DOWN(""EPS"",""1M"",+1,0,,,""PORTAGG"",""MEANR"")")</f>
        <v>34</v>
      </c>
      <c r="G9" cm="1">
        <f t="array" ref="G9">_xll.FDS(A9,"SIZE(FG_CONSTITUENTS)")</f>
        <v>79</v>
      </c>
      <c r="H9" s="9">
        <f t="shared" si="0"/>
        <v>0.4050632911392405</v>
      </c>
      <c r="I9" s="9">
        <f t="shared" si="1"/>
        <v>0.43037974683544306</v>
      </c>
      <c r="J9" s="9">
        <f t="shared" si="2"/>
        <v>-2.5316455696202556E-2</v>
      </c>
      <c r="K9" s="5" cm="1">
        <f t="array" ref="K9">_xll.FDS(A9,"FMA_PCT_ABOVE_MAVG(200,0,,,,""PORTAGG"")")/100</f>
        <v>0.62820512820512808</v>
      </c>
      <c r="L9" s="41" cm="1">
        <f t="array" ref="L9">_xll.FDSB(A9,"PERCENT_CHANGE(FMA_EPS(+1,0,,,,""PORTAGG"",""MEAN""),FMA_EPS(+1,-1AM,,,,""PORTAGG"",""MEAN""))")</f>
        <v>1.9643195299942999</v>
      </c>
      <c r="M9" s="41" cm="1">
        <f t="array" ref="M9">_xll.FDSB(A9,"PERCENT_CHANGE(FMA_EPS(+1,0,,,,""PORTAGG"",""MEAN""),FMA_EPS(+1,-3AM,,,,""PORTAGG"",""MEAN""))")</f>
        <v>1.6768028100808099</v>
      </c>
      <c r="N9" s="3" cm="1">
        <f t="array" ref="N9">_xll.FDS(C9,"FG_TOTAL_RETURNC(0,-1AM)")</f>
        <v>3.6046266999999999</v>
      </c>
      <c r="O9" s="3" cm="1">
        <f t="array" ref="O9">_xll.FDS(C9,"FG_TOTAL_RETURNC(0,-3AM)")</f>
        <v>3.9852976999999998</v>
      </c>
      <c r="P9" s="3" cm="1">
        <f t="array" ref="P9">_xll.FDS(C9,"FG_TOTAL_RETURNC(0,-6AM)")</f>
        <v>11.50558</v>
      </c>
      <c r="Q9" s="9" cm="1">
        <f t="array" ref="Q9">_xll.FDS(C9,"P_PRICE(0)/P_PRICE_HIGH_PR(0,,,,,,""PRICE"",""INTRA"",""52W"")")</f>
        <v>0.97638005000000005</v>
      </c>
      <c r="R9" s="9" cm="1">
        <f t="array" ref="R9">_xll.FDS(C9,"P_PRICE(0)/P_PRICE_low_PR(0,,,,,,""PRICE"",""INTRA"",""52W"")-1")</f>
        <v>0.22063708000000001</v>
      </c>
      <c r="S9" s="3" cm="1">
        <f t="array" ref="S9">_xll.FDS(C9,"FG_TOTAL_RETURNC(0,-12AM)")</f>
        <v>19.881367000000001</v>
      </c>
      <c r="T9" s="4" cm="1">
        <f t="array" ref="T9">_xlfn.PERCENTRANK.EXC(_xlfn._xlws.FILTER($R$3:$R$15, ISNUMBER($R$3:$R$15)),R9)*100</f>
        <v>14.2</v>
      </c>
      <c r="U9" s="4">
        <f t="shared" si="3"/>
        <v>85.8</v>
      </c>
      <c r="V9" s="4" cm="1">
        <f t="array" ref="V9">_xlfn.PERCENTRANK.EXC(_xlfn._xlws.FILTER($Q$3:$Q$15, ISNUMBER($Q$3:$Q$15)),Q9)*100</f>
        <v>57.099999999999994</v>
      </c>
      <c r="W9" s="4" cm="1">
        <f t="array" ref="W9">_xlfn.PERCENTRANK.EXC(_xlfn._xlws.FILTER($O$3:$O$15, ISNUMBER($O$3:$O$15)),O9)*100</f>
        <v>64.2</v>
      </c>
      <c r="X9" s="4" cm="1">
        <f t="array" ref="X9">_xlfn.PERCENTRANK.EXC(_xlfn._xlws.FILTER($P$3:$P$15, ISNUMBER($P$3:$P$15)),P9)*100</f>
        <v>92.800000000000011</v>
      </c>
      <c r="Y9" s="201" cm="1">
        <f t="array" ref="Y9">_xlfn.PERCENTRANK.EXC(_xlfn._xlws.FILTER($S$3:$S$15, ISNUMBER($S$3:$S$15)),S9)*100</f>
        <v>35.699999999999996</v>
      </c>
      <c r="Z9" s="4" cm="1">
        <f t="array" ref="Z9">_xlfn.PERCENTRANK.EXC(_xlfn._xlws.FILTER($K$3:$K$15, ISNUMBER($K$3:$K$15)),K9)*100</f>
        <v>71.399999999999991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50</v>
      </c>
      <c r="AC9" s="4">
        <f t="shared" si="4"/>
        <v>71.399999999999991</v>
      </c>
      <c r="AD9" s="4">
        <f t="shared" si="5"/>
        <v>57.099999999999994</v>
      </c>
      <c r="AE9" s="4">
        <f t="shared" si="6"/>
        <v>71.399999999999991</v>
      </c>
      <c r="AF9" s="4">
        <f>'Economic Momentum'!Q10</f>
        <v>92.800000000000011</v>
      </c>
      <c r="AG9" s="4">
        <f ca="1">'Economic Momentum'!R10</f>
        <v>78.5</v>
      </c>
      <c r="AH9" s="4">
        <f t="shared" ca="1" si="7"/>
        <v>69.94</v>
      </c>
      <c r="AJ9" s="3" cm="1">
        <f t="array" aca="1" ref="AJ9" ca="1">_xlfn.PERCENTRANK.EXC(_xlfn._xlws.FILTER($AH$3:$AH$15, ISNUMBER($AH$3:$AH$15)),AH9)*100</f>
        <v>71.399999999999991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57906610</v>
      </c>
      <c r="E10" cm="1">
        <f t="array" ref="E10">_xll.FDS(C10,"FMA_COS_UP(""EPS"",""1M"",+1,0,,,""PORTAGG"",""MEANR"")")</f>
        <v>37</v>
      </c>
      <c r="F10" cm="1">
        <f t="array" ref="F10">_xll.FDS(C10,"FMA_COS_DOWN(""EPS"",""1M"",+1,0,,,""PORTAGG"",""MEANR"")")</f>
        <v>26</v>
      </c>
      <c r="G10" cm="1">
        <f t="array" ref="G10">_xll.FDS(A10,"SIZE(FG_CONSTITUENTS)")</f>
        <v>102</v>
      </c>
      <c r="H10" s="9">
        <f t="shared" si="0"/>
        <v>0.36274509803921567</v>
      </c>
      <c r="I10" s="9">
        <f t="shared" si="1"/>
        <v>0.25490196078431371</v>
      </c>
      <c r="J10" s="9">
        <f t="shared" si="2"/>
        <v>0.10784313725490197</v>
      </c>
      <c r="K10" s="5" cm="1">
        <f t="array" ref="K10">_xll.FDS(A10,"FMA_PCT_ABOVE_MAVG(200,0,,,,""PORTAGG"")")/100</f>
        <v>0.56862745098039202</v>
      </c>
      <c r="L10" s="41" cm="1">
        <f t="array" ref="L10">_xll.FDSB(A10,"PERCENT_CHANGE(FMA_EPS(+1,0,,,,""PORTAGG"",""MEAN""),FMA_EPS(+1,-1AM,,,,""PORTAGG"",""MEAN""))")</f>
        <v>0.61642707572187105</v>
      </c>
      <c r="M10" s="41" cm="1">
        <f t="array" ref="M10">_xll.FDSB(A10,"PERCENT_CHANGE(FMA_EPS(+1,0,,,,""PORTAGG"",""MEAN""),FMA_EPS(+1,-3AM,,,,""PORTAGG"",""MEAN""))")</f>
        <v>-4.4364404460291098</v>
      </c>
      <c r="N10" s="3" cm="1">
        <f t="array" ref="N10">_xll.FDS(C10,"FG_TOTAL_RETURNC(0,-1AM)")</f>
        <v>4.8384904999999998</v>
      </c>
      <c r="O10" s="3" cm="1">
        <f t="array" ref="O10">_xll.FDS(C10,"FG_TOTAL_RETURNC(0,-3AM)")</f>
        <v>-3.578663E-2</v>
      </c>
      <c r="P10" s="3" cm="1">
        <f t="array" ref="P10">_xll.FDS(C10,"FG_TOTAL_RETURNC(0,-6AM)")</f>
        <v>6.9741726000000002</v>
      </c>
      <c r="Q10" s="9" cm="1">
        <f t="array" ref="Q10">_xll.FDS(C10,"P_PRICE(0)/P_PRICE_HIGH_PR(0,,,,,,""PRICE"",""INTRA"",""52W"")")</f>
        <v>0.93982370000000004</v>
      </c>
      <c r="R10" s="9" cm="1">
        <f t="array" ref="R10">_xll.FDS(C10,"P_PRICE(0)/P_PRICE_low_PR(0,,,,,,""PRICE"",""INTRA"",""52W"")-1")</f>
        <v>0.38226961999999998</v>
      </c>
      <c r="S10" s="3" cm="1">
        <f t="array" ref="S10">_xll.FDS(C10,"FG_TOTAL_RETURNC(0,-12AM)")</f>
        <v>27.814793000000002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28.499999999999996</v>
      </c>
      <c r="X10" s="4" cm="1">
        <f t="array" ref="X10">_xlfn.PERCENTRANK.EXC(_xlfn._xlws.FILTER($P$3:$P$15, ISNUMBER($P$3:$P$15)),P10)*100</f>
        <v>50</v>
      </c>
      <c r="Y10" s="201" cm="1">
        <f t="array" ref="Y10">_xlfn.PERCENTRANK.EXC(_xlfn._xlws.FILTER($S$3:$S$15, ISNUMBER($S$3:$S$15)),S10)*100</f>
        <v>85.7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78.5</v>
      </c>
      <c r="AC10" s="4">
        <f t="shared" si="4"/>
        <v>42.8</v>
      </c>
      <c r="AD10" s="4">
        <f t="shared" si="5"/>
        <v>14.2</v>
      </c>
      <c r="AE10" s="4">
        <f t="shared" si="6"/>
        <v>85.7</v>
      </c>
      <c r="AF10" s="4">
        <f>'Economic Momentum'!Q11</f>
        <v>35.699999999999996</v>
      </c>
      <c r="AG10" s="4">
        <f ca="1">'Economic Momentum'!R11</f>
        <v>21.4</v>
      </c>
      <c r="AH10" s="4">
        <f t="shared" ca="1" si="7"/>
        <v>32.11</v>
      </c>
      <c r="AJ10" s="3" cm="1">
        <f t="array" aca="1" ref="AJ10" ca="1">_xlfn.PERCENTRANK.EXC(_xlfn._xlws.FILTER($AH$3:$AH$15, ISNUMBER($AH$3:$AH$15)),AH10)*100</f>
        <v>28.499999999999996</v>
      </c>
      <c r="AK10">
        <f t="shared" si="8"/>
        <v>2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57906610</v>
      </c>
      <c r="E11" cm="1">
        <f t="array" ref="E11">_xll.FDS(C11,"FMA_COS_UP(""EPS"",""1M"",+1,0,,,""PORTAGG"",""MEANR"")")</f>
        <v>167</v>
      </c>
      <c r="F11" cm="1">
        <f t="array" ref="F11">_xll.FDS(C11,"FMA_COS_DOWN(""EPS"",""1M"",+1,0,,,""PORTAGG"",""MEANR"")")</f>
        <v>163</v>
      </c>
      <c r="G11" cm="1">
        <f t="array" ref="G11">_xll.FDS(A11,"SIZE(FG_CONSTITUENTS)")</f>
        <v>503</v>
      </c>
      <c r="H11" s="9">
        <f t="shared" si="0"/>
        <v>0.33200795228628233</v>
      </c>
      <c r="I11" s="9">
        <f t="shared" si="1"/>
        <v>0.32405566600397612</v>
      </c>
      <c r="J11" s="9">
        <f t="shared" si="2"/>
        <v>7.952286282306209E-3</v>
      </c>
      <c r="K11" s="5" cm="1">
        <f t="array" ref="K11">_xll.FDS(A11,"FMA_PCT_ABOVE_MAVG(200,0,,,,""PORTAGG"")")/100</f>
        <v>0.67465069860279403</v>
      </c>
      <c r="L11" s="41" cm="1">
        <f t="array" ref="L11">_xll.FDSB(A11,"PERCENT_CHANGE(FMA_EPS(+1,0,,,,""PORTAGG"",""MEAN""),FMA_EPS(+1,-1AM,,,,""PORTAGG"",""MEAN""))")</f>
        <v>0.21149521512714101</v>
      </c>
      <c r="M11" s="41" cm="1">
        <f t="array" ref="M11">_xll.FDSB(A11,"PERCENT_CHANGE(FMA_EPS(+1,0,,,,""PORTAGG"",""MEAN""),FMA_EPS(+1,-3AM,,,,""PORTAGG"",""MEAN""))")</f>
        <v>-0.84311106238937406</v>
      </c>
      <c r="N11" s="3" cm="1">
        <f t="array" ref="N11">_xll.FDS(C11,"FG_TOTAL_RETURNC(0,-1AM)")</f>
        <v>4.8418283000000004</v>
      </c>
      <c r="O11" s="3" cm="1">
        <f t="array" ref="O11">_xll.FDS(C11,"FG_TOTAL_RETURNC(0,-3AM)")</f>
        <v>3.6087275000000001</v>
      </c>
      <c r="P11" s="3" cm="1">
        <f t="array" ref="P11">_xll.FDS(C11,"FG_TOTAL_RETURNC(0,-6AM)")</f>
        <v>8.8762760000000007</v>
      </c>
      <c r="Q11" s="9" cm="1">
        <f t="array" ref="Q11">_xll.FDS(C11,"P_PRICE(0)/P_PRICE_HIGH_PR(0,,,,,,""PRICE"",""INTRA"",""52W"")")</f>
        <v>0.98925980000000002</v>
      </c>
      <c r="R11" s="9" cm="1">
        <f t="array" ref="R11">_xll.FDS(C11,"P_PRICE(0)/P_PRICE_low_PR(0,,,,,,""PRICE"",""INTRA"",""52W"")-1")</f>
        <v>0.36626684999999998</v>
      </c>
      <c r="S11" s="3" cm="1">
        <f t="array" ref="S11">_xll.FDS(C11,"FG_TOTAL_RETURNC(0,-12AM)")</f>
        <v>27.122402000000001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71.399999999999991</v>
      </c>
      <c r="W11" s="4" cm="1">
        <f t="array" ref="W11">_xlfn.PERCENTRANK.EXC(_xlfn._xlws.FILTER($O$3:$O$15, ISNUMBER($O$3:$O$15)),O11)*100</f>
        <v>57.099999999999994</v>
      </c>
      <c r="X11" s="4" cm="1">
        <f t="array" ref="X11">_xlfn.PERCENTRANK.EXC(_xlfn._xlws.FILTER($P$3:$P$15, ISNUMBER($P$3:$P$15)),P11)*100</f>
        <v>78.5</v>
      </c>
      <c r="Y11" s="201" cm="1">
        <f t="array" ref="Y11">_xlfn.PERCENTRANK.EXC(_xlfn._xlws.FILTER($S$3:$S$15, ISNUMBER($S$3:$S$15)),S11)*100</f>
        <v>78.5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42.8</v>
      </c>
      <c r="AB11" s="4" cm="1">
        <f t="array" ref="AB11">_xlfn.PERCENTRANK.EXC(_xlfn._xlws.FILTER($J$3:$J$15, ISNUMBER($J$3:$J$15)),J11)*100</f>
        <v>64.2</v>
      </c>
      <c r="AC11" s="4">
        <f t="shared" si="4"/>
        <v>21.4</v>
      </c>
      <c r="AD11" s="4">
        <f t="shared" si="5"/>
        <v>28.499999999999996</v>
      </c>
      <c r="AE11" s="4">
        <f t="shared" si="6"/>
        <v>85.7</v>
      </c>
      <c r="AF11" s="4">
        <f>'Economic Momentum'!Q12</f>
        <v>35.699999999999996</v>
      </c>
      <c r="AG11" s="4">
        <f ca="1">'Economic Momentum'!R12</f>
        <v>21.4</v>
      </c>
      <c r="AH11" s="4">
        <f t="shared" ca="1" si="7"/>
        <v>69.239999999999995</v>
      </c>
      <c r="AJ11" s="3" cm="1">
        <f t="array" aca="1" ref="AJ11" ca="1">_xlfn.PERCENTRANK.EXC(_xlfn._xlws.FILTER($AH$3:$AH$15, ISNUMBER($AH$3:$AH$15)),AH11)*100</f>
        <v>64.2</v>
      </c>
      <c r="AK11">
        <f t="shared" si="8"/>
        <v>4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3127526.3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25</v>
      </c>
      <c r="G12" cm="1">
        <f t="array" ref="G12">_xll.FDS(A12,"SIZE(FG_CONSTITUENTS)")</f>
        <v>61</v>
      </c>
      <c r="H12" s="9">
        <f t="shared" ref="H12:H15" si="9">E12/$G12</f>
        <v>0.31147540983606559</v>
      </c>
      <c r="I12" s="9">
        <f t="shared" ref="I12:I15" si="10">F12/$G12</f>
        <v>0.4098360655737705</v>
      </c>
      <c r="J12" s="9">
        <f t="shared" ref="J12:J15" si="11">H12-I12</f>
        <v>-9.8360655737704916E-2</v>
      </c>
      <c r="K12" s="5" cm="1">
        <f t="array" ref="K12">_xll.FDS(A12,"FMA_PCT_ABOVE_MAVG(200,0,,,,""PORTAGG"")")/100</f>
        <v>0.47540983606557397</v>
      </c>
      <c r="L12" s="41" cm="1">
        <f t="array" ref="L12">_xll.FDSB(A12,"PERCENT_CHANGE(FMA_EPS(+1,0,,,,""PORTAGG"",""MEAN""),FMA_EPS(+1,-1AM,,,,""PORTAGG"",""MEAN""))")</f>
        <v>1.23106721442903</v>
      </c>
      <c r="M12" s="41" cm="1">
        <f t="array" ref="M12">_xll.FDSB(A12,"PERCENT_CHANGE(FMA_EPS(+1,0,,,,""PORTAGG"",""MEAN""),FMA_EPS(+1,-3AM,,,,""PORTAGG"",""MEAN""))")</f>
        <v>-9.7229838564925994E-2</v>
      </c>
      <c r="N12" s="3" cm="1">
        <f t="array" ref="N12">_xll.FDS(C12,"FG_TOTAL_RETURNC(0,-1AM)")</f>
        <v>4.0565850000000001</v>
      </c>
      <c r="O12" s="3" cm="1">
        <f t="array" ref="O12">_xll.FDS(C12,"FG_TOTAL_RETURNC(0,-3AM)")</f>
        <v>-2.207166</v>
      </c>
      <c r="P12" s="3" cm="1">
        <f t="array" ref="P12">_xll.FDS(C12,"FG_TOTAL_RETURNC(0,-6AM)")</f>
        <v>-3.4468174</v>
      </c>
      <c r="Q12" s="9" cm="1">
        <f t="array" ref="Q12">_xll.FDS(C12,"P_PRICE(0)/P_PRICE_HIGH_PR(0,,,,,,""PRICE"",""INTRA"",""52W"")")</f>
        <v>0.91525829999999997</v>
      </c>
      <c r="R12" s="9" cm="1">
        <f t="array" ref="R12">_xll.FDS(C12,"P_PRICE(0)/P_PRICE_low_PR(0,,,,,,""PRICE"",""INTRA"",""52W"")-1")</f>
        <v>0.15834819999999999</v>
      </c>
      <c r="S12" s="3" cm="1">
        <f t="array" ref="S12">_xll.FDS(C12,"FG_TOTAL_RETURNC(0,-12AM)")</f>
        <v>9.0000389999999992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21.4</v>
      </c>
      <c r="X12" s="4" cm="1">
        <f t="array" ref="X12">_xlfn.PERCENTRANK.EXC(_xlfn._xlws.FILTER($P$3:$P$15, ISNUMBER($P$3:$P$15)),P12)*100</f>
        <v>7.1</v>
      </c>
      <c r="Y12" s="201" cm="1">
        <f t="array" ref="Y12">_xlfn.PERCENTRANK.EXC(_xlfn._xlws.FILTER($S$3:$S$15, ISNUMBER($S$3:$S$15)),S12)*100</f>
        <v>7.1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35.699999999999996</v>
      </c>
      <c r="AC12" s="4">
        <f t="shared" si="4"/>
        <v>57.099999999999994</v>
      </c>
      <c r="AD12" s="4">
        <f t="shared" si="5"/>
        <v>50</v>
      </c>
      <c r="AE12" s="4">
        <f t="shared" si="6"/>
        <v>64.2</v>
      </c>
      <c r="AF12" s="4">
        <f>'Economic Momentum'!Q13</f>
        <v>14.2</v>
      </c>
      <c r="AG12" s="4">
        <f ca="1">'Economic Momentum'!R13</f>
        <v>50</v>
      </c>
      <c r="AH12" s="4">
        <f t="shared" ca="1" si="7"/>
        <v>11.389999999999997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1084368.6000000001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18</v>
      </c>
      <c r="G13" cm="1">
        <f t="array" ref="G13">_xll.FDS(A13,"SIZE(FG_CONSTITUENTS)")</f>
        <v>54</v>
      </c>
      <c r="H13" s="9">
        <f t="shared" si="9"/>
        <v>0.27777777777777779</v>
      </c>
      <c r="I13" s="9">
        <f t="shared" si="10"/>
        <v>0.33333333333333331</v>
      </c>
      <c r="J13" s="9">
        <f t="shared" si="11"/>
        <v>-5.5555555555555525E-2</v>
      </c>
      <c r="K13" s="5" cm="1">
        <f t="array" ref="K13">_xll.FDS(A13,"FMA_PCT_ABOVE_MAVG(200,0,,,,""PORTAGG"")")/100</f>
        <v>0.48148148148148101</v>
      </c>
      <c r="L13" s="41" cm="1">
        <f t="array" ref="L13">_xll.FDSB(A13,"PERCENT_CHANGE(FMA_EPS(+1,0,,,,""PORTAGG"",""MEAN""),FMA_EPS(+1,-1AM,,,,""PORTAGG"",""MEAN""))")</f>
        <v>0.56648756107975595</v>
      </c>
      <c r="M13" s="41" cm="1">
        <f t="array" ref="M13">_xll.FDSB(A13,"PERCENT_CHANGE(FMA_EPS(+1,0,,,,""PORTAGG"",""MEAN""),FMA_EPS(+1,-3AM,,,,""PORTAGG"",""MEAN""))")</f>
        <v>2.2004471721729399</v>
      </c>
      <c r="N13" s="3" cm="1">
        <f t="array" ref="N13">_xll.FDS(C13,"FG_TOTAL_RETURNC(0,-1AM)")</f>
        <v>2.9140472000000002</v>
      </c>
      <c r="O13" s="3" cm="1">
        <f t="array" ref="O13">_xll.FDS(C13,"FG_TOTAL_RETURNC(0,-3AM)")</f>
        <v>-5.7230654000000003</v>
      </c>
      <c r="P13" s="3" cm="1">
        <f t="array" ref="P13">_xll.FDS(C13,"FG_TOTAL_RETURNC(0,-6AM)")</f>
        <v>1.1281133000000001</v>
      </c>
      <c r="Q13" s="9" cm="1">
        <f t="array" ref="Q13">_xll.FDS(C13,"P_PRICE(0)/P_PRICE_HIGH_PR(0,,,,,,""PRICE"",""INTRA"",""52W"")")</f>
        <v>0.92570244999999995</v>
      </c>
      <c r="R13" s="9" cm="1">
        <f t="array" ref="R13">_xll.FDS(C13,"P_PRICE(0)/P_PRICE_low_PR(0,,,,,,""PRICE"",""INTRA"",""52W"")-1")</f>
        <v>0.35271417999999999</v>
      </c>
      <c r="S13" s="3" cm="1">
        <f t="array" ref="S13">_xll.FDS(C13,"FG_TOTAL_RETURNC(0,-12AM)")</f>
        <v>26.500595000000001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21.4</v>
      </c>
      <c r="Y13" s="201" cm="1">
        <f t="array" ref="Y13">_xlfn.PERCENTRANK.EXC(_xlfn._xlws.FILTER($S$3:$S$15, ISNUMBER($S$3:$S$15)),S13)*100</f>
        <v>71.399999999999991</v>
      </c>
      <c r="Z13" s="4" cm="1">
        <f t="array" ref="Z13">_xlfn.PERCENTRANK.EXC(_xlfn._xlws.FILTER($K$3:$K$15, ISNUMBER($K$3:$K$15)),K13)*100</f>
        <v>14.2</v>
      </c>
      <c r="AA13" s="4" cm="1">
        <f t="array" ref="AA13">_xlfn.PERCENTRANK.EXC(_xlfn._xlws.FILTER($H$3:$H$15, ISNUMBER($H$3:$H$15)),H13)*100</f>
        <v>14.2</v>
      </c>
      <c r="AB13" s="4" cm="1">
        <f t="array" ref="AB13">_xlfn.PERCENTRANK.EXC(_xlfn._xlws.FILTER($J$3:$J$15, ISNUMBER($J$3:$J$15)),J13)*100</f>
        <v>42.8</v>
      </c>
      <c r="AC13" s="4">
        <f t="shared" si="4"/>
        <v>35.699999999999996</v>
      </c>
      <c r="AD13" s="4">
        <f t="shared" si="5"/>
        <v>71.399999999999991</v>
      </c>
      <c r="AE13" s="4">
        <f t="shared" si="6"/>
        <v>28.499999999999996</v>
      </c>
      <c r="AF13" s="4">
        <f>'Economic Momentum'!Q14</f>
        <v>28.499999999999996</v>
      </c>
      <c r="AG13" s="4">
        <f ca="1">'Economic Momentum'!R14</f>
        <v>85.7</v>
      </c>
      <c r="AH13" s="4">
        <f t="shared" ca="1" si="7"/>
        <v>14.229999999999999</v>
      </c>
      <c r="AJ13" s="3" cm="1">
        <f t="array" aca="1" ref="AJ13" ca="1">_xlfn.PERCENTRANK.EXC(_xlfn._xlws.FILTER($AH$3:$AH$15, ISNUMBER($AH$3:$AH$15)),AH13)*100</f>
        <v>14.2</v>
      </c>
      <c r="AK13">
        <f t="shared" si="8"/>
        <v>1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1040260.56</v>
      </c>
      <c r="E14" cm="1">
        <f t="array" ref="E14">_xll.FDS(C14,"FMA_COS_UP(""EPS"",""1M"",+1,0,,,""PORTAGG"",""MEANR"")")</f>
        <v>13</v>
      </c>
      <c r="F14" cm="1">
        <f t="array" ref="F14">_xll.FDS(C14,"FMA_COS_DOWN(""EPS"",""1M"",+1,0,,,""PORTAGG"",""MEANR"")")</f>
        <v>18</v>
      </c>
      <c r="G14" cm="1">
        <f t="array" ref="G14">_xll.FDS(A14,"SIZE(FG_CONSTITUENTS)")</f>
        <v>47</v>
      </c>
      <c r="H14" s="9">
        <f t="shared" si="9"/>
        <v>0.27659574468085107</v>
      </c>
      <c r="I14" s="9">
        <f t="shared" si="10"/>
        <v>0.38297872340425532</v>
      </c>
      <c r="J14" s="9">
        <f t="shared" si="11"/>
        <v>-0.10638297872340424</v>
      </c>
      <c r="K14" s="5" cm="1">
        <f t="array" ref="K14">_xll.FDS(A14,"FMA_PCT_ABOVE_MAVG(200,0,,,,""PORTAGG"")")/100</f>
        <v>0.55555555555555602</v>
      </c>
      <c r="L14" s="41" cm="1">
        <f t="array" ref="L14">_xll.FDSB(A14,"PERCENT_CHANGE(FMA_EPS(+1,0,,,,""PORTAGG"",""MEAN""),FMA_EPS(+1,-1AM,,,,""PORTAGG"",""MEAN""))")</f>
        <v>-1.2662756056681199</v>
      </c>
      <c r="M14" s="41" cm="1">
        <f t="array" ref="M14">_xll.FDSB(A14,"PERCENT_CHANGE(FMA_EPS(+1,0,,,,""PORTAGG"",""MEAN""),FMA_EPS(+1,-3AM,,,,""PORTAGG"",""MEAN""))")</f>
        <v>-5.41039432113931</v>
      </c>
      <c r="N14" s="3" cm="1">
        <f t="array" ref="N14">_xll.FDS(C14,"FG_TOTAL_RETURNC(0,-1AM)")</f>
        <v>5.3336740000000002</v>
      </c>
      <c r="O14" s="3" cm="1">
        <f t="array" ref="O14">_xll.FDS(C14,"FG_TOTAL_RETURNC(0,-3AM)")</f>
        <v>-2.6202917000000001</v>
      </c>
      <c r="P14" s="3" cm="1">
        <f t="array" ref="P14">_xll.FDS(C14,"FG_TOTAL_RETURNC(0,-6AM)")</f>
        <v>0.45639277</v>
      </c>
      <c r="Q14" s="9" cm="1">
        <f t="array" ref="Q14">_xll.FDS(C14,"P_PRICE(0)/P_PRICE_HIGH_PR(0,,,,,,""PRICE"",""INTRA"",""52W"")")</f>
        <v>0.95849943000000004</v>
      </c>
      <c r="R14" s="9" cm="1">
        <f t="array" ref="R14">_xll.FDS(C14,"P_PRICE(0)/P_PRICE_low_PR(0,,,,,,""PRICE"",""INTRA"",""52W"")-1")</f>
        <v>0.33224714</v>
      </c>
      <c r="S14" s="3" cm="1">
        <f t="array" ref="S14">_xll.FDS(C14,"FG_TOTAL_RETURNC(0,-12AM)")</f>
        <v>29.888570000000001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14.2</v>
      </c>
      <c r="X14" s="4" cm="1">
        <f t="array" ref="X14">_xlfn.PERCENTRANK.EXC(_xlfn._xlws.FILTER($P$3:$P$15, ISNUMBER($P$3:$P$15)),P14)*100</f>
        <v>14.2</v>
      </c>
      <c r="Y14" s="201" cm="1">
        <f t="array" ref="Y14">_xlfn.PERCENTRANK.EXC(_xlfn._xlws.FILTER($S$3:$S$15, ISNUMBER($S$3:$S$15)),S14)*100</f>
        <v>92.800000000000011</v>
      </c>
      <c r="Z14" s="4" cm="1">
        <f t="array" ref="Z14">_xlfn.PERCENTRANK.EXC(_xlfn._xlws.FILTER($K$3:$K$15, ISNUMBER($K$3:$K$15)),K14)*100</f>
        <v>35.699999999999996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28.499999999999996</v>
      </c>
      <c r="AC14" s="4">
        <f t="shared" si="4"/>
        <v>7.1</v>
      </c>
      <c r="AD14" s="4">
        <f t="shared" si="5"/>
        <v>7.1</v>
      </c>
      <c r="AE14" s="4">
        <f t="shared" si="6"/>
        <v>21.4</v>
      </c>
      <c r="AF14" s="4">
        <f>'Economic Momentum'!Q15</f>
        <v>50</v>
      </c>
      <c r="AG14" s="4">
        <f ca="1">'Economic Momentum'!R15</f>
        <v>71.399999999999991</v>
      </c>
      <c r="AH14" s="4">
        <f t="shared" ca="1" si="7"/>
        <v>19.919999999999998</v>
      </c>
      <c r="AJ14" s="3" cm="1">
        <f t="array" aca="1" ref="AJ14" ca="1">_xlfn.PERCENTRANK.EXC(_xlfn._xlws.FILTER($AH$3:$AH$15, ISNUMBER($AH$3:$AH$15)),AH14)*100</f>
        <v>21.4</v>
      </c>
      <c r="AK14">
        <f t="shared" si="8"/>
        <v>1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874033.3</v>
      </c>
      <c r="E15" cm="1">
        <f t="array" ref="E15">_xll.FDS(C15,"FMA_COS_UP(""EPS"",""1M"",+1,0,,,""PORTAGG"",""MEANR"")")</f>
        <v>11</v>
      </c>
      <c r="F15" cm="1">
        <f t="array" ref="F15">_xll.FDS(C15,"FMA_COS_DOWN(""EPS"",""1M"",+1,0,,,""PORTAGG"",""MEANR"")")</f>
        <v>6</v>
      </c>
      <c r="G15" cm="1">
        <f t="array" ref="G15">_xll.FDS(A15,"SIZE(FG_CONSTITUENTS)")</f>
        <v>26</v>
      </c>
      <c r="H15" s="9">
        <f t="shared" si="9"/>
        <v>0.42307692307692307</v>
      </c>
      <c r="I15" s="9">
        <f t="shared" si="10"/>
        <v>0.23076923076923078</v>
      </c>
      <c r="J15" s="9">
        <f t="shared" si="11"/>
        <v>0.19230769230769229</v>
      </c>
      <c r="K15" s="5" cm="1">
        <f t="array" ref="K15">_xll.FDS(A15,"FMA_PCT_ABOVE_MAVG(200,0,,,,""PORTAGG"")")/100</f>
        <v>0.6</v>
      </c>
      <c r="L15" s="41" cm="1">
        <f t="array" ref="L15">_xll.FDSB(A15,"PERCENT_CHANGE(FMA_EPS(+1,0,,,,""PORTAGG"",""MEAN""),FMA_EPS(+1,-1AM,,,,""PORTAGG"",""MEAN""))")</f>
        <v>0.38016928655993898</v>
      </c>
      <c r="M15" s="41" cm="1">
        <f t="array" ref="M15">_xll.FDSB(A15,"PERCENT_CHANGE(FMA_EPS(+1,0,,,,""PORTAGG"",""MEAN""),FMA_EPS(+1,-3AM,,,,""PORTAGG"",""MEAN""))")</f>
        <v>-0.96465755467071501</v>
      </c>
      <c r="N15" s="3" cm="1">
        <f t="array" ref="N15">_xll.FDS(C15,"FG_TOTAL_RETURNC(0,-1AM)")</f>
        <v>6.7844151999999998</v>
      </c>
      <c r="O15" s="3" cm="1">
        <f t="array" ref="O15">_xll.FDS(C15,"FG_TOTAL_RETURNC(0,-3AM)")</f>
        <v>2.3374557</v>
      </c>
      <c r="P15" s="3" cm="1">
        <f t="array" ref="P15">_xll.FDS(C15,"FG_TOTAL_RETURNC(0,-6AM)")</f>
        <v>5.3246380000000002</v>
      </c>
      <c r="Q15" s="9" cm="1">
        <f t="array" ref="Q15">_xll.FDS(C15,"P_PRICE(0)/P_PRICE_HIGH_PR(0,,,,,,""PRICE"",""INTRA"",""52W"")")</f>
        <v>0.96748800000000001</v>
      </c>
      <c r="R15" s="9" cm="1">
        <f t="array" ref="R15">_xll.FDS(C15,"P_PRICE(0)/P_PRICE_low_PR(0,,,,,,""PRICE"",""INTRA"",""52W"")-1")</f>
        <v>0.31276929999999997</v>
      </c>
      <c r="S15" s="3" cm="1">
        <f t="array" ref="S15">_xll.FDS(C15,"FG_TOTAL_RETURNC(0,-12AM)")</f>
        <v>25.478601000000001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42.8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42.8</v>
      </c>
      <c r="Y15" s="201" cm="1">
        <f t="array" ref="Y15">_xlfn.PERCENTRANK.EXC(_xlfn._xlws.FILTER($S$3:$S$15, ISNUMBER($S$3:$S$15)),S15)*100</f>
        <v>64.2</v>
      </c>
      <c r="Z15" s="4" cm="1">
        <f t="array" ref="Z15">_xlfn.PERCENTRANK.EXC(_xlfn._xlws.FILTER($K$3:$K$15, ISNUMBER($K$3:$K$15)),K15)*100</f>
        <v>64.2</v>
      </c>
      <c r="AA15" s="4" cm="1">
        <f t="array" ref="AA15">_xlfn.PERCENTRANK.EXC(_xlfn._xlws.FILTER($H$3:$H$15, ISNUMBER($H$3:$H$15)),H15)*100</f>
        <v>78.5</v>
      </c>
      <c r="AB15" s="4" cm="1">
        <f t="array" ref="AB15">_xlfn.PERCENTRANK.EXC(_xlfn._xlws.FILTER($J$3:$J$15, ISNUMBER($J$3:$J$15)),J15)*100</f>
        <v>92.800000000000011</v>
      </c>
      <c r="AC15" s="4">
        <f t="shared" si="4"/>
        <v>28.499999999999996</v>
      </c>
      <c r="AD15" s="4">
        <f t="shared" si="5"/>
        <v>21.4</v>
      </c>
      <c r="AE15" s="4">
        <f t="shared" si="6"/>
        <v>14.2</v>
      </c>
      <c r="AF15" s="4">
        <f>'Economic Momentum'!Q16</f>
        <v>71.399999999999991</v>
      </c>
      <c r="AG15" s="4">
        <f ca="1">'Economic Momentum'!R16</f>
        <v>7.1</v>
      </c>
      <c r="AH15" s="4">
        <f t="shared" ca="1" si="7"/>
        <v>40.669999999999995</v>
      </c>
      <c r="AJ15" s="3" cm="1">
        <f t="array" aca="1" ref="AJ15" ca="1">_xlfn.PERCENTRANK.EXC(_xlfn._xlws.FILTER($AH$3:$AH$15, ISNUMBER($AH$3:$AH$15)),AH15)*100</f>
        <v>35.699999999999996</v>
      </c>
      <c r="AK15">
        <f t="shared" si="8"/>
        <v>2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600</v>
      </c>
      <c r="G18" cm="1">
        <f t="array" ref="G18">_xll.FDS(A18,"SIZE(FG_CONSTITUENTS)")</f>
        <v>1287</v>
      </c>
      <c r="H18" s="9">
        <f>E18/$G18</f>
        <v>0.33177933177933178</v>
      </c>
      <c r="I18" s="9">
        <f>F18/$G18</f>
        <v>0.46620046620046618</v>
      </c>
      <c r="J18" s="9">
        <f t="shared" ref="J18" si="13">H18-I18</f>
        <v>-0.1344211344211344</v>
      </c>
      <c r="K18" s="5" cm="1">
        <f t="array" ref="K18">_xll.FDS(A18,"FMA_PCT_ABOVE_MAVG(200,0,,,,""PORTAGG"")")/100</f>
        <v>0.63370253164557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-2.9661093865103898</v>
      </c>
      <c r="N18" s="3" cm="1">
        <f t="array" ref="N18">_xll.FDS(C18,"FG_TOTAL_RETURNC(0,-1AM)")</f>
        <v>4.2405963</v>
      </c>
      <c r="O18" s="3" cm="1">
        <f t="array" ref="O18">_xll.FDS(C18,"FG_TOTAL_RETURNC(0,-3AM)")</f>
        <v>0.86911917000000005</v>
      </c>
      <c r="P18" s="3" cm="1">
        <f t="array" ref="P18">_xll.FDS(C18,"FG_TOTAL_RETURNC(0,-6AM)")</f>
        <v>4.8554063000000003</v>
      </c>
      <c r="Q18" s="9" cm="1">
        <f t="array" ref="Q18">_xll.FDS(C18,"P_PRICE(0)/P_PRICE_HIGH_PR(0,,,,,,""PRICE"",""INTRA"",""52W"")")</f>
        <v>0.97482769999999996</v>
      </c>
      <c r="R18" s="9" cm="1">
        <f t="array" ref="R18">_xll.FDS(C18,"P_PRICE(0)/P_PRICE_low_PR(0,,,,,,""PRICE"",""INTRA"",""52W"")-1")</f>
        <v>0.25899017000000002</v>
      </c>
      <c r="S18" s="3" cm="1">
        <f t="array" ref="S18">_xll.FDS(C18,"FG_TOTAL_RETURNC(0,-12AM)")</f>
        <v>19.694769000000001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970</v>
      </c>
      <c r="F19" cm="1">
        <f t="array" ref="F19">_xll.FDS(C19,"FMA_COS_DOWN(""EPS"",""1M"",+1,0,,,""PORTAGG"",""MEANR"")")</f>
        <v>1193</v>
      </c>
      <c r="G19" cm="1">
        <f t="array" ref="G19">_xll.FDS(A19,"SIZE(FG_CONSTITUENTS)")</f>
        <v>4826</v>
      </c>
      <c r="H19" s="9">
        <f>E19/$G19</f>
        <v>0.20099461251554082</v>
      </c>
      <c r="I19" s="9">
        <f>F19/$G19</f>
        <v>0.24720265230004143</v>
      </c>
      <c r="J19" s="9">
        <f t="shared" ref="J19" si="14">H19-I19</f>
        <v>-4.620803978450061E-2</v>
      </c>
      <c r="K19" s="5" cm="1">
        <f t="array" ref="K19">_xll.FDS(A19,"FMA_PCT_ABOVE_MAVG(200,0,,,,""PORTAGG"")")/100</f>
        <v>0.40878090366581399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-1.4426514557819099</v>
      </c>
      <c r="N19" s="3" cm="1">
        <f t="array" ref="N19">_xll.FDS(C19,"FG_TOTAL_RETURNC(0,-1AM)")</f>
        <v>1.1888384999999999</v>
      </c>
      <c r="O19" s="3" cm="1">
        <f t="array" ref="O19">_xll.FDS(C19,"FG_TOTAL_RETURNC(0,-3AM)")</f>
        <v>1.6974092000000001</v>
      </c>
      <c r="P19" s="3" cm="1">
        <f t="array" ref="P19">_xll.FDS(C19,"FG_TOTAL_RETURNC(0,-6AM)")</f>
        <v>5.3107259999999998</v>
      </c>
      <c r="Q19" s="9" cm="1">
        <f t="array" ref="Q19">_xll.FDS(C19,"P_PRICE(0)/P_PRICE_HIGH_PR(0,,,,,,""PRICE"",""INTRA"",""52W"")")</f>
        <v>0.96796066000000003</v>
      </c>
      <c r="R19" s="9" cm="1">
        <f t="array" ref="R19">_xll.FDS(C19,"P_PRICE(0)/P_PRICE_low_PR(0,,,,,,""PRICE"",""INTRA"",""52W"")-1")</f>
        <v>0.18168461</v>
      </c>
      <c r="S19" s="3" cm="1">
        <f t="array" ref="S19">_xll.FDS(C19,"FG_TOTAL_RETURNC(0,-12AM)")</f>
        <v>12.947248999999999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540</v>
      </c>
      <c r="F20" cm="1">
        <f t="array" ref="F20">_xll.FDS(C20,"FMA_COS_DOWN(""EPS"",""1M"",+1,0,,,""PORTAGG"",""MEANR"")")</f>
        <v>515</v>
      </c>
      <c r="G20" cm="1">
        <f t="array" ref="G20">_xll.FDS(A20,"SIZE(FG_CONSTITUENTS)")</f>
        <v>1412</v>
      </c>
      <c r="H20" s="9">
        <f t="shared" ref="H20" si="16">E20/$G20</f>
        <v>0.38243626062322944</v>
      </c>
      <c r="I20" s="9">
        <f t="shared" ref="I20" si="17">F20/$G20</f>
        <v>0.36473087818696887</v>
      </c>
      <c r="J20" s="9">
        <f t="shared" ref="J20" si="18">H20-I20</f>
        <v>1.7705382436260575E-2</v>
      </c>
      <c r="K20" s="5" cm="1">
        <f t="array" ref="K20">_xll.FDS(A20,"FMA_PCT_ABOVE_MAVG(200,0,,,,""PORTAGG"")")/100</f>
        <v>0.61095305832147906</v>
      </c>
      <c r="L20" s="41" cm="1">
        <f t="array" ref="L20">_xll.FDSB(A20,"PERCENT_CHANGE(FMA_EPS(+1,0,,,,""PORTAGG"",""MEAN""),FMA_EPS(+1,-1AM,,,,""PORTAGG"",""MEAN""))")</f>
        <v>0.71182635109396097</v>
      </c>
      <c r="M20" s="41" cm="1">
        <f t="array" ref="M20">_xll.FDSB(A20,"PERCENT_CHANGE(FMA_EPS(+1,0,,,,""PORTAGG"",""MEAN""),FMA_EPS(+1,-3AM,,,,""PORTAGG"",""MEAN""))")</f>
        <v>1.0580574896692001</v>
      </c>
      <c r="N20" s="3" cm="1">
        <f t="array" ref="N20">_xll.FDS(C20,"FG_TOTAL_RETURNC(0,-1AM)")</f>
        <v>5.1483869999999996</v>
      </c>
      <c r="O20" s="3" cm="1">
        <f t="array" ref="O20">_xll.FDS(C20,"FG_TOTAL_RETURNC(0,-3AM)")</f>
        <v>3.4141064000000001</v>
      </c>
      <c r="P20" s="3" cm="1">
        <f t="array" ref="P20">_xll.FDS(C20,"FG_TOTAL_RETURNC(0,-6AM)")</f>
        <v>7.2935103999999997</v>
      </c>
      <c r="Q20" s="9" cm="1">
        <f t="array" ref="Q20">_xll.FDS(C20,"P_PRICE(0)/P_PRICE_HIGH_PR(0,,,,,,""PRICE"",""INTRA"",""52W"")")</f>
        <v>0.98749112999999999</v>
      </c>
      <c r="R20" s="9" cm="1">
        <f t="array" ref="R20">_xll.FDS(C20,"P_PRICE(0)/P_PRICE_low_PR(0,,,,,,""PRICE"",""INTRA"",""52W"")-1")</f>
        <v>0.32833479999999998</v>
      </c>
      <c r="S20" s="3" cm="1">
        <f t="array" ref="S20">_xll.FDS(C20,"FG_TOTAL_RETURNC(0,-12AM)")</f>
        <v>24.423456000000002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106</v>
      </c>
      <c r="F21" cm="1">
        <f t="array" ref="F21">_xll.FDS(C21,"FMA_COS_DOWN(""EPS"",""1M"",+1,0,,,""PORTAGG"",""MEANR"")")</f>
        <v>79</v>
      </c>
      <c r="G21" cm="1">
        <f t="array" ref="G21">_xll.FDS(A21,"SIZE(FG_CONSTITUENTS)")</f>
        <v>199</v>
      </c>
      <c r="H21" s="9">
        <f t="shared" ref="H21:H22" si="20">E21/$G21</f>
        <v>0.53266331658291455</v>
      </c>
      <c r="I21" s="9">
        <f t="shared" ref="I21:I22" si="21">F21/$G21</f>
        <v>0.39698492462311558</v>
      </c>
      <c r="J21" s="9">
        <f t="shared" ref="J21:J22" si="22">H21-I21</f>
        <v>0.13567839195979897</v>
      </c>
      <c r="K21" s="5" cm="1">
        <f t="array" ref="K21">_xll.FDS(A21,"FMA_PCT_ABOVE_MAVG(200,0,,,,""PORTAGG"")")/100</f>
        <v>0.50251256281406997</v>
      </c>
      <c r="L21" s="41" cm="1">
        <f t="array" ref="L21">_xll.FDSB(A21,"PERCENT_CHANGE(FMA_EPS(+1,0,,,,""PORTAGG"",""MEAN""),FMA_EPS(+1,-1AM,,,,""PORTAGG"",""MEAN""))")</f>
        <v>1.54321458427339</v>
      </c>
      <c r="M21" s="41" cm="1">
        <f t="array" ref="M21">_xll.FDSB(A21,"PERCENT_CHANGE(FMA_EPS(+1,0,,,,""PORTAGG"",""MEAN""),FMA_EPS(+1,-3AM,,,,""PORTAGG"",""MEAN""))")</f>
        <v>10.304060791150899</v>
      </c>
      <c r="N21" s="3" cm="1">
        <f t="array" ref="N21">_xll.FDS(C21,"FG_TOTAL_RETURNC(0,-1AM)")</f>
        <v>6.8766116999999998</v>
      </c>
      <c r="O21" s="3" cm="1">
        <f t="array" ref="O21">_xll.FDS(C21,"FG_TOTAL_RETURNC(0,-3AM)")</f>
        <v>2.7197003</v>
      </c>
      <c r="P21" s="3" cm="1">
        <f t="array" ref="P21">_xll.FDS(C21,"FG_TOTAL_RETURNC(0,-6AM)")</f>
        <v>1.1360645</v>
      </c>
      <c r="Q21" s="9" cm="1">
        <f t="array" ref="Q21">_xll.FDS(C21,"P_PRICE(0)/P_PRICE_HIGH_PR(0,,,,,,""PRICE"",""INTRA"",""52W"")")</f>
        <v>0.97131009999999995</v>
      </c>
      <c r="R21" s="9" cm="1">
        <f t="array" ref="R21">_xll.FDS(C21,"P_PRICE(0)/P_PRICE_low_PR(0,,,,,,""PRICE"",""INTRA"",""52W"")-1")</f>
        <v>0.22814678999999999</v>
      </c>
      <c r="S21" s="3" cm="1">
        <f t="array" ref="S21">_xll.FDS(C21,"FG_TOTAL_RETURNC(0,-12AM)")</f>
        <v>15.186310000000001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167</v>
      </c>
      <c r="F22" cm="1">
        <f t="array" ref="F22">_xll.FDS(C22,"FMA_COS_DOWN(""EPS"",""1M"",+1,0,,,""PORTAGG"",""MEANR"")")</f>
        <v>163</v>
      </c>
      <c r="G22" cm="1">
        <f t="array" ref="G22">_xll.FDS(A22,"SIZE(FG_CONSTITUENTS)")</f>
        <v>503</v>
      </c>
      <c r="H22" s="9">
        <f t="shared" si="20"/>
        <v>0.33200795228628233</v>
      </c>
      <c r="I22" s="9">
        <f t="shared" si="21"/>
        <v>0.32405566600397612</v>
      </c>
      <c r="J22" s="9">
        <f t="shared" si="22"/>
        <v>7.952286282306209E-3</v>
      </c>
      <c r="K22" s="5" cm="1">
        <f t="array" ref="K22">_xll.FDS(A22,"FMA_PCT_ABOVE_MAVG(200,0,,,,""PORTAGG"")")/100</f>
        <v>0.67465069860279403</v>
      </c>
      <c r="L22" s="41" cm="1">
        <f t="array" ref="L22">_xll.FDSB(A22,"PERCENT_CHANGE(FMA_EPS(+1,0,,,,""PORTAGG"",""MEAN""),FMA_EPS(+1,-1AM,,,,""PORTAGG"",""MEAN""))")</f>
        <v>0.21149521512714101</v>
      </c>
      <c r="M22" s="41" cm="1">
        <f t="array" ref="M22">_xll.FDSB(A22,"PERCENT_CHANGE(FMA_EPS(+1,0,,,,""PORTAGG"",""MEAN""),FMA_EPS(+1,-3AM,,,,""PORTAGG"",""MEAN""))")</f>
        <v>-0.84311106238937406</v>
      </c>
      <c r="N22" s="3" cm="1">
        <f t="array" ref="N22">_xll.FDS(C22,"FG_TOTAL_RETURNC(0,-1AM)")</f>
        <v>4.8418283000000004</v>
      </c>
      <c r="O22" s="3" cm="1">
        <f t="array" ref="O22">_xll.FDS(C22,"FG_TOTAL_RETURNC(0,-3AM)")</f>
        <v>3.6087275000000001</v>
      </c>
      <c r="P22" s="3" cm="1">
        <f t="array" ref="P22">_xll.FDS(C22,"FG_TOTAL_RETURNC(0,-6AM)")</f>
        <v>8.8762760000000007</v>
      </c>
      <c r="Q22" s="9" cm="1">
        <f t="array" ref="Q22">_xll.FDS(C22,"P_PRICE(0)/P_PRICE_HIGH_PR(0,,,,,,""PRICE"",""INTRA"",""52W"")")</f>
        <v>0.98925980000000002</v>
      </c>
      <c r="R22" s="9" cm="1">
        <f t="array" ref="R22">_xll.FDS(C22,"P_PRICE(0)/P_PRICE_low_PR(0,,,,,,""PRICE"",""INTRA"",""52W"")-1")</f>
        <v>0.36626684999999998</v>
      </c>
      <c r="S22" s="3" cm="1">
        <f t="array" ref="S22">_xll.FDS(C22,"FG_TOTAL_RETURNC(0,-12AM)")</f>
        <v>27.122402000000001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24</v>
      </c>
      <c r="F23" cm="1">
        <f t="array" ref="F23">_xll.FDS(C23,"FMA_COS_DOWN(""EPS"",""1M"",+1,0,,,""PORTAGG"",""MEANR"")")</f>
        <v>21</v>
      </c>
      <c r="G23" cm="1">
        <f t="array" ref="G23">_xll.FDS(A23,"SIZE(FG_CONSTITUENTS)")</f>
        <v>52</v>
      </c>
      <c r="H23" s="9">
        <f t="shared" ref="H23" si="24">E23/$G23</f>
        <v>0.46153846153846156</v>
      </c>
      <c r="I23" s="9">
        <f t="shared" ref="I23" si="25">F23/$G23</f>
        <v>0.40384615384615385</v>
      </c>
      <c r="J23" s="9">
        <f t="shared" ref="J23" si="26">H23-I23</f>
        <v>5.7692307692307709E-2</v>
      </c>
      <c r="K23" s="5" cm="1">
        <f t="array" ref="K23">_xll.FDS(A23,"FMA_PCT_ABOVE_MAVG(200,0,,,,""PORTAGG"")")/100</f>
        <v>0.27450980392156898</v>
      </c>
      <c r="L23" s="41" cm="1">
        <f t="array" ref="L23">_xll.FDSB(A23,"PERCENT_CHANGE(FMA_EPS(+1,0,,,,""PORTAGG"",""MEAN""),FMA_EPS(+1,-1AM,,,,""PORTAGG"",""MEAN""))")</f>
        <v>3.6396439597213699</v>
      </c>
      <c r="M23" s="41" cm="1">
        <f t="array" ref="M23">_xll.FDSB(A23,"PERCENT_CHANGE(FMA_EPS(+1,0,,,,""PORTAGG"",""MEAN""),FMA_EPS(+1,-3AM,,,,""PORTAGG"",""MEAN""))")</f>
        <v>7.70737299135659</v>
      </c>
      <c r="N23" s="3" cm="1">
        <f t="array" ref="N23">_xll.FDS(C23,"FG_TOTAL_RETURNC(0,-1AM)")</f>
        <v>0.23391247000000001</v>
      </c>
      <c r="O23" s="3" cm="1">
        <f t="array" ref="O23">_xll.FDS(C23,"FG_TOTAL_RETURNC(0,-3AM)")</f>
        <v>-2.6505112999999998</v>
      </c>
      <c r="P23" s="3" cm="1">
        <f t="array" ref="P23">_xll.FDS(C23,"FG_TOTAL_RETURNC(0,-6AM)")</f>
        <v>5.0177693000000003</v>
      </c>
      <c r="Q23" s="9" cm="1">
        <f t="array" ref="Q23">_xll.FDS(C23,"P_PRICE(0)/P_PRICE_HIGH_PR(0,,,,,,""PRICE"",""INTRA"",""52W"")")</f>
        <v>0.87063999999999997</v>
      </c>
      <c r="R23" s="9" cm="1">
        <f t="array" ref="R23">_xll.FDS(C23,"P_PRICE(0)/P_PRICE_low_PR(0,,,,,,""PRICE"",""INTRA"",""52W"")-1")</f>
        <v>0.23250234</v>
      </c>
      <c r="S23" s="3" cm="1">
        <f t="array" ref="S23">_xll.FDS(C23,"FG_TOTAL_RETURNC(0,-12AM)")</f>
        <v>-3.0174672999999999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-0.21455347</v>
      </c>
      <c r="E4" s="9">
        <f>HLOOKUP(B4,'Monthly Returns'!$A$1:$Q$134, 132, FALSE)</f>
        <v>9.0909090909090912E-2</v>
      </c>
      <c r="H4" s="9">
        <f>HLOOKUP(B4,'Yearly returns'!$B$1:$N$140, 133, FALSE)</f>
        <v>0.14049586776859505</v>
      </c>
      <c r="I4" s="9">
        <f>HLOOKUP(B4,'Yearly returns'!$B$1:$N$140, 138, FALSE)</f>
        <v>0.79500000000000004</v>
      </c>
      <c r="J4" s="183">
        <f>1/E4</f>
        <v>11</v>
      </c>
      <c r="K4" s="185">
        <f>PERCENTRANK($J$4:$J$16,J4)*100</f>
        <v>83.3</v>
      </c>
      <c r="L4" s="47">
        <f>(1-PERCENTRANK($E$4:$E$16,E4))*100</f>
        <v>83.399999999999991</v>
      </c>
      <c r="M4" s="47">
        <f>(1-PERCENTRANK($H$4:$H$16,H4))*100</f>
        <v>50</v>
      </c>
      <c r="N4" s="47">
        <f>(1-PERCENTRANK($I$4:$I$16,I4))*100</f>
        <v>58.400000000000006</v>
      </c>
      <c r="P4">
        <f>L4*Assumption!$E$53 + M4*Assumption!$F$53 + N4*Assumption!$G$53</f>
        <v>62.55</v>
      </c>
      <c r="R4" cm="1">
        <f t="array" ref="R4">_xlfn.PERCENTRANK.EXC(_xlfn._xlws.FILTER(P$4:P$16, ISNUMBER(P$4:P$16)),P4)*100</f>
        <v>64.2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-0.34602080000000002</v>
      </c>
      <c r="E5" s="9">
        <f>HLOOKUP(B5,'Monthly Returns'!$A$1:$Q$134, 132, FALSE)</f>
        <v>0.11570247933884298</v>
      </c>
      <c r="H5" s="9">
        <f>HLOOKUP(B5,'Yearly returns'!$B$1:$N$140, 133, FALSE)</f>
        <v>0.1487603305785124</v>
      </c>
      <c r="I5" s="9">
        <f>HLOOKUP(B5,'Yearly returns'!$B$1:$N$140, 138, FALSE)</f>
        <v>0.90900000000000003</v>
      </c>
      <c r="J5" s="183">
        <f t="shared" ref="J5:J16" si="0">1/E5</f>
        <v>8.6428571428571423</v>
      </c>
      <c r="K5" s="185">
        <f t="shared" ref="K5:K16" si="1">PERCENTRANK($J$4:$J$16,J5)*100</f>
        <v>25</v>
      </c>
      <c r="L5" s="47">
        <f t="shared" ref="L5:L16" si="2">(1-PERCENTRANK($E$4:$E$16,E5))*100</f>
        <v>33.4</v>
      </c>
      <c r="M5" s="47">
        <f t="shared" ref="M5:M16" si="3">(1-PERCENTRANK($H$4:$H$16,H5))*100</f>
        <v>41.7</v>
      </c>
      <c r="N5" s="47">
        <f t="shared" ref="N5:N16" si="4">(1-PERCENTRANK($I$4:$I$16,I5))*100</f>
        <v>8.3999999999999968</v>
      </c>
      <c r="P5">
        <f>L5*Assumption!$E$53 + M5*Assumption!$F$53 + N5*Assumption!$G$53</f>
        <v>22.974999999999998</v>
      </c>
      <c r="R5" cm="1">
        <f t="array" ref="R5">_xlfn.PERCENTRANK.EXC(_xlfn._xlws.FILTER(P$4:P$16, ISNUMBER(P$4:P$16)),P5)*100</f>
        <v>14.2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-0.33681810000000001</v>
      </c>
      <c r="E6" s="9">
        <f>HLOOKUP(B6,'Monthly Returns'!$A$1:$Q$134, 132, FALSE)</f>
        <v>9.9173553719008267E-2</v>
      </c>
      <c r="H6" s="9">
        <f>HLOOKUP(B6,'Yearly returns'!$B$1:$N$140, 133, FALSE)</f>
        <v>0.15702479338842976</v>
      </c>
      <c r="I6" s="9">
        <f>HLOOKUP(B6,'Yearly returns'!$B$1:$N$140, 138, FALSE)</f>
        <v>0.86799999999999999</v>
      </c>
      <c r="J6" s="183">
        <f t="shared" si="0"/>
        <v>10.083333333333334</v>
      </c>
      <c r="K6" s="185">
        <f t="shared" si="1"/>
        <v>50</v>
      </c>
      <c r="L6" s="47">
        <f t="shared" si="2"/>
        <v>75</v>
      </c>
      <c r="M6" s="47">
        <f t="shared" si="3"/>
        <v>25</v>
      </c>
      <c r="N6" s="47">
        <f t="shared" si="4"/>
        <v>33.4</v>
      </c>
      <c r="P6">
        <f>L6*Assumption!$E$53 + M6*Assumption!$F$53 + N6*Assumption!$G$53</f>
        <v>41.7</v>
      </c>
      <c r="R6" cm="1">
        <f t="array" ref="R6">_xlfn.PERCENTRANK.EXC(_xlfn._xlws.FILTER(P$4:P$16, ISNUMBER(P$4:P$16)),P6)*100</f>
        <v>42.8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-0.31885522999999999</v>
      </c>
      <c r="E7" s="9">
        <f>HLOOKUP(B7,'Monthly Returns'!$A$1:$Q$134, 132, FALSE)</f>
        <v>0.11570247933884298</v>
      </c>
      <c r="H7" s="9">
        <f>HLOOKUP(B7,'Yearly returns'!$B$1:$N$140, 133, FALSE)</f>
        <v>0.26446280991735538</v>
      </c>
      <c r="I7" s="9">
        <f>HLOOKUP(B7,'Yearly returns'!$B$1:$N$140, 138, FALSE)</f>
        <v>0.84399999999999997</v>
      </c>
      <c r="J7" s="183">
        <f t="shared" si="0"/>
        <v>8.6428571428571423</v>
      </c>
      <c r="K7" s="185">
        <f t="shared" si="1"/>
        <v>25</v>
      </c>
      <c r="L7" s="47">
        <f t="shared" si="2"/>
        <v>33.4</v>
      </c>
      <c r="M7" s="47">
        <f t="shared" si="3"/>
        <v>8.3999999999999968</v>
      </c>
      <c r="N7" s="47">
        <f t="shared" si="4"/>
        <v>41.7</v>
      </c>
      <c r="P7">
        <f>L7*Assumption!$E$53 + M7*Assumption!$F$53 + N7*Assumption!$G$53</f>
        <v>31.3</v>
      </c>
      <c r="R7" cm="1">
        <f t="array" ref="R7">_xlfn.PERCENTRANK.EXC(_xlfn._xlws.FILTER(P$4:P$16, ISNUMBER(P$4:P$16)),P7)*100</f>
        <v>21.4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-0.24591821999999999</v>
      </c>
      <c r="E8" s="9">
        <f>HLOOKUP(B8,'Monthly Returns'!$A$1:$Q$134, 132, FALSE)</f>
        <v>0.10743801652892562</v>
      </c>
      <c r="H8" s="9">
        <f>HLOOKUP(B8,'Yearly returns'!$B$1:$N$140, 133, FALSE)</f>
        <v>0.11570247933884298</v>
      </c>
      <c r="I8" s="9">
        <f>HLOOKUP(B8,'Yearly returns'!$B$1:$N$140, 138, FALSE)</f>
        <v>0.72899999999999998</v>
      </c>
      <c r="J8" s="183">
        <f t="shared" si="0"/>
        <v>9.3076923076923066</v>
      </c>
      <c r="K8" s="185">
        <f t="shared" si="1"/>
        <v>41.6</v>
      </c>
      <c r="L8" s="47">
        <f t="shared" si="2"/>
        <v>41.7</v>
      </c>
      <c r="M8" s="47">
        <f t="shared" si="3"/>
        <v>75</v>
      </c>
      <c r="N8" s="47">
        <f t="shared" si="4"/>
        <v>83.399999999999991</v>
      </c>
      <c r="P8">
        <f>L8*Assumption!$E$53 + M8*Assumption!$F$53 + N8*Assumption!$G$53</f>
        <v>70.875</v>
      </c>
      <c r="R8" cm="1">
        <f t="array" ref="R8">_xlfn.PERCENTRANK.EXC(_xlfn._xlws.FILTER(P$4:P$16, ISNUMBER(P$4:P$16)),P8)*100</f>
        <v>71.399999999999991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-0.24041890999999999</v>
      </c>
      <c r="E9" s="9">
        <f>HLOOKUP(B9,'Monthly Returns'!$A$1:$Q$134, 132, FALSE)</f>
        <v>6.6115702479338845E-2</v>
      </c>
      <c r="H9" s="9">
        <f>HLOOKUP(B9,'Yearly returns'!$B$1:$N$140, 133, FALSE)</f>
        <v>0.10743801652892562</v>
      </c>
      <c r="I9" s="9">
        <f>HLOOKUP(B9,'Yearly returns'!$B$1:$N$140, 138, FALSE)</f>
        <v>0.76200000000000001</v>
      </c>
      <c r="J9" s="183">
        <f t="shared" si="0"/>
        <v>15.125</v>
      </c>
      <c r="K9" s="185">
        <f t="shared" si="1"/>
        <v>91.600000000000009</v>
      </c>
      <c r="L9" s="47">
        <f t="shared" si="2"/>
        <v>91.7</v>
      </c>
      <c r="M9" s="47">
        <f t="shared" si="3"/>
        <v>83.399999999999991</v>
      </c>
      <c r="N9" s="47">
        <f t="shared" si="4"/>
        <v>75</v>
      </c>
      <c r="P9">
        <f>L9*Assumption!$E$53 + M9*Assumption!$F$53 + N9*Assumption!$G$53</f>
        <v>81.275000000000006</v>
      </c>
      <c r="R9" cm="1">
        <f t="array" ref="R9">_xlfn.PERCENTRANK.EXC(_xlfn._xlws.FILTER(P$4:P$16, ISNUMBER(P$4:P$16)),P9)*100</f>
        <v>78.5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-0.30748419999999999</v>
      </c>
      <c r="E10" s="9">
        <f>HLOOKUP(B10,'Monthly Returns'!$A$1:$Q$134, 132, FALSE)</f>
        <v>9.9173553719008267E-2</v>
      </c>
      <c r="H10" s="9">
        <f>HLOOKUP(B10,'Yearly returns'!$B$1:$N$140, 133, FALSE)</f>
        <v>0.1487603305785124</v>
      </c>
      <c r="I10" s="9">
        <f>HLOOKUP(B10,'Yearly returns'!$B$1:$N$140, 138, FALSE)</f>
        <v>0.89300000000000002</v>
      </c>
      <c r="J10" s="183">
        <f t="shared" si="0"/>
        <v>10.083333333333334</v>
      </c>
      <c r="K10" s="185">
        <f t="shared" si="1"/>
        <v>50</v>
      </c>
      <c r="L10" s="47">
        <f t="shared" si="2"/>
        <v>75</v>
      </c>
      <c r="M10" s="47">
        <f t="shared" si="3"/>
        <v>41.7</v>
      </c>
      <c r="N10" s="47">
        <f t="shared" si="4"/>
        <v>16.700000000000003</v>
      </c>
      <c r="P10">
        <f>L10*Assumption!$E$53 + M10*Assumption!$F$53 + N10*Assumption!$G$53</f>
        <v>37.525000000000006</v>
      </c>
      <c r="R10" cm="1">
        <f t="array" ref="R10">_xlfn.PERCENTRANK.EXC(_xlfn._xlws.FILTER(P$4:P$16, ISNUMBER(P$4:P$16)),P10)*100</f>
        <v>35.699999999999996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-0.24309557000000001</v>
      </c>
      <c r="E11" s="9">
        <f>HLOOKUP(B11,'Monthly Returns'!$A$1:$Q$134, 132, FALSE)</f>
        <v>9.9173553719008267E-2</v>
      </c>
      <c r="H11" s="9">
        <f>HLOOKUP(B11,'Yearly returns'!$B$1:$N$140, 133, FALSE)</f>
        <v>7.43801652892562E-2</v>
      </c>
      <c r="I11" s="9">
        <f>HLOOKUP(B11,'Yearly returns'!$B$1:$N$140, 138, FALSE)</f>
        <v>0.64700000000000002</v>
      </c>
      <c r="J11" s="183">
        <f t="shared" si="0"/>
        <v>10.083333333333334</v>
      </c>
      <c r="K11" s="185">
        <f t="shared" si="1"/>
        <v>50</v>
      </c>
      <c r="L11" s="47">
        <f t="shared" si="2"/>
        <v>75</v>
      </c>
      <c r="M11" s="47">
        <f t="shared" si="3"/>
        <v>91.7</v>
      </c>
      <c r="N11" s="47">
        <f t="shared" si="4"/>
        <v>91.7</v>
      </c>
      <c r="P11">
        <f>L11*Assumption!$E$53 + M11*Assumption!$F$53 + N11*Assumption!$G$53</f>
        <v>87.525000000000006</v>
      </c>
      <c r="R11" cm="1">
        <f t="array" ref="R11">_xlfn.PERCENTRANK.EXC(_xlfn._xlws.FILTER(P$4:P$16, ISNUMBER(P$4:P$16)),P11)*100</f>
        <v>92.800000000000011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-0.26468498000000001</v>
      </c>
      <c r="E12" s="9">
        <f>HLOOKUP(B12,'Monthly Returns'!$A$1:$Q$134, 132, FALSE)</f>
        <v>4.9586776859504134E-2</v>
      </c>
      <c r="H12" s="9">
        <f>HLOOKUP(B12,'Yearly returns'!$B$1:$N$140, 133, FALSE)</f>
        <v>4.1322314049586778E-2</v>
      </c>
      <c r="I12" s="9">
        <f>HLOOKUP(B12,'Yearly returns'!$B$1:$N$140, 138, FALSE)</f>
        <v>0.877</v>
      </c>
      <c r="J12" s="183">
        <f t="shared" si="0"/>
        <v>20.166666666666668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25</v>
      </c>
      <c r="P12">
        <f>L12*Assumption!$E$53 + M12*Assumption!$F$53 + N12*Assumption!$G$53</f>
        <v>62.5</v>
      </c>
      <c r="R12" cm="1">
        <f t="array" ref="R12">_xlfn.PERCENTRANK.EXC(_xlfn._xlws.FILTER(P$4:P$16, ISNUMBER(P$4:P$16)),P12)*100</f>
        <v>57.099999999999994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-0.32361065000000006</v>
      </c>
      <c r="E13" s="9">
        <f>HLOOKUP(B13,'Monthly Returns'!$A$1:$Q$134, 132, FALSE)</f>
        <v>9.9173553719008267E-2</v>
      </c>
      <c r="H13" s="9">
        <f>HLOOKUP(B13,'Yearly returns'!$B$1:$N$140, 133, FALSE)</f>
        <v>0.11570247933884298</v>
      </c>
      <c r="I13" s="9">
        <f>HLOOKUP(B13,'Yearly returns'!$B$1:$N$140, 138, FALSE)</f>
        <v>0.58099999999999996</v>
      </c>
      <c r="J13" s="183">
        <f t="shared" si="0"/>
        <v>10.083333333333334</v>
      </c>
      <c r="K13" s="185">
        <f t="shared" si="1"/>
        <v>50</v>
      </c>
      <c r="L13" s="47">
        <f t="shared" si="2"/>
        <v>75</v>
      </c>
      <c r="M13" s="47">
        <f t="shared" si="3"/>
        <v>75</v>
      </c>
      <c r="N13" s="47">
        <f t="shared" si="4"/>
        <v>100</v>
      </c>
      <c r="P13">
        <f>L13*Assumption!$E$53 + M13*Assumption!$F$53 + N13*Assumption!$G$53</f>
        <v>87.5</v>
      </c>
      <c r="R13" cm="1">
        <f t="array" ref="R13">_xlfn.PERCENTRANK.EXC(_xlfn._xlws.FILTER(P$4:P$16, ISNUMBER(P$4:P$16)),P13)*100</f>
        <v>85.7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-0.28274667999999997</v>
      </c>
      <c r="E14" s="9">
        <f>HLOOKUP(B14,'Monthly Returns'!$A$1:$Q$134, 132, FALSE)</f>
        <v>0.12396694214876033</v>
      </c>
      <c r="H14" s="9">
        <f>HLOOKUP(B14,'Yearly returns'!$B$1:$N$140, 133, FALSE)</f>
        <v>0.12396694214876033</v>
      </c>
      <c r="I14" s="9">
        <f>HLOOKUP(B14,'Yearly returns'!$B$1:$N$140, 138, FALSE)</f>
        <v>0.81899999999999995</v>
      </c>
      <c r="J14" s="183">
        <f t="shared" si="0"/>
        <v>8.0666666666666664</v>
      </c>
      <c r="K14" s="185">
        <f t="shared" si="1"/>
        <v>8.3000000000000007</v>
      </c>
      <c r="L14" s="47">
        <f t="shared" si="2"/>
        <v>16.700000000000003</v>
      </c>
      <c r="M14" s="47">
        <f t="shared" si="3"/>
        <v>58.400000000000006</v>
      </c>
      <c r="N14" s="47">
        <f t="shared" si="4"/>
        <v>50</v>
      </c>
      <c r="P14">
        <f>L14*Assumption!$E$53 + M14*Assumption!$F$53 + N14*Assumption!$G$53</f>
        <v>43.775000000000006</v>
      </c>
      <c r="R14" cm="1">
        <f t="array" ref="R14">_xlfn.PERCENTRANK.EXC(_xlfn._xlws.FILTER(P$4:P$16, ISNUMBER(P$4:P$16)),P14)*100</f>
        <v>50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-0.30032134999999999</v>
      </c>
      <c r="E15" s="9">
        <f>HLOOKUP(B15,'Monthly Returns'!$A$1:$Q$134, 132, FALSE)</f>
        <v>0.12396694214876033</v>
      </c>
      <c r="H15" s="9">
        <f>HLOOKUP(B15,'Yearly returns'!$B$1:$N$140, 133, FALSE)</f>
        <v>0.19834710743801653</v>
      </c>
      <c r="I15" s="9">
        <f>HLOOKUP(B15,'Yearly returns'!$B$1:$N$140, 138, FALSE)</f>
        <v>0.90900000000000003</v>
      </c>
      <c r="J15" s="183">
        <f t="shared" si="0"/>
        <v>8.0666666666666664</v>
      </c>
      <c r="K15" s="185">
        <f t="shared" si="1"/>
        <v>8.3000000000000007</v>
      </c>
      <c r="L15" s="47">
        <f t="shared" si="2"/>
        <v>16.700000000000003</v>
      </c>
      <c r="M15" s="47">
        <f t="shared" si="3"/>
        <v>16.700000000000003</v>
      </c>
      <c r="N15" s="47">
        <f t="shared" si="4"/>
        <v>8.3999999999999968</v>
      </c>
      <c r="P15">
        <f>L15*Assumption!$E$53 + M15*Assumption!$F$53 + N15*Assumption!$G$53</f>
        <v>12.55</v>
      </c>
      <c r="R15" cm="1">
        <f t="array" ref="R15">_xlfn.PERCENTRANK.EXC(_xlfn._xlws.FILTER(P$4:P$16, ISNUMBER(P$4:P$16)),P15)*100</f>
        <v>7.1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-0.38046360000000001</v>
      </c>
      <c r="E16" s="9">
        <f>HLOOKUP(B16,'Monthly Returns'!$A$1:$Q$134, 132, FALSE)</f>
        <v>0.13223140495867769</v>
      </c>
      <c r="H16" s="9">
        <f>HLOOKUP(B16,'Yearly returns'!$B$1:$N$140, 133, FALSE)</f>
        <v>0.28925619834710742</v>
      </c>
      <c r="I16" s="9">
        <f>HLOOKUP(B16,'Yearly returns'!$B$1:$N$140, 138, FALSE)</f>
        <v>0.77800000000000002</v>
      </c>
      <c r="J16" s="183">
        <f t="shared" si="0"/>
        <v>7.5625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66.7</v>
      </c>
      <c r="P16">
        <f>L16*Assumption!$E$53 + M16*Assumption!$F$53 + N16*Assumption!$G$53</f>
        <v>33.35</v>
      </c>
      <c r="R16" cm="1">
        <f t="array" ref="R16">_xlfn.PERCENTRANK.EXC(_xlfn._xlws.FILTER(P$4:P$16, ISNUMBER(P$4:P$16)),P16)*100</f>
        <v>28.499999999999996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0.96699999999999997</v>
      </c>
      <c r="G5" s="141" cm="1">
        <f t="array" ref="G5">_xll.FDSZ(C5,"FG_PRICE(0)")</f>
        <v>50.19</v>
      </c>
      <c r="H5" s="141" cm="1">
        <f t="array" ref="H5">_xll.FDSZ(C5,"FG_PRICE_MAVG(0,,,,30)")</f>
        <v>48.036568000000003</v>
      </c>
      <c r="I5" s="141" cm="1">
        <f t="array" ref="I5">_xll.FDSZ(C5,"FG_PRICE_MAVG(0,,,,60)")</f>
        <v>46.959110000000003</v>
      </c>
      <c r="J5" s="141" cm="1">
        <f t="array" ref="J5">_xll.FDSZ(C5,"FG_PRICE_MAVG(0,,,,200)")</f>
        <v>46.251289999999997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418.41872999999998</v>
      </c>
      <c r="T5" s="7" cm="1">
        <f t="array" ref="T5">_xll.FDSZ($R5,"FG_PRICE(0)")</f>
        <v>418.41872999999998</v>
      </c>
      <c r="U5" s="7" cm="1">
        <f t="array" ref="U5">_xll.FDSZ($R5,"FG_PRICE(0)")</f>
        <v>418.41872999999998</v>
      </c>
      <c r="V5" s="7" cm="1">
        <f t="array" ref="V5">_xll.FDSZ($R5,"FG_PRICE(0)")</f>
        <v>418.41872999999998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0.92600000000000005</v>
      </c>
      <c r="G6" s="141" cm="1">
        <f t="array" ref="G6">_xll.FDSZ(C6,"FG_PRICE(0)")</f>
        <v>26.05</v>
      </c>
      <c r="H6" s="141" cm="1">
        <f t="array" ref="H6">_xll.FDSZ(C6,"FG_PRICE_MAVG(0,,,,30)")</f>
        <v>25.044665999999999</v>
      </c>
      <c r="I6" s="141" cm="1">
        <f t="array" ref="I6">_xll.FDSZ(C6,"FG_PRICE_MAVG(0,,,,60)")</f>
        <v>24.915333</v>
      </c>
      <c r="J6" s="141" cm="1">
        <f t="array" ref="J6">_xll.FDSZ(C6,"FG_PRICE_MAVG(0,,,,200)")</f>
        <v>24.248449999999998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375.98138</v>
      </c>
      <c r="T6" s="7" cm="1">
        <f t="array" ref="T6">_xll.FDSZ($R6,"FG_PRICE(0)")</f>
        <v>375.98138</v>
      </c>
      <c r="U6" s="7" cm="1">
        <f t="array" ref="U6">_xll.FDSZ($R6,"FG_PRICE(0)")</f>
        <v>375.98138</v>
      </c>
      <c r="V6" s="7" cm="1">
        <f t="array" ref="V6">_xll.FDSZ($R6,"FG_PRICE(0)")</f>
        <v>375.98138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0.93400000000000005</v>
      </c>
      <c r="G7" s="141" cm="1">
        <f t="array" ref="G7">_xll.FDSZ(C7,"FG_PRICE(0)")</f>
        <v>40.4</v>
      </c>
      <c r="H7" s="141" cm="1">
        <f t="array" ref="H7">_xll.FDSZ(C7,"FG_PRICE_MAVG(0,,,,30)")</f>
        <v>39.1</v>
      </c>
      <c r="I7" s="141" cm="1">
        <f t="array" ref="I7">_xll.FDSZ(C7,"FG_PRICE_MAVG(0,,,,60)")</f>
        <v>38.466999999999999</v>
      </c>
      <c r="J7" s="141" cm="1">
        <f t="array" ref="J7">_xll.FDSZ(C7,"FG_PRICE_MAVG(0,,,,200)")</f>
        <v>37.407049999999998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309.02307000000002</v>
      </c>
      <c r="T7" s="7" cm="1">
        <f t="array" ref="T7">_xll.FDSZ($R7,"FG_PRICE(0)")</f>
        <v>309.02307000000002</v>
      </c>
      <c r="U7" s="7" cm="1">
        <f t="array" ref="U7">_xll.FDSZ($R7,"FG_PRICE(0)")</f>
        <v>309.02307000000002</v>
      </c>
      <c r="V7" s="7" cm="1">
        <f t="array" ref="V7">_xll.FDSZ($R7,"FG_PRICE(0)")</f>
        <v>309.02307000000002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0.89300000000000002</v>
      </c>
      <c r="G8" s="141" cm="1">
        <f t="array" ref="G8">_xll.FDSZ(C8,"FG_PRICE(0)")</f>
        <v>32.130000000000003</v>
      </c>
      <c r="H8" s="141" cm="1">
        <f t="array" ref="H8">_xll.FDSZ(C8,"FG_PRICE_MAVG(0,,,,30)")</f>
        <v>31.366333000000001</v>
      </c>
      <c r="I8" s="141" cm="1">
        <f t="array" ref="I8">_xll.FDSZ(C8,"FG_PRICE_MAVG(0,,,,60)")</f>
        <v>31.172499999999999</v>
      </c>
      <c r="J8" s="141" cm="1">
        <f t="array" ref="J8">_xll.FDSZ(C8,"FG_PRICE_MAVG(0,,,,200)")</f>
        <v>30.611350000000002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9.5807169999999999</v>
      </c>
      <c r="T8" s="7" cm="1">
        <f t="array" ref="T8">_xll.FDSZ($R8,"FG_PRICE(0)")</f>
        <v>9.5807169999999999</v>
      </c>
      <c r="U8" s="7" cm="1">
        <f t="array" ref="U8">_xll.FDSZ($R8,"FG_PRICE(0)")</f>
        <v>9.5807169999999999</v>
      </c>
      <c r="V8" s="7" cm="1">
        <f t="array" ref="V8">_xll.FDSZ($R8,"FG_PRICE(0)")</f>
        <v>9.5807169999999999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0.95</v>
      </c>
      <c r="G9" s="141" cm="1">
        <f t="array" ref="G9">_xll.FDSZ(C9,"FG_PRICE(0)")</f>
        <v>70.25</v>
      </c>
      <c r="H9" s="141" cm="1">
        <f t="array" ref="H9">_xll.FDSZ(C9,"FG_PRICE_MAVG(0,,,,30)")</f>
        <v>68.74633</v>
      </c>
      <c r="I9" s="141" cm="1">
        <f t="array" ref="I9">_xll.FDSZ(C9,"FG_PRICE_MAVG(0,,,,60)")</f>
        <v>68.960830000000001</v>
      </c>
      <c r="J9" s="141" cm="1">
        <f t="array" ref="J9">_xll.FDSZ(C9,"FG_PRICE_MAVG(0,,,,200)")</f>
        <v>67.758099999999999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180.03012000000001</v>
      </c>
      <c r="T9" s="7" cm="1">
        <f t="array" ref="T9">_xll.FDSZ($R9,"FG_PRICE(0)")</f>
        <v>180.03012000000001</v>
      </c>
      <c r="U9" s="7" cm="1">
        <f t="array" ref="U9">_xll.FDSZ($R9,"FG_PRICE(0)")</f>
        <v>180.03012000000001</v>
      </c>
      <c r="V9" s="7" cm="1">
        <f t="array" ref="V9">_xll.FDSZ($R9,"FG_PRICE(0)")</f>
        <v>180.03012000000001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0.754</v>
      </c>
      <c r="G10" s="141" cm="1">
        <f t="array" ref="G10">_xll.FDSZ(C10,"FG_PRICE(0)")</f>
        <v>51.07</v>
      </c>
      <c r="H10" s="141" cm="1">
        <f t="array" ref="H10">_xll.FDSZ(C10,"FG_PRICE_MAVG(0,,,,30)")</f>
        <v>51.018664999999999</v>
      </c>
      <c r="I10" s="141" cm="1">
        <f t="array" ref="I10">_xll.FDSZ(C10,"FG_PRICE_MAVG(0,,,,60)")</f>
        <v>50.091667000000001</v>
      </c>
      <c r="J10" s="141" cm="1">
        <f t="array" ref="J10">_xll.FDSZ(C10,"FG_PRICE_MAVG(0,,,,200)")</f>
        <v>48.114649999999997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345.68752999999998</v>
      </c>
      <c r="T10" s="7" cm="1">
        <f t="array" ref="T10">_xll.FDSZ($R10,"FG_PRICE(0)")</f>
        <v>345.68752999999998</v>
      </c>
      <c r="U10" s="7" cm="1">
        <f t="array" ref="U10">_xll.FDSZ($R10,"FG_PRICE(0)")</f>
        <v>345.68752999999998</v>
      </c>
      <c r="V10" s="7" cm="1">
        <f t="array" ref="V10">_xll.FDSZ($R10,"FG_PRICE(0)")</f>
        <v>345.68752999999998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0.77800000000000002</v>
      </c>
      <c r="G11" s="141" cm="1">
        <f t="array" ref="G11">_xll.FDSZ(C11,"FG_PRICE(0)")</f>
        <v>36.79</v>
      </c>
      <c r="H11" s="141" cm="1">
        <f t="array" ref="H11">_xll.FDSZ(C11,"FG_PRICE_MAVG(0,,,,30)")</f>
        <v>36.384335</v>
      </c>
      <c r="I11" s="141" cm="1">
        <f t="array" ref="I11">_xll.FDSZ(C11,"FG_PRICE_MAVG(0,,,,60)")</f>
        <v>35.926833999999999</v>
      </c>
      <c r="J11" s="141" cm="1">
        <f t="array" ref="J11">_xll.FDSZ(C11,"FG_PRICE_MAVG(0,,,,200)")</f>
        <v>34.399349999999998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132.04237000000001</v>
      </c>
      <c r="T11" s="7" cm="1">
        <f t="array" ref="T11">_xll.FDSZ($R11,"FG_PRICE(0)")</f>
        <v>132.04237000000001</v>
      </c>
      <c r="U11" s="7" cm="1">
        <f t="array" ref="U11">_xll.FDSZ($R11,"FG_PRICE(0)")</f>
        <v>132.04237000000001</v>
      </c>
      <c r="V11" s="7" cm="1">
        <f t="array" ref="V11">_xll.FDSZ($R11,"FG_PRICE(0)")</f>
        <v>132.04237000000001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0.73699999999999999</v>
      </c>
      <c r="G12" s="141" cm="1">
        <f t="array" ref="G12">_xll.FDSZ(C12,"FG_PRICE(0)")</f>
        <v>473.22</v>
      </c>
      <c r="H12" s="141" cm="1">
        <f t="array" ref="H12">_xll.FDSZ(C12,"FG_PRICE_MAVG(0,,,,30)")</f>
        <v>463.30234000000002</v>
      </c>
      <c r="I12" s="141" cm="1">
        <f t="array" ref="I12">_xll.FDSZ(C12,"FG_PRICE_MAVG(0,,,,60)")</f>
        <v>472.50549999999998</v>
      </c>
      <c r="J12" s="141" cm="1">
        <f t="array" ref="J12">_xll.FDSZ(C12,"FG_PRICE_MAVG(0,,,,200)")</f>
        <v>442.85969999999998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418.26641999999998</v>
      </c>
      <c r="T12" s="7" cm="1">
        <f t="array" ref="T12">_xll.FDSZ($R12,"FG_PRICE(0)")</f>
        <v>418.26641999999998</v>
      </c>
      <c r="U12" s="7" cm="1">
        <f t="array" ref="U12">_xll.FDSZ($R12,"FG_PRICE(0)")</f>
        <v>418.26641999999998</v>
      </c>
      <c r="V12" s="7" cm="1">
        <f t="array" ref="V12">_xll.FDSZ($R12,"FG_PRICE(0)")</f>
        <v>418.26641999999998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0.86</v>
      </c>
      <c r="G13" s="141" cm="1">
        <f t="array" ref="G13">_xll.FDSZ(C13,"FG_PRICE(0)")</f>
        <v>559.09</v>
      </c>
      <c r="H13" s="141" cm="1">
        <f t="array" ref="H13">_xll.FDSZ(C13,"FG_PRICE_MAVG(0,,,,30)")</f>
        <v>547.52829999999994</v>
      </c>
      <c r="I13" s="141" cm="1">
        <f t="array" ref="I13">_xll.FDSZ(C13,"FG_PRICE_MAVG(0,,,,60)")</f>
        <v>548.89869999999996</v>
      </c>
      <c r="J13" s="141" cm="1">
        <f t="array" ref="J13">_xll.FDSZ(C13,"FG_PRICE_MAVG(0,,,,200)")</f>
        <v>515.41187000000002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418.26641999999998</v>
      </c>
      <c r="T13" s="7" cm="1">
        <f t="array" ref="T13">_xll.FDSZ($R13,"FG_PRICE(0)")</f>
        <v>418.26641999999998</v>
      </c>
      <c r="U13" s="7" cm="1">
        <f t="array" ref="U13">_xll.FDSZ($R13,"FG_PRICE(0)")</f>
        <v>418.26641999999998</v>
      </c>
      <c r="V13" s="7" cm="1">
        <f t="array" ref="V13">_xll.FDSZ($R13,"FG_PRICE(0)")</f>
        <v>418.26641999999998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0.745</v>
      </c>
      <c r="G14" s="141" cm="1">
        <f t="array" ref="G14">_xll.FDSZ(C14,"FG_PRICE(0)")</f>
        <v>38.99</v>
      </c>
      <c r="H14" s="141" cm="1">
        <f t="array" ref="H14">_xll.FDSZ(C14,"FG_PRICE_MAVG(0,,,,30)")</f>
        <v>38.684666</v>
      </c>
      <c r="I14" s="141" cm="1">
        <f t="array" ref="I14">_xll.FDSZ(C14,"FG_PRICE_MAVG(0,,,,60)")</f>
        <v>38.645000000000003</v>
      </c>
      <c r="J14" s="141" cm="1">
        <f t="array" ref="J14">_xll.FDSZ(C14,"FG_PRICE_MAVG(0,,,,200)")</f>
        <v>39.515076000000001</v>
      </c>
      <c r="L14">
        <f t="shared" si="0"/>
        <v>1</v>
      </c>
      <c r="M14">
        <f t="shared" si="1"/>
        <v>1</v>
      </c>
      <c r="N14">
        <f t="shared" si="2"/>
        <v>0</v>
      </c>
      <c r="P14">
        <f t="shared" si="3"/>
        <v>2</v>
      </c>
      <c r="R14" t="s">
        <v>845</v>
      </c>
      <c r="S14" s="7" cm="1">
        <f t="array" ref="S14">_xll.FDSZ($R14,"FG_PRICE(0)")</f>
        <v>418.26641999999998</v>
      </c>
      <c r="T14" s="7" cm="1">
        <f t="array" ref="T14">_xll.FDSZ($R14,"FG_PRICE(0)")</f>
        <v>418.26641999999998</v>
      </c>
      <c r="U14" s="7" cm="1">
        <f t="array" ref="U14">_xll.FDSZ($R14,"FG_PRICE(0)")</f>
        <v>418.26641999999998</v>
      </c>
      <c r="V14" s="7" cm="1">
        <f t="array" ref="V14">_xll.FDSZ($R14,"FG_PRICE(0)")</f>
        <v>418.26641999999998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0.622</v>
      </c>
      <c r="G15" s="141" cm="1">
        <f t="array" ref="G15">_xll.FDSZ(C15,"FG_PRICE(0)")</f>
        <v>49.09</v>
      </c>
      <c r="H15" s="141" cm="1">
        <f t="array" ref="H15">_xll.FDSZ(C15,"FG_PRICE_MAVG(0,,,,30)")</f>
        <v>48.906999999999996</v>
      </c>
      <c r="I15" s="141" cm="1">
        <f t="array" ref="I15">_xll.FDSZ(C15,"FG_PRICE_MAVG(0,,,,60)")</f>
        <v>49.726334000000001</v>
      </c>
      <c r="J15" s="141" cm="1">
        <f t="array" ref="J15">_xll.FDSZ(C15,"FG_PRICE_MAVG(0,,,,200)")</f>
        <v>48.104210000000002</v>
      </c>
      <c r="L15">
        <f t="shared" si="0"/>
        <v>1</v>
      </c>
      <c r="M15">
        <f t="shared" si="1"/>
        <v>0</v>
      </c>
      <c r="N15">
        <f t="shared" si="2"/>
        <v>1</v>
      </c>
      <c r="P15">
        <f t="shared" si="3"/>
        <v>2</v>
      </c>
      <c r="R15" t="s">
        <v>845</v>
      </c>
      <c r="S15" s="7" cm="1">
        <f t="array" ref="S15">_xll.FDSZ($R15,"FG_PRICE(0)")</f>
        <v>418.26641999999998</v>
      </c>
      <c r="T15" s="7" cm="1">
        <f t="array" ref="T15">_xll.FDSZ($R15,"FG_PRICE(0)")</f>
        <v>418.26641999999998</v>
      </c>
      <c r="U15" s="7" cm="1">
        <f t="array" ref="U15">_xll.FDSZ($R15,"FG_PRICE(0)")</f>
        <v>418.26641999999998</v>
      </c>
      <c r="V15" s="7" cm="1">
        <f t="array" ref="V15">_xll.FDSZ($R15,"FG_PRICE(0)")</f>
        <v>418.26641999999998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0.80300000000000005</v>
      </c>
      <c r="G16" s="141" cm="1">
        <f t="array" ref="G16">_xll.FDSZ(C16,"FG_PRICE(0)")</f>
        <v>40.880000000000003</v>
      </c>
      <c r="H16" s="141" cm="1">
        <f t="array" ref="H16">_xll.FDSZ(C16,"FG_PRICE_MAVG(0,,,,30)")</f>
        <v>40.271000000000001</v>
      </c>
      <c r="I16" s="141" cm="1">
        <f t="array" ref="I16">_xll.FDSZ(C16,"FG_PRICE_MAVG(0,,,,60)")</f>
        <v>40.319167999999998</v>
      </c>
      <c r="J16" s="141" cm="1">
        <f t="array" ref="J16">_xll.FDSZ(C16,"FG_PRICE_MAVG(0,,,,200)")</f>
        <v>39.559173999999999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845</v>
      </c>
      <c r="S16" s="7" cm="1">
        <f t="array" ref="S16">_xll.FDSZ($R16,"FG_PRICE(0)")</f>
        <v>418.26641999999998</v>
      </c>
      <c r="T16" s="7" cm="1">
        <f t="array" ref="T16">_xll.FDSZ($R16,"FG_PRICE(0)")</f>
        <v>418.26641999999998</v>
      </c>
      <c r="U16" s="7" cm="1">
        <f t="array" ref="U16">_xll.FDSZ($R16,"FG_PRICE(0)")</f>
        <v>418.26641999999998</v>
      </c>
      <c r="V16" s="7" cm="1">
        <f t="array" ref="V16">_xll.FDSZ($R16,"FG_PRICE(0)")</f>
        <v>418.26641999999998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0.86</v>
      </c>
      <c r="G17" s="141" cm="1">
        <f t="array" ref="G17">_xll.FDSZ(C17,"FG_PRICE(0)")</f>
        <v>38.090000000000003</v>
      </c>
      <c r="H17" s="141" cm="1">
        <f t="array" ref="H17">_xll.FDSZ(C17,"FG_PRICE_MAVG(0,,,,30)")</f>
        <v>37.212333999999998</v>
      </c>
      <c r="I17" s="141" cm="1">
        <f t="array" ref="I17">_xll.FDSZ(C17,"FG_PRICE_MAVG(0,,,,60)")</f>
        <v>37.100665999999997</v>
      </c>
      <c r="J17" s="141" cm="1">
        <f t="array" ref="J17">_xll.FDSZ(C17,"FG_PRICE_MAVG(0,,,,200)")</f>
        <v>36.148099999999999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418.26641999999998</v>
      </c>
      <c r="T17" s="7" cm="1">
        <f t="array" ref="T17">_xll.FDSZ($R17,"FG_PRICE(0)")</f>
        <v>418.26641999999998</v>
      </c>
      <c r="U17" s="7" cm="1">
        <f t="array" ref="U17">_xll.FDSZ($R17,"FG_PRICE(0)")</f>
        <v>418.26641999999998</v>
      </c>
      <c r="V17" s="7" cm="1">
        <f t="array" ref="V17">_xll.FDSZ($R17,"FG_PRICE(0)")</f>
        <v>418.26641999999998</v>
      </c>
    </row>
    <row r="19" spans="1:22" x14ac:dyDescent="0.35">
      <c r="K19" s="1" t="s">
        <v>906</v>
      </c>
      <c r="L19" s="1">
        <f>SUM(L5:L17)</f>
        <v>13</v>
      </c>
      <c r="M19" s="1">
        <f t="shared" ref="M19:N19" si="4">SUM(M5:M17)</f>
        <v>12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1</v>
      </c>
      <c r="M22" s="182">
        <f t="shared" ref="M22:N22" si="6">M19/M20</f>
        <v>0.92307692307692313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93.06</v>
      </c>
      <c r="D3" cm="1">
        <f t="array" ref="D3">_xll.FDS($A3,"FG_PRICE_MAVG(0,,,,30)")</f>
        <v>98.078329999999994</v>
      </c>
      <c r="E3" s="47" cm="1">
        <f t="array" ref="E3">_xll.FDS($A3,"FG_PRICE_CHANGE(0,-1AM)")</f>
        <v>-7.5593523393265096</v>
      </c>
      <c r="F3" s="47" cm="1">
        <f t="array" ref="F3">_xll.FDS($A3,"FG_PRICE_CHANGE(0,-3AM)")</f>
        <v>-12.5540311971434</v>
      </c>
      <c r="G3" s="47" cm="1">
        <f t="array" ref="G3">_xll.FDS($A3,"FG_PRICE_CHANGE(0,-6AM)")</f>
        <v>-17.755192222713202</v>
      </c>
      <c r="H3" s="47" cm="1">
        <f t="array" ref="H3">_xll.FDS($A3,"FG_PRICE_CHANGE(0,-1AY)")</f>
        <v>-22.662677636499598</v>
      </c>
      <c r="I3" s="47" cm="1">
        <f t="array" ref="I3">_xll.FDS($A3,"FG_PRICE(0)/MAX(FG_PRICE(0,-1AY))")</f>
        <v>0.64553274139844596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4.133</v>
      </c>
      <c r="D4" cm="1">
        <f t="array" ref="D4">_xll.FDS($A4,"FG_PRICE_MAVG(0,,,,30)")</f>
        <v>4.0862664999999998</v>
      </c>
      <c r="E4" s="47" cm="1">
        <f t="array" ref="E4">_xll.FDS($A4,"FG_PRICE_CHANGE(0,-1AM)")</f>
        <v>1.92355117139336</v>
      </c>
      <c r="F4" s="47" cm="1">
        <f t="array" ref="F4">_xll.FDS($A4,"FG_PRICE_CHANGE(0,-3AM)")</f>
        <v>-9.7893702935719809</v>
      </c>
      <c r="G4" s="47" cm="1">
        <f t="array" ref="G4">_xll.FDS($A4,"FG_PRICE_CHANGE(0,-6AM)")</f>
        <v>5.2993630573248396</v>
      </c>
      <c r="H4" s="47" cm="1">
        <f t="array" ref="H4">_xll.FDS($A4,"FG_PRICE_CHANGE(0,-1AY)")</f>
        <v>10.154584221748401</v>
      </c>
      <c r="I4" s="47" cm="1">
        <f t="array" ref="I4">_xll.FDS($A4,"FG_PRICE(0)/MAX(FG_PRICE(0,-1AY))")</f>
        <v>0.80738425473725295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-8.9018567639257302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5.63</v>
      </c>
      <c r="D6" cm="1">
        <f t="array" ref="D6">_xll.FDS($A6,"FG_PRICE_MAVG(0,,,,30)")</f>
        <v>5.3585000000000003</v>
      </c>
      <c r="E6" s="47" cm="1">
        <f t="array" ref="E6">_xll.FDS($A6,"FG_PRICE_CHANGE(0,-1AM)")</f>
        <v>4.8905449464368997</v>
      </c>
      <c r="F6" s="47" cm="1">
        <f t="array" ref="F6">_xll.FDS($A6,"FG_PRICE_CHANGE(0,-3AM)")</f>
        <v>-8.7520259319286904</v>
      </c>
      <c r="G6" s="47" cm="1">
        <f t="array" ref="G6">_xll.FDS($A6,"FG_PRICE_CHANGE(0,-6AM)")</f>
        <v>5.1353874883286501</v>
      </c>
      <c r="H6" s="47" cm="1">
        <f t="array" ref="H6">_xll.FDS($A6,"FG_PRICE_CHANGE(0,-1AY)")</f>
        <v>0.490852298081212</v>
      </c>
      <c r="I6" s="47" cm="1">
        <f t="array" ref="I6">_xll.FDS($A6,"FG_PRICE(0)/MAX(FG_PRICE(0,-1AY))")</f>
        <v>0.80399857193859303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4020</v>
      </c>
      <c r="D7" cm="1">
        <f t="array" ref="D7">_xll.FDS($A7,"FG_PRICE_MAVG(0,,,,30)")</f>
        <v>3941.7665999999999</v>
      </c>
      <c r="E7" s="47" cm="1">
        <f t="array" ref="E7">_xll.FDS($A7,"FG_PRICE_CHANGE(0,-1AM)")</f>
        <v>4.96083550913837</v>
      </c>
      <c r="F7" s="47" cm="1">
        <f t="array" ref="F7">_xll.FDS($A7,"FG_PRICE_CHANGE(0,-3AM)")</f>
        <v>1.4639071176173699</v>
      </c>
      <c r="G7" s="47" cm="1">
        <f t="array" ref="G7">_xll.FDS($A7,"FG_PRICE_CHANGE(0,-6AM)")</f>
        <v>-4.2857142857142803</v>
      </c>
      <c r="H7" s="47" cm="1">
        <f t="array" ref="H7">_xll.FDS($A7,"FG_PRICE_CHANGE(0,-1AY)")</f>
        <v>11.7287381878822</v>
      </c>
      <c r="I7" s="47" cm="1">
        <f t="array" ref="I7">_xll.FDS($A7,"FG_PRICE(0)/MAX(FG_PRICE(0,-1AY))")</f>
        <v>0.87792094343743199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970</v>
      </c>
      <c r="D8" cm="1">
        <f t="array" ref="D8">_xll.FDS($A8,"FG_PRICE_MAVG(0,,,,30)")</f>
        <v>947.33330000000001</v>
      </c>
      <c r="E8" s="47" cm="1">
        <f t="array" ref="E8">_xll.FDS($A8,"FG_PRICE_CHANGE(0,-1AM)")</f>
        <v>2.7542372881356001</v>
      </c>
      <c r="F8" s="47" cm="1">
        <f t="array" ref="F8">_xll.FDS($A8,"FG_PRICE_CHANGE(0,-3AM)")</f>
        <v>-0.512820512820511</v>
      </c>
      <c r="G8" s="47" cm="1">
        <f t="array" ref="G8">_xll.FDS($A8,"FG_PRICE_CHANGE(0,-6AM)")</f>
        <v>4.8648648648648596</v>
      </c>
      <c r="H8" s="47" cm="1">
        <f t="array" ref="H8">_xll.FDS($A8,"FG_PRICE_CHANGE(0,-1AY)")</f>
        <v>6.9459757442117001</v>
      </c>
      <c r="I8" s="47" cm="1">
        <f t="array" ref="I8">_xll.FDS($A8,"FG_PRICE(0)/MAX(FG_PRICE(0,-1AY))")</f>
        <v>0.907390084190833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15875</v>
      </c>
      <c r="D9" cm="1">
        <f t="array" ref="D9">_xll.FDS($A9,"FG_PRICE_MAVG(0,,,,30)")</f>
        <v>16147</v>
      </c>
      <c r="E9" s="47" cm="1">
        <f t="array" ref="E9">_xll.FDS($A9,"FG_PRICE_CHANGE(0,-1AM)")</f>
        <v>-0.345260514752044</v>
      </c>
      <c r="F9" s="47" cm="1">
        <f t="array" ref="F9">_xll.FDS($A9,"FG_PRICE_CHANGE(0,-3AM)")</f>
        <v>-9.4151212553495007</v>
      </c>
      <c r="G9" s="47" cm="1">
        <f t="array" ref="G9">_xll.FDS($A9,"FG_PRICE_CHANGE(0,-6AM)")</f>
        <v>-12.462089881444699</v>
      </c>
      <c r="H9" s="47" cm="1">
        <f t="array" ref="H9">_xll.FDS($A9,"FG_PRICE_CHANGE(0,-1AY)")</f>
        <v>-19.944528492183601</v>
      </c>
      <c r="I9" s="47" cm="1">
        <f t="array" ref="I9">_xll.FDS($A9,"FG_PRICE(0)/MAX(FG_PRICE(0,-1AY))")</f>
        <v>0.74618096357226804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1038</v>
      </c>
      <c r="D10" cm="1">
        <f t="array" ref="D10">_xll.FDS($A10,"FG_PRICE_MAVG(0,,,,30)")</f>
        <v>952.63336000000004</v>
      </c>
      <c r="E10" s="47" cm="1">
        <f t="array" ref="E10">_xll.FDS($A10,"FG_PRICE_CHANGE(0,-1AM)")</f>
        <v>9.9576271186440692</v>
      </c>
      <c r="F10" s="47" cm="1">
        <f t="array" ref="F10">_xll.FDS($A10,"FG_PRICE_CHANGE(0,-3AM)")</f>
        <v>11.134903640257001</v>
      </c>
      <c r="G10" s="47" cm="1">
        <f t="array" ref="G10">_xll.FDS($A10,"FG_PRICE_CHANGE(0,-6AM)")</f>
        <v>0.77669902912620403</v>
      </c>
      <c r="H10" s="47" cm="1">
        <f t="array" ref="H10">_xll.FDS($A10,"FG_PRICE_CHANGE(0,-1AY)")</f>
        <v>-15.265306122448999</v>
      </c>
      <c r="I10" s="47" cm="1">
        <f t="array" ref="I10">_xll.FDS($A10,"FG_PRICE(0)/MAX(FG_PRICE(0,-1AY))")</f>
        <v>0.79540229885057501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540.1</v>
      </c>
      <c r="D11" cm="1">
        <f t="array" ref="D11">_xll.FDS($A11,"FG_PRICE_MAVG(0,,,,30)")</f>
        <v>525.48670000000004</v>
      </c>
      <c r="E11" s="47" cm="1">
        <f t="array" ref="E11">_xll.FDS($A11,"FG_PRICE_CHANGE(0,-1AM)")</f>
        <v>3.9853677319984699</v>
      </c>
      <c r="F11" s="47" cm="1">
        <f t="array" ref="F11">_xll.FDS($A11,"FG_PRICE_CHANGE(0,-3AM)")</f>
        <v>-2.6496034607065502</v>
      </c>
      <c r="G11" s="47" cm="1">
        <f t="array" ref="G11">_xll.FDS($A11,"FG_PRICE_CHANGE(0,-6AM)")</f>
        <v>-12.278707162579201</v>
      </c>
      <c r="H11" s="47" cm="1">
        <f t="array" ref="H11">_xll.FDS($A11,"FG_PRICE_CHANGE(0,-1AY)")</f>
        <v>-27.649028801071701</v>
      </c>
      <c r="I11" s="47" cm="1">
        <f t="array" ref="I11">_xll.FDS($A11,"FG_PRICE(0)/MAX(FG_PRICE(0,-1AY))")</f>
        <v>0.70749279538904897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0.88513284999999997</v>
      </c>
      <c r="D12" cm="1">
        <f t="array" ref="D12">_xll.FDS($A12,"FG_PRICE_MAVG(0,,,,30)")</f>
        <v>0.89028220000000002</v>
      </c>
      <c r="E12" s="47" cm="1">
        <f t="array" ref="E12">_xll.FDS($A12,"FG_PRICE_CHANGE(0,-1AM)")</f>
        <v>-6.2856109537978697E-2</v>
      </c>
      <c r="F12" s="47" cm="1">
        <f t="array" ref="F12">_xll.FDS($A12,"FG_PRICE_CHANGE(0,-3AM)")</f>
        <v>-7.3133405928731303</v>
      </c>
      <c r="G12" s="47" cm="1">
        <f t="array" ref="G12">_xll.FDS($A12,"FG_PRICE_CHANGE(0,-6AM)")</f>
        <v>-8.0859693989870003</v>
      </c>
      <c r="H12" s="47" cm="1">
        <f t="array" ref="H12">_xll.FDS($A12,"FG_PRICE_CHANGE(0,-1AY)")</f>
        <v>-8.4466162267721394</v>
      </c>
      <c r="I12" s="47" cm="1">
        <f t="array" ref="I12">_xll.FDS($A12,"FG_PRICE(0)/MAX(FG_PRICE(0,-1AY))")</f>
        <v>0.85108927884615404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41894</v>
      </c>
      <c r="B2" s="3" cm="1">
        <f t="array" ref="B2:B122">_xll.FDS(B1,"FMA_PE(LTMA,-10AY,0,AM,""PORTAGG"",""MEANR"")")</f>
        <v>17.918363776308301</v>
      </c>
      <c r="C2" s="3" cm="1">
        <f t="array" ref="C2:C122">_xll.FDS(C1,"FMA_PE(LTMA,-10AY,0,AM,""PORTAGG"",""MEANR"")")</f>
        <v>15.248715225744601</v>
      </c>
      <c r="D2" s="3" cm="1">
        <f t="array" ref="D2:D122">_xll.FDS(D1,"FMA_PE(LTMA,-10AY,0,AM,""PORTAGG"",""MEANR"")")</f>
        <v>16.425004875966799</v>
      </c>
      <c r="E2" s="3" cm="1">
        <f t="array" ref="E2:E122">_xll.FDS(E1,"FMA_PE(LTMA,-10AY,0,AM,""PORTAGG"",""MEANR"")")</f>
        <v>14.277326060256399</v>
      </c>
      <c r="F2" s="3" cm="1">
        <f t="array" ref="F2:F122">_xll.FDS(F1,"FMA_PE(LTMA,-10AY,0,AM,""PORTAGG"",""MEANR"")")</f>
        <v>15.2585615979241</v>
      </c>
      <c r="G2" s="3" cm="1">
        <f t="array" ref="G2:G122">_xll.FDS(G1,"FMA_PE(LTMA,-10AY,0,AM,""PORTAGG"",""MEANR"")")</f>
        <v>17.394911007235802</v>
      </c>
      <c r="H2" s="3" cm="1">
        <f t="array" ref="H2:H122">_xll.FDS(H1,"FMA_PE(LTMA,-10AY,0,AM,""PORTAGG"",""MEANR"")")</f>
        <v>14.1692022582628</v>
      </c>
      <c r="I2" s="3" cm="1">
        <f t="array" ref="I2:I122">_xll.FDS(I1,"FMA_PE(LTMA,-10AY,0,AM,""PORTAGG"",""MEANR"")")</f>
        <v>19.399703077372799</v>
      </c>
      <c r="J2" s="3" cm="1">
        <f t="array" ref="J2:J122">_xll.FDS(J1,"FMA_PE(LTMA,-10AY,0,AM,""PORTAGG"",""MEANR"")")</f>
        <v>16.453658623244699</v>
      </c>
      <c r="K2" s="3" cm="1">
        <f t="array" ref="K2:K122">_xll.FDS(K1,"FMA_PE(LTMA,-10AY,0,AM,""PORTAGG"",""MEANR"")")</f>
        <v>15.530155352287499</v>
      </c>
      <c r="L2" s="3" cm="1">
        <f t="array" ref="L2:L122">_xll.FDS(L1,"FMA_PE(LTMA,-10AY,0,AM,""PORTAGG"",""MEANR"")")</f>
        <v>16.756418022500899</v>
      </c>
      <c r="M2" s="3" cm="1">
        <f t="array" ref="M2:M122">_xll.FDS(M1,"FMA_PE(LTMA,-10AY,0,AM,""PORTAGG"",""MEANR"")")</f>
        <v>15.5418822235997</v>
      </c>
      <c r="N2" s="3" cm="1">
        <f t="array" ref="N2:N122">_xll.FDS(N1,"FMA_PE(LTMA,-10AY,0,AM,""PORTAGG"",""MEANR"")")</f>
        <v>17.958840274314699</v>
      </c>
    </row>
    <row r="3" spans="1:14" x14ac:dyDescent="0.35">
      <c r="A3" s="2">
        <v>41922</v>
      </c>
      <c r="B3" s="3">
        <v>17.8689048706871</v>
      </c>
      <c r="C3" s="3">
        <v>14.562083777308199</v>
      </c>
      <c r="D3" s="3">
        <v>15.356646062208201</v>
      </c>
      <c r="E3" s="3">
        <v>13.268877833426499</v>
      </c>
      <c r="F3" s="3">
        <v>14.6983497259631</v>
      </c>
      <c r="G3" s="3">
        <v>16.628228287655801</v>
      </c>
      <c r="H3" s="3">
        <v>13.4268495849335</v>
      </c>
      <c r="I3" s="3">
        <v>18.659835265207398</v>
      </c>
      <c r="J3" s="3">
        <v>15.976446953628599</v>
      </c>
      <c r="K3" s="3">
        <v>14.526124386528499</v>
      </c>
      <c r="L3" s="3">
        <v>16.045665143192601</v>
      </c>
      <c r="M3" s="3">
        <v>15.2323805172852</v>
      </c>
      <c r="N3" s="3">
        <v>16.605797020246101</v>
      </c>
    </row>
    <row r="4" spans="1:14" x14ac:dyDescent="0.35">
      <c r="A4" s="2">
        <v>41955</v>
      </c>
      <c r="B4" s="3">
        <v>18.793416441787102</v>
      </c>
      <c r="C4" s="3">
        <v>15.136215117402999</v>
      </c>
      <c r="D4" s="3">
        <v>15.835435676571599</v>
      </c>
      <c r="E4" s="3">
        <v>13.593923131546401</v>
      </c>
      <c r="F4" s="3">
        <v>15.7806870866173</v>
      </c>
      <c r="G4" s="3">
        <v>17.4143168369637</v>
      </c>
      <c r="H4" s="3">
        <v>13.9016167922814</v>
      </c>
      <c r="I4" s="3">
        <v>19.903773219781499</v>
      </c>
      <c r="J4" s="3">
        <v>16.880876812208999</v>
      </c>
      <c r="K4" s="3">
        <v>14.8011011790498</v>
      </c>
      <c r="L4" s="3">
        <v>17.155837541455799</v>
      </c>
      <c r="M4" s="3">
        <v>16.618335927451099</v>
      </c>
      <c r="N4" s="3">
        <v>17.049782356548899</v>
      </c>
    </row>
    <row r="5" spans="1:14" x14ac:dyDescent="0.35">
      <c r="A5" s="2">
        <v>41985</v>
      </c>
      <c r="B5" s="3">
        <v>18.936400045424101</v>
      </c>
      <c r="C5" s="3">
        <v>14.1659501262923</v>
      </c>
      <c r="D5" s="3">
        <v>14.8072666396075</v>
      </c>
      <c r="E5" s="3">
        <v>14.0426136947858</v>
      </c>
      <c r="F5" s="3">
        <v>15.6711940372779</v>
      </c>
      <c r="G5" s="3">
        <v>17.127901925489599</v>
      </c>
      <c r="H5" s="3">
        <v>13.275844348119501</v>
      </c>
      <c r="I5" s="3">
        <v>19.935976692912</v>
      </c>
      <c r="J5" s="3">
        <v>16.688650113344199</v>
      </c>
      <c r="K5" s="3">
        <v>14.6271358430067</v>
      </c>
      <c r="L5" s="3">
        <v>17.1197986578401</v>
      </c>
      <c r="M5" s="3">
        <v>17.0741162601201</v>
      </c>
      <c r="N5" s="3">
        <v>17.856932097787301</v>
      </c>
    </row>
    <row r="6" spans="1:14" x14ac:dyDescent="0.35">
      <c r="A6" s="2">
        <v>42016</v>
      </c>
      <c r="B6" s="3">
        <v>19.432797903554199</v>
      </c>
      <c r="C6" s="3">
        <v>14.840133402455599</v>
      </c>
      <c r="D6" s="3">
        <v>15.204058448148</v>
      </c>
      <c r="E6" s="3">
        <v>14.251580552375</v>
      </c>
      <c r="F6" s="3">
        <v>15.550426397401701</v>
      </c>
      <c r="G6" s="3">
        <v>17.274164856215801</v>
      </c>
      <c r="H6" s="3">
        <v>13.4782820905794</v>
      </c>
      <c r="I6" s="3">
        <v>19.725647020299601</v>
      </c>
      <c r="J6" s="3">
        <v>17.036144607509801</v>
      </c>
      <c r="K6" s="3">
        <v>14.895692461507799</v>
      </c>
      <c r="L6" s="3">
        <v>17.513633716281799</v>
      </c>
      <c r="M6" s="3">
        <v>17.4373772538314</v>
      </c>
      <c r="N6" s="3">
        <v>18.145668128084999</v>
      </c>
    </row>
    <row r="7" spans="1:14" x14ac:dyDescent="0.35">
      <c r="A7" s="2">
        <v>42047</v>
      </c>
      <c r="B7" s="3">
        <v>19.837609050527298</v>
      </c>
      <c r="C7" s="3">
        <v>15.575587955466199</v>
      </c>
      <c r="D7" s="3">
        <v>16.678010548558099</v>
      </c>
      <c r="E7" s="3">
        <v>15.795751567763601</v>
      </c>
      <c r="F7" s="3">
        <v>16.033551018592</v>
      </c>
      <c r="G7" s="3">
        <v>17.270021614033801</v>
      </c>
      <c r="H7" s="3">
        <v>14.5536728659222</v>
      </c>
      <c r="I7" s="3">
        <v>20.268321223775398</v>
      </c>
      <c r="J7" s="3">
        <v>17.474246476217498</v>
      </c>
      <c r="K7" s="3">
        <v>16.583230320906601</v>
      </c>
      <c r="L7" s="3">
        <v>19.095484791478</v>
      </c>
      <c r="M7" s="3">
        <v>19.6105342602877</v>
      </c>
      <c r="N7" s="3">
        <v>39.4375843819872</v>
      </c>
    </row>
    <row r="8" spans="1:14" x14ac:dyDescent="0.35">
      <c r="A8" s="2">
        <v>42075</v>
      </c>
      <c r="B8" s="3">
        <v>20.470209692888702</v>
      </c>
      <c r="C8" s="3">
        <v>16.174432241038598</v>
      </c>
      <c r="D8" s="3">
        <v>16.978258069132799</v>
      </c>
      <c r="E8" s="3">
        <v>16.531228655221302</v>
      </c>
      <c r="F8" s="3">
        <v>16.913621979790001</v>
      </c>
      <c r="G8" s="3">
        <v>17.965468089092202</v>
      </c>
      <c r="H8" s="3">
        <v>15.1304908895601</v>
      </c>
      <c r="I8" s="3">
        <v>20.623534179588699</v>
      </c>
      <c r="J8" s="3">
        <v>17.525495776137301</v>
      </c>
      <c r="K8" s="3">
        <v>17.5476247516409</v>
      </c>
      <c r="L8" s="3">
        <v>20.112015151530201</v>
      </c>
      <c r="M8" s="3">
        <v>20.141000349149099</v>
      </c>
      <c r="N8" s="3">
        <v>44.159891557428303</v>
      </c>
    </row>
    <row r="9" spans="1:14" x14ac:dyDescent="0.35">
      <c r="A9" s="2">
        <v>42104</v>
      </c>
      <c r="B9" s="3">
        <v>20.204217829573899</v>
      </c>
      <c r="C9" s="3">
        <v>16.375470396403401</v>
      </c>
      <c r="D9" s="3">
        <v>17.2093417824561</v>
      </c>
      <c r="E9" s="3">
        <v>16.646122667962999</v>
      </c>
      <c r="F9" s="3">
        <v>16.908602466763899</v>
      </c>
      <c r="G9" s="3">
        <v>18.201860561594401</v>
      </c>
      <c r="H9" s="3">
        <v>15.465341526354701</v>
      </c>
      <c r="I9" s="3">
        <v>20.516593478429499</v>
      </c>
      <c r="J9" s="3">
        <v>17.560362644701101</v>
      </c>
      <c r="K9" s="3">
        <v>17.7251653235171</v>
      </c>
      <c r="L9" s="3">
        <v>20.027344155424299</v>
      </c>
      <c r="M9" s="3">
        <v>19.901053358803701</v>
      </c>
      <c r="N9" s="3">
        <v>41.630709008208001</v>
      </c>
    </row>
    <row r="10" spans="1:14" x14ac:dyDescent="0.35">
      <c r="A10" s="2">
        <v>42136</v>
      </c>
      <c r="B10" s="3">
        <v>20.036765656695898</v>
      </c>
      <c r="C10" s="3">
        <v>16.2278065536212</v>
      </c>
      <c r="D10" s="3">
        <v>17.215770163282102</v>
      </c>
      <c r="E10" s="3">
        <v>16.0881986755216</v>
      </c>
      <c r="F10" s="3">
        <v>16.954753443350299</v>
      </c>
      <c r="G10" s="3">
        <v>17.9885032694303</v>
      </c>
      <c r="H10" s="3">
        <v>15.656279432937</v>
      </c>
      <c r="I10" s="3">
        <v>20.2432758693473</v>
      </c>
      <c r="J10" s="3">
        <v>17.508551760702201</v>
      </c>
      <c r="K10" s="3">
        <v>17.3919850440315</v>
      </c>
      <c r="L10" s="3">
        <v>19.482780313678099</v>
      </c>
      <c r="M10" s="3">
        <v>18.882357790661199</v>
      </c>
      <c r="N10" s="3">
        <v>38.525891308109401</v>
      </c>
    </row>
    <row r="11" spans="1:14" x14ac:dyDescent="0.35">
      <c r="A11" s="2">
        <v>42167</v>
      </c>
      <c r="B11" s="3">
        <v>19.960864174025399</v>
      </c>
      <c r="C11" s="3">
        <v>15.9774469485795</v>
      </c>
      <c r="D11" s="3">
        <v>17.120800213700001</v>
      </c>
      <c r="E11" s="3">
        <v>15.6856312016131</v>
      </c>
      <c r="F11" s="3">
        <v>17.018206918410101</v>
      </c>
      <c r="G11" s="3">
        <v>17.949987353111101</v>
      </c>
      <c r="H11" s="3">
        <v>15.645627539342801</v>
      </c>
      <c r="I11" s="3">
        <v>20.098888269473299</v>
      </c>
      <c r="J11" s="3">
        <v>17.4577741585105</v>
      </c>
      <c r="K11" s="3">
        <v>17.215772808702098</v>
      </c>
      <c r="L11" s="3">
        <v>19.092702076304299</v>
      </c>
      <c r="M11" s="3">
        <v>18.931319532822702</v>
      </c>
      <c r="N11" s="3">
        <v>35.4727126625504</v>
      </c>
    </row>
    <row r="12" spans="1:14" x14ac:dyDescent="0.35">
      <c r="A12" s="2">
        <v>42195</v>
      </c>
      <c r="B12" s="3">
        <v>19.6258591634084</v>
      </c>
      <c r="C12" s="3">
        <v>15.860344603900799</v>
      </c>
      <c r="D12" s="3">
        <v>16.9457934484426</v>
      </c>
      <c r="E12" s="3">
        <v>15.555457482869199</v>
      </c>
      <c r="F12" s="3">
        <v>16.477722150236701</v>
      </c>
      <c r="G12" s="3">
        <v>17.970729065286299</v>
      </c>
      <c r="H12" s="3">
        <v>15.582214763222501</v>
      </c>
      <c r="I12" s="3">
        <v>19.848639849408102</v>
      </c>
      <c r="J12" s="3">
        <v>17.377537476163202</v>
      </c>
      <c r="K12" s="3">
        <v>17.0925287416513</v>
      </c>
      <c r="L12" s="3">
        <v>18.943854333491501</v>
      </c>
      <c r="M12" s="3">
        <v>18.642304051881698</v>
      </c>
      <c r="N12" s="3">
        <v>32.8268562504785</v>
      </c>
    </row>
    <row r="13" spans="1:14" x14ac:dyDescent="0.35">
      <c r="A13" s="2">
        <v>42228</v>
      </c>
      <c r="B13" s="3">
        <v>19.497799277345099</v>
      </c>
      <c r="C13" s="3">
        <v>15.7698913112468</v>
      </c>
      <c r="D13" s="3">
        <v>16.960923627564</v>
      </c>
      <c r="E13" s="3">
        <v>15.0095911423568</v>
      </c>
      <c r="F13" s="3">
        <v>16.8120193082556</v>
      </c>
      <c r="G13" s="3">
        <v>17.8511177729862</v>
      </c>
      <c r="H13" s="3">
        <v>15.652682755475499</v>
      </c>
      <c r="I13" s="3">
        <v>20.245825588609499</v>
      </c>
      <c r="J13" s="3">
        <v>17.440763551386699</v>
      </c>
      <c r="K13" s="3">
        <v>16.800890226070099</v>
      </c>
      <c r="L13" s="3">
        <v>18.3945565548545</v>
      </c>
      <c r="M13" s="3">
        <v>18.262575110813799</v>
      </c>
      <c r="N13" s="3">
        <v>30.087715302250601</v>
      </c>
    </row>
    <row r="14" spans="1:14" x14ac:dyDescent="0.35">
      <c r="A14" s="2">
        <v>42258</v>
      </c>
      <c r="B14" s="3">
        <v>19.0525039041733</v>
      </c>
      <c r="C14" s="3">
        <v>15.2345937139231</v>
      </c>
      <c r="D14" s="3">
        <v>16.445158907232901</v>
      </c>
      <c r="E14" s="3">
        <v>14.1879545370979</v>
      </c>
      <c r="F14" s="3">
        <v>15.455487207127501</v>
      </c>
      <c r="G14" s="3">
        <v>17.304875112428999</v>
      </c>
      <c r="H14" s="3">
        <v>15.018967059324</v>
      </c>
      <c r="I14" s="3">
        <v>19.5311811452464</v>
      </c>
      <c r="J14" s="3">
        <v>16.738054289114199</v>
      </c>
      <c r="K14" s="3">
        <v>15.847970967571801</v>
      </c>
      <c r="L14" s="3">
        <v>17.088862481413699</v>
      </c>
      <c r="M14" s="3">
        <v>17.279303963411099</v>
      </c>
      <c r="N14" s="3">
        <v>26.819784968498801</v>
      </c>
    </row>
    <row r="15" spans="1:14" x14ac:dyDescent="0.35">
      <c r="A15" s="2">
        <v>42289</v>
      </c>
      <c r="B15" s="3">
        <v>18.772789558704901</v>
      </c>
      <c r="C15" s="3">
        <v>15.662360419521301</v>
      </c>
      <c r="D15" s="3">
        <v>17.0538587571275</v>
      </c>
      <c r="E15" s="3">
        <v>13.992744660433999</v>
      </c>
      <c r="F15" s="3">
        <v>15.5880454226371</v>
      </c>
      <c r="G15" s="3">
        <v>17.443146787909001</v>
      </c>
      <c r="H15" s="3">
        <v>15.6773109327592</v>
      </c>
      <c r="I15" s="3">
        <v>19.600772075728202</v>
      </c>
      <c r="J15" s="3">
        <v>17.098631752110698</v>
      </c>
      <c r="K15" s="3">
        <v>16.038429851124398</v>
      </c>
      <c r="L15" s="3">
        <v>16.898134639517199</v>
      </c>
      <c r="M15" s="3">
        <v>16.996674012257898</v>
      </c>
      <c r="N15" s="3">
        <v>24.430443835731801</v>
      </c>
    </row>
    <row r="16" spans="1:14" x14ac:dyDescent="0.35">
      <c r="A16" s="2">
        <v>42320</v>
      </c>
      <c r="B16" s="3">
        <v>19.487889736583099</v>
      </c>
      <c r="C16" s="3">
        <v>15.316040072179501</v>
      </c>
      <c r="D16" s="3">
        <v>16.3998845222462</v>
      </c>
      <c r="E16" s="3">
        <v>14.4146974562052</v>
      </c>
      <c r="F16" s="3">
        <v>16.1700696790666</v>
      </c>
      <c r="G16" s="3">
        <v>17.461273546983101</v>
      </c>
      <c r="H16" s="3">
        <v>15.5104481596813</v>
      </c>
      <c r="I16" s="3">
        <v>20.1198605515279</v>
      </c>
      <c r="J16" s="3">
        <v>17.181565896147699</v>
      </c>
      <c r="K16" s="3">
        <v>16.247368465853999</v>
      </c>
      <c r="L16" s="3">
        <v>17.938459002140899</v>
      </c>
      <c r="M16" s="3">
        <v>16.706607892827201</v>
      </c>
      <c r="N16" s="3">
        <v>22.1156792135926</v>
      </c>
    </row>
    <row r="17" spans="1:14" x14ac:dyDescent="0.35">
      <c r="A17" s="2">
        <v>42349</v>
      </c>
      <c r="B17" s="3">
        <v>19.473205954471201</v>
      </c>
      <c r="C17" s="3">
        <v>15.1460539267285</v>
      </c>
      <c r="D17" s="3">
        <v>15.8825064152861</v>
      </c>
      <c r="E17" s="3">
        <v>13.7111668565447</v>
      </c>
      <c r="F17" s="3">
        <v>15.734426555517899</v>
      </c>
      <c r="G17" s="3">
        <v>17.009780886121</v>
      </c>
      <c r="H17" s="3">
        <v>15.0845130535522</v>
      </c>
      <c r="I17" s="3">
        <v>19.8636286828396</v>
      </c>
      <c r="J17" s="3">
        <v>16.874155521536601</v>
      </c>
      <c r="K17" s="3">
        <v>15.2843130643889</v>
      </c>
      <c r="L17" s="3">
        <v>16.9058584507065</v>
      </c>
      <c r="M17" s="3">
        <v>15.838998612314001</v>
      </c>
      <c r="N17" s="3">
        <v>19.344343780991899</v>
      </c>
    </row>
    <row r="18" spans="1:14" x14ac:dyDescent="0.35">
      <c r="A18" s="2">
        <v>42381</v>
      </c>
      <c r="B18" s="3">
        <v>19.1102874066375</v>
      </c>
      <c r="C18" s="3">
        <v>14.8181427924261</v>
      </c>
      <c r="D18" s="3">
        <v>15.0105306018084</v>
      </c>
      <c r="E18" s="3">
        <v>12.9965822050883</v>
      </c>
      <c r="F18" s="3">
        <v>14.181979222951499</v>
      </c>
      <c r="G18" s="3">
        <v>16.4361305248846</v>
      </c>
      <c r="H18" s="3">
        <v>14.8368467695053</v>
      </c>
      <c r="I18" s="3">
        <v>19.150903210889499</v>
      </c>
      <c r="J18" s="3">
        <v>16.2720666623329</v>
      </c>
      <c r="K18" s="3">
        <v>14.536390124670101</v>
      </c>
      <c r="L18" s="3">
        <v>15.956659249713001</v>
      </c>
      <c r="M18" s="3">
        <v>14.903994845279801</v>
      </c>
      <c r="N18" s="3">
        <v>17.0090122757267</v>
      </c>
    </row>
    <row r="19" spans="1:14" x14ac:dyDescent="0.35">
      <c r="A19" s="2">
        <v>42412</v>
      </c>
      <c r="B19" s="3">
        <v>18.4106846123147</v>
      </c>
      <c r="C19" s="3">
        <v>14.568773726304601</v>
      </c>
      <c r="D19" s="3">
        <v>14.9497150856927</v>
      </c>
      <c r="E19" s="3">
        <v>11.882136960508101</v>
      </c>
      <c r="F19" s="3">
        <v>12.4005548182792</v>
      </c>
      <c r="G19" s="3">
        <v>16.1151152552656</v>
      </c>
      <c r="H19" s="3">
        <v>14.444541912726701</v>
      </c>
      <c r="I19" s="3">
        <v>17.6074768266086</v>
      </c>
      <c r="J19" s="3">
        <v>16.2966838906097</v>
      </c>
      <c r="K19" s="3">
        <v>13.963219371118999</v>
      </c>
      <c r="L19" s="3">
        <v>14.7508105727415</v>
      </c>
      <c r="M19" s="3">
        <v>14.3012901753472</v>
      </c>
      <c r="N19" s="3">
        <v>14.702628526124199</v>
      </c>
    </row>
    <row r="20" spans="1:14" x14ac:dyDescent="0.35">
      <c r="A20" s="2">
        <v>42440</v>
      </c>
      <c r="B20" s="3">
        <v>19.335646029564799</v>
      </c>
      <c r="C20" s="3">
        <v>15.155161120515899</v>
      </c>
      <c r="D20" s="3">
        <v>15.905055466823701</v>
      </c>
      <c r="E20" s="3">
        <v>12.7194321345345</v>
      </c>
      <c r="F20" s="3">
        <v>13.898062195756101</v>
      </c>
      <c r="G20" s="3">
        <v>16.665841029193299</v>
      </c>
      <c r="H20" s="3">
        <v>15.6255820413721</v>
      </c>
      <c r="I20" s="3">
        <v>18.266448060217801</v>
      </c>
      <c r="J20" s="3">
        <v>16.188193427520002</v>
      </c>
      <c r="K20" s="3">
        <v>15.218487822890101</v>
      </c>
      <c r="L20" s="3">
        <v>16.423990037399498</v>
      </c>
      <c r="M20" s="3">
        <v>15.6817963226905</v>
      </c>
      <c r="N20" s="3">
        <v>15.491198863705</v>
      </c>
    </row>
    <row r="21" spans="1:14" x14ac:dyDescent="0.35">
      <c r="A21" s="2">
        <v>42472</v>
      </c>
      <c r="B21" s="3">
        <v>19.296246255482</v>
      </c>
      <c r="C21" s="3">
        <v>15.09983833373</v>
      </c>
      <c r="D21" s="3">
        <v>16.084999520149299</v>
      </c>
      <c r="E21" s="3">
        <v>12.7216211949147</v>
      </c>
      <c r="F21" s="3">
        <v>13.681268206476</v>
      </c>
      <c r="G21" s="3">
        <v>16.684360894939299</v>
      </c>
      <c r="H21" s="3">
        <v>15.8407457097645</v>
      </c>
      <c r="I21" s="3">
        <v>18.412159868963801</v>
      </c>
      <c r="J21" s="3">
        <v>16.445215307047398</v>
      </c>
      <c r="K21" s="3">
        <v>15.1085581735543</v>
      </c>
      <c r="L21" s="3">
        <v>16.292477851211402</v>
      </c>
      <c r="M21" s="3">
        <v>15.5877059667434</v>
      </c>
      <c r="N21" s="3">
        <v>15.1190252630908</v>
      </c>
    </row>
    <row r="22" spans="1:14" x14ac:dyDescent="0.35">
      <c r="A22" s="2">
        <v>42502</v>
      </c>
      <c r="B22" s="3">
        <v>19.625098227975801</v>
      </c>
      <c r="C22" s="3">
        <v>15.6535108973289</v>
      </c>
      <c r="D22" s="3">
        <v>16.364621753524801</v>
      </c>
      <c r="E22" s="3">
        <v>12.755151271809501</v>
      </c>
      <c r="F22" s="3">
        <v>13.8565568844956</v>
      </c>
      <c r="G22" s="3">
        <v>16.830274780096701</v>
      </c>
      <c r="H22" s="3">
        <v>15.819783908900799</v>
      </c>
      <c r="I22" s="3">
        <v>18.333356285976201</v>
      </c>
      <c r="J22" s="3">
        <v>16.565182572190999</v>
      </c>
      <c r="K22" s="3">
        <v>15.040453811804101</v>
      </c>
      <c r="L22" s="3">
        <v>16.117538114096298</v>
      </c>
      <c r="M22" s="3">
        <v>15.445757268591199</v>
      </c>
      <c r="N22" s="3">
        <v>15.382815091991199</v>
      </c>
    </row>
    <row r="23" spans="1:14" x14ac:dyDescent="0.35">
      <c r="A23" s="2">
        <v>42531</v>
      </c>
      <c r="B23" s="3">
        <v>19.7688926499115</v>
      </c>
      <c r="C23" s="3">
        <v>15.752377022043699</v>
      </c>
      <c r="D23" s="3">
        <v>16.7352595149435</v>
      </c>
      <c r="E23" s="3">
        <v>12.7200029920131</v>
      </c>
      <c r="F23" s="3">
        <v>14.030157073505499</v>
      </c>
      <c r="G23" s="3">
        <v>16.9699568280293</v>
      </c>
      <c r="H23" s="3">
        <v>15.893127707577801</v>
      </c>
      <c r="I23" s="3">
        <v>18.541920771119699</v>
      </c>
      <c r="J23" s="3">
        <v>16.790339090958501</v>
      </c>
      <c r="K23" s="3">
        <v>14.9770349644531</v>
      </c>
      <c r="L23" s="3">
        <v>16.0153692848959</v>
      </c>
      <c r="M23" s="3">
        <v>15.325557318010601</v>
      </c>
      <c r="N23" s="3">
        <v>14.794178916983601</v>
      </c>
    </row>
    <row r="24" spans="1:14" x14ac:dyDescent="0.35">
      <c r="A24" s="2">
        <v>42563</v>
      </c>
      <c r="B24" s="3">
        <v>20.000955583257401</v>
      </c>
      <c r="C24" s="3">
        <v>15.9878021234661</v>
      </c>
      <c r="D24" s="3">
        <v>17.0990147071659</v>
      </c>
      <c r="E24" s="3">
        <v>12.844869881843501</v>
      </c>
      <c r="F24" s="3">
        <v>13.9404361415422</v>
      </c>
      <c r="G24" s="3">
        <v>17.292553634553201</v>
      </c>
      <c r="H24" s="3">
        <v>16.443165759288799</v>
      </c>
      <c r="I24" s="3">
        <v>18.9831259432409</v>
      </c>
      <c r="J24" s="3">
        <v>17.1920818533968</v>
      </c>
      <c r="K24" s="3">
        <v>14.931812736612001</v>
      </c>
      <c r="L24" s="3">
        <v>15.947855113228499</v>
      </c>
      <c r="M24" s="3">
        <v>15.541289513041001</v>
      </c>
      <c r="N24" s="3">
        <v>14.5983418565232</v>
      </c>
    </row>
    <row r="25" spans="1:14" x14ac:dyDescent="0.35">
      <c r="A25" s="2">
        <v>42594</v>
      </c>
      <c r="B25" s="3">
        <v>20.6738365589074</v>
      </c>
      <c r="C25" s="3">
        <v>16.609676108332</v>
      </c>
      <c r="D25" s="3">
        <v>17.451468651531101</v>
      </c>
      <c r="E25" s="3">
        <v>13.4364864067603</v>
      </c>
      <c r="F25" s="3">
        <v>14.143870773512299</v>
      </c>
      <c r="G25" s="3">
        <v>17.948334295711501</v>
      </c>
      <c r="H25" s="3">
        <v>16.947690749445101</v>
      </c>
      <c r="I25" s="3">
        <v>19.5557290844995</v>
      </c>
      <c r="J25" s="3">
        <v>17.521430505283799</v>
      </c>
      <c r="K25" s="3">
        <v>15.0967390108048</v>
      </c>
      <c r="L25" s="3">
        <v>16.2220108363401</v>
      </c>
      <c r="M25" s="3">
        <v>16.043187619888901</v>
      </c>
      <c r="N25" s="3">
        <v>15.1614797734865</v>
      </c>
    </row>
    <row r="26" spans="1:14" x14ac:dyDescent="0.35">
      <c r="A26" s="2">
        <v>42625</v>
      </c>
      <c r="B26" s="3">
        <v>20.888519177684099</v>
      </c>
      <c r="C26" s="3">
        <v>16.087299789495599</v>
      </c>
      <c r="D26" s="3">
        <v>17.584964651326501</v>
      </c>
      <c r="E26" s="3">
        <v>13.3946109368856</v>
      </c>
      <c r="F26" s="3">
        <v>14.2446210423669</v>
      </c>
      <c r="G26" s="3">
        <v>17.935309166698602</v>
      </c>
      <c r="H26" s="3">
        <v>16.741978646473299</v>
      </c>
      <c r="I26" s="3">
        <v>19.5556798208762</v>
      </c>
      <c r="J26" s="3">
        <v>17.586212590249499</v>
      </c>
      <c r="K26" s="3">
        <v>14.9285199007636</v>
      </c>
      <c r="L26" s="3">
        <v>15.935240307015199</v>
      </c>
      <c r="M26" s="3">
        <v>16.011224960380702</v>
      </c>
      <c r="N26" s="3">
        <v>14.8975683147053</v>
      </c>
    </row>
    <row r="27" spans="1:14" x14ac:dyDescent="0.35">
      <c r="A27" s="2">
        <v>42655</v>
      </c>
      <c r="B27" s="3">
        <v>20.390601869448801</v>
      </c>
      <c r="C27" s="3">
        <v>16.895832027091501</v>
      </c>
      <c r="D27" s="3">
        <v>17.8997672542299</v>
      </c>
      <c r="E27" s="3">
        <v>13.607527575851501</v>
      </c>
      <c r="F27" s="3">
        <v>14.3313330096841</v>
      </c>
      <c r="G27" s="3">
        <v>17.8491407711956</v>
      </c>
      <c r="H27" s="3">
        <v>16.935032274887998</v>
      </c>
      <c r="I27" s="3">
        <v>19.849927866228899</v>
      </c>
      <c r="J27" s="3">
        <v>17.6406812163262</v>
      </c>
      <c r="K27" s="3">
        <v>14.8577798374795</v>
      </c>
      <c r="L27" s="3">
        <v>15.847630626085</v>
      </c>
      <c r="M27" s="3">
        <v>16.889721026766299</v>
      </c>
      <c r="N27" s="3">
        <v>14.6117228744671</v>
      </c>
    </row>
    <row r="28" spans="1:14" x14ac:dyDescent="0.35">
      <c r="A28" s="2">
        <v>42685</v>
      </c>
      <c r="B28" s="3">
        <v>19.512437207791098</v>
      </c>
      <c r="C28" s="3">
        <v>16.999167312351499</v>
      </c>
      <c r="D28" s="3">
        <v>18.267031202304</v>
      </c>
      <c r="E28" s="3">
        <v>13.7021570143689</v>
      </c>
      <c r="F28" s="3">
        <v>14.726368354767001</v>
      </c>
      <c r="G28" s="3">
        <v>17.609316617434299</v>
      </c>
      <c r="H28" s="3">
        <v>16.317418282621102</v>
      </c>
      <c r="I28" s="3">
        <v>19.597928995487798</v>
      </c>
      <c r="J28" s="3">
        <v>17.9034217539695</v>
      </c>
      <c r="K28" s="3">
        <v>14.7815856200756</v>
      </c>
      <c r="L28" s="3">
        <v>15.4974932696237</v>
      </c>
      <c r="M28" s="3">
        <v>17.041238710600499</v>
      </c>
      <c r="N28" s="3">
        <v>14.4928546227796</v>
      </c>
    </row>
    <row r="29" spans="1:14" x14ac:dyDescent="0.35">
      <c r="A29" s="2">
        <v>42716</v>
      </c>
      <c r="B29" s="3">
        <v>19.833706988104201</v>
      </c>
      <c r="C29" s="3">
        <v>17.512808216080899</v>
      </c>
      <c r="D29" s="3">
        <v>19.1354350165924</v>
      </c>
      <c r="E29" s="3">
        <v>14.359045306679601</v>
      </c>
      <c r="F29" s="3">
        <v>16.4263200702425</v>
      </c>
      <c r="G29" s="3">
        <v>17.784123506972101</v>
      </c>
      <c r="H29" s="3">
        <v>16.797339576052501</v>
      </c>
      <c r="I29" s="3">
        <v>20.1769325879118</v>
      </c>
      <c r="J29" s="3">
        <v>18.7952576269203</v>
      </c>
      <c r="K29" s="3">
        <v>15.4873401974193</v>
      </c>
      <c r="L29" s="3">
        <v>15.8959445533617</v>
      </c>
      <c r="M29" s="3">
        <v>18.122254342820799</v>
      </c>
      <c r="N29" s="3">
        <v>15.7647993085375</v>
      </c>
    </row>
    <row r="30" spans="1:14" x14ac:dyDescent="0.35">
      <c r="A30" s="2">
        <v>42747</v>
      </c>
      <c r="B30" s="3">
        <v>20.479648727554</v>
      </c>
      <c r="C30" s="3">
        <v>18.053801943517598</v>
      </c>
      <c r="D30" s="3">
        <v>19.445916631652601</v>
      </c>
      <c r="E30" s="3">
        <v>14.816711860512999</v>
      </c>
      <c r="F30" s="3">
        <v>16.5659264195316</v>
      </c>
      <c r="G30" s="3">
        <v>18.5729560813297</v>
      </c>
      <c r="H30" s="3">
        <v>17.327135581152401</v>
      </c>
      <c r="I30" s="3">
        <v>20.9669482741248</v>
      </c>
      <c r="J30" s="3">
        <v>19.016912378947801</v>
      </c>
      <c r="K30" s="3">
        <v>15.799128637669799</v>
      </c>
      <c r="L30" s="3">
        <v>16.277472428156099</v>
      </c>
      <c r="M30" s="3">
        <v>18.028714029183799</v>
      </c>
      <c r="N30" s="3">
        <v>27.354962212004899</v>
      </c>
    </row>
    <row r="31" spans="1:14" x14ac:dyDescent="0.35">
      <c r="A31" s="2">
        <v>42776</v>
      </c>
      <c r="B31" s="3">
        <v>20.552229099609701</v>
      </c>
      <c r="C31" s="3">
        <v>17.766398579478601</v>
      </c>
      <c r="D31" s="3">
        <v>19.8096750901768</v>
      </c>
      <c r="E31" s="3">
        <v>14.924578858411801</v>
      </c>
      <c r="F31" s="3">
        <v>16.3935407048128</v>
      </c>
      <c r="G31" s="3">
        <v>18.696486085032902</v>
      </c>
      <c r="H31" s="3">
        <v>17.3356477048108</v>
      </c>
      <c r="I31" s="3">
        <v>21.5272966967445</v>
      </c>
      <c r="J31" s="3">
        <v>19.1890335371885</v>
      </c>
      <c r="K31" s="3">
        <v>15.447801357946</v>
      </c>
      <c r="L31" s="3">
        <v>16.204090443971701</v>
      </c>
      <c r="M31" s="3">
        <v>18.467689087689902</v>
      </c>
      <c r="N31" s="3">
        <v>20.211300803290801</v>
      </c>
    </row>
    <row r="32" spans="1:14" x14ac:dyDescent="0.35">
      <c r="A32" s="2">
        <v>42804</v>
      </c>
      <c r="B32" s="3">
        <v>19.793036856123699</v>
      </c>
      <c r="C32" s="3">
        <v>17.486200019872001</v>
      </c>
      <c r="D32" s="3">
        <v>19.3120615915666</v>
      </c>
      <c r="E32" s="3">
        <v>14.9697675917959</v>
      </c>
      <c r="F32" s="3">
        <v>15.9556360058039</v>
      </c>
      <c r="G32" s="3">
        <v>19.641862742266099</v>
      </c>
      <c r="H32" s="3">
        <v>17.2791303258414</v>
      </c>
      <c r="I32" s="3">
        <v>21.701282469196101</v>
      </c>
      <c r="J32" s="3">
        <v>19.461242377578301</v>
      </c>
      <c r="K32" s="3">
        <v>15.6137152627227</v>
      </c>
      <c r="L32" s="3">
        <v>16.504209484772701</v>
      </c>
      <c r="M32" s="3">
        <v>17.519675769980498</v>
      </c>
      <c r="N32" s="3">
        <v>83.693688577698495</v>
      </c>
    </row>
    <row r="33" spans="1:14" x14ac:dyDescent="0.35">
      <c r="A33" s="2">
        <v>42837</v>
      </c>
      <c r="B33" s="3">
        <v>19.830741027779599</v>
      </c>
      <c r="C33" s="3">
        <v>17.3610581461155</v>
      </c>
      <c r="D33" s="3">
        <v>19.014626885481899</v>
      </c>
      <c r="E33" s="3">
        <v>14.8985708442522</v>
      </c>
      <c r="F33" s="3">
        <v>15.5595368109379</v>
      </c>
      <c r="G33" s="3">
        <v>19.440202276646701</v>
      </c>
      <c r="H33" s="3">
        <v>17.0436874761808</v>
      </c>
      <c r="I33" s="3">
        <v>21.5599847226711</v>
      </c>
      <c r="J33" s="3">
        <v>19.247915974369999</v>
      </c>
      <c r="K33" s="3">
        <v>15.638070379050101</v>
      </c>
      <c r="L33" s="3">
        <v>16.5542429267398</v>
      </c>
      <c r="M33" s="3">
        <v>17.568419106374801</v>
      </c>
      <c r="N33" s="3">
        <v>75.891639733110196</v>
      </c>
    </row>
    <row r="34" spans="1:14" x14ac:dyDescent="0.35">
      <c r="A34" s="2">
        <v>42867</v>
      </c>
      <c r="B34" s="3">
        <v>20.015258309174801</v>
      </c>
      <c r="C34" s="3">
        <v>17.1268254270935</v>
      </c>
      <c r="D34" s="3">
        <v>18.653351064750701</v>
      </c>
      <c r="E34" s="3">
        <v>14.9118486583776</v>
      </c>
      <c r="F34" s="3">
        <v>15.6974544801761</v>
      </c>
      <c r="G34" s="3">
        <v>19.567043329907499</v>
      </c>
      <c r="H34" s="3">
        <v>16.884467220911699</v>
      </c>
      <c r="I34" s="3">
        <v>21.841770830310899</v>
      </c>
      <c r="J34" s="3">
        <v>19.1845115873076</v>
      </c>
      <c r="K34" s="3">
        <v>15.864664468419599</v>
      </c>
      <c r="L34" s="3">
        <v>16.743210305938799</v>
      </c>
      <c r="M34" s="3">
        <v>17.669918177105</v>
      </c>
      <c r="N34" s="3">
        <v>69.138955295486298</v>
      </c>
    </row>
    <row r="35" spans="1:14" x14ac:dyDescent="0.35">
      <c r="A35" s="2">
        <v>42898</v>
      </c>
      <c r="B35" s="3">
        <v>19.9465900258188</v>
      </c>
      <c r="C35" s="3">
        <v>16.754785819725701</v>
      </c>
      <c r="D35" s="3">
        <v>18.2858303061406</v>
      </c>
      <c r="E35" s="3">
        <v>14.745432868083</v>
      </c>
      <c r="F35" s="3">
        <v>15.6212617794517</v>
      </c>
      <c r="G35" s="3">
        <v>19.3880636736199</v>
      </c>
      <c r="H35" s="3">
        <v>16.641128314375599</v>
      </c>
      <c r="I35" s="3">
        <v>21.817724119079799</v>
      </c>
      <c r="J35" s="3">
        <v>19.174686696509099</v>
      </c>
      <c r="K35" s="3">
        <v>15.6673353825032</v>
      </c>
      <c r="L35" s="3">
        <v>16.6575334104452</v>
      </c>
      <c r="M35" s="3">
        <v>17.5534519362452</v>
      </c>
      <c r="N35" s="3">
        <v>61.6870985296556</v>
      </c>
    </row>
    <row r="36" spans="1:14" x14ac:dyDescent="0.35">
      <c r="A36" s="2">
        <v>42928</v>
      </c>
      <c r="B36" s="3">
        <v>20.048754713108</v>
      </c>
      <c r="C36" s="3">
        <v>16.674351975152</v>
      </c>
      <c r="D36" s="3">
        <v>17.9756932994555</v>
      </c>
      <c r="E36" s="3">
        <v>14.6381881106309</v>
      </c>
      <c r="F36" s="3">
        <v>15.4927756149809</v>
      </c>
      <c r="G36" s="3">
        <v>19.424477715349699</v>
      </c>
      <c r="H36" s="3">
        <v>16.455298033209498</v>
      </c>
      <c r="I36" s="3">
        <v>21.892504081092401</v>
      </c>
      <c r="J36" s="3">
        <v>19.129291249613502</v>
      </c>
      <c r="K36" s="3">
        <v>15.6805748738571</v>
      </c>
      <c r="L36" s="3">
        <v>16.614404403559</v>
      </c>
      <c r="M36" s="3">
        <v>17.763790081752699</v>
      </c>
      <c r="N36" s="3">
        <v>54.863906861042899</v>
      </c>
    </row>
    <row r="37" spans="1:14" x14ac:dyDescent="0.35">
      <c r="A37" s="2">
        <v>42958</v>
      </c>
      <c r="B37" s="3">
        <v>20.494670637444798</v>
      </c>
      <c r="C37" s="3">
        <v>16.667988537797498</v>
      </c>
      <c r="D37" s="3">
        <v>17.747573770022601</v>
      </c>
      <c r="E37" s="3">
        <v>14.1397285354081</v>
      </c>
      <c r="F37" s="3">
        <v>15.1952121941301</v>
      </c>
      <c r="G37" s="3">
        <v>19.1066122872748</v>
      </c>
      <c r="H37" s="3">
        <v>16.132960714296601</v>
      </c>
      <c r="I37" s="3">
        <v>21.941226155273899</v>
      </c>
      <c r="J37" s="3">
        <v>18.996217932583001</v>
      </c>
      <c r="K37" s="3">
        <v>15.398844769082499</v>
      </c>
      <c r="L37" s="3">
        <v>16.548118592389201</v>
      </c>
      <c r="M37" s="3">
        <v>16.846638162441</v>
      </c>
      <c r="N37" s="3">
        <v>47.6640328840124</v>
      </c>
    </row>
    <row r="38" spans="1:14" x14ac:dyDescent="0.35">
      <c r="A38" s="2">
        <v>42990</v>
      </c>
      <c r="B38" s="3">
        <v>20.6839297423919</v>
      </c>
      <c r="C38" s="3">
        <v>16.6213520560459</v>
      </c>
      <c r="D38" s="3">
        <v>17.379582145144301</v>
      </c>
      <c r="E38" s="3">
        <v>14.3636582529686</v>
      </c>
      <c r="F38" s="3">
        <v>14.8754447931939</v>
      </c>
      <c r="G38" s="3">
        <v>19.3141445466973</v>
      </c>
      <c r="H38" s="3">
        <v>16.026598470856399</v>
      </c>
      <c r="I38" s="3">
        <v>22.3359646491074</v>
      </c>
      <c r="J38" s="3">
        <v>19.182611879085599</v>
      </c>
      <c r="K38" s="3">
        <v>15.7182891778802</v>
      </c>
      <c r="L38" s="3">
        <v>16.768171453578599</v>
      </c>
      <c r="M38" s="3">
        <v>17.131104289101</v>
      </c>
      <c r="N38" s="3">
        <v>40.4558055748982</v>
      </c>
    </row>
    <row r="39" spans="1:14" x14ac:dyDescent="0.35">
      <c r="A39" s="2">
        <v>43020</v>
      </c>
      <c r="B39" s="3">
        <v>20.8560384112428</v>
      </c>
      <c r="C39" s="3">
        <v>16.4809055200265</v>
      </c>
      <c r="D39" s="3">
        <v>17.5237500123982</v>
      </c>
      <c r="E39" s="3">
        <v>14.7837394969687</v>
      </c>
      <c r="F39" s="3">
        <v>15.072603536891799</v>
      </c>
      <c r="G39" s="3">
        <v>19.720751869586799</v>
      </c>
      <c r="H39" s="3">
        <v>15.8896332573397</v>
      </c>
      <c r="I39" s="3">
        <v>22.575818278053902</v>
      </c>
      <c r="J39" s="3">
        <v>19.535030382430602</v>
      </c>
      <c r="K39" s="3">
        <v>16.067981072426601</v>
      </c>
      <c r="L39" s="3">
        <v>17.2127929774786</v>
      </c>
      <c r="M39" s="3">
        <v>17.595271233534199</v>
      </c>
      <c r="N39" s="3">
        <v>33.620564823631298</v>
      </c>
    </row>
    <row r="40" spans="1:14" x14ac:dyDescent="0.35">
      <c r="A40" s="2">
        <v>43049</v>
      </c>
      <c r="B40" s="3">
        <v>21.039163469555401</v>
      </c>
      <c r="C40" s="3">
        <v>16.8909540358367</v>
      </c>
      <c r="D40" s="3">
        <v>17.433253123435499</v>
      </c>
      <c r="E40" s="3">
        <v>15.2540062124712</v>
      </c>
      <c r="F40" s="3">
        <v>15.8660551661815</v>
      </c>
      <c r="G40" s="3">
        <v>20.078257799543898</v>
      </c>
      <c r="H40" s="3">
        <v>15.4004427733942</v>
      </c>
      <c r="I40" s="3">
        <v>22.9601709104262</v>
      </c>
      <c r="J40" s="3">
        <v>19.5975181931334</v>
      </c>
      <c r="K40" s="3">
        <v>15.992135723024999</v>
      </c>
      <c r="L40" s="3">
        <v>17.337530232899098</v>
      </c>
      <c r="M40" s="3">
        <v>18.2248621997234</v>
      </c>
      <c r="N40" s="3">
        <v>27.035698622015399</v>
      </c>
    </row>
    <row r="41" spans="1:14" x14ac:dyDescent="0.35">
      <c r="A41" s="2">
        <v>43081</v>
      </c>
      <c r="B41" s="3">
        <v>21.969738578449899</v>
      </c>
      <c r="C41" s="3">
        <v>16.655408149957399</v>
      </c>
      <c r="D41" s="3">
        <v>17.303997566114699</v>
      </c>
      <c r="E41" s="3">
        <v>15.5337715128091</v>
      </c>
      <c r="F41" s="3">
        <v>16.280046497336901</v>
      </c>
      <c r="G41" s="3">
        <v>20.471635803438801</v>
      </c>
      <c r="H41" s="3">
        <v>15.2949289490906</v>
      </c>
      <c r="I41" s="3">
        <v>23.262213223717701</v>
      </c>
      <c r="J41" s="3">
        <v>20.159892352910301</v>
      </c>
      <c r="K41" s="3">
        <v>16.2723225873807</v>
      </c>
      <c r="L41" s="3">
        <v>17.408900229491501</v>
      </c>
      <c r="M41" s="3">
        <v>18.219380812263701</v>
      </c>
      <c r="N41" s="3">
        <v>20.038875260115201</v>
      </c>
    </row>
    <row r="42" spans="1:14" x14ac:dyDescent="0.35">
      <c r="A42" s="2">
        <v>43112</v>
      </c>
      <c r="B42" s="3">
        <v>21.848862749189699</v>
      </c>
      <c r="C42" s="3">
        <v>16.7844566738707</v>
      </c>
      <c r="D42" s="3">
        <v>17.271454816986999</v>
      </c>
      <c r="E42" s="3">
        <v>15.580782151481699</v>
      </c>
      <c r="F42" s="3">
        <v>16.855447380846101</v>
      </c>
      <c r="G42" s="3">
        <v>21.073605269275401</v>
      </c>
      <c r="H42" s="3">
        <v>15.7490795361722</v>
      </c>
      <c r="I42" s="3">
        <v>24.797315880769101</v>
      </c>
      <c r="J42" s="3">
        <v>20.998146408467498</v>
      </c>
      <c r="K42" s="3">
        <v>16.539432368589601</v>
      </c>
      <c r="L42" s="3">
        <v>17.5270297534334</v>
      </c>
      <c r="M42" s="3">
        <v>18.241840340286998</v>
      </c>
      <c r="N42" s="3">
        <v>15.9424340507552</v>
      </c>
    </row>
    <row r="43" spans="1:14" x14ac:dyDescent="0.35">
      <c r="A43" s="2">
        <v>43143</v>
      </c>
      <c r="B43" s="3">
        <v>20.441656660099699</v>
      </c>
      <c r="C43" s="3">
        <v>16.085595050165399</v>
      </c>
      <c r="D43" s="3">
        <v>15.8970458269857</v>
      </c>
      <c r="E43" s="3">
        <v>14.2671018544576</v>
      </c>
      <c r="F43" s="3">
        <v>15.1717716991523</v>
      </c>
      <c r="G43" s="3">
        <v>20.272345457539402</v>
      </c>
      <c r="H43" s="3">
        <v>14.3816839102992</v>
      </c>
      <c r="I43" s="3">
        <v>23.127316526903702</v>
      </c>
      <c r="J43" s="3">
        <v>19.524343103934001</v>
      </c>
      <c r="K43" s="3">
        <v>15.5493247100445</v>
      </c>
      <c r="L43" s="3">
        <v>16.522337261429801</v>
      </c>
      <c r="M43" s="3">
        <v>16.379729656481</v>
      </c>
      <c r="N43" s="3">
        <v>14.3772008673266</v>
      </c>
    </row>
    <row r="44" spans="1:14" x14ac:dyDescent="0.35">
      <c r="A44" s="2">
        <v>43171</v>
      </c>
      <c r="B44" s="3">
        <v>22.584201285050199</v>
      </c>
      <c r="C44" s="3">
        <v>16.512845662304699</v>
      </c>
      <c r="D44" s="3">
        <v>15.8111557389349</v>
      </c>
      <c r="E44" s="3">
        <v>14.2336592675672</v>
      </c>
      <c r="F44" s="3">
        <v>14.4072745592186</v>
      </c>
      <c r="G44" s="3">
        <v>21.062404769127301</v>
      </c>
      <c r="H44" s="3">
        <v>13.977369616254601</v>
      </c>
      <c r="I44" s="3">
        <v>24.172288340737801</v>
      </c>
      <c r="J44" s="3">
        <v>19.7787279056374</v>
      </c>
      <c r="K44" s="3">
        <v>15.584857557315599</v>
      </c>
      <c r="L44" s="3">
        <v>16.685426174287102</v>
      </c>
      <c r="M44" s="3">
        <v>16.984178409009299</v>
      </c>
      <c r="N44" s="3">
        <v>14.201008978346501</v>
      </c>
    </row>
    <row r="45" spans="1:14" x14ac:dyDescent="0.35">
      <c r="A45" s="2">
        <v>43202</v>
      </c>
      <c r="B45" s="3">
        <v>22.369230750876099</v>
      </c>
      <c r="C45" s="3">
        <v>16.268525311054599</v>
      </c>
      <c r="D45" s="3">
        <v>15.589938722460399</v>
      </c>
      <c r="E45" s="3">
        <v>14.137180512574799</v>
      </c>
      <c r="F45" s="3">
        <v>14.218804299466299</v>
      </c>
      <c r="G45" s="3">
        <v>20.5199642599644</v>
      </c>
      <c r="H45" s="3">
        <v>13.980831240451799</v>
      </c>
      <c r="I45" s="3">
        <v>23.5412732805218</v>
      </c>
      <c r="J45" s="3">
        <v>19.3366687033222</v>
      </c>
      <c r="K45" s="3">
        <v>15.517572910369999</v>
      </c>
      <c r="L45" s="3">
        <v>16.626926449664701</v>
      </c>
      <c r="M45" s="3">
        <v>16.726523782498401</v>
      </c>
      <c r="N45" s="3">
        <v>14.121323990939301</v>
      </c>
    </row>
    <row r="46" spans="1:14" x14ac:dyDescent="0.35">
      <c r="A46" s="2">
        <v>43231</v>
      </c>
      <c r="B46" s="3">
        <v>22.4615906030511</v>
      </c>
      <c r="C46" s="3">
        <v>16.370851383081401</v>
      </c>
      <c r="D46" s="3">
        <v>15.629074682320599</v>
      </c>
      <c r="E46" s="3">
        <v>14.2223580899837</v>
      </c>
      <c r="F46" s="3">
        <v>14.306577150591901</v>
      </c>
      <c r="G46" s="3">
        <v>20.224376876977399</v>
      </c>
      <c r="H46" s="3">
        <v>14.1292551417902</v>
      </c>
      <c r="I46" s="3">
        <v>23.366229577558599</v>
      </c>
      <c r="J46" s="3">
        <v>19.119224165829198</v>
      </c>
      <c r="K46" s="3">
        <v>15.612696251900999</v>
      </c>
      <c r="L46" s="3">
        <v>16.5893750068721</v>
      </c>
      <c r="M46" s="3">
        <v>16.828270239738899</v>
      </c>
      <c r="N46" s="3">
        <v>14.134232565194599</v>
      </c>
    </row>
    <row r="47" spans="1:14" x14ac:dyDescent="0.35">
      <c r="A47" s="2">
        <v>43263</v>
      </c>
      <c r="B47" s="3">
        <v>22.763142825407002</v>
      </c>
      <c r="C47" s="3">
        <v>16.156489494453201</v>
      </c>
      <c r="D47" s="3">
        <v>15.6045680188102</v>
      </c>
      <c r="E47" s="3">
        <v>14.1552611907917</v>
      </c>
      <c r="F47" s="3">
        <v>14.1856956631048</v>
      </c>
      <c r="G47" s="3">
        <v>19.577707256867502</v>
      </c>
      <c r="H47" s="3">
        <v>13.959288468055201</v>
      </c>
      <c r="I47" s="3">
        <v>23.358004716170001</v>
      </c>
      <c r="J47" s="3">
        <v>18.977385712762501</v>
      </c>
      <c r="K47" s="3">
        <v>15.360545240454901</v>
      </c>
      <c r="L47" s="3">
        <v>16.720248971232198</v>
      </c>
      <c r="M47" s="3">
        <v>16.570555045627302</v>
      </c>
      <c r="N47" s="3">
        <v>13.4983591715412</v>
      </c>
    </row>
    <row r="48" spans="1:14" x14ac:dyDescent="0.35">
      <c r="A48" s="2">
        <v>43293</v>
      </c>
      <c r="B48" s="3">
        <v>22.860366989193398</v>
      </c>
      <c r="C48" s="3">
        <v>16.327921818050601</v>
      </c>
      <c r="D48" s="3">
        <v>15.576726892816</v>
      </c>
      <c r="E48" s="3">
        <v>14.007185581473401</v>
      </c>
      <c r="F48" s="3">
        <v>13.7980334891535</v>
      </c>
      <c r="G48" s="3">
        <v>19.309856510953601</v>
      </c>
      <c r="H48" s="3">
        <v>13.835428056846601</v>
      </c>
      <c r="I48" s="3">
        <v>23.388173997127499</v>
      </c>
      <c r="J48" s="3">
        <v>18.755461901602999</v>
      </c>
      <c r="K48" s="3">
        <v>15.2697417461751</v>
      </c>
      <c r="L48" s="3">
        <v>16.5996310897592</v>
      </c>
      <c r="M48" s="3">
        <v>16.429990257583199</v>
      </c>
      <c r="N48" s="3">
        <v>13.2321599017403</v>
      </c>
    </row>
    <row r="49" spans="1:14" x14ac:dyDescent="0.35">
      <c r="A49" s="2">
        <v>43322</v>
      </c>
      <c r="B49" s="3">
        <v>23.052191441990701</v>
      </c>
      <c r="C49" s="3">
        <v>16.340906688419601</v>
      </c>
      <c r="D49" s="3">
        <v>15.3916115569486</v>
      </c>
      <c r="E49" s="3">
        <v>13.982584312957799</v>
      </c>
      <c r="F49" s="3">
        <v>13.689895227783101</v>
      </c>
      <c r="G49" s="3">
        <v>19.009428697098201</v>
      </c>
      <c r="H49" s="3">
        <v>13.7790666178708</v>
      </c>
      <c r="I49" s="3">
        <v>23.116235181513499</v>
      </c>
      <c r="J49" s="3">
        <v>18.581264583345799</v>
      </c>
      <c r="K49" s="3">
        <v>15.093310534529399</v>
      </c>
      <c r="L49" s="3">
        <v>16.630635721873698</v>
      </c>
      <c r="M49" s="3">
        <v>16.597937316627</v>
      </c>
      <c r="N49" s="3">
        <v>12.9147783640993</v>
      </c>
    </row>
    <row r="50" spans="1:14" x14ac:dyDescent="0.35">
      <c r="A50" s="2">
        <v>43355</v>
      </c>
      <c r="B50" s="3">
        <v>23.451902378908699</v>
      </c>
      <c r="C50" s="3">
        <v>16.030155531765701</v>
      </c>
      <c r="D50" s="3">
        <v>15.030625623716</v>
      </c>
      <c r="E50" s="3">
        <v>13.7847650506879</v>
      </c>
      <c r="F50" s="3">
        <v>13.3666387269653</v>
      </c>
      <c r="G50" s="3">
        <v>18.647598180001001</v>
      </c>
      <c r="H50" s="3">
        <v>13.374471835289199</v>
      </c>
      <c r="I50" s="3">
        <v>23.034912040437199</v>
      </c>
      <c r="J50" s="3">
        <v>18.5615136139314</v>
      </c>
      <c r="K50" s="3">
        <v>14.859706110299699</v>
      </c>
      <c r="L50" s="3">
        <v>16.223868098514</v>
      </c>
      <c r="M50" s="3">
        <v>16.582061055421899</v>
      </c>
      <c r="N50" s="3">
        <v>12.5655055093839</v>
      </c>
    </row>
    <row r="51" spans="1:14" x14ac:dyDescent="0.35">
      <c r="A51" s="2">
        <v>43385</v>
      </c>
      <c r="B51" s="3">
        <v>22.730182309972001</v>
      </c>
      <c r="C51" s="3">
        <v>15.414780971712</v>
      </c>
      <c r="D51" s="3">
        <v>14.5102549502659</v>
      </c>
      <c r="E51" s="3">
        <v>13.249230370718101</v>
      </c>
      <c r="F51" s="3">
        <v>13.2519175787343</v>
      </c>
      <c r="G51" s="3">
        <v>17.644374815760099</v>
      </c>
      <c r="H51" s="3">
        <v>12.9027782632447</v>
      </c>
      <c r="I51" s="3">
        <v>22.112471239716999</v>
      </c>
      <c r="J51" s="3">
        <v>17.814910955459801</v>
      </c>
      <c r="K51" s="3">
        <v>14.224698213193999</v>
      </c>
      <c r="L51" s="3">
        <v>15.4917908262192</v>
      </c>
      <c r="M51" s="3">
        <v>15.6954705019185</v>
      </c>
      <c r="N51" s="3">
        <v>11.640564339924</v>
      </c>
    </row>
    <row r="52" spans="1:14" x14ac:dyDescent="0.35">
      <c r="A52" s="2">
        <v>43416</v>
      </c>
      <c r="B52" s="3">
        <v>23.183155607757001</v>
      </c>
      <c r="C52" s="3">
        <v>15.503056051452599</v>
      </c>
      <c r="D52" s="3">
        <v>14.0972551105341</v>
      </c>
      <c r="E52" s="3">
        <v>12.9534765965213</v>
      </c>
      <c r="F52" s="3">
        <v>12.910247516770299</v>
      </c>
      <c r="G52" s="3">
        <v>17.788977825547899</v>
      </c>
      <c r="H52" s="3">
        <v>12.7361646666544</v>
      </c>
      <c r="I52" s="3">
        <v>20.627299612097001</v>
      </c>
      <c r="J52" s="3">
        <v>17.232174648502699</v>
      </c>
      <c r="K52" s="3">
        <v>14.026653022776999</v>
      </c>
      <c r="L52" s="3">
        <v>15.559886154114199</v>
      </c>
      <c r="M52" s="3">
        <v>15.0787866374217</v>
      </c>
      <c r="N52" s="3">
        <v>11.3321784103395</v>
      </c>
    </row>
    <row r="53" spans="1:14" x14ac:dyDescent="0.35">
      <c r="A53" s="2">
        <v>43446</v>
      </c>
      <c r="B53" s="3">
        <v>22.764283352465402</v>
      </c>
      <c r="C53" s="3">
        <v>14.766381129764699</v>
      </c>
      <c r="D53" s="3">
        <v>13.6555775828118</v>
      </c>
      <c r="E53" s="3">
        <v>12.5866024007065</v>
      </c>
      <c r="F53" s="3">
        <v>12.397421764359001</v>
      </c>
      <c r="G53" s="3">
        <v>17.273580180569301</v>
      </c>
      <c r="H53" s="3">
        <v>12.2978014589346</v>
      </c>
      <c r="I53" s="3">
        <v>20.100625402565601</v>
      </c>
      <c r="J53" s="3">
        <v>16.532864371677601</v>
      </c>
      <c r="K53" s="3">
        <v>13.516957956206999</v>
      </c>
      <c r="L53" s="3">
        <v>15.018867932084699</v>
      </c>
      <c r="M53" s="3">
        <v>14.5841407223411</v>
      </c>
      <c r="N53" s="3">
        <v>10.899851652330801</v>
      </c>
    </row>
    <row r="54" spans="1:14" x14ac:dyDescent="0.35">
      <c r="A54" s="2">
        <v>43476</v>
      </c>
      <c r="B54" s="3">
        <v>23.2702327107766</v>
      </c>
      <c r="C54" s="3">
        <v>14.9955251256875</v>
      </c>
      <c r="D54" s="3">
        <v>13.730512975445199</v>
      </c>
      <c r="E54" s="3">
        <v>12.428601960199099</v>
      </c>
      <c r="F54" s="3">
        <v>11.791634012400801</v>
      </c>
      <c r="G54" s="3">
        <v>16.970166277381999</v>
      </c>
      <c r="H54" s="3">
        <v>12.303393323161901</v>
      </c>
      <c r="I54" s="3">
        <v>19.547982918936601</v>
      </c>
      <c r="J54" s="3">
        <v>16.0581802784709</v>
      </c>
      <c r="K54" s="3">
        <v>13.1270548197616</v>
      </c>
      <c r="L54" s="3">
        <v>14.670371538714001</v>
      </c>
      <c r="M54" s="3">
        <v>14.482977662131301</v>
      </c>
      <c r="N54" s="3">
        <v>10.924546920709499</v>
      </c>
    </row>
    <row r="55" spans="1:14" x14ac:dyDescent="0.35">
      <c r="A55" s="2">
        <v>43508</v>
      </c>
      <c r="B55" s="3">
        <v>24.049756167171399</v>
      </c>
      <c r="C55" s="3">
        <v>15.698084380689901</v>
      </c>
      <c r="D55" s="3">
        <v>14.644365742818399</v>
      </c>
      <c r="E55" s="3">
        <v>12.847745923742099</v>
      </c>
      <c r="F55" s="3">
        <v>12.3234527856519</v>
      </c>
      <c r="G55" s="3">
        <v>17.6452265053085</v>
      </c>
      <c r="H55" s="3">
        <v>12.6835985026177</v>
      </c>
      <c r="I55" s="3">
        <v>20.648239490035699</v>
      </c>
      <c r="J55" s="3">
        <v>16.879339724648201</v>
      </c>
      <c r="K55" s="3">
        <v>13.9346030168052</v>
      </c>
      <c r="L55" s="3">
        <v>15.713492381834101</v>
      </c>
      <c r="M55" s="3">
        <v>16.990418725433599</v>
      </c>
      <c r="N55" s="3">
        <v>10.9486229733168</v>
      </c>
    </row>
    <row r="56" spans="1:14" x14ac:dyDescent="0.35">
      <c r="A56" s="2">
        <v>43536</v>
      </c>
      <c r="B56" s="3">
        <v>24.126816175806901</v>
      </c>
      <c r="C56" s="3">
        <v>15.8697096477177</v>
      </c>
      <c r="D56" s="3">
        <v>14.7341939110926</v>
      </c>
      <c r="E56" s="3">
        <v>13.1969140037699</v>
      </c>
      <c r="F56" s="3">
        <v>12.6982337245186</v>
      </c>
      <c r="G56" s="3">
        <v>18.275667382999298</v>
      </c>
      <c r="H56" s="3">
        <v>12.920031592044801</v>
      </c>
      <c r="I56" s="3">
        <v>20.928636421885798</v>
      </c>
      <c r="J56" s="3">
        <v>17.095263692016001</v>
      </c>
      <c r="K56" s="3">
        <v>14.5473188981188</v>
      </c>
      <c r="L56" s="3">
        <v>16.1145124394729</v>
      </c>
      <c r="M56" s="3">
        <v>18.024869306400799</v>
      </c>
      <c r="N56" s="3">
        <v>11.2697878197399</v>
      </c>
    </row>
    <row r="57" spans="1:14" x14ac:dyDescent="0.35">
      <c r="A57" s="2">
        <v>43567</v>
      </c>
      <c r="B57" s="3">
        <v>24.077491238826799</v>
      </c>
      <c r="C57" s="3">
        <v>15.8579386987641</v>
      </c>
      <c r="D57" s="3">
        <v>14.7010571244936</v>
      </c>
      <c r="E57" s="3">
        <v>13.2891373410779</v>
      </c>
      <c r="F57" s="3">
        <v>12.7270650621839</v>
      </c>
      <c r="G57" s="3">
        <v>18.2895294226761</v>
      </c>
      <c r="H57" s="3">
        <v>13.023160989523801</v>
      </c>
      <c r="I57" s="3">
        <v>21.237585178393299</v>
      </c>
      <c r="J57" s="3">
        <v>17.257952370920201</v>
      </c>
      <c r="K57" s="3">
        <v>14.635346883748101</v>
      </c>
      <c r="L57" s="3">
        <v>16.251727639303802</v>
      </c>
      <c r="M57" s="3">
        <v>17.8625117461428</v>
      </c>
      <c r="N57" s="3">
        <v>11.350617872666099</v>
      </c>
    </row>
    <row r="58" spans="1:14" x14ac:dyDescent="0.35">
      <c r="A58" s="2">
        <v>43595</v>
      </c>
      <c r="B58" s="3">
        <v>24.242953851455699</v>
      </c>
      <c r="C58" s="3">
        <v>15.8579948762101</v>
      </c>
      <c r="D58" s="3">
        <v>14.510113844369</v>
      </c>
      <c r="E58" s="3">
        <v>13.277154526636799</v>
      </c>
      <c r="F58" s="3">
        <v>12.6222250240842</v>
      </c>
      <c r="G58" s="3">
        <v>18.096693669385999</v>
      </c>
      <c r="H58" s="3">
        <v>12.8687263753885</v>
      </c>
      <c r="I58" s="3">
        <v>21.283619471061499</v>
      </c>
      <c r="J58" s="3">
        <v>17.193309063804101</v>
      </c>
      <c r="K58" s="3">
        <v>14.4692526783722</v>
      </c>
      <c r="L58" s="3">
        <v>16.178946511848601</v>
      </c>
      <c r="M58" s="3">
        <v>17.5561521936487</v>
      </c>
      <c r="N58" s="3">
        <v>11.1527200179335</v>
      </c>
    </row>
    <row r="59" spans="1:14" x14ac:dyDescent="0.35">
      <c r="A59" s="2">
        <v>43628</v>
      </c>
      <c r="B59" s="3">
        <v>24.308262291861201</v>
      </c>
      <c r="C59" s="3">
        <v>16.0936253395944</v>
      </c>
      <c r="D59" s="3">
        <v>14.4179867178769</v>
      </c>
      <c r="E59" s="3">
        <v>13.216153812520099</v>
      </c>
      <c r="F59" s="3">
        <v>12.8028054881361</v>
      </c>
      <c r="G59" s="3">
        <v>18.301675903747601</v>
      </c>
      <c r="H59" s="3">
        <v>12.9793225410664</v>
      </c>
      <c r="I59" s="3">
        <v>21.220928279196102</v>
      </c>
      <c r="J59" s="3">
        <v>17.189375137873299</v>
      </c>
      <c r="K59" s="3">
        <v>14.4935592320365</v>
      </c>
      <c r="L59" s="3">
        <v>16.281103103119101</v>
      </c>
      <c r="M59" s="3">
        <v>17.1744218136512</v>
      </c>
      <c r="N59" s="3">
        <v>10.958962942105501</v>
      </c>
    </row>
    <row r="60" spans="1:14" x14ac:dyDescent="0.35">
      <c r="A60" s="2">
        <v>43658</v>
      </c>
      <c r="B60" s="3">
        <v>25.0577862933579</v>
      </c>
      <c r="C60" s="3">
        <v>16.265298083520602</v>
      </c>
      <c r="D60" s="3">
        <v>14.4831957166581</v>
      </c>
      <c r="E60" s="3">
        <v>13.4989856607263</v>
      </c>
      <c r="F60" s="3">
        <v>12.984453844246</v>
      </c>
      <c r="G60" s="3">
        <v>18.245574163258201</v>
      </c>
      <c r="H60" s="3">
        <v>13.1114992902484</v>
      </c>
      <c r="I60" s="3">
        <v>22.071574185916901</v>
      </c>
      <c r="J60" s="3">
        <v>17.689154659391399</v>
      </c>
      <c r="K60" s="3">
        <v>14.7922855390339</v>
      </c>
      <c r="L60" s="3">
        <v>16.438043175378802</v>
      </c>
      <c r="M60" s="3">
        <v>17.087573949322699</v>
      </c>
      <c r="N60" s="3">
        <v>11.3631178857439</v>
      </c>
    </row>
    <row r="61" spans="1:14" x14ac:dyDescent="0.35">
      <c r="A61" s="2">
        <v>43689</v>
      </c>
      <c r="B61" s="3">
        <v>25.444624467204701</v>
      </c>
      <c r="C61" s="3">
        <v>16.276661509405599</v>
      </c>
      <c r="D61" s="3">
        <v>14.332139036138299</v>
      </c>
      <c r="E61" s="3">
        <v>13.291369806613501</v>
      </c>
      <c r="F61" s="3">
        <v>12.7387632340106</v>
      </c>
      <c r="G61" s="3">
        <v>18.204445381577798</v>
      </c>
      <c r="H61" s="3">
        <v>12.7498794081305</v>
      </c>
      <c r="I61" s="3">
        <v>21.5438053093104</v>
      </c>
      <c r="J61" s="3">
        <v>17.3417799200693</v>
      </c>
      <c r="K61" s="3">
        <v>14.494396088382</v>
      </c>
      <c r="L61" s="3">
        <v>16.18186660264</v>
      </c>
      <c r="M61" s="3">
        <v>15.923783233378201</v>
      </c>
      <c r="N61" s="3">
        <v>10.7974583334349</v>
      </c>
    </row>
    <row r="62" spans="1:14" x14ac:dyDescent="0.35">
      <c r="A62" s="2">
        <v>43720</v>
      </c>
      <c r="B62" s="3">
        <v>28.621363872564601</v>
      </c>
      <c r="C62" s="3">
        <v>16.660679041985901</v>
      </c>
      <c r="D62" s="3">
        <v>14.608059523879</v>
      </c>
      <c r="E62" s="3">
        <v>14.0330645860251</v>
      </c>
      <c r="F62" s="3">
        <v>13.415417612203001</v>
      </c>
      <c r="G62" s="3">
        <v>18.527923842369798</v>
      </c>
      <c r="H62" s="3">
        <v>13.055269001825801</v>
      </c>
      <c r="I62" s="3">
        <v>22.3371845204157</v>
      </c>
      <c r="J62" s="3">
        <v>17.908688583986098</v>
      </c>
      <c r="K62" s="3">
        <v>15.1048729673798</v>
      </c>
      <c r="L62" s="3">
        <v>17.0974550280567</v>
      </c>
      <c r="M62" s="3">
        <v>16.335394800078902</v>
      </c>
      <c r="N62" s="3">
        <v>11.356180345144701</v>
      </c>
    </row>
    <row r="63" spans="1:14" x14ac:dyDescent="0.35">
      <c r="A63" s="2">
        <v>43749</v>
      </c>
      <c r="B63" s="3">
        <v>28.712591973249499</v>
      </c>
      <c r="C63" s="3">
        <v>16.817885529516101</v>
      </c>
      <c r="D63" s="3">
        <v>14.561994378523099</v>
      </c>
      <c r="E63" s="3">
        <v>14.2074658759574</v>
      </c>
      <c r="F63" s="3">
        <v>13.502626965958701</v>
      </c>
      <c r="G63" s="3">
        <v>18.423805499766502</v>
      </c>
      <c r="H63" s="3">
        <v>13.120326839925401</v>
      </c>
      <c r="I63" s="3">
        <v>22.359016157608401</v>
      </c>
      <c r="J63" s="3">
        <v>17.925877096668099</v>
      </c>
      <c r="K63" s="3">
        <v>15.236250657717701</v>
      </c>
      <c r="L63" s="3">
        <v>17.209138214964899</v>
      </c>
      <c r="M63" s="3">
        <v>16.4483794446096</v>
      </c>
      <c r="N63" s="3">
        <v>11.4178771454536</v>
      </c>
    </row>
    <row r="64" spans="1:14" x14ac:dyDescent="0.35">
      <c r="A64" s="2">
        <v>43781</v>
      </c>
      <c r="B64" s="3">
        <v>29.276023780515601</v>
      </c>
      <c r="C64" s="3">
        <v>17.532161266256502</v>
      </c>
      <c r="D64" s="3">
        <v>15.0536196381134</v>
      </c>
      <c r="E64" s="3">
        <v>15.171626921349899</v>
      </c>
      <c r="F64" s="3">
        <v>14.501294531017599</v>
      </c>
      <c r="G64" s="3">
        <v>18.847653694436801</v>
      </c>
      <c r="H64" s="3">
        <v>13.437527937429699</v>
      </c>
      <c r="I64" s="3">
        <v>23.484087417886801</v>
      </c>
      <c r="J64" s="3">
        <v>18.678619714957499</v>
      </c>
      <c r="K64" s="3">
        <v>16.0271699648432</v>
      </c>
      <c r="L64" s="3">
        <v>17.9324071526719</v>
      </c>
      <c r="M64" s="3">
        <v>17.079280709534299</v>
      </c>
      <c r="N64" s="3">
        <v>12.097620205013101</v>
      </c>
    </row>
    <row r="65" spans="1:14" x14ac:dyDescent="0.35">
      <c r="A65" s="2">
        <v>43811</v>
      </c>
      <c r="B65" s="3">
        <v>31.454515565067702</v>
      </c>
      <c r="C65" s="3">
        <v>17.619599251216101</v>
      </c>
      <c r="D65" s="3">
        <v>15.103819908637901</v>
      </c>
      <c r="E65" s="3">
        <v>15.317523325301</v>
      </c>
      <c r="F65" s="3">
        <v>15.0420053067885</v>
      </c>
      <c r="G65" s="3">
        <v>19.157209595836399</v>
      </c>
      <c r="H65" s="3">
        <v>13.5325084821036</v>
      </c>
      <c r="I65" s="3">
        <v>24.450246288066399</v>
      </c>
      <c r="J65" s="3">
        <v>19.330408176207001</v>
      </c>
      <c r="K65" s="3">
        <v>16.136878765914901</v>
      </c>
      <c r="L65" s="3">
        <v>18.351621320721101</v>
      </c>
      <c r="M65" s="3">
        <v>16.028992602978001</v>
      </c>
      <c r="N65" s="3">
        <v>11.9948077848914</v>
      </c>
    </row>
    <row r="66" spans="1:14" x14ac:dyDescent="0.35">
      <c r="A66" s="2">
        <v>43840</v>
      </c>
      <c r="B66" s="3">
        <v>32.370285686661397</v>
      </c>
      <c r="C66" s="3">
        <v>18.300328694220799</v>
      </c>
      <c r="D66" s="3">
        <v>15.3662787589315</v>
      </c>
      <c r="E66" s="3">
        <v>15.765729475299301</v>
      </c>
      <c r="F66" s="3">
        <v>15.4591429465003</v>
      </c>
      <c r="G66" s="3">
        <v>19.6126700682027</v>
      </c>
      <c r="H66" s="3">
        <v>14.2044635586025</v>
      </c>
      <c r="I66" s="3">
        <v>26.067881322397501</v>
      </c>
      <c r="J66" s="3">
        <v>20.067413302489399</v>
      </c>
      <c r="K66" s="3">
        <v>16.642764102390402</v>
      </c>
      <c r="L66" s="3">
        <v>18.7244527003207</v>
      </c>
      <c r="M66" s="3">
        <v>16.358085469646301</v>
      </c>
      <c r="N66" s="3">
        <v>12.349510586470499</v>
      </c>
    </row>
    <row r="67" spans="1:14" x14ac:dyDescent="0.35">
      <c r="A67" s="2">
        <v>43873</v>
      </c>
      <c r="B67" s="3">
        <v>33.372231913041801</v>
      </c>
      <c r="C67" s="3">
        <v>18.697767906919701</v>
      </c>
      <c r="D67" s="3">
        <v>15.8422185505828</v>
      </c>
      <c r="E67" s="3">
        <v>16.307074298846</v>
      </c>
      <c r="F67" s="3">
        <v>15.369842442289199</v>
      </c>
      <c r="G67" s="3">
        <v>20.110426074313299</v>
      </c>
      <c r="H67" s="3">
        <v>14.104546975501201</v>
      </c>
      <c r="I67" s="3">
        <v>27.160154611927702</v>
      </c>
      <c r="J67" s="3">
        <v>20.525516250805602</v>
      </c>
      <c r="K67" s="3">
        <v>16.721148676623098</v>
      </c>
      <c r="L67" s="3">
        <v>20.046228940239398</v>
      </c>
      <c r="M67" s="3">
        <v>14.437295874623</v>
      </c>
      <c r="N67" s="3">
        <v>12.7752759118172</v>
      </c>
    </row>
    <row r="68" spans="1:14" x14ac:dyDescent="0.35">
      <c r="A68" s="2">
        <v>43902</v>
      </c>
      <c r="B68" s="3">
        <v>30.470574001202198</v>
      </c>
      <c r="C68" s="3">
        <v>16.371000678711301</v>
      </c>
      <c r="D68" s="3">
        <v>13.7740924252043</v>
      </c>
      <c r="E68" s="3">
        <v>13.4387715074747</v>
      </c>
      <c r="F68" s="3">
        <v>13.664720842184099</v>
      </c>
      <c r="G68" s="3">
        <v>17.474659678724802</v>
      </c>
      <c r="H68" s="3">
        <v>11.934449141798799</v>
      </c>
      <c r="I68" s="3">
        <v>23.137082345673502</v>
      </c>
      <c r="J68" s="3">
        <v>17.365609446496801</v>
      </c>
      <c r="K68" s="3">
        <v>14.0806231313616</v>
      </c>
      <c r="L68" s="3">
        <v>16.683349498142601</v>
      </c>
      <c r="M68" s="3">
        <v>12.3816194566341</v>
      </c>
      <c r="N68" s="3">
        <v>10.6900217009669</v>
      </c>
    </row>
    <row r="69" spans="1:14" x14ac:dyDescent="0.35">
      <c r="A69" s="2">
        <v>43930</v>
      </c>
      <c r="B69" s="3">
        <v>30.789089398490599</v>
      </c>
      <c r="C69" s="3">
        <v>16.740088847102101</v>
      </c>
      <c r="D69" s="3">
        <v>14.702422411932201</v>
      </c>
      <c r="E69" s="3">
        <v>14.2755371533434</v>
      </c>
      <c r="F69" s="3">
        <v>13.8930910407238</v>
      </c>
      <c r="G69" s="3">
        <v>18.127303300799401</v>
      </c>
      <c r="H69" s="3">
        <v>12.790690040891899</v>
      </c>
      <c r="I69" s="3">
        <v>23.9586368896781</v>
      </c>
      <c r="J69" s="3">
        <v>18.2826226640688</v>
      </c>
      <c r="K69" s="3">
        <v>14.9664952573501</v>
      </c>
      <c r="L69" s="3">
        <v>17.296378063568199</v>
      </c>
      <c r="M69" s="3">
        <v>13.622472145871701</v>
      </c>
      <c r="N69" s="3">
        <v>11.3594125527211</v>
      </c>
    </row>
    <row r="70" spans="1:14" x14ac:dyDescent="0.35">
      <c r="A70" s="2">
        <v>43963</v>
      </c>
      <c r="B70" s="3">
        <v>32.226722216440798</v>
      </c>
      <c r="C70" s="3">
        <v>17.383425663409401</v>
      </c>
      <c r="D70" s="3">
        <v>16.363035110185201</v>
      </c>
      <c r="E70" s="3">
        <v>15.3057878479101</v>
      </c>
      <c r="F70" s="3">
        <v>14.527520018118601</v>
      </c>
      <c r="G70" s="3">
        <v>18.819535257283999</v>
      </c>
      <c r="H70" s="3">
        <v>13.9754085653835</v>
      </c>
      <c r="I70" s="3">
        <v>25.6051616517403</v>
      </c>
      <c r="J70" s="3">
        <v>19.5887050564981</v>
      </c>
      <c r="K70" s="3">
        <v>16.119868936204298</v>
      </c>
      <c r="L70" s="3">
        <v>18.027177962154401</v>
      </c>
      <c r="M70" s="3">
        <v>15.3802795351307</v>
      </c>
      <c r="N70" s="3">
        <v>13.5451658828073</v>
      </c>
    </row>
    <row r="71" spans="1:14" x14ac:dyDescent="0.35">
      <c r="A71" s="2">
        <v>43994</v>
      </c>
      <c r="B71" s="3">
        <v>32.077754467608798</v>
      </c>
      <c r="C71" s="3">
        <v>18.298234693611001</v>
      </c>
      <c r="D71" s="3">
        <v>17.007058260534301</v>
      </c>
      <c r="E71" s="3">
        <v>16.8837185007981</v>
      </c>
      <c r="F71" s="3">
        <v>16.315855684157199</v>
      </c>
      <c r="G71" s="3">
        <v>19.083678442177</v>
      </c>
      <c r="H71" s="3">
        <v>14.8369731496743</v>
      </c>
      <c r="I71" s="3">
        <v>26.8460781185914</v>
      </c>
      <c r="J71" s="3">
        <v>20.652926904247</v>
      </c>
      <c r="K71" s="3">
        <v>17.641971274279701</v>
      </c>
      <c r="L71" s="3">
        <v>19.0325354546946</v>
      </c>
      <c r="M71" s="3">
        <v>16.099596417765799</v>
      </c>
      <c r="N71" s="3">
        <v>15.4533738878511</v>
      </c>
    </row>
    <row r="72" spans="1:14" x14ac:dyDescent="0.35">
      <c r="A72" s="2">
        <v>44022</v>
      </c>
      <c r="B72" s="3">
        <v>33.207964346798903</v>
      </c>
      <c r="C72" s="3">
        <v>18.5377595060374</v>
      </c>
      <c r="D72" s="3">
        <v>17.549638845730001</v>
      </c>
      <c r="E72" s="3">
        <v>18.425786850475699</v>
      </c>
      <c r="F72" s="3">
        <v>17.1207512934763</v>
      </c>
      <c r="G72" s="3">
        <v>19.878983080129998</v>
      </c>
      <c r="H72" s="3">
        <v>15.2114451784786</v>
      </c>
      <c r="I72" s="3">
        <v>28.935154427177601</v>
      </c>
      <c r="J72" s="3">
        <v>21.784646890022401</v>
      </c>
      <c r="K72" s="3">
        <v>19.313086950524099</v>
      </c>
      <c r="L72" s="3">
        <v>20.065137456286301</v>
      </c>
      <c r="M72" s="3">
        <v>17.6676947285208</v>
      </c>
      <c r="N72" s="3">
        <v>16.845709727507501</v>
      </c>
    </row>
    <row r="73" spans="1:14" x14ac:dyDescent="0.35">
      <c r="A73" s="2">
        <v>44055</v>
      </c>
      <c r="B73" s="3">
        <v>33.717159703822297</v>
      </c>
      <c r="C73" s="3">
        <v>19.596484617357</v>
      </c>
      <c r="D73" s="3">
        <v>18.217879305573302</v>
      </c>
      <c r="E73" s="3">
        <v>19.6545533879011</v>
      </c>
      <c r="F73" s="3">
        <v>17.9644732897018</v>
      </c>
      <c r="G73" s="3">
        <v>20.446543062228599</v>
      </c>
      <c r="H73" s="3">
        <v>16.5908358053833</v>
      </c>
      <c r="I73" s="3">
        <v>29.251396702023701</v>
      </c>
      <c r="J73" s="3">
        <v>22.765366173750198</v>
      </c>
      <c r="K73" s="3">
        <v>22.258829927462902</v>
      </c>
      <c r="L73" s="3">
        <v>21.002081179241198</v>
      </c>
      <c r="M73" s="3">
        <v>17.763265920074598</v>
      </c>
      <c r="N73" s="3">
        <v>18.034347339486299</v>
      </c>
    </row>
    <row r="74" spans="1:14" x14ac:dyDescent="0.35">
      <c r="A74" s="2">
        <v>44085</v>
      </c>
      <c r="B74" s="3">
        <v>33.7593155996043</v>
      </c>
      <c r="C74" s="3">
        <v>19.209429307422099</v>
      </c>
      <c r="D74" s="3">
        <v>18.215291526295299</v>
      </c>
      <c r="E74" s="3">
        <v>20.441463049558099</v>
      </c>
      <c r="F74" s="3">
        <v>19.529936878512601</v>
      </c>
      <c r="G74" s="3">
        <v>20.8774630508209</v>
      </c>
      <c r="H74" s="3">
        <v>16.7738543324574</v>
      </c>
      <c r="I74" s="3">
        <v>29.758948922837099</v>
      </c>
      <c r="J74" s="3">
        <v>23.068610701592501</v>
      </c>
      <c r="K74" s="3">
        <v>23.238757077212</v>
      </c>
      <c r="L74" s="3">
        <v>21.524317427225199</v>
      </c>
      <c r="M74" s="3">
        <v>17.641320733519201</v>
      </c>
      <c r="N74" s="3">
        <v>18.2445832226643</v>
      </c>
    </row>
    <row r="75" spans="1:14" x14ac:dyDescent="0.35">
      <c r="A75" s="2">
        <v>44116</v>
      </c>
      <c r="B75" s="3">
        <v>35.223898479314499</v>
      </c>
      <c r="C75" s="3">
        <v>19.983112540985701</v>
      </c>
      <c r="D75" s="3">
        <v>18.8662293632058</v>
      </c>
      <c r="E75" s="3">
        <v>20.8450619760732</v>
      </c>
      <c r="F75" s="3">
        <v>20.513111532789399</v>
      </c>
      <c r="G75" s="3">
        <v>21.130088654651502</v>
      </c>
      <c r="H75" s="3">
        <v>17.246499447212798</v>
      </c>
      <c r="I75" s="3">
        <v>32.6077481226096</v>
      </c>
      <c r="J75" s="3">
        <v>24.7525710972327</v>
      </c>
      <c r="K75" s="3">
        <v>24.183091677667498</v>
      </c>
      <c r="L75" s="3">
        <v>22.9072207848989</v>
      </c>
      <c r="M75" s="3">
        <v>18.4635366690597</v>
      </c>
      <c r="N75" s="3">
        <v>19.009112847040299</v>
      </c>
    </row>
    <row r="76" spans="1:14" x14ac:dyDescent="0.35">
      <c r="A76" s="2">
        <v>44147</v>
      </c>
      <c r="B76" s="3">
        <v>35.936050178181397</v>
      </c>
      <c r="C76" s="3">
        <v>21.222242703553501</v>
      </c>
      <c r="D76" s="3">
        <v>19.1387266271038</v>
      </c>
      <c r="E76" s="3">
        <v>20.4398517867522</v>
      </c>
      <c r="F76" s="3">
        <v>21.955120936397101</v>
      </c>
      <c r="G76" s="3">
        <v>21.183185574442099</v>
      </c>
      <c r="H76" s="3">
        <v>18.350492110652301</v>
      </c>
      <c r="I76" s="3">
        <v>31.726696051607199</v>
      </c>
      <c r="J76" s="3">
        <v>24.557381982424101</v>
      </c>
      <c r="K76" s="3">
        <v>26.570035787361402</v>
      </c>
      <c r="L76" s="3">
        <v>24.726957896223102</v>
      </c>
      <c r="M76" s="3">
        <v>16.310619996320199</v>
      </c>
      <c r="N76" s="3">
        <v>20.4068148384947</v>
      </c>
    </row>
    <row r="77" spans="1:14" x14ac:dyDescent="0.35">
      <c r="A77" s="2">
        <v>44176</v>
      </c>
      <c r="B77" s="3">
        <v>37.121253672062601</v>
      </c>
      <c r="C77" s="3">
        <v>22.528461247288199</v>
      </c>
      <c r="D77" s="3">
        <v>20.211759591420002</v>
      </c>
      <c r="E77" s="3">
        <v>20.7392148199832</v>
      </c>
      <c r="F77" s="3">
        <v>22.739673119976</v>
      </c>
      <c r="G77" s="3">
        <v>21.082547609437899</v>
      </c>
      <c r="H77" s="3">
        <v>19.284670079974699</v>
      </c>
      <c r="I77" s="3">
        <v>33.705663508989502</v>
      </c>
      <c r="J77" s="3">
        <v>25.799554276098799</v>
      </c>
      <c r="K77" s="3">
        <v>27.880583368302499</v>
      </c>
      <c r="L77" s="3">
        <v>25.980191050456099</v>
      </c>
      <c r="M77" s="3">
        <v>17.045695638435301</v>
      </c>
      <c r="N77" s="3">
        <v>22.271072725982801</v>
      </c>
    </row>
    <row r="78" spans="1:14" x14ac:dyDescent="0.35">
      <c r="A78" s="2">
        <v>44208</v>
      </c>
      <c r="B78" s="3">
        <v>38.029366507012597</v>
      </c>
      <c r="C78" s="3">
        <v>23.310050832294099</v>
      </c>
      <c r="D78" s="3">
        <v>21.258436285746399</v>
      </c>
      <c r="E78" s="3">
        <v>22.194556517505099</v>
      </c>
      <c r="F78" s="3">
        <v>24.0143915698157</v>
      </c>
      <c r="G78" s="3">
        <v>22.069809268950799</v>
      </c>
      <c r="H78" s="3">
        <v>20.197276514336099</v>
      </c>
      <c r="I78" s="3">
        <v>35.027076060021997</v>
      </c>
      <c r="J78" s="3">
        <v>27.528949758517602</v>
      </c>
      <c r="K78" s="3">
        <v>29.0685782825818</v>
      </c>
      <c r="L78" s="3">
        <v>27.835626700439501</v>
      </c>
      <c r="M78" s="3">
        <v>18.704493545788299</v>
      </c>
      <c r="N78" s="3">
        <v>23.597287747371201</v>
      </c>
    </row>
    <row r="79" spans="1:14" x14ac:dyDescent="0.35">
      <c r="A79" s="2">
        <v>44239</v>
      </c>
      <c r="B79" s="3">
        <v>34.9563876207825</v>
      </c>
      <c r="C79" s="3">
        <v>22.937427705351102</v>
      </c>
      <c r="D79" s="3">
        <v>20.976142993367901</v>
      </c>
      <c r="E79" s="3">
        <v>21.463579160509401</v>
      </c>
      <c r="F79" s="3">
        <v>23.708445064022101</v>
      </c>
      <c r="G79" s="3">
        <v>21.246912300408098</v>
      </c>
      <c r="H79" s="3">
        <v>19.502636730780399</v>
      </c>
      <c r="I79" s="3">
        <v>35.596468589147797</v>
      </c>
      <c r="J79" s="3">
        <v>27.4302747377399</v>
      </c>
      <c r="K79" s="3">
        <v>27.3971054746672</v>
      </c>
      <c r="L79" s="3">
        <v>29.898961082204298</v>
      </c>
      <c r="M79" s="3">
        <v>17.582941914699202</v>
      </c>
      <c r="N79" s="3">
        <v>20.6366449810922</v>
      </c>
    </row>
    <row r="80" spans="1:14" x14ac:dyDescent="0.35">
      <c r="A80" s="2">
        <v>44267</v>
      </c>
      <c r="B80" s="3">
        <v>34.442354958063603</v>
      </c>
      <c r="C80" s="3">
        <v>21.652438995314998</v>
      </c>
      <c r="D80" s="3">
        <v>19.8566267002582</v>
      </c>
      <c r="E80" s="3">
        <v>20.217652175691299</v>
      </c>
      <c r="F80" s="3">
        <v>21.5990058542517</v>
      </c>
      <c r="G80" s="3">
        <v>20.464076937312399</v>
      </c>
      <c r="H80" s="3">
        <v>18.663367278929101</v>
      </c>
      <c r="I80" s="3">
        <v>32.7438575680101</v>
      </c>
      <c r="J80" s="3">
        <v>26.215167704102502</v>
      </c>
      <c r="K80" s="3">
        <v>26.841675239622401</v>
      </c>
      <c r="L80" s="3">
        <v>28.758283167673302</v>
      </c>
      <c r="M80" s="3">
        <v>17.916858816760701</v>
      </c>
      <c r="N80" s="3">
        <v>20.130979384569301</v>
      </c>
    </row>
    <row r="81" spans="1:14" x14ac:dyDescent="0.35">
      <c r="A81" s="2">
        <v>44298</v>
      </c>
      <c r="B81" s="3">
        <v>34.395147431222</v>
      </c>
      <c r="C81" s="3">
        <v>21.242145138565299</v>
      </c>
      <c r="D81" s="3">
        <v>19.482914762096801</v>
      </c>
      <c r="E81" s="3">
        <v>19.935763795077101</v>
      </c>
      <c r="F81" s="3">
        <v>21.157328770091901</v>
      </c>
      <c r="G81" s="3">
        <v>20.5982114813932</v>
      </c>
      <c r="H81" s="3">
        <v>18.033304967265298</v>
      </c>
      <c r="I81" s="3">
        <v>32.841462458957402</v>
      </c>
      <c r="J81" s="3">
        <v>26.049428354116699</v>
      </c>
      <c r="K81" s="3">
        <v>25.991556688433501</v>
      </c>
      <c r="L81" s="3">
        <v>28.4321918203504</v>
      </c>
      <c r="M81" s="3">
        <v>18.329390901009099</v>
      </c>
      <c r="N81" s="3">
        <v>19.539867392747801</v>
      </c>
    </row>
    <row r="82" spans="1:14" x14ac:dyDescent="0.35">
      <c r="A82" s="2">
        <v>44328</v>
      </c>
      <c r="B82" s="3">
        <v>34.8738018150325</v>
      </c>
      <c r="C82" s="3">
        <v>20.823863359592899</v>
      </c>
      <c r="D82" s="3">
        <v>19.023618286059399</v>
      </c>
      <c r="E82" s="3">
        <v>19.0417450098304</v>
      </c>
      <c r="F82" s="3">
        <v>20.454374865587098</v>
      </c>
      <c r="G82" s="3">
        <v>20.3706128883438</v>
      </c>
      <c r="H82" s="3">
        <v>17.471282483169201</v>
      </c>
      <c r="I82" s="3">
        <v>31.297540648631699</v>
      </c>
      <c r="J82" s="3">
        <v>25.124636632039699</v>
      </c>
      <c r="K82" s="3">
        <v>25.001209909539199</v>
      </c>
      <c r="L82" s="3">
        <v>27.270975926532198</v>
      </c>
      <c r="M82" s="3">
        <v>17.455086402774899</v>
      </c>
      <c r="N82" s="3">
        <v>18.764872827095701</v>
      </c>
    </row>
    <row r="83" spans="1:14" x14ac:dyDescent="0.35">
      <c r="A83" s="2">
        <v>44358</v>
      </c>
      <c r="B83" s="3">
        <v>35.367087335165699</v>
      </c>
      <c r="C83" s="3">
        <v>20.5733404179039</v>
      </c>
      <c r="D83" s="3">
        <v>18.677681258182101</v>
      </c>
      <c r="E83" s="3">
        <v>18.748567137033302</v>
      </c>
      <c r="F83" s="3">
        <v>20.123442633136602</v>
      </c>
      <c r="G83" s="3">
        <v>20.8677443041449</v>
      </c>
      <c r="H83" s="3">
        <v>16.953976715968398</v>
      </c>
      <c r="I83" s="3">
        <v>31.5580104265829</v>
      </c>
      <c r="J83" s="3">
        <v>24.998538886139901</v>
      </c>
      <c r="K83" s="3">
        <v>24.4150027778193</v>
      </c>
      <c r="L83" s="3">
        <v>27.073149352725999</v>
      </c>
      <c r="M83" s="3">
        <v>17.905341109193898</v>
      </c>
      <c r="N83" s="3">
        <v>18.478375208142499</v>
      </c>
    </row>
    <row r="84" spans="1:14" x14ac:dyDescent="0.35">
      <c r="A84" s="2">
        <v>44389</v>
      </c>
      <c r="B84" s="3">
        <v>36.559144033256899</v>
      </c>
      <c r="C84" s="3">
        <v>19.615004763477899</v>
      </c>
      <c r="D84" s="3">
        <v>18.253301130697601</v>
      </c>
      <c r="E84" s="3">
        <v>18.2046245856322</v>
      </c>
      <c r="F84" s="3">
        <v>19.6218697771215</v>
      </c>
      <c r="G84" s="3">
        <v>21.062520298588399</v>
      </c>
      <c r="H84" s="3">
        <v>16.153687830097301</v>
      </c>
      <c r="I84" s="3">
        <v>32.081517708762199</v>
      </c>
      <c r="J84" s="3">
        <v>24.8785121920628</v>
      </c>
      <c r="K84" s="3">
        <v>23.269321590018102</v>
      </c>
      <c r="L84" s="3">
        <v>26.425471622211798</v>
      </c>
      <c r="M84" s="3">
        <v>17.8095120616393</v>
      </c>
      <c r="N84" s="3">
        <v>17.717326271951698</v>
      </c>
    </row>
    <row r="85" spans="1:14" x14ac:dyDescent="0.35">
      <c r="A85" s="2">
        <v>44420</v>
      </c>
      <c r="B85" s="3">
        <v>36.6800640714007</v>
      </c>
      <c r="C85" s="3">
        <v>19.277903498890002</v>
      </c>
      <c r="D85" s="3">
        <v>17.6187250437264</v>
      </c>
      <c r="E85" s="3">
        <v>17.346171333024401</v>
      </c>
      <c r="F85" s="3">
        <v>18.9983619145586</v>
      </c>
      <c r="G85" s="3">
        <v>21.144781106086398</v>
      </c>
      <c r="H85" s="3">
        <v>15.221564447566699</v>
      </c>
      <c r="I85" s="3">
        <v>31.2938526312203</v>
      </c>
      <c r="J85" s="3">
        <v>24.111288789857099</v>
      </c>
      <c r="K85" s="3">
        <v>22.016046963206399</v>
      </c>
      <c r="L85" s="3">
        <v>26.1604899444187</v>
      </c>
      <c r="M85" s="3">
        <v>17.659924857544901</v>
      </c>
      <c r="N85" s="3">
        <v>16.405690284539101</v>
      </c>
    </row>
    <row r="86" spans="1:14" x14ac:dyDescent="0.35">
      <c r="A86" s="2">
        <v>44449</v>
      </c>
      <c r="B86" s="3">
        <v>38.3842548037291</v>
      </c>
      <c r="C86" s="3">
        <v>18.7883007690196</v>
      </c>
      <c r="D86" s="3">
        <v>17.021492261053101</v>
      </c>
      <c r="E86" s="3">
        <v>16.620089408538</v>
      </c>
      <c r="F86" s="3">
        <v>18.825960285794601</v>
      </c>
      <c r="G86" s="3">
        <v>20.8101064904038</v>
      </c>
      <c r="H86" s="3">
        <v>14.4050657471326</v>
      </c>
      <c r="I86" s="3">
        <v>31.4491933071948</v>
      </c>
      <c r="J86" s="3">
        <v>23.665969967836499</v>
      </c>
      <c r="K86" s="3">
        <v>20.6959375194388</v>
      </c>
      <c r="L86" s="3">
        <v>25.666575610446799</v>
      </c>
      <c r="M86" s="3">
        <v>17.4599766898171</v>
      </c>
      <c r="N86" s="3">
        <v>15.264180025746599</v>
      </c>
    </row>
    <row r="87" spans="1:14" x14ac:dyDescent="0.35">
      <c r="A87" s="2">
        <v>44481</v>
      </c>
      <c r="B87" s="3">
        <v>38.473135687851801</v>
      </c>
      <c r="C87" s="3">
        <v>18.566829782194301</v>
      </c>
      <c r="D87" s="3">
        <v>16.444328587549101</v>
      </c>
      <c r="E87" s="3">
        <v>15.753382835584</v>
      </c>
      <c r="F87" s="3">
        <v>17.652744569255301</v>
      </c>
      <c r="G87" s="3">
        <v>20.188340603583601</v>
      </c>
      <c r="H87" s="3">
        <v>13.8387941000857</v>
      </c>
      <c r="I87" s="3">
        <v>30.043479406017202</v>
      </c>
      <c r="J87" s="3">
        <v>22.865929486378601</v>
      </c>
      <c r="K87" s="3">
        <v>19.121592993137099</v>
      </c>
      <c r="L87" s="3">
        <v>23.807244223704</v>
      </c>
      <c r="M87" s="3">
        <v>16.989112910925201</v>
      </c>
      <c r="N87" s="3">
        <v>14.410574368957199</v>
      </c>
    </row>
    <row r="88" spans="1:14" x14ac:dyDescent="0.35">
      <c r="A88" s="2">
        <v>44512</v>
      </c>
      <c r="B88" s="3">
        <v>38.760488051300399</v>
      </c>
      <c r="C88" s="3">
        <v>18.422684118117498</v>
      </c>
      <c r="D88" s="3">
        <v>16.611924499805301</v>
      </c>
      <c r="E88" s="3">
        <v>15.379874329784</v>
      </c>
      <c r="F88" s="3">
        <v>17.596461284878998</v>
      </c>
      <c r="G88" s="3">
        <v>21.0671234391185</v>
      </c>
      <c r="H88" s="3">
        <v>13.293780109700901</v>
      </c>
      <c r="I88" s="3">
        <v>31.914019818080099</v>
      </c>
      <c r="J88" s="3">
        <v>23.411955668016699</v>
      </c>
      <c r="K88" s="3">
        <v>18.649588779609399</v>
      </c>
      <c r="L88" s="3">
        <v>24.556316459495001</v>
      </c>
      <c r="M88" s="3">
        <v>16.925425208087798</v>
      </c>
      <c r="N88" s="3">
        <v>13.9049102710615</v>
      </c>
    </row>
    <row r="89" spans="1:14" x14ac:dyDescent="0.35">
      <c r="A89" s="2">
        <v>44540</v>
      </c>
      <c r="B89" s="3">
        <v>39.306031645682303</v>
      </c>
      <c r="C89" s="3">
        <v>17.8301644748902</v>
      </c>
      <c r="D89" s="3">
        <v>15.546549303892901</v>
      </c>
      <c r="E89" s="3">
        <v>14.382121113429299</v>
      </c>
      <c r="F89" s="3">
        <v>16.412052414838701</v>
      </c>
      <c r="G89" s="3">
        <v>21.098797138186502</v>
      </c>
      <c r="H89" s="3">
        <v>12.518250410842001</v>
      </c>
      <c r="I89" s="3">
        <v>31.8912181184863</v>
      </c>
      <c r="J89" s="3">
        <v>23.1564266491112</v>
      </c>
      <c r="K89" s="3">
        <v>17.5127061593818</v>
      </c>
      <c r="L89" s="3">
        <v>22.6955153336399</v>
      </c>
      <c r="M89" s="3">
        <v>16.5781978280861</v>
      </c>
      <c r="N89" s="3">
        <v>12.361884312128799</v>
      </c>
    </row>
    <row r="90" spans="1:14" x14ac:dyDescent="0.35">
      <c r="A90" s="2">
        <v>44573</v>
      </c>
      <c r="B90" s="3">
        <v>38.536412015432497</v>
      </c>
      <c r="C90" s="3">
        <v>17.773462555398499</v>
      </c>
      <c r="D90" s="3">
        <v>15.560300399671901</v>
      </c>
      <c r="E90" s="3">
        <v>14.1670143666298</v>
      </c>
      <c r="F90" s="3">
        <v>16.258322634177102</v>
      </c>
      <c r="G90" s="3">
        <v>21.0964557099025</v>
      </c>
      <c r="H90" s="3">
        <v>12.7044391341609</v>
      </c>
      <c r="I90" s="3">
        <v>30.977834246779398</v>
      </c>
      <c r="J90" s="3">
        <v>22.9560474502156</v>
      </c>
      <c r="K90" s="3">
        <v>17.242275607097401</v>
      </c>
      <c r="L90" s="3">
        <v>22.031740665047</v>
      </c>
      <c r="M90" s="3">
        <v>16.2481841562482</v>
      </c>
      <c r="N90" s="3">
        <v>12.2211027050104</v>
      </c>
    </row>
    <row r="91" spans="1:14" x14ac:dyDescent="0.35">
      <c r="A91" s="2">
        <v>44603</v>
      </c>
      <c r="B91" s="3">
        <v>36.833960226324002</v>
      </c>
      <c r="C91" s="3">
        <v>16.1147456219337</v>
      </c>
      <c r="D91" s="3">
        <v>15.702805996948101</v>
      </c>
      <c r="E91" s="3">
        <v>13.354393690856901</v>
      </c>
      <c r="F91" s="3">
        <v>15.4151713767806</v>
      </c>
      <c r="G91" s="3">
        <v>18.684306645798902</v>
      </c>
      <c r="H91" s="3">
        <v>12.8897101201569</v>
      </c>
      <c r="I91" s="3">
        <v>26.9185130951948</v>
      </c>
      <c r="J91" s="3">
        <v>21.0611907711369</v>
      </c>
      <c r="K91" s="3">
        <v>16.121406333952901</v>
      </c>
      <c r="L91" s="3">
        <v>20.009613894591698</v>
      </c>
      <c r="M91" s="3">
        <v>12.3356387412845</v>
      </c>
      <c r="N91" s="3">
        <v>11.7749939214889</v>
      </c>
    </row>
    <row r="92" spans="1:14" x14ac:dyDescent="0.35">
      <c r="A92" s="2">
        <v>44631</v>
      </c>
      <c r="B92" s="3">
        <v>35.072985904634997</v>
      </c>
      <c r="C92" s="3">
        <v>15.6568677057312</v>
      </c>
      <c r="D92" s="3">
        <v>15.122545629736701</v>
      </c>
      <c r="E92" s="3">
        <v>12.3681779584845</v>
      </c>
      <c r="F92" s="3">
        <v>14.5183502123671</v>
      </c>
      <c r="G92" s="3">
        <v>18.3477996915388</v>
      </c>
      <c r="H92" s="3">
        <v>12.407786421183699</v>
      </c>
      <c r="I92" s="3">
        <v>26.327299759124301</v>
      </c>
      <c r="J92" s="3">
        <v>20.500497758881298</v>
      </c>
      <c r="K92" s="3">
        <v>15.2637703212249</v>
      </c>
      <c r="L92" s="3">
        <v>18.162327039589002</v>
      </c>
      <c r="M92" s="3">
        <v>11.720601284966399</v>
      </c>
      <c r="N92" s="3">
        <v>10.499769005712601</v>
      </c>
    </row>
    <row r="93" spans="1:14" x14ac:dyDescent="0.35">
      <c r="A93" s="2">
        <v>44663</v>
      </c>
      <c r="B93" s="3">
        <v>34.491626714932401</v>
      </c>
      <c r="C93" s="3">
        <v>15.6849094902744</v>
      </c>
      <c r="D93" s="3">
        <v>14.920822063283</v>
      </c>
      <c r="E93" s="3">
        <v>12.348254391682</v>
      </c>
      <c r="F93" s="3">
        <v>14.4070161615382</v>
      </c>
      <c r="G93" s="3">
        <v>18.664032978914999</v>
      </c>
      <c r="H93" s="3">
        <v>12.2479891115716</v>
      </c>
      <c r="I93" s="3">
        <v>26.3705176147053</v>
      </c>
      <c r="J93" s="3">
        <v>20.496313557640502</v>
      </c>
      <c r="K93" s="3">
        <v>15.085503341151201</v>
      </c>
      <c r="L93" s="3">
        <v>18.3933001637903</v>
      </c>
      <c r="M93" s="3">
        <v>12.1973842453943</v>
      </c>
      <c r="N93" s="3">
        <v>10.514957752155899</v>
      </c>
    </row>
    <row r="94" spans="1:14" x14ac:dyDescent="0.35">
      <c r="A94" s="2">
        <v>44693</v>
      </c>
      <c r="B94" s="3">
        <v>34.193396101492603</v>
      </c>
      <c r="C94" s="3">
        <v>14.9690741438486</v>
      </c>
      <c r="D94" s="3">
        <v>14.226720771380499</v>
      </c>
      <c r="E94" s="3">
        <v>12.029546308332</v>
      </c>
      <c r="F94" s="3">
        <v>14.0826596729906</v>
      </c>
      <c r="G94" s="3">
        <v>18.086108707925501</v>
      </c>
      <c r="H94" s="3">
        <v>11.6732357247095</v>
      </c>
      <c r="I94" s="3">
        <v>25.079915426233001</v>
      </c>
      <c r="J94" s="3">
        <v>19.591517245465901</v>
      </c>
      <c r="K94" s="3">
        <v>14.4185994733495</v>
      </c>
      <c r="L94" s="3">
        <v>17.858692741741201</v>
      </c>
      <c r="M94" s="3">
        <v>13.1466221015058</v>
      </c>
      <c r="N94" s="3">
        <v>10.2009030983678</v>
      </c>
    </row>
    <row r="95" spans="1:14" x14ac:dyDescent="0.35">
      <c r="A95" s="2">
        <v>44722</v>
      </c>
      <c r="B95" s="3">
        <v>33.295324649265503</v>
      </c>
      <c r="C95" s="3">
        <v>14.6351382967239</v>
      </c>
      <c r="D95" s="3">
        <v>14.0463034229785</v>
      </c>
      <c r="E95" s="3">
        <v>11.8684936581831</v>
      </c>
      <c r="F95" s="3">
        <v>14.226465695233699</v>
      </c>
      <c r="G95" s="3">
        <v>17.742327155282101</v>
      </c>
      <c r="H95" s="3">
        <v>11.478751117952999</v>
      </c>
      <c r="I95" s="3">
        <v>24.588492282493998</v>
      </c>
      <c r="J95" s="3">
        <v>19.1923119571466</v>
      </c>
      <c r="K95" s="3">
        <v>14.0452810899985</v>
      </c>
      <c r="L95" s="3">
        <v>18.294588909933399</v>
      </c>
      <c r="M95" s="3">
        <v>13.4548493770405</v>
      </c>
      <c r="N95" s="3">
        <v>9.6772776234804496</v>
      </c>
    </row>
    <row r="96" spans="1:14" x14ac:dyDescent="0.35">
      <c r="A96" s="2">
        <v>44754</v>
      </c>
      <c r="B96" s="3">
        <v>32.983619848547498</v>
      </c>
      <c r="C96" s="3">
        <v>14.0061192809912</v>
      </c>
      <c r="D96" s="3">
        <v>13.1568083663837</v>
      </c>
      <c r="E96" s="3">
        <v>11.353821352028699</v>
      </c>
      <c r="F96" s="3">
        <v>13.815030030148</v>
      </c>
      <c r="G96" s="3">
        <v>17.753524142658598</v>
      </c>
      <c r="H96" s="3">
        <v>10.956040357846399</v>
      </c>
      <c r="I96" s="3">
        <v>24.188140222011601</v>
      </c>
      <c r="J96" s="3">
        <v>18.677290587452902</v>
      </c>
      <c r="K96" s="3">
        <v>13.392355821703701</v>
      </c>
      <c r="L96" s="3">
        <v>18.201132486746101</v>
      </c>
      <c r="M96" s="3">
        <v>13.9418043414101</v>
      </c>
      <c r="N96" s="3">
        <v>9.2311547162884793</v>
      </c>
    </row>
    <row r="97" spans="1:14" x14ac:dyDescent="0.35">
      <c r="A97" s="2">
        <v>44785</v>
      </c>
      <c r="B97" s="3">
        <v>33.346232087366502</v>
      </c>
      <c r="C97" s="3">
        <v>14.6190928832466</v>
      </c>
      <c r="D97" s="3">
        <v>13.346798907314501</v>
      </c>
      <c r="E97" s="3">
        <v>11.3225522616112</v>
      </c>
      <c r="F97" s="3">
        <v>14.0405895797242</v>
      </c>
      <c r="G97" s="3">
        <v>18.371616350394099</v>
      </c>
      <c r="H97" s="3">
        <v>10.823392246967099</v>
      </c>
      <c r="I97" s="3">
        <v>26.4409387053547</v>
      </c>
      <c r="J97" s="3">
        <v>19.705838748824601</v>
      </c>
      <c r="K97" s="3">
        <v>13.2499209525851</v>
      </c>
      <c r="L97" s="3">
        <v>19.735495132100699</v>
      </c>
      <c r="M97" s="3">
        <v>14.8747923985004</v>
      </c>
      <c r="N97" s="3">
        <v>8.7859305006205997</v>
      </c>
    </row>
    <row r="98" spans="1:14" x14ac:dyDescent="0.35">
      <c r="A98" s="2">
        <v>44816</v>
      </c>
      <c r="B98" s="3">
        <v>34.405059478299499</v>
      </c>
      <c r="C98" s="3">
        <v>14.256936590198199</v>
      </c>
      <c r="D98" s="3">
        <v>12.967159122455</v>
      </c>
      <c r="E98" s="3">
        <v>11.0345378400764</v>
      </c>
      <c r="F98" s="3">
        <v>13.819537731662001</v>
      </c>
      <c r="G98" s="3">
        <v>18.139656928481902</v>
      </c>
      <c r="H98" s="3">
        <v>10.386293216280199</v>
      </c>
      <c r="I98" s="3">
        <v>25.249506063668299</v>
      </c>
      <c r="J98" s="3">
        <v>19.024516066181601</v>
      </c>
      <c r="K98" s="3">
        <v>12.656244768254901</v>
      </c>
      <c r="L98" s="3">
        <v>18.9396422332645</v>
      </c>
      <c r="M98" s="3">
        <v>15.0819730482651</v>
      </c>
      <c r="N98" s="3">
        <v>8.5847984811931592</v>
      </c>
    </row>
    <row r="99" spans="1:14" x14ac:dyDescent="0.35">
      <c r="A99" s="2">
        <v>44846</v>
      </c>
      <c r="B99" s="3">
        <v>31.229129080694001</v>
      </c>
      <c r="C99" s="3">
        <v>13.2384113330108</v>
      </c>
      <c r="D99" s="3">
        <v>11.917300458888599</v>
      </c>
      <c r="E99" s="3">
        <v>9.9822999101084804</v>
      </c>
      <c r="F99" s="3">
        <v>13.0364865743402</v>
      </c>
      <c r="G99" s="3">
        <v>16.8135167608492</v>
      </c>
      <c r="H99" s="3">
        <v>9.2977963508930994</v>
      </c>
      <c r="I99" s="3">
        <v>22.296574008476099</v>
      </c>
      <c r="J99" s="3">
        <v>17.127840908944201</v>
      </c>
      <c r="K99" s="3">
        <v>11.363942034830201</v>
      </c>
      <c r="L99" s="3">
        <v>16.666170923801001</v>
      </c>
      <c r="M99" s="3">
        <v>14.380618832387499</v>
      </c>
      <c r="N99" s="3">
        <v>7.8264113210433601</v>
      </c>
    </row>
    <row r="100" spans="1:14" x14ac:dyDescent="0.35">
      <c r="A100" s="2">
        <v>44876</v>
      </c>
      <c r="B100" s="3">
        <v>31.294800957603101</v>
      </c>
      <c r="C100" s="3">
        <v>14.1967677114663</v>
      </c>
      <c r="D100" s="3">
        <v>12.7041396517295</v>
      </c>
      <c r="E100" s="3">
        <v>11.0081201475376</v>
      </c>
      <c r="F100" s="3">
        <v>13.5402187802915</v>
      </c>
      <c r="G100" s="3">
        <v>19.750684915010101</v>
      </c>
      <c r="H100" s="3">
        <v>9.6873200762054701</v>
      </c>
      <c r="I100" s="3">
        <v>23.9368884272263</v>
      </c>
      <c r="J100" s="3">
        <v>18.456939222336398</v>
      </c>
      <c r="K100" s="3">
        <v>12.2343396854177</v>
      </c>
      <c r="L100" s="3">
        <v>18.466703201275301</v>
      </c>
      <c r="M100" s="3">
        <v>14.2778378826689</v>
      </c>
      <c r="N100" s="3">
        <v>8.4650800712173506</v>
      </c>
    </row>
    <row r="101" spans="1:14" x14ac:dyDescent="0.35">
      <c r="A101" s="2">
        <v>44907</v>
      </c>
      <c r="B101" s="3">
        <v>29.2864364766364</v>
      </c>
      <c r="C101" s="3">
        <v>14.181910338429599</v>
      </c>
      <c r="D101" s="3">
        <v>12.575953968347299</v>
      </c>
      <c r="E101" s="3">
        <v>10.7677684125842</v>
      </c>
      <c r="F101" s="3">
        <v>13.3486233159582</v>
      </c>
      <c r="G101" s="3">
        <v>20.292431191590602</v>
      </c>
      <c r="H101" s="3">
        <v>9.7985816383589501</v>
      </c>
      <c r="I101" s="3">
        <v>23.400921276209601</v>
      </c>
      <c r="J101" s="3">
        <v>18.2087876580817</v>
      </c>
      <c r="K101" s="3">
        <v>11.9642778620491</v>
      </c>
      <c r="L101" s="3">
        <v>18.5493852361754</v>
      </c>
      <c r="M101" s="3">
        <v>15.711194479954299</v>
      </c>
      <c r="N101" s="3">
        <v>7.6938365046537998</v>
      </c>
    </row>
    <row r="102" spans="1:14" x14ac:dyDescent="0.35">
      <c r="A102" s="2">
        <v>44938</v>
      </c>
      <c r="B102" s="3">
        <v>29.443889825429999</v>
      </c>
      <c r="C102" s="3">
        <v>14.3951624337304</v>
      </c>
      <c r="D102" s="3">
        <v>12.521367975917901</v>
      </c>
      <c r="E102" s="3">
        <v>11.3881543733778</v>
      </c>
      <c r="F102" s="3">
        <v>12.933575777471001</v>
      </c>
      <c r="G102" s="3">
        <v>21.365766797817699</v>
      </c>
      <c r="H102" s="3">
        <v>10.0947423718209</v>
      </c>
      <c r="I102" s="3">
        <v>23.743148718546198</v>
      </c>
      <c r="J102" s="3">
        <v>18.0683728904345</v>
      </c>
      <c r="K102" s="3">
        <v>12.4934855403251</v>
      </c>
      <c r="L102" s="3">
        <v>19.211532699092299</v>
      </c>
      <c r="M102" s="3">
        <v>16.753419060103901</v>
      </c>
      <c r="N102" s="3">
        <v>8.0338488900850695</v>
      </c>
    </row>
    <row r="103" spans="1:14" x14ac:dyDescent="0.35">
      <c r="A103" s="2">
        <v>44967</v>
      </c>
      <c r="B103" s="3">
        <v>30.110523204903402</v>
      </c>
      <c r="C103" s="3">
        <v>14.660398601413499</v>
      </c>
      <c r="D103" s="3">
        <v>12.8442552131191</v>
      </c>
      <c r="E103" s="3">
        <v>11.552809884740199</v>
      </c>
      <c r="F103" s="3">
        <v>13.5554160303936</v>
      </c>
      <c r="G103" s="3">
        <v>21.1586703077434</v>
      </c>
      <c r="H103" s="3">
        <v>10.116851755384401</v>
      </c>
      <c r="I103" s="3">
        <v>25.638827013031101</v>
      </c>
      <c r="J103" s="3">
        <v>18.584098755943199</v>
      </c>
      <c r="K103" s="3">
        <v>12.613867119277099</v>
      </c>
      <c r="L103" s="3">
        <v>20.707762537319599</v>
      </c>
      <c r="M103" s="3">
        <v>25.909019594324299</v>
      </c>
      <c r="N103" s="3">
        <v>8.2605335123049404</v>
      </c>
    </row>
    <row r="104" spans="1:14" x14ac:dyDescent="0.35">
      <c r="A104" s="2">
        <v>44995</v>
      </c>
      <c r="B104" s="3">
        <v>29.281977351298998</v>
      </c>
      <c r="C104" s="3">
        <v>14.2048637400215</v>
      </c>
      <c r="D104" s="3">
        <v>12.546110652759401</v>
      </c>
      <c r="E104" s="3">
        <v>11.3525927837404</v>
      </c>
      <c r="F104" s="3">
        <v>13.680716977957699</v>
      </c>
      <c r="G104" s="3">
        <v>20.523771025583201</v>
      </c>
      <c r="H104" s="3">
        <v>10.232138501839</v>
      </c>
      <c r="I104" s="3">
        <v>25.119968813825199</v>
      </c>
      <c r="J104" s="3">
        <v>17.9533947638478</v>
      </c>
      <c r="K104" s="3">
        <v>12.9135662478042</v>
      </c>
      <c r="L104" s="3">
        <v>20.492173846840299</v>
      </c>
      <c r="M104" s="3">
        <v>25.230322906889398</v>
      </c>
      <c r="N104" s="3">
        <v>8.2920659420718703</v>
      </c>
    </row>
    <row r="105" spans="1:14" x14ac:dyDescent="0.35">
      <c r="A105" s="2">
        <v>45028</v>
      </c>
      <c r="B105" s="3">
        <v>28.749866410749199</v>
      </c>
      <c r="C105" s="3">
        <v>14.351454639783601</v>
      </c>
      <c r="D105" s="3">
        <v>12.7125429610763</v>
      </c>
      <c r="E105" s="3">
        <v>11.3947374043214</v>
      </c>
      <c r="F105" s="3">
        <v>13.6664510488033</v>
      </c>
      <c r="G105" s="3">
        <v>20.3818637210357</v>
      </c>
      <c r="H105" s="3">
        <v>10.382433668433301</v>
      </c>
      <c r="I105" s="3">
        <v>25.527684955877898</v>
      </c>
      <c r="J105" s="3">
        <v>18.234041300201799</v>
      </c>
      <c r="K105" s="3">
        <v>13.0861824191091</v>
      </c>
      <c r="L105" s="3">
        <v>20.1618168399044</v>
      </c>
      <c r="M105" s="3">
        <v>23.959614246117798</v>
      </c>
      <c r="N105" s="3">
        <v>8.3758066017553698</v>
      </c>
    </row>
    <row r="106" spans="1:14" x14ac:dyDescent="0.35">
      <c r="A106" s="2">
        <v>45058</v>
      </c>
      <c r="B106" s="3">
        <v>28.272840077489899</v>
      </c>
      <c r="C106" s="3">
        <v>14.3444266458699</v>
      </c>
      <c r="D106" s="3">
        <v>12.845951265123499</v>
      </c>
      <c r="E106" s="3">
        <v>11.3301790308254</v>
      </c>
      <c r="F106" s="3">
        <v>13.8766417709118</v>
      </c>
      <c r="G106" s="3">
        <v>20.195011057178199</v>
      </c>
      <c r="H106" s="3">
        <v>10.348923397728999</v>
      </c>
      <c r="I106" s="3">
        <v>25.737430471205698</v>
      </c>
      <c r="J106" s="3">
        <v>18.294829455798201</v>
      </c>
      <c r="K106" s="3">
        <v>13.1503588114702</v>
      </c>
      <c r="L106" s="3">
        <v>19.604267168891699</v>
      </c>
      <c r="M106" s="3">
        <v>22.7816617966654</v>
      </c>
      <c r="N106" s="3">
        <v>8.3060522317683994</v>
      </c>
    </row>
    <row r="107" spans="1:14" x14ac:dyDescent="0.35">
      <c r="A107" s="2">
        <v>45089</v>
      </c>
      <c r="B107" s="3">
        <v>26.333343486870799</v>
      </c>
      <c r="C107" s="3">
        <v>14.413139750309</v>
      </c>
      <c r="D107" s="3">
        <v>12.8901042021966</v>
      </c>
      <c r="E107" s="3">
        <v>11.2793304158746</v>
      </c>
      <c r="F107" s="3">
        <v>14.357298216234099</v>
      </c>
      <c r="G107" s="3">
        <v>19.470801383713098</v>
      </c>
      <c r="H107" s="3">
        <v>10.3028279442141</v>
      </c>
      <c r="I107" s="3">
        <v>26.887700507169601</v>
      </c>
      <c r="J107" s="3">
        <v>18.757432230278798</v>
      </c>
      <c r="K107" s="3">
        <v>13.1470363584969</v>
      </c>
      <c r="L107" s="3">
        <v>19.343665781615702</v>
      </c>
      <c r="M107" s="3">
        <v>21.650881010513999</v>
      </c>
      <c r="N107" s="3">
        <v>8.4803658654247194</v>
      </c>
    </row>
    <row r="108" spans="1:14" x14ac:dyDescent="0.35">
      <c r="A108" s="2">
        <v>45119</v>
      </c>
      <c r="B108" s="3">
        <v>25.780503693696001</v>
      </c>
      <c r="C108" s="3">
        <v>14.6275892259261</v>
      </c>
      <c r="D108" s="3">
        <v>13.1258452922927</v>
      </c>
      <c r="E108" s="3">
        <v>11.249255296791899</v>
      </c>
      <c r="F108" s="3">
        <v>14.380777231613401</v>
      </c>
      <c r="G108" s="3">
        <v>19.149253959524799</v>
      </c>
      <c r="H108" s="3">
        <v>10.3655349048676</v>
      </c>
      <c r="I108" s="3">
        <v>27.517631180319299</v>
      </c>
      <c r="J108" s="3">
        <v>19.2959818121506</v>
      </c>
      <c r="K108" s="3">
        <v>13.2889145394208</v>
      </c>
      <c r="L108" s="3">
        <v>19.201396343992101</v>
      </c>
      <c r="M108" s="3">
        <v>20.379993772286699</v>
      </c>
      <c r="N108" s="3">
        <v>8.6410225639960103</v>
      </c>
    </row>
    <row r="109" spans="1:14" x14ac:dyDescent="0.35">
      <c r="A109" s="2">
        <v>45149</v>
      </c>
      <c r="B109" s="3">
        <v>24.874991764904902</v>
      </c>
      <c r="C109" s="3">
        <v>15.010201799914601</v>
      </c>
      <c r="D109" s="3">
        <v>13.4825825054393</v>
      </c>
      <c r="E109" s="3">
        <v>11.1961324924858</v>
      </c>
      <c r="F109" s="3">
        <v>14.660281933581199</v>
      </c>
      <c r="G109" s="3">
        <v>18.949367158167401</v>
      </c>
      <c r="H109" s="3">
        <v>10.541841579119099</v>
      </c>
      <c r="I109" s="3">
        <v>26.330746580896299</v>
      </c>
      <c r="J109" s="3">
        <v>19.361829967430101</v>
      </c>
      <c r="K109" s="3">
        <v>13.336819567671199</v>
      </c>
      <c r="L109" s="3">
        <v>18.333359119702902</v>
      </c>
      <c r="M109" s="3">
        <v>18.9451671231805</v>
      </c>
      <c r="N109" s="3">
        <v>8.2448394774171891</v>
      </c>
    </row>
    <row r="110" spans="1:14" x14ac:dyDescent="0.35">
      <c r="A110" s="2">
        <v>45181</v>
      </c>
      <c r="B110" s="3">
        <v>24.095783310956801</v>
      </c>
      <c r="C110" s="3">
        <v>15.047035009759499</v>
      </c>
      <c r="D110" s="3">
        <v>13.5663214598964</v>
      </c>
      <c r="E110" s="3">
        <v>11.203700461808401</v>
      </c>
      <c r="F110" s="3">
        <v>15.0162606799461</v>
      </c>
      <c r="G110" s="3">
        <v>18.599950711691399</v>
      </c>
      <c r="H110" s="3">
        <v>10.5496602639969</v>
      </c>
      <c r="I110" s="3">
        <v>26.587070724609202</v>
      </c>
      <c r="J110" s="3">
        <v>19.484466341034299</v>
      </c>
      <c r="K110" s="3">
        <v>13.1898110071168</v>
      </c>
      <c r="L110" s="3">
        <v>17.308565727420799</v>
      </c>
      <c r="M110" s="3">
        <v>17.449516944928501</v>
      </c>
      <c r="N110" s="3">
        <v>8.3788283559228596</v>
      </c>
    </row>
    <row r="111" spans="1:14" x14ac:dyDescent="0.35">
      <c r="A111" s="2">
        <v>45211</v>
      </c>
      <c r="B111" s="3">
        <v>23.470553225645901</v>
      </c>
      <c r="C111" s="3">
        <v>14.7651711818121</v>
      </c>
      <c r="D111" s="3">
        <v>13.2728229145805</v>
      </c>
      <c r="E111" s="3">
        <v>11.063568470319799</v>
      </c>
      <c r="F111" s="3">
        <v>14.9581945437806</v>
      </c>
      <c r="G111" s="3">
        <v>18.391730866755001</v>
      </c>
      <c r="H111" s="3">
        <v>10.6524702896835</v>
      </c>
      <c r="I111" s="3">
        <v>26.636540010507598</v>
      </c>
      <c r="J111" s="3">
        <v>19.3305373726106</v>
      </c>
      <c r="K111" s="3">
        <v>12.936673494295601</v>
      </c>
      <c r="L111" s="3">
        <v>16.659136062436001</v>
      </c>
      <c r="M111" s="3">
        <v>16.484138532776299</v>
      </c>
      <c r="N111" s="3">
        <v>8.2604851715076997</v>
      </c>
    </row>
    <row r="112" spans="1:14" x14ac:dyDescent="0.35">
      <c r="A112" s="2">
        <v>45240</v>
      </c>
      <c r="B112" s="3">
        <v>22.682577030795599</v>
      </c>
      <c r="C112" s="3">
        <v>14.844325676166299</v>
      </c>
      <c r="D112" s="3">
        <v>13.379936027682801</v>
      </c>
      <c r="E112" s="3">
        <v>10.977035365185399</v>
      </c>
      <c r="F112" s="3">
        <v>14.999364766823399</v>
      </c>
      <c r="G112" s="3">
        <v>17.617186131734499</v>
      </c>
      <c r="H112" s="3">
        <v>10.396429631099499</v>
      </c>
      <c r="I112" s="3">
        <v>26.999336277741101</v>
      </c>
      <c r="J112" s="3">
        <v>19.738079179629</v>
      </c>
      <c r="K112" s="3">
        <v>12.8791774983761</v>
      </c>
      <c r="L112" s="3">
        <v>16.1277450085766</v>
      </c>
      <c r="M112" s="3">
        <v>15.5916466989067</v>
      </c>
      <c r="N112" s="3">
        <v>8.1110625098612807</v>
      </c>
    </row>
    <row r="113" spans="1:25" x14ac:dyDescent="0.35">
      <c r="A113" s="2">
        <v>45272</v>
      </c>
      <c r="B113" s="3">
        <v>23.382920655960199</v>
      </c>
      <c r="C113" s="3">
        <v>15.4778892395094</v>
      </c>
      <c r="D113" s="3">
        <v>13.9719042760641</v>
      </c>
      <c r="E113" s="3">
        <v>11.9335002476134</v>
      </c>
      <c r="F113" s="3">
        <v>15.107244393094501</v>
      </c>
      <c r="G113" s="3">
        <v>18.302717839909999</v>
      </c>
      <c r="H113" s="3">
        <v>10.9107356539575</v>
      </c>
      <c r="I113" s="3">
        <v>28.389727195708499</v>
      </c>
      <c r="J113" s="3">
        <v>20.883848691780699</v>
      </c>
      <c r="K113" s="3">
        <v>13.9164855119951</v>
      </c>
      <c r="L113" s="3">
        <v>16.690668771765399</v>
      </c>
      <c r="M113" s="3">
        <v>17.8134563871753</v>
      </c>
      <c r="N113" s="3">
        <v>8.7880196441458107</v>
      </c>
    </row>
    <row r="114" spans="1:25" x14ac:dyDescent="0.35">
      <c r="A114" s="2">
        <v>45303</v>
      </c>
      <c r="B114" s="3">
        <v>24.056602542084502</v>
      </c>
      <c r="C114" s="3">
        <v>16.2672466509926</v>
      </c>
      <c r="D114" s="3">
        <v>14.5954321598484</v>
      </c>
      <c r="E114" s="3">
        <v>11.8863677276348</v>
      </c>
      <c r="F114" s="3">
        <v>16.2141336461038</v>
      </c>
      <c r="G114" s="3">
        <v>18.460833275402099</v>
      </c>
      <c r="H114" s="3">
        <v>11.260711824546901</v>
      </c>
      <c r="I114" s="3">
        <v>29.064032181344</v>
      </c>
      <c r="J114" s="3">
        <v>21.819467235228</v>
      </c>
      <c r="K114" s="3">
        <v>14.0656813740227</v>
      </c>
      <c r="L114" s="3">
        <v>16.420103183085899</v>
      </c>
      <c r="M114" s="3">
        <v>17.429438452365201</v>
      </c>
      <c r="N114" s="3">
        <v>8.9891469149161907</v>
      </c>
    </row>
    <row r="115" spans="1:25" x14ac:dyDescent="0.35">
      <c r="A115" s="2">
        <v>45334</v>
      </c>
      <c r="B115" s="3">
        <v>22.975568508693101</v>
      </c>
      <c r="C115" s="3">
        <v>16.414040612255501</v>
      </c>
      <c r="D115" s="3">
        <v>14.6608222901889</v>
      </c>
      <c r="E115" s="3">
        <v>12.1079313147068</v>
      </c>
      <c r="F115" s="3">
        <v>16.475476187922901</v>
      </c>
      <c r="G115" s="3">
        <v>18.813311930408599</v>
      </c>
      <c r="H115" s="3">
        <v>11.170212579545501</v>
      </c>
      <c r="I115" s="3">
        <v>30.2743114279689</v>
      </c>
      <c r="J115" s="3">
        <v>22.555521551683</v>
      </c>
      <c r="K115" s="3">
        <v>14.756772217468001</v>
      </c>
      <c r="L115" s="3">
        <v>18.019334262867801</v>
      </c>
      <c r="M115" s="3">
        <v>15.2144444988846</v>
      </c>
      <c r="N115" s="3">
        <v>9.1720733449260106</v>
      </c>
    </row>
    <row r="116" spans="1:25" x14ac:dyDescent="0.35">
      <c r="A116" s="2">
        <v>45363</v>
      </c>
      <c r="B116" s="3">
        <v>23.787576666068102</v>
      </c>
      <c r="C116" s="3">
        <v>16.6122230499967</v>
      </c>
      <c r="D116" s="3">
        <v>14.921073000580099</v>
      </c>
      <c r="E116" s="3">
        <v>12.5525351367718</v>
      </c>
      <c r="F116" s="3">
        <v>16.9558437578279</v>
      </c>
      <c r="G116" s="3">
        <v>19.236844714727201</v>
      </c>
      <c r="H116" s="3">
        <v>11.4792202631692</v>
      </c>
      <c r="I116" s="3">
        <v>30.234612155216801</v>
      </c>
      <c r="J116" s="3">
        <v>22.761275530064498</v>
      </c>
      <c r="K116" s="3">
        <v>15.5178892506383</v>
      </c>
      <c r="L116" s="3">
        <v>18.486690700985299</v>
      </c>
      <c r="M116" s="3">
        <v>15.910176960597401</v>
      </c>
      <c r="N116" s="3">
        <v>9.4037226276102306</v>
      </c>
    </row>
    <row r="117" spans="1:25" x14ac:dyDescent="0.35">
      <c r="A117" s="2">
        <v>45394</v>
      </c>
      <c r="B117" s="3">
        <v>24.094551350480302</v>
      </c>
      <c r="C117" s="3">
        <v>16.626419340438201</v>
      </c>
      <c r="D117" s="3">
        <v>14.9002923203496</v>
      </c>
      <c r="E117" s="3">
        <v>12.5076787066869</v>
      </c>
      <c r="F117" s="3">
        <v>16.948108815906298</v>
      </c>
      <c r="G117" s="3">
        <v>18.939859580698101</v>
      </c>
      <c r="H117" s="3">
        <v>11.5492999328299</v>
      </c>
      <c r="I117" s="3">
        <v>29.693601235271299</v>
      </c>
      <c r="J117" s="3">
        <v>22.579323956071399</v>
      </c>
      <c r="K117" s="3">
        <v>15.417597289889899</v>
      </c>
      <c r="L117" s="3">
        <v>18.3041970449292</v>
      </c>
      <c r="M117" s="3">
        <v>15.8911607232096</v>
      </c>
      <c r="N117" s="3">
        <v>9.4204715276032491</v>
      </c>
    </row>
    <row r="118" spans="1:25" x14ac:dyDescent="0.35">
      <c r="A118" s="2">
        <v>45422</v>
      </c>
      <c r="B118" s="3">
        <v>24.444113563850799</v>
      </c>
      <c r="C118" s="3">
        <v>16.677812343837299</v>
      </c>
      <c r="D118" s="3">
        <v>14.9839869619721</v>
      </c>
      <c r="E118" s="3">
        <v>12.622835564679299</v>
      </c>
      <c r="F118" s="3">
        <v>16.740478907466802</v>
      </c>
      <c r="G118" s="3">
        <v>18.883949310772</v>
      </c>
      <c r="H118" s="3">
        <v>11.759656299103501</v>
      </c>
      <c r="I118" s="3">
        <v>29.451979303369999</v>
      </c>
      <c r="J118" s="3">
        <v>22.5291351256521</v>
      </c>
      <c r="K118" s="3">
        <v>15.5364487243544</v>
      </c>
      <c r="L118" s="3">
        <v>18.280058296438</v>
      </c>
      <c r="M118" s="3">
        <v>16.108731808758002</v>
      </c>
      <c r="N118" s="3">
        <v>9.5556381003954804</v>
      </c>
    </row>
    <row r="119" spans="1:25" x14ac:dyDescent="0.35">
      <c r="A119" s="2">
        <v>45455</v>
      </c>
      <c r="B119" s="3">
        <v>24.197718653538399</v>
      </c>
      <c r="C119" s="3">
        <v>16.770788478643301</v>
      </c>
      <c r="D119" s="3">
        <v>14.8525240364204</v>
      </c>
      <c r="E119" s="3">
        <v>12.581550616705201</v>
      </c>
      <c r="F119" s="3">
        <v>16.706571887384602</v>
      </c>
      <c r="G119" s="3">
        <v>18.944237462105999</v>
      </c>
      <c r="H119" s="3">
        <v>11.697210801918899</v>
      </c>
      <c r="I119" s="3">
        <v>29.815395444601801</v>
      </c>
      <c r="J119" s="3">
        <v>22.706665273380299</v>
      </c>
      <c r="K119" s="3">
        <v>15.2420026633988</v>
      </c>
      <c r="L119" s="3">
        <v>18.5565278760727</v>
      </c>
      <c r="M119" s="3">
        <v>16.190190115943999</v>
      </c>
      <c r="N119" s="3">
        <v>9.5692917301214404</v>
      </c>
    </row>
    <row r="120" spans="1:25" x14ac:dyDescent="0.35">
      <c r="A120" s="2">
        <v>45485</v>
      </c>
      <c r="B120" s="3">
        <v>24.869277396313102</v>
      </c>
      <c r="C120" s="3">
        <v>17.149464492334101</v>
      </c>
      <c r="D120" s="3">
        <v>15.0911866446178</v>
      </c>
      <c r="E120" s="3">
        <v>12.683098355280499</v>
      </c>
      <c r="F120" s="3">
        <v>17.014220237144301</v>
      </c>
      <c r="G120" s="3">
        <v>19.008716852952201</v>
      </c>
      <c r="H120" s="3">
        <v>11.8392083661738</v>
      </c>
      <c r="I120" s="3">
        <v>30.592131083474602</v>
      </c>
      <c r="J120" s="3">
        <v>23.106562787200598</v>
      </c>
      <c r="K120" s="3">
        <v>15.0978683286849</v>
      </c>
      <c r="L120" s="3">
        <v>18.622514134427899</v>
      </c>
      <c r="M120" s="3">
        <v>16.660895164132398</v>
      </c>
      <c r="N120" s="3">
        <v>9.7043926723395302</v>
      </c>
    </row>
    <row r="121" spans="1:25" x14ac:dyDescent="0.35">
      <c r="A121" s="2">
        <v>45516</v>
      </c>
      <c r="B121" s="3">
        <v>25.3457714698412</v>
      </c>
      <c r="C121" s="3">
        <v>17.039609733932298</v>
      </c>
      <c r="D121" s="3">
        <v>14.949219770897299</v>
      </c>
      <c r="E121" s="3">
        <v>12.3027269894823</v>
      </c>
      <c r="F121" s="3">
        <v>15.3533592803259</v>
      </c>
      <c r="G121" s="3">
        <v>18.541518950952199</v>
      </c>
      <c r="H121" s="3">
        <v>11.832067546566901</v>
      </c>
      <c r="I121" s="3">
        <v>29.414555043498801</v>
      </c>
      <c r="J121" s="3">
        <v>22.4820781929646</v>
      </c>
      <c r="K121" s="3">
        <v>14.6459218717977</v>
      </c>
      <c r="L121" s="3">
        <v>17.324919097130199</v>
      </c>
      <c r="M121" s="3">
        <v>16.0303312965749</v>
      </c>
      <c r="N121" s="3">
        <v>9.4775333303120703</v>
      </c>
    </row>
    <row r="122" spans="1:25" x14ac:dyDescent="0.35">
      <c r="A122" s="2">
        <v>45546</v>
      </c>
      <c r="B122" s="3">
        <v>24.257442193074599</v>
      </c>
      <c r="C122" s="3">
        <v>17.4869998219664</v>
      </c>
      <c r="D122" s="3">
        <v>15.4089628366483</v>
      </c>
      <c r="E122" s="3">
        <v>12.7825377157353</v>
      </c>
      <c r="F122" s="3">
        <v>15.4541053568565</v>
      </c>
      <c r="G122" s="3">
        <v>18.575779442376</v>
      </c>
      <c r="H122" s="3">
        <v>11.949486913586</v>
      </c>
      <c r="I122" s="3">
        <v>30.030062070468901</v>
      </c>
      <c r="J122" s="3">
        <v>22.969439931846502</v>
      </c>
      <c r="K122" s="3">
        <v>14.745958899639801</v>
      </c>
      <c r="L122" s="3">
        <v>17.318918361976401</v>
      </c>
      <c r="M122" s="3">
        <v>16.665092504551801</v>
      </c>
      <c r="N122" s="3">
        <v>9.8765348698704205</v>
      </c>
    </row>
    <row r="124" spans="1:25" x14ac:dyDescent="0.35">
      <c r="A124" s="2" t="s">
        <v>91</v>
      </c>
      <c r="B124" s="3" cm="1">
        <f t="array" ref="B124">MIN(_xlfn._xlws.FILTER(B1:B122, ISNUMBER(B1:B122)))</f>
        <v>17.8689048706871</v>
      </c>
      <c r="C124" s="3" cm="1">
        <f t="array" ref="C124">MIN(_xlfn._xlws.FILTER(C1:C122, ISNUMBER(C1:C122)))</f>
        <v>13.2384113330108</v>
      </c>
      <c r="D124" s="3" cm="1">
        <f t="array" ref="D124">MIN(_xlfn._xlws.FILTER(D1:D122, ISNUMBER(D1:D122)))</f>
        <v>11.917300458888599</v>
      </c>
      <c r="E124" s="3" cm="1">
        <f t="array" ref="E124">MIN(_xlfn._xlws.FILTER(E1:E122, ISNUMBER(E1:E122)))</f>
        <v>9.9822999101084804</v>
      </c>
      <c r="F124" s="3" cm="1">
        <f t="array" ref="F124">MIN(_xlfn._xlws.FILTER(F1:F122, ISNUMBER(F1:F122)))</f>
        <v>11.791634012400801</v>
      </c>
      <c r="G124" s="3" cm="1">
        <f t="array" ref="G124">MIN(_xlfn._xlws.FILTER(G1:G122, ISNUMBER(G1:G122)))</f>
        <v>16.1151152552656</v>
      </c>
      <c r="H124" s="3" cm="1">
        <f t="array" ref="H124">MIN(_xlfn._xlws.FILTER(H1:H122, ISNUMBER(H1:H122)))</f>
        <v>9.2977963508930994</v>
      </c>
      <c r="I124" s="3" cm="1">
        <f t="array" ref="I124">MIN(_xlfn._xlws.FILTER(I1:I122, ISNUMBER(I1:I122)))</f>
        <v>17.6074768266086</v>
      </c>
      <c r="J124" s="3" cm="1">
        <f t="array" ref="J124">MIN(_xlfn._xlws.FILTER(J1:J122, ISNUMBER(J1:J122)))</f>
        <v>15.976446953628599</v>
      </c>
      <c r="K124" s="3" cm="1">
        <f t="array" ref="K124">MIN(_xlfn._xlws.FILTER(K1:K122, ISNUMBER(K1:K122)))</f>
        <v>11.363942034830201</v>
      </c>
      <c r="L124" s="3" cm="1">
        <f t="array" ref="L124">MIN(_xlfn._xlws.FILTER(L1:L122, ISNUMBER(L1:L122)))</f>
        <v>14.670371538714001</v>
      </c>
      <c r="M124" s="3" cm="1">
        <f t="array" ref="M124">MIN(_xlfn._xlws.FILTER(M1:M122, ISNUMBER(M1:M122)))</f>
        <v>11.720601284966399</v>
      </c>
      <c r="N124" s="3" cm="1">
        <f t="array" ref="N124">MIN(_xlfn._xlws.FILTER(N1:N122, ISNUMBER(N1:N122)))</f>
        <v>7.6938365046537998</v>
      </c>
    </row>
    <row r="125" spans="1:25" x14ac:dyDescent="0.35">
      <c r="A125" s="2" t="s">
        <v>92</v>
      </c>
      <c r="B125" s="3" cm="1">
        <f t="array" ref="B125">MAX(_xlfn._xlws.FILTER(B1:B122, ISNUMBER(B1:B122)))</f>
        <v>39.306031645682303</v>
      </c>
      <c r="C125" s="3" cm="1">
        <f t="array" ref="C125">MAX(_xlfn._xlws.FILTER(C1:C122, ISNUMBER(C1:C122)))</f>
        <v>23.310050832294099</v>
      </c>
      <c r="D125" s="3" cm="1">
        <f t="array" ref="D125">MAX(_xlfn._xlws.FILTER(D1:D122, ISNUMBER(D1:D122)))</f>
        <v>21.258436285746399</v>
      </c>
      <c r="E125" s="3" cm="1">
        <f t="array" ref="E125">MAX(_xlfn._xlws.FILTER(E1:E122, ISNUMBER(E1:E122)))</f>
        <v>22.194556517505099</v>
      </c>
      <c r="F125" s="3" cm="1">
        <f t="array" ref="F125">MAX(_xlfn._xlws.FILTER(F1:F122, ISNUMBER(F1:F122)))</f>
        <v>24.0143915698157</v>
      </c>
      <c r="G125" s="3" cm="1">
        <f t="array" ref="G125">MAX(_xlfn._xlws.FILTER(G1:G122, ISNUMBER(G1:G122)))</f>
        <v>22.069809268950799</v>
      </c>
      <c r="H125" s="3" cm="1">
        <f t="array" ref="H125">MAX(_xlfn._xlws.FILTER(H1:H122, ISNUMBER(H1:H122)))</f>
        <v>20.197276514336099</v>
      </c>
      <c r="I125" s="3" cm="1">
        <f t="array" ref="I125">MAX(_xlfn._xlws.FILTER(I1:I122, ISNUMBER(I1:I122)))</f>
        <v>35.596468589147797</v>
      </c>
      <c r="J125" s="3" cm="1">
        <f t="array" ref="J125">MAX(_xlfn._xlws.FILTER(J1:J122, ISNUMBER(J1:J122)))</f>
        <v>27.528949758517602</v>
      </c>
      <c r="K125" s="3" cm="1">
        <f t="array" ref="K125">MAX(_xlfn._xlws.FILTER(K1:K122, ISNUMBER(K1:K122)))</f>
        <v>29.0685782825818</v>
      </c>
      <c r="L125" s="3" cm="1">
        <f t="array" ref="L125">MAX(_xlfn._xlws.FILTER(L1:L122, ISNUMBER(L1:L122)))</f>
        <v>29.898961082204298</v>
      </c>
      <c r="M125" s="3" cm="1">
        <f t="array" ref="M125">MAX(_xlfn._xlws.FILTER(M1:M122, ISNUMBER(M1:M122)))</f>
        <v>25.909019594324299</v>
      </c>
      <c r="N125" s="3" cm="1">
        <f t="array" ref="N125">MAX(_xlfn._xlws.FILTER(N1:N122, ISNUMBER(N1:N122)))</f>
        <v>83.693688577698495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0.59799999999999998</v>
      </c>
      <c r="C127" s="9" cm="1">
        <f t="array" ref="C127">_xlfn.PERCENTRANK.EXC(_xlfn._xlws.FILTER(C1:C122, ISNUMBER(C1:C122)),C121)</f>
        <v>0.72099999999999997</v>
      </c>
      <c r="D127" s="9" cm="1">
        <f t="array" ref="D127">_xlfn.PERCENTRANK.EXC(_xlfn._xlws.FILTER(D1:D122, ISNUMBER(D1:D122)),D121)</f>
        <v>0.35199999999999998</v>
      </c>
      <c r="E127" s="9" cm="1">
        <f t="array" ref="E127">_xlfn.PERCENTRANK.EXC(_xlfn._xlws.FILTER(E1:E122, ISNUMBER(E1:E122)),E121)</f>
        <v>0.19600000000000001</v>
      </c>
      <c r="F127" s="9" cm="1">
        <f t="array" ref="F127">_xlfn.PERCENTRANK.EXC(_xlfn._xlws.FILTER(F1:F122, ISNUMBER(F1:F122)),F121)</f>
        <v>0.53200000000000003</v>
      </c>
      <c r="G127" s="9" cm="1">
        <f t="array" ref="G127">_xlfn.PERCENTRANK.EXC(_xlfn._xlws.FILTER(G1:G122, ISNUMBER(G1:G122)),G121)</f>
        <v>0.45</v>
      </c>
      <c r="H127" s="9" cm="1">
        <f t="array" ref="H127">_xlfn.PERCENTRANK.EXC(_xlfn._xlws.FILTER(H1:H122, ISNUMBER(H1:H122)),H121)</f>
        <v>0.221</v>
      </c>
      <c r="I127" s="9" cm="1">
        <f t="array" ref="I127">_xlfn.PERCENTRANK.EXC(_xlfn._xlws.FILTER(I1:I122, ISNUMBER(I1:I122)),I121)</f>
        <v>0.79500000000000004</v>
      </c>
      <c r="J127" s="9" cm="1">
        <f t="array" ref="J127">_xlfn.PERCENTRANK.EXC(_xlfn._xlws.FILTER(J1:J122, ISNUMBER(J1:J122)),J121)</f>
        <v>0.78600000000000003</v>
      </c>
      <c r="K127" s="9" cm="1">
        <f t="array" ref="K127">_xlfn.PERCENTRANK.EXC(_xlfn._xlws.FILTER(K1:K122, ISNUMBER(K1:K122)),K121)</f>
        <v>0.30299999999999999</v>
      </c>
      <c r="L127" s="9" cm="1">
        <f t="array" ref="L127">_xlfn.PERCENTRANK.EXC(_xlfn._xlws.FILTER(L1:L122, ISNUMBER(L1:L122)),L121)</f>
        <v>0.49099999999999999</v>
      </c>
      <c r="M127" s="9" cm="1">
        <f t="array" ref="M127">_xlfn.PERCENTRANK.EXC(_xlfn._xlws.FILTER(M1:M122, ISNUMBER(M1:M122)),M121)</f>
        <v>0.30299999999999999</v>
      </c>
      <c r="N127" s="9" cm="1">
        <f t="array" ref="N127">_xlfn.PERCENTRANK.EXC(_xlfn._xlws.FILTER(N1:N122, ISNUMBER(N1:N122)),N121)</f>
        <v>0.188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41894</v>
      </c>
      <c r="B2" s="3" cm="1">
        <f t="array" ref="B2:B122">_xll.FDS(B1,"FMA_PE(NTMA,-10AY,0,AM,""PORTAGG"",""MEANR"")")</f>
        <v>17.165981647242798</v>
      </c>
      <c r="C2" s="3" cm="1">
        <f t="array" ref="C2:C122">_xll.FDS(C1,"FMA_PE(NTMA,-10AY,0,AM,""PORTAGG"",""MEANR"")")</f>
        <v>14.5786822689824</v>
      </c>
      <c r="D2" s="3" cm="1">
        <f t="array" ref="D2:D122">_xll.FDS(D1,"FMA_PE(NTMA,-10AY,0,AM,""PORTAGG"",""MEANR"")")</f>
        <v>15.133128947654701</v>
      </c>
      <c r="E2" s="3" cm="1">
        <f t="array" ref="E2:E122">_xll.FDS(E1,"FMA_PE(NTMA,-10AY,0,AM,""PORTAGG"",""MEANR"")")</f>
        <v>12.764031224693101</v>
      </c>
      <c r="F2" s="3" cm="1">
        <f t="array" ref="F2:F122">_xll.FDS(F1,"FMA_PE(NTMA,-10AY,0,AM,""PORTAGG"",""MEANR"")")</f>
        <v>13.940713611507199</v>
      </c>
      <c r="G2" s="3" cm="1">
        <f t="array" ref="G2:G122">_xll.FDS(G1,"FMA_PE(NTMA,-10AY,0,AM,""PORTAGG"",""MEANR"")")</f>
        <v>16.141875232568701</v>
      </c>
      <c r="H2" s="3" cm="1">
        <f t="array" ref="H2:H122">_xll.FDS(H1,"FMA_PE(NTMA,-10AY,0,AM,""PORTAGG"",""MEANR"")")</f>
        <v>13.37645788891</v>
      </c>
      <c r="I2" s="3" cm="1">
        <f t="array" ref="I2:I122">_xll.FDS(I1,"FMA_PE(NTMA,-10AY,0,AM,""PORTAGG"",""MEANR"")")</f>
        <v>17.676768685200301</v>
      </c>
      <c r="J2" s="3" cm="1">
        <f t="array" ref="J2:J122">_xll.FDS(J1,"FMA_PE(NTMA,-10AY,0,AM,""PORTAGG"",""MEANR"")")</f>
        <v>15.173142977187799</v>
      </c>
      <c r="K2" s="3" cm="1">
        <f t="array" ref="K2:K122">_xll.FDS(K1,"FMA_PE(NTMA,-10AY,0,AM,""PORTAGG"",""MEANR"")")</f>
        <v>13.776792837184001</v>
      </c>
      <c r="L2" s="3" cm="1">
        <f t="array" ref="L2:L122">_xll.FDS(L1,"FMA_PE(NTMA,-10AY,0,AM,""PORTAGG"",""MEANR"")")</f>
        <v>14.620206365386201</v>
      </c>
      <c r="M2" s="3" cm="1">
        <f t="array" ref="M2:M122">_xll.FDS(M1,"FMA_PE(NTMA,-10AY,0,AM,""PORTAGG"",""MEANR"")")</f>
        <v>14.072498731329199</v>
      </c>
      <c r="N2" s="3" cm="1">
        <f t="array" ref="N2:N122">_xll.FDS(N1,"FMA_PE(NTMA,-10AY,0,AM,""PORTAGG"",""MEANR"")")</f>
        <v>14.0367275641081</v>
      </c>
    </row>
    <row r="3" spans="1:14" x14ac:dyDescent="0.35">
      <c r="A3" s="2">
        <v>41922</v>
      </c>
      <c r="B3" s="3">
        <v>17.079922742082999</v>
      </c>
      <c r="C3" s="3">
        <v>13.640520379406899</v>
      </c>
      <c r="D3" s="3">
        <v>13.756697344018299</v>
      </c>
      <c r="E3" s="3">
        <v>11.6096709554332</v>
      </c>
      <c r="F3" s="3">
        <v>13.1596564540028</v>
      </c>
      <c r="G3" s="3">
        <v>15.1180215919904</v>
      </c>
      <c r="H3" s="3">
        <v>12.506996740650401</v>
      </c>
      <c r="I3" s="3">
        <v>16.590143960872499</v>
      </c>
      <c r="J3" s="3">
        <v>14.5264828399597</v>
      </c>
      <c r="K3" s="3">
        <v>12.6193460181865</v>
      </c>
      <c r="L3" s="3">
        <v>13.8188359071062</v>
      </c>
      <c r="M3" s="3">
        <v>13.574358497269699</v>
      </c>
      <c r="N3" s="3">
        <v>12.515040725635499</v>
      </c>
    </row>
    <row r="4" spans="1:14" x14ac:dyDescent="0.35">
      <c r="A4" s="2">
        <v>41955</v>
      </c>
      <c r="B4" s="3">
        <v>18.142883485266999</v>
      </c>
      <c r="C4" s="3">
        <v>14.3962158365271</v>
      </c>
      <c r="D4" s="3">
        <v>14.674078699862299</v>
      </c>
      <c r="E4" s="3">
        <v>12.1570662450545</v>
      </c>
      <c r="F4" s="3">
        <v>14.427812339139001</v>
      </c>
      <c r="G4" s="3">
        <v>15.9675671488306</v>
      </c>
      <c r="H4" s="3">
        <v>13.3486489517283</v>
      </c>
      <c r="I4" s="3">
        <v>17.835659487778798</v>
      </c>
      <c r="J4" s="3">
        <v>15.6196484140194</v>
      </c>
      <c r="K4" s="3">
        <v>13.0852422709903</v>
      </c>
      <c r="L4" s="3">
        <v>14.6438894162971</v>
      </c>
      <c r="M4" s="3">
        <v>15.2324071780601</v>
      </c>
      <c r="N4" s="3">
        <v>12.358610558957601</v>
      </c>
    </row>
    <row r="5" spans="1:14" x14ac:dyDescent="0.35">
      <c r="A5" s="2">
        <v>41985</v>
      </c>
      <c r="B5" s="3">
        <v>18.0288878184422</v>
      </c>
      <c r="C5" s="3">
        <v>13.8352476645141</v>
      </c>
      <c r="D5" s="3">
        <v>14.4756396890698</v>
      </c>
      <c r="E5" s="3">
        <v>12.614054551302299</v>
      </c>
      <c r="F5" s="3">
        <v>14.2531287900094</v>
      </c>
      <c r="G5" s="3">
        <v>15.648985072416499</v>
      </c>
      <c r="H5" s="3">
        <v>13.206753128807399</v>
      </c>
      <c r="I5" s="3">
        <v>17.5899395414054</v>
      </c>
      <c r="J5" s="3">
        <v>15.4666051675582</v>
      </c>
      <c r="K5" s="3">
        <v>13.245095502051401</v>
      </c>
      <c r="L5" s="3">
        <v>14.5120042300371</v>
      </c>
      <c r="M5" s="3">
        <v>15.2689985606935</v>
      </c>
      <c r="N5" s="3">
        <v>12.2693076711912</v>
      </c>
    </row>
    <row r="6" spans="1:14" x14ac:dyDescent="0.35">
      <c r="A6" s="2">
        <v>42016</v>
      </c>
      <c r="B6" s="3">
        <v>18.5336500691986</v>
      </c>
      <c r="C6" s="3">
        <v>14.64791689133</v>
      </c>
      <c r="D6" s="3">
        <v>15.253973397024801</v>
      </c>
      <c r="E6" s="3">
        <v>12.838059595623401</v>
      </c>
      <c r="F6" s="3">
        <v>13.9127067535441</v>
      </c>
      <c r="G6" s="3">
        <v>15.8078266032767</v>
      </c>
      <c r="H6" s="3">
        <v>13.752424238986499</v>
      </c>
      <c r="I6" s="3">
        <v>17.127602545030001</v>
      </c>
      <c r="J6" s="3">
        <v>15.909584201800801</v>
      </c>
      <c r="K6" s="3">
        <v>13.7079629384556</v>
      </c>
      <c r="L6" s="3">
        <v>14.6903861867159</v>
      </c>
      <c r="M6" s="3">
        <v>15.4940680623888</v>
      </c>
      <c r="N6" s="3">
        <v>11.871690411610601</v>
      </c>
    </row>
    <row r="7" spans="1:14" x14ac:dyDescent="0.35">
      <c r="A7" s="2">
        <v>42047</v>
      </c>
      <c r="B7" s="3">
        <v>18.9410156078402</v>
      </c>
      <c r="C7" s="3">
        <v>15.6592435782353</v>
      </c>
      <c r="D7" s="3">
        <v>17.384260624149199</v>
      </c>
      <c r="E7" s="3">
        <v>14.2381060003773</v>
      </c>
      <c r="F7" s="3">
        <v>14.4072466283708</v>
      </c>
      <c r="G7" s="3">
        <v>16.9141694830038</v>
      </c>
      <c r="H7" s="3">
        <v>15.388176968953299</v>
      </c>
      <c r="I7" s="3">
        <v>17.762648379553699</v>
      </c>
      <c r="J7" s="3">
        <v>16.792968732369701</v>
      </c>
      <c r="K7" s="3">
        <v>15.7430654306756</v>
      </c>
      <c r="L7" s="3">
        <v>16.008823367584</v>
      </c>
      <c r="M7" s="3">
        <v>16.621581595079601</v>
      </c>
      <c r="N7" s="3">
        <v>14.4821421704867</v>
      </c>
    </row>
    <row r="8" spans="1:14" x14ac:dyDescent="0.35">
      <c r="A8" s="2">
        <v>42075</v>
      </c>
      <c r="B8" s="3">
        <v>19.135835784195699</v>
      </c>
      <c r="C8" s="3">
        <v>16.0085147287108</v>
      </c>
      <c r="D8" s="3">
        <v>16.9463634180449</v>
      </c>
      <c r="E8" s="3">
        <v>15.2974277836292</v>
      </c>
      <c r="F8" s="3">
        <v>15.2972185807974</v>
      </c>
      <c r="G8" s="3">
        <v>17.468513440207602</v>
      </c>
      <c r="H8" s="3">
        <v>15.235856774391801</v>
      </c>
      <c r="I8" s="3">
        <v>17.668581664006801</v>
      </c>
      <c r="J8" s="3">
        <v>16.5767374271982</v>
      </c>
      <c r="K8" s="3">
        <v>16.426750169037099</v>
      </c>
      <c r="L8" s="3">
        <v>17.4294878704045</v>
      </c>
      <c r="M8" s="3">
        <v>17.080735756031299</v>
      </c>
      <c r="N8" s="3">
        <v>15.629228580422</v>
      </c>
    </row>
    <row r="9" spans="1:14" x14ac:dyDescent="0.35">
      <c r="A9" s="2">
        <v>42104</v>
      </c>
      <c r="B9" s="3">
        <v>18.401874526003201</v>
      </c>
      <c r="C9" s="3">
        <v>16.583015198882499</v>
      </c>
      <c r="D9" s="3">
        <v>17.3889493103798</v>
      </c>
      <c r="E9" s="3">
        <v>15.90603691566</v>
      </c>
      <c r="F9" s="3">
        <v>15.6172877626872</v>
      </c>
      <c r="G9" s="3">
        <v>18.287365841318898</v>
      </c>
      <c r="H9" s="3">
        <v>16.080304276995498</v>
      </c>
      <c r="I9" s="3">
        <v>17.9983431695291</v>
      </c>
      <c r="J9" s="3">
        <v>16.750617980344799</v>
      </c>
      <c r="K9" s="3">
        <v>17.1212684363433</v>
      </c>
      <c r="L9" s="3">
        <v>17.799055538552899</v>
      </c>
      <c r="M9" s="3">
        <v>17.103165084414901</v>
      </c>
      <c r="N9" s="3">
        <v>16.238930682903199</v>
      </c>
    </row>
    <row r="10" spans="1:14" x14ac:dyDescent="0.35">
      <c r="A10" s="2">
        <v>42136</v>
      </c>
      <c r="B10" s="3">
        <v>18.252552913088699</v>
      </c>
      <c r="C10" s="3">
        <v>15.933575224063899</v>
      </c>
      <c r="D10" s="3">
        <v>16.784042966515202</v>
      </c>
      <c r="E10" s="3">
        <v>14.3424563835108</v>
      </c>
      <c r="F10" s="3">
        <v>15.8620172333189</v>
      </c>
      <c r="G10" s="3">
        <v>17.501831407271201</v>
      </c>
      <c r="H10" s="3">
        <v>16.073967575122399</v>
      </c>
      <c r="I10" s="3">
        <v>17.7525574736928</v>
      </c>
      <c r="J10" s="3">
        <v>16.564275727082599</v>
      </c>
      <c r="K10" s="3">
        <v>16.094965319060002</v>
      </c>
      <c r="L10" s="3">
        <v>16.7758548009656</v>
      </c>
      <c r="M10" s="3">
        <v>15.28251727452</v>
      </c>
      <c r="N10" s="3">
        <v>15.6287223435203</v>
      </c>
    </row>
    <row r="11" spans="1:14" x14ac:dyDescent="0.35">
      <c r="A11" s="2">
        <v>42167</v>
      </c>
      <c r="B11" s="3">
        <v>18.250751116659899</v>
      </c>
      <c r="C11" s="3">
        <v>15.284057379595801</v>
      </c>
      <c r="D11" s="3">
        <v>16.209828486425799</v>
      </c>
      <c r="E11" s="3">
        <v>13.7275961497461</v>
      </c>
      <c r="F11" s="3">
        <v>15.9038899955519</v>
      </c>
      <c r="G11" s="3">
        <v>17.325664182119901</v>
      </c>
      <c r="H11" s="3">
        <v>15.5874338361336</v>
      </c>
      <c r="I11" s="3">
        <v>17.759923722691799</v>
      </c>
      <c r="J11" s="3">
        <v>16.3842740921224</v>
      </c>
      <c r="K11" s="3">
        <v>15.714823225082201</v>
      </c>
      <c r="L11" s="3">
        <v>16.377076051090199</v>
      </c>
      <c r="M11" s="3">
        <v>15.923576783166</v>
      </c>
      <c r="N11" s="3">
        <v>15.202325145966901</v>
      </c>
    </row>
    <row r="12" spans="1:14" x14ac:dyDescent="0.35">
      <c r="A12" s="2">
        <v>42195</v>
      </c>
      <c r="B12" s="3">
        <v>17.805612125920199</v>
      </c>
      <c r="C12" s="3">
        <v>15.1095200696876</v>
      </c>
      <c r="D12" s="3">
        <v>15.650755207904499</v>
      </c>
      <c r="E12" s="3">
        <v>13.7483321944471</v>
      </c>
      <c r="F12" s="3">
        <v>14.9094105664143</v>
      </c>
      <c r="G12" s="3">
        <v>17.3141890608346</v>
      </c>
      <c r="H12" s="3">
        <v>15.2118083680274</v>
      </c>
      <c r="I12" s="3">
        <v>17.511051871763001</v>
      </c>
      <c r="J12" s="3">
        <v>16.184584271081899</v>
      </c>
      <c r="K12" s="3">
        <v>15.502702290150401</v>
      </c>
      <c r="L12" s="3">
        <v>16.449163423840901</v>
      </c>
      <c r="M12" s="3">
        <v>15.902158617015299</v>
      </c>
      <c r="N12" s="3">
        <v>14.977426109166201</v>
      </c>
    </row>
    <row r="13" spans="1:14" x14ac:dyDescent="0.35">
      <c r="A13" s="2">
        <v>42228</v>
      </c>
      <c r="B13" s="3">
        <v>17.846609866253001</v>
      </c>
      <c r="C13" s="3">
        <v>14.971458599616501</v>
      </c>
      <c r="D13" s="3">
        <v>15.4994165982953</v>
      </c>
      <c r="E13" s="3">
        <v>13.1895348879273</v>
      </c>
      <c r="F13" s="3">
        <v>15.474805707080399</v>
      </c>
      <c r="G13" s="3">
        <v>17.182790475617999</v>
      </c>
      <c r="H13" s="3">
        <v>15.1809486166444</v>
      </c>
      <c r="I13" s="3">
        <v>18.3533009925595</v>
      </c>
      <c r="J13" s="3">
        <v>16.269860379414599</v>
      </c>
      <c r="K13" s="3">
        <v>15.211394972926501</v>
      </c>
      <c r="L13" s="3">
        <v>15.9836360658662</v>
      </c>
      <c r="M13" s="3">
        <v>15.732347166372101</v>
      </c>
      <c r="N13" s="3">
        <v>15.1409398668854</v>
      </c>
    </row>
    <row r="14" spans="1:14" x14ac:dyDescent="0.35">
      <c r="A14" s="2">
        <v>42258</v>
      </c>
      <c r="B14" s="3">
        <v>17.321012404112398</v>
      </c>
      <c r="C14" s="3">
        <v>14.302800692076501</v>
      </c>
      <c r="D14" s="3">
        <v>14.6495285211832</v>
      </c>
      <c r="E14" s="3">
        <v>12.272080495621401</v>
      </c>
      <c r="F14" s="3">
        <v>13.6481190642019</v>
      </c>
      <c r="G14" s="3">
        <v>16.438363475601101</v>
      </c>
      <c r="H14" s="3">
        <v>14.325634596936</v>
      </c>
      <c r="I14" s="3">
        <v>17.422084545231002</v>
      </c>
      <c r="J14" s="3">
        <v>15.2817631966567</v>
      </c>
      <c r="K14" s="3">
        <v>14.1123860445249</v>
      </c>
      <c r="L14" s="3">
        <v>14.559729005272001</v>
      </c>
      <c r="M14" s="3">
        <v>14.810978363045299</v>
      </c>
      <c r="N14" s="3">
        <v>14.3746031426826</v>
      </c>
    </row>
    <row r="15" spans="1:14" x14ac:dyDescent="0.35">
      <c r="A15" s="2">
        <v>42289</v>
      </c>
      <c r="B15" s="3">
        <v>17.170926172726698</v>
      </c>
      <c r="C15" s="3">
        <v>15.0273728852878</v>
      </c>
      <c r="D15" s="3">
        <v>15.209568243433401</v>
      </c>
      <c r="E15" s="3">
        <v>12.4424743129648</v>
      </c>
      <c r="F15" s="3">
        <v>13.992644047648501</v>
      </c>
      <c r="G15" s="3">
        <v>16.543567580087402</v>
      </c>
      <c r="H15" s="3">
        <v>15.2028371861573</v>
      </c>
      <c r="I15" s="3">
        <v>17.617025040301002</v>
      </c>
      <c r="J15" s="3">
        <v>15.7719445727845</v>
      </c>
      <c r="K15" s="3">
        <v>14.594510638106399</v>
      </c>
      <c r="L15" s="3">
        <v>14.8238827880736</v>
      </c>
      <c r="M15" s="3">
        <v>15.0244646432922</v>
      </c>
      <c r="N15" s="3">
        <v>14.4670870855629</v>
      </c>
    </row>
    <row r="16" spans="1:14" x14ac:dyDescent="0.35">
      <c r="A16" s="2">
        <v>42320</v>
      </c>
      <c r="B16" s="3">
        <v>18.011160713137901</v>
      </c>
      <c r="C16" s="3">
        <v>14.775024984181901</v>
      </c>
      <c r="D16" s="3">
        <v>14.3400074114265</v>
      </c>
      <c r="E16" s="3">
        <v>13.4076054902511</v>
      </c>
      <c r="F16" s="3">
        <v>14.708996331944601</v>
      </c>
      <c r="G16" s="3">
        <v>16.7864367864413</v>
      </c>
      <c r="H16" s="3">
        <v>14.9543970825695</v>
      </c>
      <c r="I16" s="3">
        <v>18.3925553609009</v>
      </c>
      <c r="J16" s="3">
        <v>16.035619797460701</v>
      </c>
      <c r="K16" s="3">
        <v>15.0756672995633</v>
      </c>
      <c r="L16" s="3">
        <v>16.105575222688799</v>
      </c>
      <c r="M16" s="3">
        <v>15.293603811115799</v>
      </c>
      <c r="N16" s="3">
        <v>14.474785511288999</v>
      </c>
    </row>
    <row r="17" spans="1:14" x14ac:dyDescent="0.35">
      <c r="A17" s="2">
        <v>42349</v>
      </c>
      <c r="B17" s="3">
        <v>18.072781372492699</v>
      </c>
      <c r="C17" s="3">
        <v>14.7746093515713</v>
      </c>
      <c r="D17" s="3">
        <v>13.9753990109654</v>
      </c>
      <c r="E17" s="3">
        <v>12.9023751221756</v>
      </c>
      <c r="F17" s="3">
        <v>14.1751031803682</v>
      </c>
      <c r="G17" s="3">
        <v>16.362903978108498</v>
      </c>
      <c r="H17" s="3">
        <v>14.5504639555129</v>
      </c>
      <c r="I17" s="3">
        <v>18.1011851659073</v>
      </c>
      <c r="J17" s="3">
        <v>15.7300489831403</v>
      </c>
      <c r="K17" s="3">
        <v>14.2868704415095</v>
      </c>
      <c r="L17" s="3">
        <v>15.2061614074946</v>
      </c>
      <c r="M17" s="3">
        <v>14.455218149881899</v>
      </c>
      <c r="N17" s="3">
        <v>13.899697213056101</v>
      </c>
    </row>
    <row r="18" spans="1:14" x14ac:dyDescent="0.35">
      <c r="A18" s="2">
        <v>42381</v>
      </c>
      <c r="B18" s="3">
        <v>17.605436722053899</v>
      </c>
      <c r="C18" s="3">
        <v>14.6468304387669</v>
      </c>
      <c r="D18" s="3">
        <v>13.631020591592801</v>
      </c>
      <c r="E18" s="3">
        <v>12.357162472424699</v>
      </c>
      <c r="F18" s="3">
        <v>12.696090952022599</v>
      </c>
      <c r="G18" s="3">
        <v>16.086111739471502</v>
      </c>
      <c r="H18" s="3">
        <v>14.552309708492199</v>
      </c>
      <c r="I18" s="3">
        <v>17.397947227011201</v>
      </c>
      <c r="J18" s="3">
        <v>15.2450405364849</v>
      </c>
      <c r="K18" s="3">
        <v>13.822123128123099</v>
      </c>
      <c r="L18" s="3">
        <v>14.6294293318347</v>
      </c>
      <c r="M18" s="3">
        <v>14.064098074952</v>
      </c>
      <c r="N18" s="3">
        <v>13.4790861968652</v>
      </c>
    </row>
    <row r="19" spans="1:14" x14ac:dyDescent="0.35">
      <c r="A19" s="2">
        <v>42412</v>
      </c>
      <c r="B19" s="3">
        <v>16.738014946543199</v>
      </c>
      <c r="C19" s="3">
        <v>14.593803173919399</v>
      </c>
      <c r="D19" s="3">
        <v>14.208987653995701</v>
      </c>
      <c r="E19" s="3">
        <v>11.3732567940769</v>
      </c>
      <c r="F19" s="3">
        <v>11.0013808009965</v>
      </c>
      <c r="G19" s="3">
        <v>15.677969354621601</v>
      </c>
      <c r="H19" s="3">
        <v>14.8392059698641</v>
      </c>
      <c r="I19" s="3">
        <v>16.233587473453799</v>
      </c>
      <c r="J19" s="3">
        <v>15.5099438140132</v>
      </c>
      <c r="K19" s="3">
        <v>13.072435578571399</v>
      </c>
      <c r="L19" s="3">
        <v>13.605002475377001</v>
      </c>
      <c r="M19" s="3">
        <v>14.1745717619362</v>
      </c>
      <c r="N19" s="3">
        <v>11.894123018802301</v>
      </c>
    </row>
    <row r="20" spans="1:14" x14ac:dyDescent="0.35">
      <c r="A20" s="2">
        <v>42440</v>
      </c>
      <c r="B20" s="3">
        <v>18.153055509205</v>
      </c>
      <c r="C20" s="3">
        <v>16.116603670777199</v>
      </c>
      <c r="D20" s="3">
        <v>15.764855796023999</v>
      </c>
      <c r="E20" s="3">
        <v>12.541298654621199</v>
      </c>
      <c r="F20" s="3">
        <v>12.948215571104599</v>
      </c>
      <c r="G20" s="3">
        <v>16.685050964592602</v>
      </c>
      <c r="H20" s="3">
        <v>16.020247807802001</v>
      </c>
      <c r="I20" s="3">
        <v>17.434393650333401</v>
      </c>
      <c r="J20" s="3">
        <v>15.516736353630501</v>
      </c>
      <c r="K20" s="3">
        <v>14.675120516163499</v>
      </c>
      <c r="L20" s="3">
        <v>15.303880693061</v>
      </c>
      <c r="M20" s="3">
        <v>15.6747655272162</v>
      </c>
      <c r="N20" s="3">
        <v>13.7408450918804</v>
      </c>
    </row>
    <row r="21" spans="1:14" x14ac:dyDescent="0.35">
      <c r="A21" s="2">
        <v>42472</v>
      </c>
      <c r="B21" s="3">
        <v>18.3617903494346</v>
      </c>
      <c r="C21" s="3">
        <v>15.3391071384497</v>
      </c>
      <c r="D21" s="3">
        <v>16.035280927249499</v>
      </c>
      <c r="E21" s="3">
        <v>12.434345122498</v>
      </c>
      <c r="F21" s="3">
        <v>12.383471054225399</v>
      </c>
      <c r="G21" s="3">
        <v>16.456230472690901</v>
      </c>
      <c r="H21" s="3">
        <v>16.193252029157101</v>
      </c>
      <c r="I21" s="3">
        <v>17.871490193692601</v>
      </c>
      <c r="J21" s="3">
        <v>16.500463546018398</v>
      </c>
      <c r="K21" s="3">
        <v>14.2557910518409</v>
      </c>
      <c r="L21" s="3">
        <v>15.0280703071946</v>
      </c>
      <c r="M21" s="3">
        <v>15.106438283998999</v>
      </c>
      <c r="N21" s="3">
        <v>12.686712077147201</v>
      </c>
    </row>
    <row r="22" spans="1:14" x14ac:dyDescent="0.35">
      <c r="A22" s="2">
        <v>42502</v>
      </c>
      <c r="B22" s="3">
        <v>19.246376186834699</v>
      </c>
      <c r="C22" s="3">
        <v>16.509472498451899</v>
      </c>
      <c r="D22" s="3">
        <v>16.2890287057709</v>
      </c>
      <c r="E22" s="3">
        <v>12.3728635915657</v>
      </c>
      <c r="F22" s="3">
        <v>13.021251315899701</v>
      </c>
      <c r="G22" s="3">
        <v>16.617846565405902</v>
      </c>
      <c r="H22" s="3">
        <v>15.6610200127315</v>
      </c>
      <c r="I22" s="3">
        <v>17.441925661303699</v>
      </c>
      <c r="J22" s="3">
        <v>16.522677016730398</v>
      </c>
      <c r="K22" s="3">
        <v>14.0915097892498</v>
      </c>
      <c r="L22" s="3">
        <v>14.6630099888808</v>
      </c>
      <c r="M22" s="3">
        <v>14.692220106065699</v>
      </c>
      <c r="N22" s="3">
        <v>13.429282607794001</v>
      </c>
    </row>
    <row r="23" spans="1:14" x14ac:dyDescent="0.35">
      <c r="A23" s="2">
        <v>42531</v>
      </c>
      <c r="B23" s="3">
        <v>19.325858525158701</v>
      </c>
      <c r="C23" s="3">
        <v>16.2466950378194</v>
      </c>
      <c r="D23" s="3">
        <v>16.5638660182303</v>
      </c>
      <c r="E23" s="3">
        <v>12.1514418532897</v>
      </c>
      <c r="F23" s="3">
        <v>13.3577855484663</v>
      </c>
      <c r="G23" s="3">
        <v>16.665406035274199</v>
      </c>
      <c r="H23" s="3">
        <v>15.456618916031999</v>
      </c>
      <c r="I23" s="3">
        <v>17.724918026053398</v>
      </c>
      <c r="J23" s="3">
        <v>16.533254702551702</v>
      </c>
      <c r="K23" s="3">
        <v>13.891646825214901</v>
      </c>
      <c r="L23" s="3">
        <v>14.525945561051101</v>
      </c>
      <c r="M23" s="3">
        <v>14.415651769368001</v>
      </c>
      <c r="N23" s="3">
        <v>12.490673351837501</v>
      </c>
    </row>
    <row r="24" spans="1:14" x14ac:dyDescent="0.35">
      <c r="A24" s="2">
        <v>42563</v>
      </c>
      <c r="B24" s="3">
        <v>19.561225013640499</v>
      </c>
      <c r="C24" s="3">
        <v>16.208328406337301</v>
      </c>
      <c r="D24" s="3">
        <v>16.5934394634833</v>
      </c>
      <c r="E24" s="3">
        <v>12.2908143615781</v>
      </c>
      <c r="F24" s="3">
        <v>13.118027344813701</v>
      </c>
      <c r="G24" s="3">
        <v>16.938343533272501</v>
      </c>
      <c r="H24" s="3">
        <v>16.090005476054401</v>
      </c>
      <c r="I24" s="3">
        <v>18.2340660786796</v>
      </c>
      <c r="J24" s="3">
        <v>16.893269154424399</v>
      </c>
      <c r="K24" s="3">
        <v>13.867339793023699</v>
      </c>
      <c r="L24" s="3">
        <v>14.455190539346299</v>
      </c>
      <c r="M24" s="3">
        <v>14.885835037542501</v>
      </c>
      <c r="N24" s="3">
        <v>12.230162615740101</v>
      </c>
    </row>
    <row r="25" spans="1:14" x14ac:dyDescent="0.35">
      <c r="A25" s="2">
        <v>42594</v>
      </c>
      <c r="B25" s="3">
        <v>20.317411840701599</v>
      </c>
      <c r="C25" s="3">
        <v>16.804036204235501</v>
      </c>
      <c r="D25" s="3">
        <v>16.546496731309698</v>
      </c>
      <c r="E25" s="3">
        <v>13.1512439580967</v>
      </c>
      <c r="F25" s="3">
        <v>13.4356193501105</v>
      </c>
      <c r="G25" s="3">
        <v>17.6160580413198</v>
      </c>
      <c r="H25" s="3">
        <v>16.325565105227</v>
      </c>
      <c r="I25" s="3">
        <v>18.825070724436099</v>
      </c>
      <c r="J25" s="3">
        <v>16.989361544477401</v>
      </c>
      <c r="K25" s="3">
        <v>14.211056381815901</v>
      </c>
      <c r="L25" s="3">
        <v>15.0113317918091</v>
      </c>
      <c r="M25" s="3">
        <v>15.535038698418999</v>
      </c>
      <c r="N25" s="3">
        <v>12.7699715220756</v>
      </c>
    </row>
    <row r="26" spans="1:14" x14ac:dyDescent="0.35">
      <c r="A26" s="2">
        <v>42625</v>
      </c>
      <c r="B26" s="3">
        <v>20.4086499233611</v>
      </c>
      <c r="C26" s="3">
        <v>15.6861262609662</v>
      </c>
      <c r="D26" s="3">
        <v>16.119374518758299</v>
      </c>
      <c r="E26" s="3">
        <v>12.7809986131182</v>
      </c>
      <c r="F26" s="3">
        <v>13.4005560211573</v>
      </c>
      <c r="G26" s="3">
        <v>17.225462762082799</v>
      </c>
      <c r="H26" s="3">
        <v>15.592205383739101</v>
      </c>
      <c r="I26" s="3">
        <v>18.3919586557227</v>
      </c>
      <c r="J26" s="3">
        <v>16.668477174075502</v>
      </c>
      <c r="K26" s="3">
        <v>13.9303290244743</v>
      </c>
      <c r="L26" s="3">
        <v>14.7320393156292</v>
      </c>
      <c r="M26" s="3">
        <v>15.380281044748999</v>
      </c>
      <c r="N26" s="3">
        <v>12.187673373792601</v>
      </c>
    </row>
    <row r="27" spans="1:14" x14ac:dyDescent="0.35">
      <c r="A27" s="2">
        <v>42655</v>
      </c>
      <c r="B27" s="3">
        <v>19.469758131787</v>
      </c>
      <c r="C27" s="3">
        <v>16.3118851379562</v>
      </c>
      <c r="D27" s="3">
        <v>15.978705671797</v>
      </c>
      <c r="E27" s="3">
        <v>12.852353517200401</v>
      </c>
      <c r="F27" s="3">
        <v>13.4099889717933</v>
      </c>
      <c r="G27" s="3">
        <v>16.8186819442138</v>
      </c>
      <c r="H27" s="3">
        <v>15.377932688236299</v>
      </c>
      <c r="I27" s="3">
        <v>18.371218804153099</v>
      </c>
      <c r="J27" s="3">
        <v>16.393188978005199</v>
      </c>
      <c r="K27" s="3">
        <v>13.801460619757099</v>
      </c>
      <c r="L27" s="3">
        <v>14.7857886660594</v>
      </c>
      <c r="M27" s="3">
        <v>15.964088993371</v>
      </c>
      <c r="N27" s="3">
        <v>11.7213300910156</v>
      </c>
    </row>
    <row r="28" spans="1:14" x14ac:dyDescent="0.35">
      <c r="A28" s="2">
        <v>42685</v>
      </c>
      <c r="B28" s="3">
        <v>18.2548768664489</v>
      </c>
      <c r="C28" s="3">
        <v>15.9164664958631</v>
      </c>
      <c r="D28" s="3">
        <v>15.6758626920737</v>
      </c>
      <c r="E28" s="3">
        <v>12.8149234703325</v>
      </c>
      <c r="F28" s="3">
        <v>13.688755478082401</v>
      </c>
      <c r="G28" s="3">
        <v>16.458958123938402</v>
      </c>
      <c r="H28" s="3">
        <v>14.374385281030101</v>
      </c>
      <c r="I28" s="3">
        <v>17.936490780206501</v>
      </c>
      <c r="J28" s="3">
        <v>16.526103060481901</v>
      </c>
      <c r="K28" s="3">
        <v>13.6999609196774</v>
      </c>
      <c r="L28" s="3">
        <v>14.410159051439701</v>
      </c>
      <c r="M28" s="3">
        <v>15.953479396277899</v>
      </c>
      <c r="N28" s="3">
        <v>11.8434378398969</v>
      </c>
    </row>
    <row r="29" spans="1:14" x14ac:dyDescent="0.35">
      <c r="A29" s="2">
        <v>42716</v>
      </c>
      <c r="B29" s="3">
        <v>18.460699383723099</v>
      </c>
      <c r="C29" s="3">
        <v>15.867868480497</v>
      </c>
      <c r="D29" s="3">
        <v>15.9240162079385</v>
      </c>
      <c r="E29" s="3">
        <v>13.368440008514799</v>
      </c>
      <c r="F29" s="3">
        <v>14.965477489359699</v>
      </c>
      <c r="G29" s="3">
        <v>16.504078565895</v>
      </c>
      <c r="H29" s="3">
        <v>14.305727504765001</v>
      </c>
      <c r="I29" s="3">
        <v>18.188038589203799</v>
      </c>
      <c r="J29" s="3">
        <v>17.043115899728399</v>
      </c>
      <c r="K29" s="3">
        <v>14.3857803755352</v>
      </c>
      <c r="L29" s="3">
        <v>14.774031914046599</v>
      </c>
      <c r="M29" s="3">
        <v>16.6307151613847</v>
      </c>
      <c r="N29" s="3">
        <v>12.929139048367301</v>
      </c>
    </row>
    <row r="30" spans="1:14" x14ac:dyDescent="0.35">
      <c r="A30" s="2">
        <v>42747</v>
      </c>
      <c r="B30" s="3">
        <v>18.990354681075701</v>
      </c>
      <c r="C30" s="3">
        <v>16.066451281699599</v>
      </c>
      <c r="D30" s="3">
        <v>15.8647717307565</v>
      </c>
      <c r="E30" s="3">
        <v>13.6521187237802</v>
      </c>
      <c r="F30" s="3">
        <v>14.759029697001999</v>
      </c>
      <c r="G30" s="3">
        <v>17.123348838545699</v>
      </c>
      <c r="H30" s="3">
        <v>14.4632205552585</v>
      </c>
      <c r="I30" s="3">
        <v>18.642892562838501</v>
      </c>
      <c r="J30" s="3">
        <v>16.969315062943199</v>
      </c>
      <c r="K30" s="3">
        <v>14.5477665077397</v>
      </c>
      <c r="L30" s="3">
        <v>14.9003697276453</v>
      </c>
      <c r="M30" s="3">
        <v>16.352888717781401</v>
      </c>
      <c r="N30" s="3">
        <v>13.214521205419</v>
      </c>
    </row>
    <row r="31" spans="1:14" x14ac:dyDescent="0.35">
      <c r="A31" s="2">
        <v>42776</v>
      </c>
      <c r="B31" s="3">
        <v>19.171644371050999</v>
      </c>
      <c r="C31" s="3">
        <v>15.8687074156165</v>
      </c>
      <c r="D31" s="3">
        <v>16.237924967249501</v>
      </c>
      <c r="E31" s="3">
        <v>13.629762368562099</v>
      </c>
      <c r="F31" s="3">
        <v>14.4869528859572</v>
      </c>
      <c r="G31" s="3">
        <v>17.380002483009498</v>
      </c>
      <c r="H31" s="3">
        <v>14.5121104342617</v>
      </c>
      <c r="I31" s="3">
        <v>19.752540610370499</v>
      </c>
      <c r="J31" s="3">
        <v>17.357313516161799</v>
      </c>
      <c r="K31" s="3">
        <v>14.2086830911331</v>
      </c>
      <c r="L31" s="3">
        <v>15.2732373653177</v>
      </c>
      <c r="M31" s="3">
        <v>16.053573845926401</v>
      </c>
      <c r="N31" s="3">
        <v>13.0473965591938</v>
      </c>
    </row>
    <row r="32" spans="1:14" x14ac:dyDescent="0.35">
      <c r="A32" s="2">
        <v>42804</v>
      </c>
      <c r="B32" s="3">
        <v>18.956193852494899</v>
      </c>
      <c r="C32" s="3">
        <v>15.8277049015119</v>
      </c>
      <c r="D32" s="3">
        <v>15.9114596927576</v>
      </c>
      <c r="E32" s="3">
        <v>13.8574938465021</v>
      </c>
      <c r="F32" s="3">
        <v>14.403819184986</v>
      </c>
      <c r="G32" s="3">
        <v>17.639037454638501</v>
      </c>
      <c r="H32" s="3">
        <v>14.341533303434099</v>
      </c>
      <c r="I32" s="3">
        <v>20.128858016644099</v>
      </c>
      <c r="J32" s="3">
        <v>17.6868555093764</v>
      </c>
      <c r="K32" s="3">
        <v>14.520479109223601</v>
      </c>
      <c r="L32" s="3">
        <v>16.065830795563301</v>
      </c>
      <c r="M32" s="3">
        <v>16.852744495405901</v>
      </c>
      <c r="N32" s="3">
        <v>13.286304268017901</v>
      </c>
    </row>
    <row r="33" spans="1:14" x14ac:dyDescent="0.35">
      <c r="A33" s="2">
        <v>42837</v>
      </c>
      <c r="B33" s="3">
        <v>19.1824923938978</v>
      </c>
      <c r="C33" s="3">
        <v>15.960226167901901</v>
      </c>
      <c r="D33" s="3">
        <v>15.897535196440399</v>
      </c>
      <c r="E33" s="3">
        <v>13.855164158091601</v>
      </c>
      <c r="F33" s="3">
        <v>13.437075745751301</v>
      </c>
      <c r="G33" s="3">
        <v>17.441306762849699</v>
      </c>
      <c r="H33" s="3">
        <v>14.481396824888099</v>
      </c>
      <c r="I33" s="3">
        <v>19.849676389054899</v>
      </c>
      <c r="J33" s="3">
        <v>17.319071096622999</v>
      </c>
      <c r="K33" s="3">
        <v>14.8003146053822</v>
      </c>
      <c r="L33" s="3">
        <v>16.160748852129</v>
      </c>
      <c r="M33" s="3">
        <v>16.961949816872</v>
      </c>
      <c r="N33" s="3">
        <v>13.143846898951301</v>
      </c>
    </row>
    <row r="34" spans="1:14" x14ac:dyDescent="0.35">
      <c r="A34" s="2">
        <v>42867</v>
      </c>
      <c r="B34" s="3">
        <v>19.6615443414974</v>
      </c>
      <c r="C34" s="3">
        <v>15.6329438891962</v>
      </c>
      <c r="D34" s="3">
        <v>15.615759298034099</v>
      </c>
      <c r="E34" s="3">
        <v>14.044322509529101</v>
      </c>
      <c r="F34" s="3">
        <v>14.311627698809501</v>
      </c>
      <c r="G34" s="3">
        <v>18.092399088533799</v>
      </c>
      <c r="H34" s="3">
        <v>14.680801803858399</v>
      </c>
      <c r="I34" s="3">
        <v>20.711133212477201</v>
      </c>
      <c r="J34" s="3">
        <v>17.4302331447348</v>
      </c>
      <c r="K34" s="3">
        <v>15.4449960293393</v>
      </c>
      <c r="L34" s="3">
        <v>16.509277233762798</v>
      </c>
      <c r="M34" s="3">
        <v>17.102609970025899</v>
      </c>
      <c r="N34" s="3">
        <v>13.8504926056749</v>
      </c>
    </row>
    <row r="35" spans="1:14" x14ac:dyDescent="0.35">
      <c r="A35" s="2">
        <v>42898</v>
      </c>
      <c r="B35" s="3">
        <v>19.3049160093701</v>
      </c>
      <c r="C35" s="3">
        <v>15.166256358689701</v>
      </c>
      <c r="D35" s="3">
        <v>15.396882065379099</v>
      </c>
      <c r="E35" s="3">
        <v>13.733149593445599</v>
      </c>
      <c r="F35" s="3">
        <v>14.3157565194781</v>
      </c>
      <c r="G35" s="3">
        <v>17.740462109965801</v>
      </c>
      <c r="H35" s="3">
        <v>14.6401584811315</v>
      </c>
      <c r="I35" s="3">
        <v>20.498967692302202</v>
      </c>
      <c r="J35" s="3">
        <v>17.555070501432098</v>
      </c>
      <c r="K35" s="3">
        <v>14.8914729263262</v>
      </c>
      <c r="L35" s="3">
        <v>16.084131584841401</v>
      </c>
      <c r="M35" s="3">
        <v>16.695555405282601</v>
      </c>
      <c r="N35" s="3">
        <v>13.260527157434099</v>
      </c>
    </row>
    <row r="36" spans="1:14" x14ac:dyDescent="0.35">
      <c r="A36" s="2">
        <v>42928</v>
      </c>
      <c r="B36" s="3">
        <v>19.3690421430789</v>
      </c>
      <c r="C36" s="3">
        <v>15.3160926188513</v>
      </c>
      <c r="D36" s="3">
        <v>15.2634261225841</v>
      </c>
      <c r="E36" s="3">
        <v>13.6034699366304</v>
      </c>
      <c r="F36" s="3">
        <v>14.2681741780602</v>
      </c>
      <c r="G36" s="3">
        <v>17.904421479358501</v>
      </c>
      <c r="H36" s="3">
        <v>14.5963812283746</v>
      </c>
      <c r="I36" s="3">
        <v>20.4491971719826</v>
      </c>
      <c r="J36" s="3">
        <v>17.519029456635501</v>
      </c>
      <c r="K36" s="3">
        <v>14.827462572023901</v>
      </c>
      <c r="L36" s="3">
        <v>15.8727463238334</v>
      </c>
      <c r="M36" s="3">
        <v>16.878445059103498</v>
      </c>
      <c r="N36" s="3">
        <v>13.504524264333901</v>
      </c>
    </row>
    <row r="37" spans="1:14" x14ac:dyDescent="0.35">
      <c r="A37" s="2">
        <v>42958</v>
      </c>
      <c r="B37" s="3">
        <v>19.807790712729702</v>
      </c>
      <c r="C37" s="3">
        <v>15.5353954973803</v>
      </c>
      <c r="D37" s="3">
        <v>15.434874862793899</v>
      </c>
      <c r="E37" s="3">
        <v>12.9152603873323</v>
      </c>
      <c r="F37" s="3">
        <v>13.959277085652801</v>
      </c>
      <c r="G37" s="3">
        <v>17.4298361216625</v>
      </c>
      <c r="H37" s="3">
        <v>14.4243020492942</v>
      </c>
      <c r="I37" s="3">
        <v>20.349037668167</v>
      </c>
      <c r="J37" s="3">
        <v>17.371682975951099</v>
      </c>
      <c r="K37" s="3">
        <v>14.375045067435501</v>
      </c>
      <c r="L37" s="3">
        <v>15.700577475079999</v>
      </c>
      <c r="M37" s="3">
        <v>15.7500476247099</v>
      </c>
      <c r="N37" s="3">
        <v>13.1548267937409</v>
      </c>
    </row>
    <row r="38" spans="1:14" x14ac:dyDescent="0.35">
      <c r="A38" s="2">
        <v>42990</v>
      </c>
      <c r="B38" s="3">
        <v>19.9159172733529</v>
      </c>
      <c r="C38" s="3">
        <v>15.6890193841223</v>
      </c>
      <c r="D38" s="3">
        <v>15.2767551908827</v>
      </c>
      <c r="E38" s="3">
        <v>13.374187453237701</v>
      </c>
      <c r="F38" s="3">
        <v>13.7068102908862</v>
      </c>
      <c r="G38" s="3">
        <v>17.7047504416999</v>
      </c>
      <c r="H38" s="3">
        <v>14.6634790568996</v>
      </c>
      <c r="I38" s="3">
        <v>20.6177269820164</v>
      </c>
      <c r="J38" s="3">
        <v>17.621964666314401</v>
      </c>
      <c r="K38" s="3">
        <v>14.8438680799434</v>
      </c>
      <c r="L38" s="3">
        <v>15.8453509768096</v>
      </c>
      <c r="M38" s="3">
        <v>16.183317190678999</v>
      </c>
      <c r="N38" s="3">
        <v>13.449500471297601</v>
      </c>
    </row>
    <row r="39" spans="1:14" x14ac:dyDescent="0.35">
      <c r="A39" s="2">
        <v>43020</v>
      </c>
      <c r="B39" s="3">
        <v>20.0044463773052</v>
      </c>
      <c r="C39" s="3">
        <v>15.613160609748901</v>
      </c>
      <c r="D39" s="3">
        <v>15.7170463858824</v>
      </c>
      <c r="E39" s="3">
        <v>13.8052366540094</v>
      </c>
      <c r="F39" s="3">
        <v>14.119570111277101</v>
      </c>
      <c r="G39" s="3">
        <v>17.961059416459999</v>
      </c>
      <c r="H39" s="3">
        <v>14.6486338153323</v>
      </c>
      <c r="I39" s="3">
        <v>20.576136939848499</v>
      </c>
      <c r="J39" s="3">
        <v>17.896785882642</v>
      </c>
      <c r="K39" s="3">
        <v>15.186202344658099</v>
      </c>
      <c r="L39" s="3">
        <v>16.158378807496199</v>
      </c>
      <c r="M39" s="3">
        <v>16.813705508622999</v>
      </c>
      <c r="N39" s="3">
        <v>13.5457272808636</v>
      </c>
    </row>
    <row r="40" spans="1:14" x14ac:dyDescent="0.35">
      <c r="A40" s="2">
        <v>43049</v>
      </c>
      <c r="B40" s="3">
        <v>20.025792988519999</v>
      </c>
      <c r="C40" s="3">
        <v>16.131743422553001</v>
      </c>
      <c r="D40" s="3">
        <v>15.9309487680888</v>
      </c>
      <c r="E40" s="3">
        <v>13.971175985629101</v>
      </c>
      <c r="F40" s="3">
        <v>14.8770236369231</v>
      </c>
      <c r="G40" s="3">
        <v>17.613219778274701</v>
      </c>
      <c r="H40" s="3">
        <v>14.370770244548201</v>
      </c>
      <c r="I40" s="3">
        <v>20.873642674146399</v>
      </c>
      <c r="J40" s="3">
        <v>17.915816601730398</v>
      </c>
      <c r="K40" s="3">
        <v>15.0117688428659</v>
      </c>
      <c r="L40" s="3">
        <v>16.1161194546651</v>
      </c>
      <c r="M40" s="3">
        <v>16.899718848763602</v>
      </c>
      <c r="N40" s="3">
        <v>13.446000596365799</v>
      </c>
    </row>
    <row r="41" spans="1:14" x14ac:dyDescent="0.35">
      <c r="A41" s="2">
        <v>43081</v>
      </c>
      <c r="B41" s="3">
        <v>20.638131325785299</v>
      </c>
      <c r="C41" s="3">
        <v>15.905578297617801</v>
      </c>
      <c r="D41" s="3">
        <v>16.004860190963399</v>
      </c>
      <c r="E41" s="3">
        <v>14.044924728396399</v>
      </c>
      <c r="F41" s="3">
        <v>14.752551561371099</v>
      </c>
      <c r="G41" s="3">
        <v>17.617699854696099</v>
      </c>
      <c r="H41" s="3">
        <v>14.452851655416801</v>
      </c>
      <c r="I41" s="3">
        <v>20.832473406956499</v>
      </c>
      <c r="J41" s="3">
        <v>18.2711211638359</v>
      </c>
      <c r="K41" s="3">
        <v>15.144044317451</v>
      </c>
      <c r="L41" s="3">
        <v>16.172992940775298</v>
      </c>
      <c r="M41" s="3">
        <v>16.564019616246298</v>
      </c>
      <c r="N41" s="3">
        <v>13.5851692033839</v>
      </c>
    </row>
    <row r="42" spans="1:14" x14ac:dyDescent="0.35">
      <c r="A42" s="2">
        <v>43112</v>
      </c>
      <c r="B42" s="3">
        <v>20.408788925883499</v>
      </c>
      <c r="C42" s="3">
        <v>15.986736024856601</v>
      </c>
      <c r="D42" s="3">
        <v>15.8605221565807</v>
      </c>
      <c r="E42" s="3">
        <v>14.0563175615472</v>
      </c>
      <c r="F42" s="3">
        <v>15.229473369846399</v>
      </c>
      <c r="G42" s="3">
        <v>17.899311178304099</v>
      </c>
      <c r="H42" s="3">
        <v>14.8397820257274</v>
      </c>
      <c r="I42" s="3">
        <v>21.771960725705501</v>
      </c>
      <c r="J42" s="3">
        <v>18.4026634406931</v>
      </c>
      <c r="K42" s="3">
        <v>15.261020562490399</v>
      </c>
      <c r="L42" s="3">
        <v>16.2257148449815</v>
      </c>
      <c r="M42" s="3">
        <v>16.634871061704601</v>
      </c>
      <c r="N42" s="3">
        <v>13.644318413260899</v>
      </c>
    </row>
    <row r="43" spans="1:14" x14ac:dyDescent="0.35">
      <c r="A43" s="2">
        <v>43143</v>
      </c>
      <c r="B43" s="3">
        <v>19.152545610940599</v>
      </c>
      <c r="C43" s="3">
        <v>15.111972452571001</v>
      </c>
      <c r="D43" s="3">
        <v>14.4406139261771</v>
      </c>
      <c r="E43" s="3">
        <v>13.004995112984099</v>
      </c>
      <c r="F43" s="3">
        <v>13.7047801095539</v>
      </c>
      <c r="G43" s="3">
        <v>16.5140208893717</v>
      </c>
      <c r="H43" s="3">
        <v>13.475721145515701</v>
      </c>
      <c r="I43" s="3">
        <v>19.9771137811959</v>
      </c>
      <c r="J43" s="3">
        <v>16.649451172662602</v>
      </c>
      <c r="K43" s="3">
        <v>14.1944945798249</v>
      </c>
      <c r="L43" s="3">
        <v>15.2976363756999</v>
      </c>
      <c r="M43" s="3">
        <v>15.7857269448384</v>
      </c>
      <c r="N43" s="3">
        <v>12.5023651437377</v>
      </c>
    </row>
    <row r="44" spans="1:14" x14ac:dyDescent="0.35">
      <c r="A44" s="2">
        <v>43171</v>
      </c>
      <c r="B44" s="3">
        <v>20.503280698420902</v>
      </c>
      <c r="C44" s="3">
        <v>15.5024560124711</v>
      </c>
      <c r="D44" s="3">
        <v>14.465267546751701</v>
      </c>
      <c r="E44" s="3">
        <v>13.1506348513813</v>
      </c>
      <c r="F44" s="3">
        <v>13.034351666650799</v>
      </c>
      <c r="G44" s="3">
        <v>16.536767220863901</v>
      </c>
      <c r="H44" s="3">
        <v>13.548602869012001</v>
      </c>
      <c r="I44" s="3">
        <v>21.544937205404899</v>
      </c>
      <c r="J44" s="3">
        <v>17.2615191403784</v>
      </c>
      <c r="K44" s="3">
        <v>14.5591005098801</v>
      </c>
      <c r="L44" s="3">
        <v>15.8087231357203</v>
      </c>
      <c r="M44" s="3">
        <v>16.410313620909299</v>
      </c>
      <c r="N44" s="3">
        <v>12.708084964962399</v>
      </c>
    </row>
    <row r="45" spans="1:14" x14ac:dyDescent="0.35">
      <c r="A45" s="2">
        <v>43202</v>
      </c>
      <c r="B45" s="3">
        <v>20.089736869971698</v>
      </c>
      <c r="C45" s="3">
        <v>14.9019446492876</v>
      </c>
      <c r="D45" s="3">
        <v>13.977047348244</v>
      </c>
      <c r="E45" s="3">
        <v>13.039591204966699</v>
      </c>
      <c r="F45" s="3">
        <v>12.7933658124216</v>
      </c>
      <c r="G45" s="3">
        <v>16.069067302732101</v>
      </c>
      <c r="H45" s="3">
        <v>13.604121722696799</v>
      </c>
      <c r="I45" s="3">
        <v>19.915159506316201</v>
      </c>
      <c r="J45" s="3">
        <v>16.385067644673299</v>
      </c>
      <c r="K45" s="3">
        <v>14.490290023099501</v>
      </c>
      <c r="L45" s="3">
        <v>15.6969486170624</v>
      </c>
      <c r="M45" s="3">
        <v>15.5274419420517</v>
      </c>
      <c r="N45" s="3">
        <v>12.7841820509208</v>
      </c>
    </row>
    <row r="46" spans="1:14" x14ac:dyDescent="0.35">
      <c r="A46" s="2">
        <v>43231</v>
      </c>
      <c r="B46" s="3">
        <v>20.552967536494599</v>
      </c>
      <c r="C46" s="3">
        <v>15.507339788188499</v>
      </c>
      <c r="D46" s="3">
        <v>14.3439645129227</v>
      </c>
      <c r="E46" s="3">
        <v>13.4341788607517</v>
      </c>
      <c r="F46" s="3">
        <v>13.3479615239113</v>
      </c>
      <c r="G46" s="3">
        <v>16.331958952854102</v>
      </c>
      <c r="H46" s="3">
        <v>13.989143912593599</v>
      </c>
      <c r="I46" s="3">
        <v>20.196240228417999</v>
      </c>
      <c r="J46" s="3">
        <v>16.450508145846399</v>
      </c>
      <c r="K46" s="3">
        <v>14.843720225171101</v>
      </c>
      <c r="L46" s="3">
        <v>15.7079210668555</v>
      </c>
      <c r="M46" s="3">
        <v>16.012922068086599</v>
      </c>
      <c r="N46" s="3">
        <v>12.9419183625077</v>
      </c>
    </row>
    <row r="47" spans="1:14" x14ac:dyDescent="0.35">
      <c r="A47" s="2">
        <v>43263</v>
      </c>
      <c r="B47" s="3">
        <v>21.239629784056898</v>
      </c>
      <c r="C47" s="3">
        <v>15.124620567415899</v>
      </c>
      <c r="D47" s="3">
        <v>14.392600271177701</v>
      </c>
      <c r="E47" s="3">
        <v>13.2950072443598</v>
      </c>
      <c r="F47" s="3">
        <v>13.2449647449425</v>
      </c>
      <c r="G47" s="3">
        <v>15.7548611046597</v>
      </c>
      <c r="H47" s="3">
        <v>13.534731659818901</v>
      </c>
      <c r="I47" s="3">
        <v>20.667836743078201</v>
      </c>
      <c r="J47" s="3">
        <v>16.626125935601799</v>
      </c>
      <c r="K47" s="3">
        <v>14.373051175338301</v>
      </c>
      <c r="L47" s="3">
        <v>15.9890131124825</v>
      </c>
      <c r="M47" s="3">
        <v>15.513678660717501</v>
      </c>
      <c r="N47" s="3">
        <v>11.6606599342921</v>
      </c>
    </row>
    <row r="48" spans="1:14" x14ac:dyDescent="0.35">
      <c r="A48" s="2">
        <v>43293</v>
      </c>
      <c r="B48" s="3">
        <v>21.137236681040399</v>
      </c>
      <c r="C48" s="3">
        <v>15.593278334373901</v>
      </c>
      <c r="D48" s="3">
        <v>14.3782177395776</v>
      </c>
      <c r="E48" s="3">
        <v>12.9399195371661</v>
      </c>
      <c r="F48" s="3">
        <v>12.6500810486943</v>
      </c>
      <c r="G48" s="3">
        <v>15.909353328447599</v>
      </c>
      <c r="H48" s="3">
        <v>13.2482475180132</v>
      </c>
      <c r="I48" s="3">
        <v>20.956323860369</v>
      </c>
      <c r="J48" s="3">
        <v>16.5390900467434</v>
      </c>
      <c r="K48" s="3">
        <v>14.105979980117301</v>
      </c>
      <c r="L48" s="3">
        <v>15.625564321212099</v>
      </c>
      <c r="M48" s="3">
        <v>15.293903669345401</v>
      </c>
      <c r="N48" s="3">
        <v>11.380402060772701</v>
      </c>
    </row>
    <row r="49" spans="1:14" x14ac:dyDescent="0.35">
      <c r="A49" s="2">
        <v>43322</v>
      </c>
      <c r="B49" s="3">
        <v>21.268626498125801</v>
      </c>
      <c r="C49" s="3">
        <v>15.601110355645501</v>
      </c>
      <c r="D49" s="3">
        <v>14.0206898622599</v>
      </c>
      <c r="E49" s="3">
        <v>12.8581373553285</v>
      </c>
      <c r="F49" s="3">
        <v>12.6502865565222</v>
      </c>
      <c r="G49" s="3">
        <v>16.027255560649799</v>
      </c>
      <c r="H49" s="3">
        <v>13.0323955034441</v>
      </c>
      <c r="I49" s="3">
        <v>20.58621890021</v>
      </c>
      <c r="J49" s="3">
        <v>16.502657469115199</v>
      </c>
      <c r="K49" s="3">
        <v>13.8598306658398</v>
      </c>
      <c r="L49" s="3">
        <v>15.640740861733001</v>
      </c>
      <c r="M49" s="3">
        <v>15.569101598569899</v>
      </c>
      <c r="N49" s="3">
        <v>11.0899770874372</v>
      </c>
    </row>
    <row r="50" spans="1:14" x14ac:dyDescent="0.35">
      <c r="A50" s="2">
        <v>43355</v>
      </c>
      <c r="B50" s="3">
        <v>21.528791184095802</v>
      </c>
      <c r="C50" s="3">
        <v>15.221820814764801</v>
      </c>
      <c r="D50" s="3">
        <v>13.5310721303526</v>
      </c>
      <c r="E50" s="3">
        <v>12.493742794859999</v>
      </c>
      <c r="F50" s="3">
        <v>12.3731355299693</v>
      </c>
      <c r="G50" s="3">
        <v>15.957167834421201</v>
      </c>
      <c r="H50" s="3">
        <v>12.4414386351018</v>
      </c>
      <c r="I50" s="3">
        <v>20.561460707878599</v>
      </c>
      <c r="J50" s="3">
        <v>16.670572903718298</v>
      </c>
      <c r="K50" s="3">
        <v>13.5533466425216</v>
      </c>
      <c r="L50" s="3">
        <v>14.8947857888953</v>
      </c>
      <c r="M50" s="3">
        <v>15.492542778077301</v>
      </c>
      <c r="N50" s="3">
        <v>10.8041694416101</v>
      </c>
    </row>
    <row r="51" spans="1:14" x14ac:dyDescent="0.35">
      <c r="A51" s="2">
        <v>43385</v>
      </c>
      <c r="B51" s="3">
        <v>20.3722606214412</v>
      </c>
      <c r="C51" s="3">
        <v>14.414879646285501</v>
      </c>
      <c r="D51" s="3">
        <v>12.8759536274433</v>
      </c>
      <c r="E51" s="3">
        <v>11.8801994813437</v>
      </c>
      <c r="F51" s="3">
        <v>12.421521541262001</v>
      </c>
      <c r="G51" s="3">
        <v>15.131997722184501</v>
      </c>
      <c r="H51" s="3">
        <v>11.836603631962401</v>
      </c>
      <c r="I51" s="3">
        <v>19.534810913679099</v>
      </c>
      <c r="J51" s="3">
        <v>15.873322767038299</v>
      </c>
      <c r="K51" s="3">
        <v>12.769606352826299</v>
      </c>
      <c r="L51" s="3">
        <v>14.018787325754399</v>
      </c>
      <c r="M51" s="3">
        <v>14.5692607356763</v>
      </c>
      <c r="N51" s="3">
        <v>9.8707187418646907</v>
      </c>
    </row>
    <row r="52" spans="1:14" x14ac:dyDescent="0.35">
      <c r="A52" s="2">
        <v>43416</v>
      </c>
      <c r="B52" s="3">
        <v>20.594132559938899</v>
      </c>
      <c r="C52" s="3">
        <v>14.6559846940415</v>
      </c>
      <c r="D52" s="3">
        <v>12.5969887100128</v>
      </c>
      <c r="E52" s="3">
        <v>11.595567225710999</v>
      </c>
      <c r="F52" s="3">
        <v>12.193762910577</v>
      </c>
      <c r="G52" s="3">
        <v>15.598323375366901</v>
      </c>
      <c r="H52" s="3">
        <v>11.7737906446806</v>
      </c>
      <c r="I52" s="3">
        <v>18.465513980036999</v>
      </c>
      <c r="J52" s="3">
        <v>15.5671543514989</v>
      </c>
      <c r="K52" s="3">
        <v>12.678764207377901</v>
      </c>
      <c r="L52" s="3">
        <v>14.2127863532919</v>
      </c>
      <c r="M52" s="3">
        <v>14.2633328016869</v>
      </c>
      <c r="N52" s="3">
        <v>9.6982535234209095</v>
      </c>
    </row>
    <row r="53" spans="1:14" x14ac:dyDescent="0.35">
      <c r="A53" s="2">
        <v>43446</v>
      </c>
      <c r="B53" s="3">
        <v>19.948428314430299</v>
      </c>
      <c r="C53" s="3">
        <v>14.038881299474699</v>
      </c>
      <c r="D53" s="3">
        <v>12.4743323226527</v>
      </c>
      <c r="E53" s="3">
        <v>11.346278943102201</v>
      </c>
      <c r="F53" s="3">
        <v>11.866563537924399</v>
      </c>
      <c r="G53" s="3">
        <v>15.317765608060499</v>
      </c>
      <c r="H53" s="3">
        <v>11.595348675800899</v>
      </c>
      <c r="I53" s="3">
        <v>18.285732831167198</v>
      </c>
      <c r="J53" s="3">
        <v>15.1323582874375</v>
      </c>
      <c r="K53" s="3">
        <v>12.358270655111401</v>
      </c>
      <c r="L53" s="3">
        <v>13.7590425236824</v>
      </c>
      <c r="M53" s="3">
        <v>13.9898213269776</v>
      </c>
      <c r="N53" s="3">
        <v>9.4412252653385895</v>
      </c>
    </row>
    <row r="54" spans="1:14" x14ac:dyDescent="0.35">
      <c r="A54" s="2">
        <v>43476</v>
      </c>
      <c r="B54" s="3">
        <v>20.3463813494912</v>
      </c>
      <c r="C54" s="3">
        <v>14.4239379752127</v>
      </c>
      <c r="D54" s="3">
        <v>12.912822728411101</v>
      </c>
      <c r="E54" s="3">
        <v>11.320512875057799</v>
      </c>
      <c r="F54" s="3">
        <v>11.464576670402099</v>
      </c>
      <c r="G54" s="3">
        <v>15.2151961802266</v>
      </c>
      <c r="H54" s="3">
        <v>11.8642334111706</v>
      </c>
      <c r="I54" s="3">
        <v>18.137204718204799</v>
      </c>
      <c r="J54" s="3">
        <v>15.0726387797725</v>
      </c>
      <c r="K54" s="3">
        <v>12.224642076677799</v>
      </c>
      <c r="L54" s="3">
        <v>13.4132960063511</v>
      </c>
      <c r="M54" s="3">
        <v>13.963117162935299</v>
      </c>
      <c r="N54" s="3">
        <v>9.6942155158619698</v>
      </c>
    </row>
    <row r="55" spans="1:14" x14ac:dyDescent="0.35">
      <c r="A55" s="2">
        <v>43508</v>
      </c>
      <c r="B55" s="3">
        <v>21.228543903523601</v>
      </c>
      <c r="C55" s="3">
        <v>15.072968306448599</v>
      </c>
      <c r="D55" s="3">
        <v>13.8058155744144</v>
      </c>
      <c r="E55" s="3">
        <v>11.725242218681799</v>
      </c>
      <c r="F55" s="3">
        <v>12.0397130837612</v>
      </c>
      <c r="G55" s="3">
        <v>15.7195178193023</v>
      </c>
      <c r="H55" s="3">
        <v>12.3141526061127</v>
      </c>
      <c r="I55" s="3">
        <v>19.392315801267099</v>
      </c>
      <c r="J55" s="3">
        <v>15.979271943754</v>
      </c>
      <c r="K55" s="3">
        <v>12.954647237781</v>
      </c>
      <c r="L55" s="3">
        <v>14.645139828064201</v>
      </c>
      <c r="M55" s="3">
        <v>14.6540514626091</v>
      </c>
      <c r="N55" s="3">
        <v>10.155403212965201</v>
      </c>
    </row>
    <row r="56" spans="1:14" x14ac:dyDescent="0.35">
      <c r="A56" s="2">
        <v>43536</v>
      </c>
      <c r="B56" s="3">
        <v>21.6944631044808</v>
      </c>
      <c r="C56" s="3">
        <v>15.2230717235729</v>
      </c>
      <c r="D56" s="3">
        <v>14.206386310445</v>
      </c>
      <c r="E56" s="3">
        <v>12.1443843444536</v>
      </c>
      <c r="F56" s="3">
        <v>12.539927296736099</v>
      </c>
      <c r="G56" s="3">
        <v>16.243340970537101</v>
      </c>
      <c r="H56" s="3">
        <v>12.379035115889399</v>
      </c>
      <c r="I56" s="3">
        <v>19.9027407391305</v>
      </c>
      <c r="J56" s="3">
        <v>16.208513648511399</v>
      </c>
      <c r="K56" s="3">
        <v>13.4823089533519</v>
      </c>
      <c r="L56" s="3">
        <v>14.866299315793</v>
      </c>
      <c r="M56" s="3">
        <v>14.731834108537299</v>
      </c>
      <c r="N56" s="3">
        <v>10.4607714238714</v>
      </c>
    </row>
    <row r="57" spans="1:14" x14ac:dyDescent="0.35">
      <c r="A57" s="2">
        <v>43567</v>
      </c>
      <c r="B57" s="3">
        <v>22.137219462676299</v>
      </c>
      <c r="C57" s="3">
        <v>15.3265918464317</v>
      </c>
      <c r="D57" s="3">
        <v>14.0674127514822</v>
      </c>
      <c r="E57" s="3">
        <v>12.6627812798449</v>
      </c>
      <c r="F57" s="3">
        <v>12.6040049477169</v>
      </c>
      <c r="G57" s="3">
        <v>16.7920948899664</v>
      </c>
      <c r="H57" s="3">
        <v>12.788576107157599</v>
      </c>
      <c r="I57" s="3">
        <v>20.950458030927699</v>
      </c>
      <c r="J57" s="3">
        <v>16.841229554085999</v>
      </c>
      <c r="K57" s="3">
        <v>13.981951993068099</v>
      </c>
      <c r="L57" s="3">
        <v>15.542130708954501</v>
      </c>
      <c r="M57" s="3">
        <v>15.268900399776999</v>
      </c>
      <c r="N57" s="3">
        <v>10.929320099998399</v>
      </c>
    </row>
    <row r="58" spans="1:14" x14ac:dyDescent="0.35">
      <c r="A58" s="2">
        <v>43595</v>
      </c>
      <c r="B58" s="3">
        <v>22.865927315471101</v>
      </c>
      <c r="C58" s="3">
        <v>15.3891090344512</v>
      </c>
      <c r="D58" s="3">
        <v>13.600233920858001</v>
      </c>
      <c r="E58" s="3">
        <v>12.5783091446634</v>
      </c>
      <c r="F58" s="3">
        <v>12.237521143842599</v>
      </c>
      <c r="G58" s="3">
        <v>16.454854266911699</v>
      </c>
      <c r="H58" s="3">
        <v>12.2672687034365</v>
      </c>
      <c r="I58" s="3">
        <v>20.715539920337399</v>
      </c>
      <c r="J58" s="3">
        <v>16.513264553926899</v>
      </c>
      <c r="K58" s="3">
        <v>13.493352237088899</v>
      </c>
      <c r="L58" s="3">
        <v>15.2539616935744</v>
      </c>
      <c r="M58" s="3">
        <v>14.9813018503785</v>
      </c>
      <c r="N58" s="3">
        <v>10.391440239369601</v>
      </c>
    </row>
    <row r="59" spans="1:14" x14ac:dyDescent="0.35">
      <c r="A59" s="2">
        <v>43628</v>
      </c>
      <c r="B59" s="3">
        <v>23.018209379756701</v>
      </c>
      <c r="C59" s="3">
        <v>15.9086635169961</v>
      </c>
      <c r="D59" s="3">
        <v>13.4886959345104</v>
      </c>
      <c r="E59" s="3">
        <v>12.394227997339501</v>
      </c>
      <c r="F59" s="3">
        <v>12.6482675956671</v>
      </c>
      <c r="G59" s="3">
        <v>17.048002971621099</v>
      </c>
      <c r="H59" s="3">
        <v>12.4877309749518</v>
      </c>
      <c r="I59" s="3">
        <v>20.216152047818699</v>
      </c>
      <c r="J59" s="3">
        <v>16.379255866151599</v>
      </c>
      <c r="K59" s="3">
        <v>13.5564650855013</v>
      </c>
      <c r="L59" s="3">
        <v>15.3515537653289</v>
      </c>
      <c r="M59" s="3">
        <v>14.784663342202601</v>
      </c>
      <c r="N59" s="3">
        <v>10.080178951764299</v>
      </c>
    </row>
    <row r="60" spans="1:14" x14ac:dyDescent="0.35">
      <c r="A60" s="2">
        <v>43658</v>
      </c>
      <c r="B60" s="3">
        <v>24.3683662054496</v>
      </c>
      <c r="C60" s="3">
        <v>16.129652036631999</v>
      </c>
      <c r="D60" s="3">
        <v>13.6863297151202</v>
      </c>
      <c r="E60" s="3">
        <v>12.8080491134829</v>
      </c>
      <c r="F60" s="3">
        <v>12.9252039439024</v>
      </c>
      <c r="G60" s="3">
        <v>16.9318110130903</v>
      </c>
      <c r="H60" s="3">
        <v>12.640491071842501</v>
      </c>
      <c r="I60" s="3">
        <v>21.458069995496199</v>
      </c>
      <c r="J60" s="3">
        <v>17.143858749914799</v>
      </c>
      <c r="K60" s="3">
        <v>14.0005031426578</v>
      </c>
      <c r="L60" s="3">
        <v>15.532036097309501</v>
      </c>
      <c r="M60" s="3">
        <v>15.093948124793901</v>
      </c>
      <c r="N60" s="3">
        <v>10.9466900290377</v>
      </c>
    </row>
    <row r="61" spans="1:14" x14ac:dyDescent="0.35">
      <c r="A61" s="2">
        <v>43689</v>
      </c>
      <c r="B61" s="3">
        <v>24.635160464215499</v>
      </c>
      <c r="C61" s="3">
        <v>15.978376122882301</v>
      </c>
      <c r="D61" s="3">
        <v>13.5010593342411</v>
      </c>
      <c r="E61" s="3">
        <v>12.3265067591933</v>
      </c>
      <c r="F61" s="3">
        <v>12.3889989736902</v>
      </c>
      <c r="G61" s="3">
        <v>16.873792468168102</v>
      </c>
      <c r="H61" s="3">
        <v>11.960700269061601</v>
      </c>
      <c r="I61" s="3">
        <v>20.2277449432511</v>
      </c>
      <c r="J61" s="3">
        <v>16.3891378539189</v>
      </c>
      <c r="K61" s="3">
        <v>13.4487526576705</v>
      </c>
      <c r="L61" s="3">
        <v>14.992561211205601</v>
      </c>
      <c r="M61" s="3">
        <v>13.661341408223601</v>
      </c>
      <c r="N61" s="3">
        <v>9.9889534084990608</v>
      </c>
    </row>
    <row r="62" spans="1:14" x14ac:dyDescent="0.35">
      <c r="A62" s="2">
        <v>43720</v>
      </c>
      <c r="B62" s="3">
        <v>26.038445239778401</v>
      </c>
      <c r="C62" s="3">
        <v>16.4950832764934</v>
      </c>
      <c r="D62" s="3">
        <v>13.9165532860911</v>
      </c>
      <c r="E62" s="3">
        <v>13.1065438748543</v>
      </c>
      <c r="F62" s="3">
        <v>13.313291467393199</v>
      </c>
      <c r="G62" s="3">
        <v>17.273097313781602</v>
      </c>
      <c r="H62" s="3">
        <v>12.3390765496593</v>
      </c>
      <c r="I62" s="3">
        <v>20.9620440293094</v>
      </c>
      <c r="J62" s="3">
        <v>16.990204778110702</v>
      </c>
      <c r="K62" s="3">
        <v>14.184962901727699</v>
      </c>
      <c r="L62" s="3">
        <v>16.0744474466299</v>
      </c>
      <c r="M62" s="3">
        <v>14.657304169832001</v>
      </c>
      <c r="N62" s="3">
        <v>10.8586667986044</v>
      </c>
    </row>
    <row r="63" spans="1:14" x14ac:dyDescent="0.35">
      <c r="A63" s="2">
        <v>43749</v>
      </c>
      <c r="B63" s="3">
        <v>25.265198976926101</v>
      </c>
      <c r="C63" s="3">
        <v>16.510480801007599</v>
      </c>
      <c r="D63" s="3">
        <v>13.769537392674</v>
      </c>
      <c r="E63" s="3">
        <v>13.1175008100439</v>
      </c>
      <c r="F63" s="3">
        <v>13.2674942504699</v>
      </c>
      <c r="G63" s="3">
        <v>17.0625929798254</v>
      </c>
      <c r="H63" s="3">
        <v>12.4392501460001</v>
      </c>
      <c r="I63" s="3">
        <v>20.6079454499341</v>
      </c>
      <c r="J63" s="3">
        <v>16.789181096826599</v>
      </c>
      <c r="K63" s="3">
        <v>14.234323484594499</v>
      </c>
      <c r="L63" s="3">
        <v>16.202814806379902</v>
      </c>
      <c r="M63" s="3">
        <v>15.066774520973601</v>
      </c>
      <c r="N63" s="3">
        <v>10.857192979290399</v>
      </c>
    </row>
    <row r="64" spans="1:14" x14ac:dyDescent="0.35">
      <c r="A64" s="2">
        <v>43781</v>
      </c>
      <c r="B64" s="3">
        <v>24.9048001586434</v>
      </c>
      <c r="C64" s="3">
        <v>17.203100931539701</v>
      </c>
      <c r="D64" s="3">
        <v>14.3146871420628</v>
      </c>
      <c r="E64" s="3">
        <v>13.940444669003799</v>
      </c>
      <c r="F64" s="3">
        <v>14.2100796998369</v>
      </c>
      <c r="G64" s="3">
        <v>17.388962561659699</v>
      </c>
      <c r="H64" s="3">
        <v>12.857961476750701</v>
      </c>
      <c r="I64" s="3">
        <v>21.5542023870618</v>
      </c>
      <c r="J64" s="3">
        <v>17.452561271334901</v>
      </c>
      <c r="K64" s="3">
        <v>14.801468016289601</v>
      </c>
      <c r="L64" s="3">
        <v>16.732583447673701</v>
      </c>
      <c r="M64" s="3">
        <v>15.996545245206599</v>
      </c>
      <c r="N64" s="3">
        <v>11.506502935716499</v>
      </c>
    </row>
    <row r="65" spans="1:14" x14ac:dyDescent="0.35">
      <c r="A65" s="2">
        <v>43811</v>
      </c>
      <c r="B65" s="3">
        <v>25.608990945535702</v>
      </c>
      <c r="C65" s="3">
        <v>17.1511639357105</v>
      </c>
      <c r="D65" s="3">
        <v>14.313284379232201</v>
      </c>
      <c r="E65" s="3">
        <v>14.086633118092299</v>
      </c>
      <c r="F65" s="3">
        <v>14.4663756522197</v>
      </c>
      <c r="G65" s="3">
        <v>17.5083847853927</v>
      </c>
      <c r="H65" s="3">
        <v>12.9469988924339</v>
      </c>
      <c r="I65" s="3">
        <v>22.0791500617472</v>
      </c>
      <c r="J65" s="3">
        <v>17.829272743413998</v>
      </c>
      <c r="K65" s="3">
        <v>14.6996651062188</v>
      </c>
      <c r="L65" s="3">
        <v>16.8634636853836</v>
      </c>
      <c r="M65" s="3">
        <v>15.957516495385899</v>
      </c>
      <c r="N65" s="3">
        <v>11.354042830275199</v>
      </c>
    </row>
    <row r="66" spans="1:14" x14ac:dyDescent="0.35">
      <c r="A66" s="2">
        <v>43840</v>
      </c>
      <c r="B66" s="3">
        <v>25.78077041741</v>
      </c>
      <c r="C66" s="3">
        <v>17.697331403597001</v>
      </c>
      <c r="D66" s="3">
        <v>14.4543699521625</v>
      </c>
      <c r="E66" s="3">
        <v>14.355246360408101</v>
      </c>
      <c r="F66" s="3">
        <v>14.649000771404699</v>
      </c>
      <c r="G66" s="3">
        <v>17.7647889301834</v>
      </c>
      <c r="H66" s="3">
        <v>13.4549886209923</v>
      </c>
      <c r="I66" s="3">
        <v>23.252654721695301</v>
      </c>
      <c r="J66" s="3">
        <v>18.308939753975299</v>
      </c>
      <c r="K66" s="3">
        <v>15.0038248654485</v>
      </c>
      <c r="L66" s="3">
        <v>17.1620643650941</v>
      </c>
      <c r="M66" s="3">
        <v>16.2701914172908</v>
      </c>
      <c r="N66" s="3">
        <v>11.6285504676505</v>
      </c>
    </row>
    <row r="67" spans="1:14" x14ac:dyDescent="0.35">
      <c r="A67" s="2">
        <v>43873</v>
      </c>
      <c r="B67" s="3">
        <v>26.932232706260699</v>
      </c>
      <c r="C67" s="3">
        <v>18.135827060083599</v>
      </c>
      <c r="D67" s="3">
        <v>14.9536876827213</v>
      </c>
      <c r="E67" s="3">
        <v>14.5872054217011</v>
      </c>
      <c r="F67" s="3">
        <v>14.470746415189501</v>
      </c>
      <c r="G67" s="3">
        <v>18.421108590895798</v>
      </c>
      <c r="H67" s="3">
        <v>13.511587579268401</v>
      </c>
      <c r="I67" s="3">
        <v>24.336400784081398</v>
      </c>
      <c r="J67" s="3">
        <v>18.947197046516301</v>
      </c>
      <c r="K67" s="3">
        <v>15.2080867489639</v>
      </c>
      <c r="L67" s="3">
        <v>18.192617185430102</v>
      </c>
      <c r="M67" s="3">
        <v>17.056244511997999</v>
      </c>
      <c r="N67" s="3">
        <v>11.8751312876275</v>
      </c>
    </row>
    <row r="68" spans="1:14" x14ac:dyDescent="0.35">
      <c r="A68" s="2">
        <v>43902</v>
      </c>
      <c r="B68" s="3">
        <v>23.573225109040401</v>
      </c>
      <c r="C68" s="3">
        <v>13.6271110895491</v>
      </c>
      <c r="D68" s="3">
        <v>10.894440172023399</v>
      </c>
      <c r="E68" s="3">
        <v>9.8840023844995795</v>
      </c>
      <c r="F68" s="3">
        <v>11.5484191462561</v>
      </c>
      <c r="G68" s="3">
        <v>14.0232727291886</v>
      </c>
      <c r="H68" s="3">
        <v>9.8898821839687603</v>
      </c>
      <c r="I68" s="3">
        <v>18.372130861035199</v>
      </c>
      <c r="J68" s="3">
        <v>14.041882725415601</v>
      </c>
      <c r="K68" s="3">
        <v>10.7382580593566</v>
      </c>
      <c r="L68" s="3">
        <v>12.630564037682401</v>
      </c>
      <c r="M68" s="3">
        <v>12.0254791213824</v>
      </c>
      <c r="N68" s="3">
        <v>7.3196789875685804</v>
      </c>
    </row>
    <row r="69" spans="1:14" x14ac:dyDescent="0.35">
      <c r="A69" s="2">
        <v>43930</v>
      </c>
      <c r="B69" s="3">
        <v>26.4067438196473</v>
      </c>
      <c r="C69" s="3">
        <v>15.7640648566904</v>
      </c>
      <c r="D69" s="3">
        <v>14.693336572665901</v>
      </c>
      <c r="E69" s="3">
        <v>13.5012910233363</v>
      </c>
      <c r="F69" s="3">
        <v>12.876598753997399</v>
      </c>
      <c r="G69" s="3">
        <v>17.201386624659001</v>
      </c>
      <c r="H69" s="3">
        <v>13.2253745610825</v>
      </c>
      <c r="I69" s="3">
        <v>22.278983369919601</v>
      </c>
      <c r="J69" s="3">
        <v>17.965854761302701</v>
      </c>
      <c r="K69" s="3">
        <v>14.4953808252735</v>
      </c>
      <c r="L69" s="3">
        <v>15.830024078587201</v>
      </c>
      <c r="M69" s="3">
        <v>15.6842281394485</v>
      </c>
      <c r="N69" s="3">
        <v>10.5489472602225</v>
      </c>
    </row>
    <row r="70" spans="1:14" x14ac:dyDescent="0.35">
      <c r="A70" s="2">
        <v>43963</v>
      </c>
      <c r="B70" s="3">
        <v>30.8005755327593</v>
      </c>
      <c r="C70" s="3">
        <v>17.304407610999199</v>
      </c>
      <c r="D70" s="3">
        <v>17.736556582605601</v>
      </c>
      <c r="E70" s="3">
        <v>15.368081597626301</v>
      </c>
      <c r="F70" s="3">
        <v>14.421608491961001</v>
      </c>
      <c r="G70" s="3">
        <v>18.704259928054</v>
      </c>
      <c r="H70" s="3">
        <v>15.2884656092934</v>
      </c>
      <c r="I70" s="3">
        <v>26.114300965138298</v>
      </c>
      <c r="J70" s="3">
        <v>20.452073864760301</v>
      </c>
      <c r="K70" s="3">
        <v>16.545372153992599</v>
      </c>
      <c r="L70" s="3">
        <v>17.544352265280502</v>
      </c>
      <c r="M70" s="3">
        <v>18.262455863292502</v>
      </c>
      <c r="N70" s="3">
        <v>14.984773285339299</v>
      </c>
    </row>
    <row r="71" spans="1:14" x14ac:dyDescent="0.35">
      <c r="A71" s="2">
        <v>43994</v>
      </c>
      <c r="B71" s="3">
        <v>29.977485489925201</v>
      </c>
      <c r="C71" s="3">
        <v>18.895941818805898</v>
      </c>
      <c r="D71" s="3">
        <v>17.698490802672602</v>
      </c>
      <c r="E71" s="3">
        <v>17.328867000686198</v>
      </c>
      <c r="F71" s="3">
        <v>17.262561106171699</v>
      </c>
      <c r="G71" s="3">
        <v>18.776659687559299</v>
      </c>
      <c r="H71" s="3">
        <v>15.9019814225927</v>
      </c>
      <c r="I71" s="3">
        <v>27.427793295286801</v>
      </c>
      <c r="J71" s="3">
        <v>21.440258773689202</v>
      </c>
      <c r="K71" s="3">
        <v>18.304062245166701</v>
      </c>
      <c r="L71" s="3">
        <v>18.9755303928697</v>
      </c>
      <c r="M71" s="3">
        <v>18.411596485132801</v>
      </c>
      <c r="N71" s="3">
        <v>17.003373998970101</v>
      </c>
    </row>
    <row r="72" spans="1:14" x14ac:dyDescent="0.35">
      <c r="A72" s="2">
        <v>44022</v>
      </c>
      <c r="B72" s="3">
        <v>31.497270905286602</v>
      </c>
      <c r="C72" s="3">
        <v>18.816503994584</v>
      </c>
      <c r="D72" s="3">
        <v>17.5855953562723</v>
      </c>
      <c r="E72" s="3">
        <v>18.308896687491899</v>
      </c>
      <c r="F72" s="3">
        <v>17.498756645625299</v>
      </c>
      <c r="G72" s="3">
        <v>19.627224632589002</v>
      </c>
      <c r="H72" s="3">
        <v>15.6119715922575</v>
      </c>
      <c r="I72" s="3">
        <v>30.0704993187267</v>
      </c>
      <c r="J72" s="3">
        <v>22.179891411099</v>
      </c>
      <c r="K72" s="3">
        <v>19.186351431962301</v>
      </c>
      <c r="L72" s="3">
        <v>20.107883748229</v>
      </c>
      <c r="M72" s="3">
        <v>19.519934253414899</v>
      </c>
      <c r="N72" s="3">
        <v>17.324407478026998</v>
      </c>
    </row>
    <row r="73" spans="1:14" x14ac:dyDescent="0.35">
      <c r="A73" s="2">
        <v>44055</v>
      </c>
      <c r="B73" s="3">
        <v>31.727913463305899</v>
      </c>
      <c r="C73" s="3">
        <v>19.638783005344099</v>
      </c>
      <c r="D73" s="3">
        <v>17.608662828350798</v>
      </c>
      <c r="E73" s="3">
        <v>18.278022756101901</v>
      </c>
      <c r="F73" s="3">
        <v>17.770181904890599</v>
      </c>
      <c r="G73" s="3">
        <v>19.712207236194502</v>
      </c>
      <c r="H73" s="3">
        <v>16.100016608171401</v>
      </c>
      <c r="I73" s="3">
        <v>29.287672193187401</v>
      </c>
      <c r="J73" s="3">
        <v>22.427710130565298</v>
      </c>
      <c r="K73" s="3">
        <v>20.210293133009799</v>
      </c>
      <c r="L73" s="3">
        <v>20.2338890765866</v>
      </c>
      <c r="M73" s="3">
        <v>18.967520445707201</v>
      </c>
      <c r="N73" s="3">
        <v>16.950049225242498</v>
      </c>
    </row>
    <row r="74" spans="1:14" x14ac:dyDescent="0.35">
      <c r="A74" s="2">
        <v>44085</v>
      </c>
      <c r="B74" s="3">
        <v>32.100482047173301</v>
      </c>
      <c r="C74" s="3">
        <v>18.473219825056599</v>
      </c>
      <c r="D74" s="3">
        <v>16.747630176198999</v>
      </c>
      <c r="E74" s="3">
        <v>17.749671334157199</v>
      </c>
      <c r="F74" s="3">
        <v>18.374326510633999</v>
      </c>
      <c r="G74" s="3">
        <v>19.554147192866399</v>
      </c>
      <c r="H74" s="3">
        <v>15.0329871236299</v>
      </c>
      <c r="I74" s="3">
        <v>28.6459694418547</v>
      </c>
      <c r="J74" s="3">
        <v>21.652038463101299</v>
      </c>
      <c r="K74" s="3">
        <v>19.277743740501201</v>
      </c>
      <c r="L74" s="3">
        <v>19.558688038693798</v>
      </c>
      <c r="M74" s="3">
        <v>18.267104554075399</v>
      </c>
      <c r="N74" s="3">
        <v>15.7376439361044</v>
      </c>
    </row>
    <row r="75" spans="1:14" x14ac:dyDescent="0.35">
      <c r="A75" s="2">
        <v>44116</v>
      </c>
      <c r="B75" s="3">
        <v>33.275490209608897</v>
      </c>
      <c r="C75" s="3">
        <v>18.828449612309399</v>
      </c>
      <c r="D75" s="3">
        <v>16.446972160189301</v>
      </c>
      <c r="E75" s="3">
        <v>17.047609236403002</v>
      </c>
      <c r="F75" s="3">
        <v>18.1323702012612</v>
      </c>
      <c r="G75" s="3">
        <v>19.242639685483201</v>
      </c>
      <c r="H75" s="3">
        <v>14.503307504729399</v>
      </c>
      <c r="I75" s="3">
        <v>30.7039948623061</v>
      </c>
      <c r="J75" s="3">
        <v>22.396397484605099</v>
      </c>
      <c r="K75" s="3">
        <v>18.4782932091825</v>
      </c>
      <c r="L75" s="3">
        <v>20.1432128651367</v>
      </c>
      <c r="M75" s="3">
        <v>18.3836994838884</v>
      </c>
      <c r="N75" s="3">
        <v>14.874183488122499</v>
      </c>
    </row>
    <row r="76" spans="1:14" x14ac:dyDescent="0.35">
      <c r="A76" s="2">
        <v>44147</v>
      </c>
      <c r="B76" s="3">
        <v>33.083638688749403</v>
      </c>
      <c r="C76" s="3">
        <v>19.1132990679104</v>
      </c>
      <c r="D76" s="3">
        <v>15.9390779793871</v>
      </c>
      <c r="E76" s="3">
        <v>16.012576952707398</v>
      </c>
      <c r="F76" s="3">
        <v>18.501211254645501</v>
      </c>
      <c r="G76" s="3">
        <v>18.978487438928202</v>
      </c>
      <c r="H76" s="3">
        <v>14.7879587638364</v>
      </c>
      <c r="I76" s="3">
        <v>28.952652589903199</v>
      </c>
      <c r="J76" s="3">
        <v>21.597791820054798</v>
      </c>
      <c r="K76" s="3">
        <v>18.885098873127799</v>
      </c>
      <c r="L76" s="3">
        <v>20.7139645665142</v>
      </c>
      <c r="M76" s="3">
        <v>17.063092271719501</v>
      </c>
      <c r="N76" s="3">
        <v>14.683862272255499</v>
      </c>
    </row>
    <row r="77" spans="1:14" x14ac:dyDescent="0.35">
      <c r="A77" s="2">
        <v>44176</v>
      </c>
      <c r="B77" s="3">
        <v>33.229776290467001</v>
      </c>
      <c r="C77" s="3">
        <v>19.254131768700699</v>
      </c>
      <c r="D77" s="3">
        <v>16.1704747839626</v>
      </c>
      <c r="E77" s="3">
        <v>15.7093616352893</v>
      </c>
      <c r="F77" s="3">
        <v>18.488125033369101</v>
      </c>
      <c r="G77" s="3">
        <v>18.409198600848899</v>
      </c>
      <c r="H77" s="3">
        <v>14.799463156626199</v>
      </c>
      <c r="I77" s="3">
        <v>29.619207802102</v>
      </c>
      <c r="J77" s="3">
        <v>21.832103416041601</v>
      </c>
      <c r="K77" s="3">
        <v>18.486557748938299</v>
      </c>
      <c r="L77" s="3">
        <v>20.2011656746262</v>
      </c>
      <c r="M77" s="3">
        <v>17.174245119859499</v>
      </c>
      <c r="N77" s="3">
        <v>14.7921811915182</v>
      </c>
    </row>
    <row r="78" spans="1:14" x14ac:dyDescent="0.35">
      <c r="A78" s="2">
        <v>44208</v>
      </c>
      <c r="B78" s="3">
        <v>34.096945026437503</v>
      </c>
      <c r="C78" s="3">
        <v>19.264163943676099</v>
      </c>
      <c r="D78" s="3">
        <v>16.211278747683899</v>
      </c>
      <c r="E78" s="3">
        <v>16.1856666965332</v>
      </c>
      <c r="F78" s="3">
        <v>18.7481540150477</v>
      </c>
      <c r="G78" s="3">
        <v>19.064859558758702</v>
      </c>
      <c r="H78" s="3">
        <v>14.632368210648499</v>
      </c>
      <c r="I78" s="3">
        <v>29.883308061185801</v>
      </c>
      <c r="J78" s="3">
        <v>22.479348375682299</v>
      </c>
      <c r="K78" s="3">
        <v>18.020893881682799</v>
      </c>
      <c r="L78" s="3">
        <v>21.038052321022999</v>
      </c>
      <c r="M78" s="3">
        <v>18.808432673358499</v>
      </c>
      <c r="N78" s="3">
        <v>14.8309124818319</v>
      </c>
    </row>
    <row r="79" spans="1:14" x14ac:dyDescent="0.35">
      <c r="A79" s="2">
        <v>44239</v>
      </c>
      <c r="B79" s="3">
        <v>31.978803887686201</v>
      </c>
      <c r="C79" s="3">
        <v>19.051631457552499</v>
      </c>
      <c r="D79" s="3">
        <v>16.287975662363301</v>
      </c>
      <c r="E79" s="3">
        <v>15.862385220360901</v>
      </c>
      <c r="F79" s="3">
        <v>18.9205339579681</v>
      </c>
      <c r="G79" s="3">
        <v>19.000922289717</v>
      </c>
      <c r="H79" s="3">
        <v>14.0836389003849</v>
      </c>
      <c r="I79" s="3">
        <v>30.331384200312701</v>
      </c>
      <c r="J79" s="3">
        <v>22.2725246286934</v>
      </c>
      <c r="K79" s="3">
        <v>17.8882272866616</v>
      </c>
      <c r="L79" s="3">
        <v>22.649830864511699</v>
      </c>
      <c r="M79" s="3">
        <v>18.812126664874</v>
      </c>
      <c r="N79" s="3">
        <v>14.364211016786101</v>
      </c>
    </row>
    <row r="80" spans="1:14" x14ac:dyDescent="0.35">
      <c r="A80" s="2">
        <v>44267</v>
      </c>
      <c r="B80" s="3">
        <v>32.202541837906097</v>
      </c>
      <c r="C80" s="3">
        <v>18.0587420896494</v>
      </c>
      <c r="D80" s="3">
        <v>15.4849233659695</v>
      </c>
      <c r="E80" s="3">
        <v>15.8912871550136</v>
      </c>
      <c r="F80" s="3">
        <v>17.967271823503701</v>
      </c>
      <c r="G80" s="3">
        <v>18.536474957220001</v>
      </c>
      <c r="H80" s="3">
        <v>14.075155724809299</v>
      </c>
      <c r="I80" s="3">
        <v>27.745948999893301</v>
      </c>
      <c r="J80" s="3">
        <v>21.902108668682299</v>
      </c>
      <c r="K80" s="3">
        <v>18.4737201713702</v>
      </c>
      <c r="L80" s="3">
        <v>21.722689921676601</v>
      </c>
      <c r="M80" s="3">
        <v>20.110842635507499</v>
      </c>
      <c r="N80" s="3">
        <v>13.981023755639599</v>
      </c>
    </row>
    <row r="81" spans="1:14" x14ac:dyDescent="0.35">
      <c r="A81" s="2">
        <v>44298</v>
      </c>
      <c r="B81" s="3">
        <v>31.974589174572799</v>
      </c>
      <c r="C81" s="3">
        <v>17.9541517204804</v>
      </c>
      <c r="D81" s="3">
        <v>15.567833458329099</v>
      </c>
      <c r="E81" s="3">
        <v>16.134689735738299</v>
      </c>
      <c r="F81" s="3">
        <v>17.3880944041119</v>
      </c>
      <c r="G81" s="3">
        <v>19.331023914778701</v>
      </c>
      <c r="H81" s="3">
        <v>13.420563597704099</v>
      </c>
      <c r="I81" s="3">
        <v>29.3585799247656</v>
      </c>
      <c r="J81" s="3">
        <v>22.462274781211899</v>
      </c>
      <c r="K81" s="3">
        <v>18.172107626824602</v>
      </c>
      <c r="L81" s="3">
        <v>22.5824862224462</v>
      </c>
      <c r="M81" s="3">
        <v>20.404841272312499</v>
      </c>
      <c r="N81" s="3">
        <v>13.8369660577742</v>
      </c>
    </row>
    <row r="82" spans="1:14" x14ac:dyDescent="0.35">
      <c r="A82" s="2">
        <v>44328</v>
      </c>
      <c r="B82" s="3">
        <v>32.7782304274346</v>
      </c>
      <c r="C82" s="3">
        <v>17.812474975131501</v>
      </c>
      <c r="D82" s="3">
        <v>15.3149920548914</v>
      </c>
      <c r="E82" s="3">
        <v>14.716326811784899</v>
      </c>
      <c r="F82" s="3">
        <v>16.352097869079302</v>
      </c>
      <c r="G82" s="3">
        <v>18.7515331576727</v>
      </c>
      <c r="H82" s="3">
        <v>13.2956089622426</v>
      </c>
      <c r="I82" s="3">
        <v>25.840181177312399</v>
      </c>
      <c r="J82" s="3">
        <v>20.7823501582454</v>
      </c>
      <c r="K82" s="3">
        <v>17.598715525689201</v>
      </c>
      <c r="L82" s="3">
        <v>20.821562983863998</v>
      </c>
      <c r="M82" s="3">
        <v>17.836183570259902</v>
      </c>
      <c r="N82" s="3">
        <v>13.1950992990771</v>
      </c>
    </row>
    <row r="83" spans="1:14" x14ac:dyDescent="0.35">
      <c r="A83" s="2">
        <v>44358</v>
      </c>
      <c r="B83" s="3">
        <v>33.149293119320198</v>
      </c>
      <c r="C83" s="3">
        <v>18.1272075786617</v>
      </c>
      <c r="D83" s="3">
        <v>15.582146778551101</v>
      </c>
      <c r="E83" s="3">
        <v>15.018537786155299</v>
      </c>
      <c r="F83" s="3">
        <v>16.4842159920826</v>
      </c>
      <c r="G83" s="3">
        <v>19.893438135895401</v>
      </c>
      <c r="H83" s="3">
        <v>13.218660242375201</v>
      </c>
      <c r="I83" s="3">
        <v>27.4005085349207</v>
      </c>
      <c r="J83" s="3">
        <v>21.321503026622398</v>
      </c>
      <c r="K83" s="3">
        <v>17.999887330897099</v>
      </c>
      <c r="L83" s="3">
        <v>21.637078690848501</v>
      </c>
      <c r="M83" s="3">
        <v>18.696316529963099</v>
      </c>
      <c r="N83" s="3">
        <v>13.7436947531938</v>
      </c>
    </row>
    <row r="84" spans="1:14" x14ac:dyDescent="0.35">
      <c r="A84" s="2">
        <v>44389</v>
      </c>
      <c r="B84" s="3">
        <v>34.473926231638103</v>
      </c>
      <c r="C84" s="3">
        <v>17.0711859555201</v>
      </c>
      <c r="D84" s="3">
        <v>15.5065101524229</v>
      </c>
      <c r="E84" s="3">
        <v>14.7917183333753</v>
      </c>
      <c r="F84" s="3">
        <v>16.207438438993599</v>
      </c>
      <c r="G84" s="3">
        <v>19.988254384668199</v>
      </c>
      <c r="H84" s="3">
        <v>12.6928184886668</v>
      </c>
      <c r="I84" s="3">
        <v>28.8109539933739</v>
      </c>
      <c r="J84" s="3">
        <v>21.660304526759798</v>
      </c>
      <c r="K84" s="3">
        <v>17.328823873802499</v>
      </c>
      <c r="L84" s="3">
        <v>21.279191183793699</v>
      </c>
      <c r="M84" s="3">
        <v>18.709512747180302</v>
      </c>
      <c r="N84" s="3">
        <v>13.2513872767483</v>
      </c>
    </row>
    <row r="85" spans="1:14" x14ac:dyDescent="0.35">
      <c r="A85" s="2">
        <v>44420</v>
      </c>
      <c r="B85" s="3">
        <v>33.5162678471319</v>
      </c>
      <c r="C85" s="3">
        <v>17.198380908477201</v>
      </c>
      <c r="D85" s="3">
        <v>15.0885205059577</v>
      </c>
      <c r="E85" s="3">
        <v>14.393947389279599</v>
      </c>
      <c r="F85" s="3">
        <v>15.786690752144899</v>
      </c>
      <c r="G85" s="3">
        <v>19.958160155468999</v>
      </c>
      <c r="H85" s="3">
        <v>12.360248121181501</v>
      </c>
      <c r="I85" s="3">
        <v>27.921890759572801</v>
      </c>
      <c r="J85" s="3">
        <v>21.104541157206899</v>
      </c>
      <c r="K85" s="3">
        <v>16.918150817510401</v>
      </c>
      <c r="L85" s="3">
        <v>21.767415742614901</v>
      </c>
      <c r="M85" s="3">
        <v>18.7327147602332</v>
      </c>
      <c r="N85" s="3">
        <v>12.424765464840901</v>
      </c>
    </row>
    <row r="86" spans="1:14" x14ac:dyDescent="0.35">
      <c r="A86" s="2">
        <v>44449</v>
      </c>
      <c r="B86" s="3">
        <v>34.688577725070502</v>
      </c>
      <c r="C86" s="3">
        <v>17.016473562513799</v>
      </c>
      <c r="D86" s="3">
        <v>14.863504860944399</v>
      </c>
      <c r="E86" s="3">
        <v>14.027002608384</v>
      </c>
      <c r="F86" s="3">
        <v>16.126906567459201</v>
      </c>
      <c r="G86" s="3">
        <v>19.291137404274199</v>
      </c>
      <c r="H86" s="3">
        <v>11.976314975679999</v>
      </c>
      <c r="I86" s="3">
        <v>28.255653742296101</v>
      </c>
      <c r="J86" s="3">
        <v>20.857052664178202</v>
      </c>
      <c r="K86" s="3">
        <v>16.215145201694501</v>
      </c>
      <c r="L86" s="3">
        <v>21.737472888542499</v>
      </c>
      <c r="M86" s="3">
        <v>18.475843664768199</v>
      </c>
      <c r="N86" s="3">
        <v>11.719117586318299</v>
      </c>
    </row>
    <row r="87" spans="1:14" x14ac:dyDescent="0.35">
      <c r="A87" s="2">
        <v>44481</v>
      </c>
      <c r="B87" s="3">
        <v>33.6218733340719</v>
      </c>
      <c r="C87" s="3">
        <v>17.2253780552835</v>
      </c>
      <c r="D87" s="3">
        <v>14.565858947623701</v>
      </c>
      <c r="E87" s="3">
        <v>13.4267799285698</v>
      </c>
      <c r="F87" s="3">
        <v>15.092606810764099</v>
      </c>
      <c r="G87" s="3">
        <v>18.384206164621901</v>
      </c>
      <c r="H87" s="3">
        <v>12.1097680691049</v>
      </c>
      <c r="I87" s="3">
        <v>26.751550100115601</v>
      </c>
      <c r="J87" s="3">
        <v>20.210745359009501</v>
      </c>
      <c r="K87" s="3">
        <v>15.446697037061501</v>
      </c>
      <c r="L87" s="3">
        <v>20.043283430322202</v>
      </c>
      <c r="M87" s="3">
        <v>17.8223508531193</v>
      </c>
      <c r="N87" s="3">
        <v>11.5909201019942</v>
      </c>
    </row>
    <row r="88" spans="1:14" x14ac:dyDescent="0.35">
      <c r="A88" s="2">
        <v>44512</v>
      </c>
      <c r="B88" s="3">
        <v>33.029382751822197</v>
      </c>
      <c r="C88" s="3">
        <v>17.530593516098399</v>
      </c>
      <c r="D88" s="3">
        <v>15.083265359991801</v>
      </c>
      <c r="E88" s="3">
        <v>13.8013981351481</v>
      </c>
      <c r="F88" s="3">
        <v>15.4077849516217</v>
      </c>
      <c r="G88" s="3">
        <v>19.446203568192601</v>
      </c>
      <c r="H88" s="3">
        <v>12.1230139523591</v>
      </c>
      <c r="I88" s="3">
        <v>29.3974665091845</v>
      </c>
      <c r="J88" s="3">
        <v>21.366131127088899</v>
      </c>
      <c r="K88" s="3">
        <v>15.928954168451501</v>
      </c>
      <c r="L88" s="3">
        <v>21.6160294510135</v>
      </c>
      <c r="M88" s="3">
        <v>18.964785596954201</v>
      </c>
      <c r="N88" s="3">
        <v>11.7934113909717</v>
      </c>
    </row>
    <row r="89" spans="1:14" x14ac:dyDescent="0.35">
      <c r="A89" s="2">
        <v>44540</v>
      </c>
      <c r="B89" s="3">
        <v>32.437050414224998</v>
      </c>
      <c r="C89" s="3">
        <v>17.2270474759571</v>
      </c>
      <c r="D89" s="3">
        <v>14.2121602392571</v>
      </c>
      <c r="E89" s="3">
        <v>13.2990535981244</v>
      </c>
      <c r="F89" s="3">
        <v>14.5354439193374</v>
      </c>
      <c r="G89" s="3">
        <v>19.339885542312199</v>
      </c>
      <c r="H89" s="3">
        <v>11.9373582331542</v>
      </c>
      <c r="I89" s="3">
        <v>29.199178940869</v>
      </c>
      <c r="J89" s="3">
        <v>21.186541181104399</v>
      </c>
      <c r="K89" s="3">
        <v>15.559884894216999</v>
      </c>
      <c r="L89" s="3">
        <v>20.211059989213101</v>
      </c>
      <c r="M89" s="3">
        <v>18.999171537292</v>
      </c>
      <c r="N89" s="3">
        <v>10.8563034542595</v>
      </c>
    </row>
    <row r="90" spans="1:14" x14ac:dyDescent="0.35">
      <c r="A90" s="2">
        <v>44573</v>
      </c>
      <c r="B90" s="3">
        <v>31.574317392209501</v>
      </c>
      <c r="C90" s="3">
        <v>17.5480506238445</v>
      </c>
      <c r="D90" s="3">
        <v>14.5174089610632</v>
      </c>
      <c r="E90" s="3">
        <v>13.4197705137938</v>
      </c>
      <c r="F90" s="3">
        <v>14.669966700403799</v>
      </c>
      <c r="G90" s="3">
        <v>19.199275834253399</v>
      </c>
      <c r="H90" s="3">
        <v>12.4566206496888</v>
      </c>
      <c r="I90" s="3">
        <v>28.301772262764299</v>
      </c>
      <c r="J90" s="3">
        <v>21.036762477140801</v>
      </c>
      <c r="K90" s="3">
        <v>15.781241928051299</v>
      </c>
      <c r="L90" s="3">
        <v>20.054857162327401</v>
      </c>
      <c r="M90" s="3">
        <v>17.902038914735598</v>
      </c>
      <c r="N90" s="3">
        <v>11.2084806882203</v>
      </c>
    </row>
    <row r="91" spans="1:14" x14ac:dyDescent="0.35">
      <c r="A91" s="2">
        <v>44603</v>
      </c>
      <c r="B91" s="3">
        <v>30.002821874121</v>
      </c>
      <c r="C91" s="3">
        <v>15.9710431822148</v>
      </c>
      <c r="D91" s="3">
        <v>14.3682561642342</v>
      </c>
      <c r="E91" s="3">
        <v>12.8248312926141</v>
      </c>
      <c r="F91" s="3">
        <v>13.9138062533578</v>
      </c>
      <c r="G91" s="3">
        <v>18.345573487205002</v>
      </c>
      <c r="H91" s="3">
        <v>12.4026246604778</v>
      </c>
      <c r="I91" s="3">
        <v>25.076205133392701</v>
      </c>
      <c r="J91" s="3">
        <v>19.414628613857399</v>
      </c>
      <c r="K91" s="3">
        <v>14.6471776917678</v>
      </c>
      <c r="L91" s="3">
        <v>18.404909822267602</v>
      </c>
      <c r="M91" s="3">
        <v>16.430317400705199</v>
      </c>
      <c r="N91" s="3">
        <v>10.6758535162701</v>
      </c>
    </row>
    <row r="92" spans="1:14" x14ac:dyDescent="0.35">
      <c r="A92" s="2">
        <v>44631</v>
      </c>
      <c r="B92" s="3">
        <v>28.666404040804601</v>
      </c>
      <c r="C92" s="3">
        <v>15.4753693276565</v>
      </c>
      <c r="D92" s="3">
        <v>13.526453986745601</v>
      </c>
      <c r="E92" s="3">
        <v>11.077053404893601</v>
      </c>
      <c r="F92" s="3">
        <v>12.3279872542966</v>
      </c>
      <c r="G92" s="3">
        <v>17.2783782289093</v>
      </c>
      <c r="H92" s="3">
        <v>11.3002413464471</v>
      </c>
      <c r="I92" s="3">
        <v>23.047884411445299</v>
      </c>
      <c r="J92" s="3">
        <v>18.186842901075799</v>
      </c>
      <c r="K92" s="3">
        <v>13.0059242740146</v>
      </c>
      <c r="L92" s="3">
        <v>16.6233333739332</v>
      </c>
      <c r="M92" s="3">
        <v>14.733313390745099</v>
      </c>
      <c r="N92" s="3">
        <v>9.1821889784922401</v>
      </c>
    </row>
    <row r="93" spans="1:14" x14ac:dyDescent="0.35">
      <c r="A93" s="2">
        <v>44663</v>
      </c>
      <c r="B93" s="3">
        <v>28.143497965451701</v>
      </c>
      <c r="C93" s="3">
        <v>15.749259822985699</v>
      </c>
      <c r="D93" s="3">
        <v>13.328954405345</v>
      </c>
      <c r="E93" s="3">
        <v>11.323354491967599</v>
      </c>
      <c r="F93" s="3">
        <v>12.6803789497935</v>
      </c>
      <c r="G93" s="3">
        <v>18.512966004393999</v>
      </c>
      <c r="H93" s="3">
        <v>11.1884921875061</v>
      </c>
      <c r="I93" s="3">
        <v>23.9818078799461</v>
      </c>
      <c r="J93" s="3">
        <v>18.780071757561501</v>
      </c>
      <c r="K93" s="3">
        <v>13.1697422491422</v>
      </c>
      <c r="L93" s="3">
        <v>17.591278717483</v>
      </c>
      <c r="M93" s="3">
        <v>15.074740043446599</v>
      </c>
      <c r="N93" s="3">
        <v>9.6776636329279508</v>
      </c>
    </row>
    <row r="94" spans="1:14" x14ac:dyDescent="0.35">
      <c r="A94" s="2">
        <v>44693</v>
      </c>
      <c r="B94" s="3">
        <v>27.657909782905701</v>
      </c>
      <c r="C94" s="3">
        <v>13.8078783842937</v>
      </c>
      <c r="D94" s="3">
        <v>11.869430895200001</v>
      </c>
      <c r="E94" s="3">
        <v>10.620583061799101</v>
      </c>
      <c r="F94" s="3">
        <v>12.2684713121008</v>
      </c>
      <c r="G94" s="3">
        <v>16.692506822378899</v>
      </c>
      <c r="H94" s="3">
        <v>9.9705871233354699</v>
      </c>
      <c r="I94" s="3">
        <v>20.7326836108296</v>
      </c>
      <c r="J94" s="3">
        <v>16.604391569728001</v>
      </c>
      <c r="K94" s="3">
        <v>11.948291824818099</v>
      </c>
      <c r="L94" s="3">
        <v>15.949063755507799</v>
      </c>
      <c r="M94" s="3">
        <v>15.621976496693099</v>
      </c>
      <c r="N94" s="3">
        <v>8.9854192905637493</v>
      </c>
    </row>
    <row r="95" spans="1:14" x14ac:dyDescent="0.35">
      <c r="A95" s="2">
        <v>44722</v>
      </c>
      <c r="B95" s="3">
        <v>26.025025820899</v>
      </c>
      <c r="C95" s="3">
        <v>13.453368530673499</v>
      </c>
      <c r="D95" s="3">
        <v>12.059516001118601</v>
      </c>
      <c r="E95" s="3">
        <v>10.490052045548101</v>
      </c>
      <c r="F95" s="3">
        <v>12.9388352819487</v>
      </c>
      <c r="G95" s="3">
        <v>15.9733284461668</v>
      </c>
      <c r="H95" s="3">
        <v>9.9884807650701202</v>
      </c>
      <c r="I95" s="3">
        <v>20.374703932793299</v>
      </c>
      <c r="J95" s="3">
        <v>16.2978509359112</v>
      </c>
      <c r="K95" s="3">
        <v>11.753315663074201</v>
      </c>
      <c r="L95" s="3">
        <v>16.606528812537299</v>
      </c>
      <c r="M95" s="3">
        <v>15.192987101441499</v>
      </c>
      <c r="N95" s="3">
        <v>8.1645442922353197</v>
      </c>
    </row>
    <row r="96" spans="1:14" x14ac:dyDescent="0.35">
      <c r="A96" s="2">
        <v>44754</v>
      </c>
      <c r="B96" s="3">
        <v>25.864486734066201</v>
      </c>
      <c r="C96" s="3">
        <v>12.7441850154037</v>
      </c>
      <c r="D96" s="3">
        <v>10.912594510700201</v>
      </c>
      <c r="E96" s="3">
        <v>9.8353701177104504</v>
      </c>
      <c r="F96" s="3">
        <v>12.395418709017701</v>
      </c>
      <c r="G96" s="3">
        <v>16.157352422466602</v>
      </c>
      <c r="H96" s="3">
        <v>9.5051925615052308</v>
      </c>
      <c r="I96" s="3">
        <v>20.347310570782401</v>
      </c>
      <c r="J96" s="3">
        <v>15.9411024734056</v>
      </c>
      <c r="K96" s="3">
        <v>11.2073443372309</v>
      </c>
      <c r="L96" s="3">
        <v>16.103484344002201</v>
      </c>
      <c r="M96" s="3">
        <v>14.8157074091043</v>
      </c>
      <c r="N96" s="3">
        <v>7.7285091432087603</v>
      </c>
    </row>
    <row r="97" spans="1:14" x14ac:dyDescent="0.35">
      <c r="A97" s="2">
        <v>44785</v>
      </c>
      <c r="B97" s="3">
        <v>26.4242316214815</v>
      </c>
      <c r="C97" s="3">
        <v>14.116580475957401</v>
      </c>
      <c r="D97" s="3">
        <v>11.8424093117307</v>
      </c>
      <c r="E97" s="3">
        <v>10.3435591734168</v>
      </c>
      <c r="F97" s="3">
        <v>12.9635295697286</v>
      </c>
      <c r="G97" s="3">
        <v>16.911996316021799</v>
      </c>
      <c r="H97" s="3">
        <v>9.8180030973350405</v>
      </c>
      <c r="I97" s="3">
        <v>24.195076863073101</v>
      </c>
      <c r="J97" s="3">
        <v>18.069930533170801</v>
      </c>
      <c r="K97" s="3">
        <v>11.846146405890501</v>
      </c>
      <c r="L97" s="3">
        <v>17.8869214966046</v>
      </c>
      <c r="M97" s="3">
        <v>15.1008417107399</v>
      </c>
      <c r="N97" s="3">
        <v>7.7368714259239599</v>
      </c>
    </row>
    <row r="98" spans="1:14" x14ac:dyDescent="0.35">
      <c r="A98" s="2">
        <v>44816</v>
      </c>
      <c r="B98" s="3">
        <v>27.0524929088064</v>
      </c>
      <c r="C98" s="3">
        <v>13.8585344193819</v>
      </c>
      <c r="D98" s="3">
        <v>11.7067788079154</v>
      </c>
      <c r="E98" s="3">
        <v>10.037551510404301</v>
      </c>
      <c r="F98" s="3">
        <v>12.9398914301969</v>
      </c>
      <c r="G98" s="3">
        <v>16.414210430723902</v>
      </c>
      <c r="H98" s="3">
        <v>9.5160725152981005</v>
      </c>
      <c r="I98" s="3">
        <v>22.563002910075198</v>
      </c>
      <c r="J98" s="3">
        <v>17.266979589973001</v>
      </c>
      <c r="K98" s="3">
        <v>11.4641119481586</v>
      </c>
      <c r="L98" s="3">
        <v>16.440704239502701</v>
      </c>
      <c r="M98" s="3">
        <v>14.4054791533216</v>
      </c>
      <c r="N98" s="3">
        <v>7.84874651494078</v>
      </c>
    </row>
    <row r="99" spans="1:14" x14ac:dyDescent="0.35">
      <c r="A99" s="2">
        <v>44846</v>
      </c>
      <c r="B99" s="3">
        <v>23.499583476905698</v>
      </c>
      <c r="C99" s="3">
        <v>12.7474426664545</v>
      </c>
      <c r="D99" s="3">
        <v>10.615545372763499</v>
      </c>
      <c r="E99" s="3">
        <v>9.0003053426033901</v>
      </c>
      <c r="F99" s="3">
        <v>12.0853454705664</v>
      </c>
      <c r="G99" s="3">
        <v>14.803562828851099</v>
      </c>
      <c r="H99" s="3">
        <v>8.4762404705289391</v>
      </c>
      <c r="I99" s="3">
        <v>19.252960088761501</v>
      </c>
      <c r="J99" s="3">
        <v>15.155390588460101</v>
      </c>
      <c r="K99" s="3">
        <v>10.3175675360882</v>
      </c>
      <c r="L99" s="3">
        <v>13.930218356557701</v>
      </c>
      <c r="M99" s="3">
        <v>12.900326380815001</v>
      </c>
      <c r="N99" s="3">
        <v>7.14791793160241</v>
      </c>
    </row>
    <row r="100" spans="1:14" x14ac:dyDescent="0.35">
      <c r="A100" s="2">
        <v>44876</v>
      </c>
      <c r="B100" s="3">
        <v>23.516688413296201</v>
      </c>
      <c r="C100" s="3">
        <v>14.2695304008116</v>
      </c>
      <c r="D100" s="3">
        <v>11.956472095347801</v>
      </c>
      <c r="E100" s="3">
        <v>10.704598021815301</v>
      </c>
      <c r="F100" s="3">
        <v>12.881688779773199</v>
      </c>
      <c r="G100" s="3">
        <v>16.979621944777499</v>
      </c>
      <c r="H100" s="3">
        <v>9.3916587337376107</v>
      </c>
      <c r="I100" s="3">
        <v>22.014863334098202</v>
      </c>
      <c r="J100" s="3">
        <v>17.303495048032399</v>
      </c>
      <c r="K100" s="3">
        <v>11.889053021992201</v>
      </c>
      <c r="L100" s="3">
        <v>16.293865261173799</v>
      </c>
      <c r="M100" s="3">
        <v>13.240135921201301</v>
      </c>
      <c r="N100" s="3">
        <v>8.2903370569823291</v>
      </c>
    </row>
    <row r="101" spans="1:14" x14ac:dyDescent="0.35">
      <c r="A101" s="2">
        <v>44907</v>
      </c>
      <c r="B101" s="3">
        <v>23.077119341757701</v>
      </c>
      <c r="C101" s="3">
        <v>14.2775849691744</v>
      </c>
      <c r="D101" s="3">
        <v>12.207835307387301</v>
      </c>
      <c r="E101" s="3">
        <v>10.659429150286201</v>
      </c>
      <c r="F101" s="3">
        <v>12.7130697520484</v>
      </c>
      <c r="G101" s="3">
        <v>16.6843077957394</v>
      </c>
      <c r="H101" s="3">
        <v>9.8715629773415507</v>
      </c>
      <c r="I101" s="3">
        <v>21.726971569165499</v>
      </c>
      <c r="J101" s="3">
        <v>17.263635952523899</v>
      </c>
      <c r="K101" s="3">
        <v>12.089765902116101</v>
      </c>
      <c r="L101" s="3">
        <v>16.260881566154598</v>
      </c>
      <c r="M101" s="3">
        <v>13.1908883823703</v>
      </c>
      <c r="N101" s="3">
        <v>7.7980630739034398</v>
      </c>
    </row>
    <row r="102" spans="1:14" x14ac:dyDescent="0.35">
      <c r="A102" s="2">
        <v>44938</v>
      </c>
      <c r="B102" s="3">
        <v>23.433428976043601</v>
      </c>
      <c r="C102" s="3">
        <v>14.4504125998902</v>
      </c>
      <c r="D102" s="3">
        <v>12.5542111657075</v>
      </c>
      <c r="E102" s="3">
        <v>11.4017312797765</v>
      </c>
      <c r="F102" s="3">
        <v>12.404300635515201</v>
      </c>
      <c r="G102" s="3">
        <v>17.203311161403601</v>
      </c>
      <c r="H102" s="3">
        <v>10.3188104747015</v>
      </c>
      <c r="I102" s="3">
        <v>21.8500863325932</v>
      </c>
      <c r="J102" s="3">
        <v>17.309890221742201</v>
      </c>
      <c r="K102" s="3">
        <v>12.8359047599979</v>
      </c>
      <c r="L102" s="3">
        <v>16.851536759977002</v>
      </c>
      <c r="M102" s="3">
        <v>13.744096958437201</v>
      </c>
      <c r="N102" s="3">
        <v>8.2159557056410701</v>
      </c>
    </row>
    <row r="103" spans="1:14" x14ac:dyDescent="0.35">
      <c r="A103" s="2">
        <v>44967</v>
      </c>
      <c r="B103" s="3">
        <v>24.4308318321944</v>
      </c>
      <c r="C103" s="3">
        <v>14.822442698247199</v>
      </c>
      <c r="D103" s="3">
        <v>12.880529812131901</v>
      </c>
      <c r="E103" s="3">
        <v>11.6378126646984</v>
      </c>
      <c r="F103" s="3">
        <v>13.046294514830899</v>
      </c>
      <c r="G103" s="3">
        <v>17.033805211601901</v>
      </c>
      <c r="H103" s="3">
        <v>10.5513876867065</v>
      </c>
      <c r="I103" s="3">
        <v>23.7898835229777</v>
      </c>
      <c r="J103" s="3">
        <v>18.0459977739363</v>
      </c>
      <c r="K103" s="3">
        <v>13.1176727997754</v>
      </c>
      <c r="L103" s="3">
        <v>16.870120907587701</v>
      </c>
      <c r="M103" s="3">
        <v>13.9522418566358</v>
      </c>
      <c r="N103" s="3">
        <v>8.4001322415510806</v>
      </c>
    </row>
    <row r="104" spans="1:14" x14ac:dyDescent="0.35">
      <c r="A104" s="2">
        <v>44995</v>
      </c>
      <c r="B104" s="3">
        <v>23.112869183847899</v>
      </c>
      <c r="C104" s="3">
        <v>14.132160683637199</v>
      </c>
      <c r="D104" s="3">
        <v>12.4710145457087</v>
      </c>
      <c r="E104" s="3">
        <v>11.471717465613899</v>
      </c>
      <c r="F104" s="3">
        <v>13.276627516284501</v>
      </c>
      <c r="G104" s="3">
        <v>16.650808195795101</v>
      </c>
      <c r="H104" s="3">
        <v>10.3258797280825</v>
      </c>
      <c r="I104" s="3">
        <v>22.620721531471901</v>
      </c>
      <c r="J104" s="3">
        <v>16.956878158544502</v>
      </c>
      <c r="K104" s="3">
        <v>13.1493148770238</v>
      </c>
      <c r="L104" s="3">
        <v>16.186811518452402</v>
      </c>
      <c r="M104" s="3">
        <v>13.7023566875891</v>
      </c>
      <c r="N104" s="3">
        <v>8.5595105920185706</v>
      </c>
    </row>
    <row r="105" spans="1:14" x14ac:dyDescent="0.35">
      <c r="A105" s="2">
        <v>45028</v>
      </c>
      <c r="B105" s="3">
        <v>23.4486129184642</v>
      </c>
      <c r="C105" s="3">
        <v>14.6887211393044</v>
      </c>
      <c r="D105" s="3">
        <v>12.9164046112011</v>
      </c>
      <c r="E105" s="3">
        <v>11.372130695833199</v>
      </c>
      <c r="F105" s="3">
        <v>13.203984186364</v>
      </c>
      <c r="G105" s="3">
        <v>17.3345336648398</v>
      </c>
      <c r="H105" s="3">
        <v>10.756159507491001</v>
      </c>
      <c r="I105" s="3">
        <v>24.332291520566901</v>
      </c>
      <c r="J105" s="3">
        <v>18.0057128988967</v>
      </c>
      <c r="K105" s="3">
        <v>13.472335761419901</v>
      </c>
      <c r="L105" s="3">
        <v>16.262028644772201</v>
      </c>
      <c r="M105" s="3">
        <v>13.6903051575833</v>
      </c>
      <c r="N105" s="3">
        <v>8.6920785404496392</v>
      </c>
    </row>
    <row r="106" spans="1:14" x14ac:dyDescent="0.35">
      <c r="A106" s="2">
        <v>45058</v>
      </c>
      <c r="B106" s="3">
        <v>23.5461593745766</v>
      </c>
      <c r="C106" s="3">
        <v>14.5721761784515</v>
      </c>
      <c r="D106" s="3">
        <v>13.0546932838655</v>
      </c>
      <c r="E106" s="3">
        <v>11.046931019708101</v>
      </c>
      <c r="F106" s="3">
        <v>13.7481711704381</v>
      </c>
      <c r="G106" s="3">
        <v>17.527207427430799</v>
      </c>
      <c r="H106" s="3">
        <v>10.5060933341202</v>
      </c>
      <c r="I106" s="3">
        <v>24.5935295496149</v>
      </c>
      <c r="J106" s="3">
        <v>17.938495237905201</v>
      </c>
      <c r="K106" s="3">
        <v>13.373779515887501</v>
      </c>
      <c r="L106" s="3">
        <v>15.5722570665231</v>
      </c>
      <c r="M106" s="3">
        <v>13.4817538276262</v>
      </c>
      <c r="N106" s="3">
        <v>8.3926924831218894</v>
      </c>
    </row>
    <row r="107" spans="1:14" x14ac:dyDescent="0.35">
      <c r="A107" s="2">
        <v>45089</v>
      </c>
      <c r="B107" s="3">
        <v>20.538614106699502</v>
      </c>
      <c r="C107" s="3">
        <v>14.6177671775945</v>
      </c>
      <c r="D107" s="3">
        <v>12.8644459958719</v>
      </c>
      <c r="E107" s="3">
        <v>10.860435403345001</v>
      </c>
      <c r="F107" s="3">
        <v>14.6384432073827</v>
      </c>
      <c r="G107" s="3">
        <v>16.509450373796302</v>
      </c>
      <c r="H107" s="3">
        <v>10.266796234880401</v>
      </c>
      <c r="I107" s="3">
        <v>26.504048576759399</v>
      </c>
      <c r="J107" s="3">
        <v>18.659091187774099</v>
      </c>
      <c r="K107" s="3">
        <v>13.094521960123901</v>
      </c>
      <c r="L107" s="3">
        <v>15.740624090323101</v>
      </c>
      <c r="M107" s="3">
        <v>13.710551259600001</v>
      </c>
      <c r="N107" s="3">
        <v>8.6299796527622803</v>
      </c>
    </row>
    <row r="108" spans="1:14" x14ac:dyDescent="0.35">
      <c r="A108" s="2">
        <v>45119</v>
      </c>
      <c r="B108" s="3">
        <v>20.9204790172017</v>
      </c>
      <c r="C108" s="3">
        <v>14.912848639578</v>
      </c>
      <c r="D108" s="3">
        <v>13.011809941760999</v>
      </c>
      <c r="E108" s="3">
        <v>10.7347667098842</v>
      </c>
      <c r="F108" s="3">
        <v>14.348252561212901</v>
      </c>
      <c r="G108" s="3">
        <v>16.439533073757701</v>
      </c>
      <c r="H108" s="3">
        <v>10.330831665099501</v>
      </c>
      <c r="I108" s="3">
        <v>26.837916259502901</v>
      </c>
      <c r="J108" s="3">
        <v>19.207455739107701</v>
      </c>
      <c r="K108" s="3">
        <v>13.1848940892546</v>
      </c>
      <c r="L108" s="3">
        <v>15.9765225406378</v>
      </c>
      <c r="M108" s="3">
        <v>13.446346768956399</v>
      </c>
      <c r="N108" s="3">
        <v>8.8020362140721193</v>
      </c>
    </row>
    <row r="109" spans="1:14" x14ac:dyDescent="0.35">
      <c r="A109" s="2">
        <v>45149</v>
      </c>
      <c r="B109" s="3">
        <v>20.508116515971501</v>
      </c>
      <c r="C109" s="3">
        <v>15.403762943854099</v>
      </c>
      <c r="D109" s="3">
        <v>13.261257567465799</v>
      </c>
      <c r="E109" s="3">
        <v>10.6329892237215</v>
      </c>
      <c r="F109" s="3">
        <v>14.5307347833241</v>
      </c>
      <c r="G109" s="3">
        <v>16.593396458618599</v>
      </c>
      <c r="H109" s="3">
        <v>10.503761804625</v>
      </c>
      <c r="I109" s="3">
        <v>24.442715539855399</v>
      </c>
      <c r="J109" s="3">
        <v>18.901329844391501</v>
      </c>
      <c r="K109" s="3">
        <v>13.086720621416401</v>
      </c>
      <c r="L109" s="3">
        <v>15.281364702494599</v>
      </c>
      <c r="M109" s="3">
        <v>13.0924612303311</v>
      </c>
      <c r="N109" s="3">
        <v>8.2821661749431392</v>
      </c>
    </row>
    <row r="110" spans="1:14" x14ac:dyDescent="0.35">
      <c r="A110" s="2">
        <v>45181</v>
      </c>
      <c r="B110" s="3">
        <v>20.217350722473601</v>
      </c>
      <c r="C110" s="3">
        <v>15.348191114505299</v>
      </c>
      <c r="D110" s="3">
        <v>13.0817526492912</v>
      </c>
      <c r="E110" s="3">
        <v>10.5586356518809</v>
      </c>
      <c r="F110" s="3">
        <v>14.789266936748801</v>
      </c>
      <c r="G110" s="3">
        <v>16.364595716342802</v>
      </c>
      <c r="H110" s="3">
        <v>10.418584459437801</v>
      </c>
      <c r="I110" s="3">
        <v>24.1964325479757</v>
      </c>
      <c r="J110" s="3">
        <v>18.598503494875001</v>
      </c>
      <c r="K110" s="3">
        <v>12.7781576607048</v>
      </c>
      <c r="L110" s="3">
        <v>14.1662198586387</v>
      </c>
      <c r="M110" s="3">
        <v>12.9342894929413</v>
      </c>
      <c r="N110" s="3">
        <v>8.4433662833210406</v>
      </c>
    </row>
    <row r="111" spans="1:14" x14ac:dyDescent="0.35">
      <c r="A111" s="2">
        <v>45211</v>
      </c>
      <c r="B111" s="3">
        <v>19.9147813918784</v>
      </c>
      <c r="C111" s="3">
        <v>14.8058081889544</v>
      </c>
      <c r="D111" s="3">
        <v>12.5533035150429</v>
      </c>
      <c r="E111" s="3">
        <v>10.3132531325809</v>
      </c>
      <c r="F111" s="3">
        <v>14.4775726980349</v>
      </c>
      <c r="G111" s="3">
        <v>16.215050283715499</v>
      </c>
      <c r="H111" s="3">
        <v>10.4636997772411</v>
      </c>
      <c r="I111" s="3">
        <v>23.784303854957798</v>
      </c>
      <c r="J111" s="3">
        <v>18.058694170569201</v>
      </c>
      <c r="K111" s="3">
        <v>12.4203177927997</v>
      </c>
      <c r="L111" s="3">
        <v>13.738291260675499</v>
      </c>
      <c r="M111" s="3">
        <v>13.2228190815534</v>
      </c>
      <c r="N111" s="3">
        <v>8.2532337129911593</v>
      </c>
    </row>
    <row r="112" spans="1:14" x14ac:dyDescent="0.35">
      <c r="A112" s="2">
        <v>45240</v>
      </c>
      <c r="B112" s="3">
        <v>20.092742270674801</v>
      </c>
      <c r="C112" s="3">
        <v>14.7527074569694</v>
      </c>
      <c r="D112" s="3">
        <v>12.4872963005758</v>
      </c>
      <c r="E112" s="3">
        <v>10.2562202091249</v>
      </c>
      <c r="F112" s="3">
        <v>14.2218305339527</v>
      </c>
      <c r="G112" s="3">
        <v>15.7195907330994</v>
      </c>
      <c r="H112" s="3">
        <v>10.070236203153801</v>
      </c>
      <c r="I112" s="3">
        <v>23.9914235753631</v>
      </c>
      <c r="J112" s="3">
        <v>18.256596489645698</v>
      </c>
      <c r="K112" s="3">
        <v>12.437814620506099</v>
      </c>
      <c r="L112" s="3">
        <v>14.0557297633516</v>
      </c>
      <c r="M112" s="3">
        <v>12.7984855615799</v>
      </c>
      <c r="N112" s="3">
        <v>8.0912472326038003</v>
      </c>
    </row>
    <row r="113" spans="1:25" x14ac:dyDescent="0.35">
      <c r="A113" s="2">
        <v>45272</v>
      </c>
      <c r="B113" s="3">
        <v>21.658779699888601</v>
      </c>
      <c r="C113" s="3">
        <v>15.4319988448747</v>
      </c>
      <c r="D113" s="3">
        <v>13.105690389989</v>
      </c>
      <c r="E113" s="3">
        <v>11.2403623659486</v>
      </c>
      <c r="F113" s="3">
        <v>14.047523479118601</v>
      </c>
      <c r="G113" s="3">
        <v>16.650817293331698</v>
      </c>
      <c r="H113" s="3">
        <v>10.621680050250699</v>
      </c>
      <c r="I113" s="3">
        <v>24.6960736351894</v>
      </c>
      <c r="J113" s="3">
        <v>18.990530146254699</v>
      </c>
      <c r="K113" s="3">
        <v>13.334961845079</v>
      </c>
      <c r="L113" s="3">
        <v>14.973464099267099</v>
      </c>
      <c r="M113" s="3">
        <v>15.2084429417551</v>
      </c>
      <c r="N113" s="3">
        <v>8.8274412164484506</v>
      </c>
    </row>
    <row r="114" spans="1:25" x14ac:dyDescent="0.35">
      <c r="A114" s="2">
        <v>45303</v>
      </c>
      <c r="B114" s="3">
        <v>22.952035526695099</v>
      </c>
      <c r="C114" s="3">
        <v>16.176724946859601</v>
      </c>
      <c r="D114" s="3">
        <v>13.6289550236163</v>
      </c>
      <c r="E114" s="3">
        <v>11.111743809379201</v>
      </c>
      <c r="F114" s="3">
        <v>14.808003341532601</v>
      </c>
      <c r="G114" s="3">
        <v>17.0212809056715</v>
      </c>
      <c r="H114" s="3">
        <v>10.995223771759999</v>
      </c>
      <c r="I114" s="3">
        <v>24.976753072201401</v>
      </c>
      <c r="J114" s="3">
        <v>19.559688089892099</v>
      </c>
      <c r="K114" s="3">
        <v>13.3291052998858</v>
      </c>
      <c r="L114" s="3">
        <v>14.799934610520401</v>
      </c>
      <c r="M114" s="3">
        <v>15.4400868561774</v>
      </c>
      <c r="N114" s="3">
        <v>8.9828916528547804</v>
      </c>
    </row>
    <row r="115" spans="1:25" x14ac:dyDescent="0.35">
      <c r="A115" s="2">
        <v>45334</v>
      </c>
      <c r="B115" s="3">
        <v>21.907775325978299</v>
      </c>
      <c r="C115" s="3">
        <v>16.327156840861502</v>
      </c>
      <c r="D115" s="3">
        <v>13.9195256773837</v>
      </c>
      <c r="E115" s="3">
        <v>11.594247413869001</v>
      </c>
      <c r="F115" s="3">
        <v>15.010940779401601</v>
      </c>
      <c r="G115" s="3">
        <v>17.2119905508277</v>
      </c>
      <c r="H115" s="3">
        <v>10.9975757091969</v>
      </c>
      <c r="I115" s="3">
        <v>26.236623734172699</v>
      </c>
      <c r="J115" s="3">
        <v>20.3520432636785</v>
      </c>
      <c r="K115" s="3">
        <v>13.8704469090485</v>
      </c>
      <c r="L115" s="3">
        <v>16.3232387416835</v>
      </c>
      <c r="M115" s="3">
        <v>15.8263747259358</v>
      </c>
      <c r="N115" s="3">
        <v>9.0702468813960202</v>
      </c>
    </row>
    <row r="116" spans="1:25" x14ac:dyDescent="0.35">
      <c r="A116" s="2">
        <v>45363</v>
      </c>
      <c r="B116" s="3">
        <v>24.743060302098801</v>
      </c>
      <c r="C116" s="3">
        <v>16.573915146361699</v>
      </c>
      <c r="D116" s="3">
        <v>14.5054710147724</v>
      </c>
      <c r="E116" s="3">
        <v>12.212703733587499</v>
      </c>
      <c r="F116" s="3">
        <v>15.303379074823299</v>
      </c>
      <c r="G116" s="3">
        <v>17.861655175979401</v>
      </c>
      <c r="H116" s="3">
        <v>11.3746496069381</v>
      </c>
      <c r="I116" s="3">
        <v>26.310255807274402</v>
      </c>
      <c r="J116" s="3">
        <v>20.6979968370817</v>
      </c>
      <c r="K116" s="3">
        <v>14.5643887758477</v>
      </c>
      <c r="L116" s="3">
        <v>16.211885539719798</v>
      </c>
      <c r="M116" s="3">
        <v>16.687061749307599</v>
      </c>
      <c r="N116" s="3">
        <v>9.5411465907852602</v>
      </c>
    </row>
    <row r="117" spans="1:25" x14ac:dyDescent="0.35">
      <c r="A117" s="2">
        <v>45394</v>
      </c>
      <c r="B117" s="3">
        <v>24.941161107329801</v>
      </c>
      <c r="C117" s="3">
        <v>16.552498314883401</v>
      </c>
      <c r="D117" s="3">
        <v>14.3390341881954</v>
      </c>
      <c r="E117" s="3">
        <v>11.963374482399701</v>
      </c>
      <c r="F117" s="3">
        <v>15.7060806922502</v>
      </c>
      <c r="G117" s="3">
        <v>17.0192926872848</v>
      </c>
      <c r="H117" s="3">
        <v>11.5020286718484</v>
      </c>
      <c r="I117" s="3">
        <v>25.256318628612298</v>
      </c>
      <c r="J117" s="3">
        <v>20.401019296072299</v>
      </c>
      <c r="K117" s="3">
        <v>14.334216661902101</v>
      </c>
      <c r="L117" s="3">
        <v>15.999686231368701</v>
      </c>
      <c r="M117" s="3">
        <v>16.146093512745601</v>
      </c>
      <c r="N117" s="3">
        <v>9.5138819409268809</v>
      </c>
    </row>
    <row r="118" spans="1:25" x14ac:dyDescent="0.35">
      <c r="A118" s="2">
        <v>45422</v>
      </c>
      <c r="B118" s="3">
        <v>25.144097666378801</v>
      </c>
      <c r="C118" s="3">
        <v>16.628783525192201</v>
      </c>
      <c r="D118" s="3">
        <v>14.471247289767501</v>
      </c>
      <c r="E118" s="3">
        <v>12.229867634457101</v>
      </c>
      <c r="F118" s="3">
        <v>15.319672893605</v>
      </c>
      <c r="G118" s="3">
        <v>17.156765572719099</v>
      </c>
      <c r="H118" s="3">
        <v>11.9263728731664</v>
      </c>
      <c r="I118" s="3">
        <v>25.222439124790998</v>
      </c>
      <c r="J118" s="3">
        <v>20.483290468746599</v>
      </c>
      <c r="K118" s="3">
        <v>14.760093916190501</v>
      </c>
      <c r="L118" s="3">
        <v>16.156994817859399</v>
      </c>
      <c r="M118" s="3">
        <v>16.464855384257401</v>
      </c>
      <c r="N118" s="3">
        <v>9.7720371938744393</v>
      </c>
    </row>
    <row r="119" spans="1:25" x14ac:dyDescent="0.35">
      <c r="A119" s="2">
        <v>45455</v>
      </c>
      <c r="B119" s="3">
        <v>24.013831558161399</v>
      </c>
      <c r="C119" s="3">
        <v>16.751009803089801</v>
      </c>
      <c r="D119" s="3">
        <v>14.049505945608001</v>
      </c>
      <c r="E119" s="3">
        <v>12.002867387007401</v>
      </c>
      <c r="F119" s="3">
        <v>15.4024462136134</v>
      </c>
      <c r="G119" s="3">
        <v>17.4305317745313</v>
      </c>
      <c r="H119" s="3">
        <v>11.5736784599033</v>
      </c>
      <c r="I119" s="3">
        <v>26.3927468875039</v>
      </c>
      <c r="J119" s="3">
        <v>20.933738637106099</v>
      </c>
      <c r="K119" s="3">
        <v>14.0802793938603</v>
      </c>
      <c r="L119" s="3">
        <v>16.810399712310598</v>
      </c>
      <c r="M119" s="3">
        <v>16.361254474401701</v>
      </c>
      <c r="N119" s="3">
        <v>9.6425964849411496</v>
      </c>
    </row>
    <row r="120" spans="1:25" x14ac:dyDescent="0.35">
      <c r="A120" s="2">
        <v>45485</v>
      </c>
      <c r="B120" s="3">
        <v>24.900202220143701</v>
      </c>
      <c r="C120" s="3">
        <v>17.358409046664701</v>
      </c>
      <c r="D120" s="3">
        <v>14.3354184706581</v>
      </c>
      <c r="E120" s="3">
        <v>12.0832177812169</v>
      </c>
      <c r="F120" s="3">
        <v>16.027262628692601</v>
      </c>
      <c r="G120" s="3">
        <v>17.5650473680404</v>
      </c>
      <c r="H120" s="3">
        <v>11.6437916629445</v>
      </c>
      <c r="I120" s="3">
        <v>27.6800186958681</v>
      </c>
      <c r="J120" s="3">
        <v>21.5273600946567</v>
      </c>
      <c r="K120" s="3">
        <v>13.854153821695901</v>
      </c>
      <c r="L120" s="3">
        <v>16.766865541429699</v>
      </c>
      <c r="M120" s="3">
        <v>16.704565668327099</v>
      </c>
      <c r="N120" s="3">
        <v>9.7456539959644601</v>
      </c>
    </row>
    <row r="121" spans="1:25" x14ac:dyDescent="0.35">
      <c r="A121" s="2">
        <v>45516</v>
      </c>
      <c r="B121" s="3">
        <v>25.362086820718201</v>
      </c>
      <c r="C121" s="3">
        <v>17.022965055573799</v>
      </c>
      <c r="D121" s="3">
        <v>13.983935667774301</v>
      </c>
      <c r="E121" s="3">
        <v>11.357166351292699</v>
      </c>
      <c r="F121" s="3">
        <v>13.414363979566501</v>
      </c>
      <c r="G121" s="3">
        <v>16.899517611304201</v>
      </c>
      <c r="H121" s="3">
        <v>11.4065490061456</v>
      </c>
      <c r="I121" s="3">
        <v>25.2496622823584</v>
      </c>
      <c r="J121" s="3">
        <v>20.2933112002545</v>
      </c>
      <c r="K121" s="3">
        <v>13.1567220927205</v>
      </c>
      <c r="L121" s="3">
        <v>14.72223079188</v>
      </c>
      <c r="M121" s="3">
        <v>15.371180918079901</v>
      </c>
      <c r="N121" s="3">
        <v>9.2539070595079007</v>
      </c>
    </row>
    <row r="122" spans="1:25" x14ac:dyDescent="0.35">
      <c r="A122" s="2">
        <v>45546</v>
      </c>
      <c r="B122" s="3">
        <v>24.080723711179001</v>
      </c>
      <c r="C122" s="3">
        <v>17.690742116754301</v>
      </c>
      <c r="D122" s="3">
        <v>14.5013359999113</v>
      </c>
      <c r="E122" s="3">
        <v>11.9514489729844</v>
      </c>
      <c r="F122" s="3">
        <v>13.792434769929701</v>
      </c>
      <c r="G122" s="3">
        <v>17.0296891122169</v>
      </c>
      <c r="H122" s="3">
        <v>11.467811428928201</v>
      </c>
      <c r="I122" s="3">
        <v>25.8375847254087</v>
      </c>
      <c r="J122" s="3">
        <v>20.8026400513372</v>
      </c>
      <c r="K122" s="3">
        <v>13.4139585576845</v>
      </c>
      <c r="L122" s="3">
        <v>14.626002444629</v>
      </c>
      <c r="M122" s="3">
        <v>15.5776625268684</v>
      </c>
      <c r="N122" s="3">
        <v>9.7839973881915991</v>
      </c>
    </row>
    <row r="124" spans="1:25" x14ac:dyDescent="0.35">
      <c r="A124" s="2" t="s">
        <v>91</v>
      </c>
      <c r="B124" s="3" cm="1">
        <f t="array" ref="B124">MIN(_xlfn._xlws.FILTER(B1:B122, ISNUMBER(B1:B122)))</f>
        <v>16.738014946543199</v>
      </c>
      <c r="C124" s="3" cm="1">
        <f t="array" ref="C124">MIN(_xlfn._xlws.FILTER(C1:C122, ISNUMBER(C1:C122)))</f>
        <v>12.7441850154037</v>
      </c>
      <c r="D124" s="3" cm="1">
        <f t="array" ref="D124">MIN(_xlfn._xlws.FILTER(D1:D122, ISNUMBER(D1:D122)))</f>
        <v>10.615545372763499</v>
      </c>
      <c r="E124" s="3" cm="1">
        <f t="array" ref="E124">MIN(_xlfn._xlws.FILTER(E1:E122, ISNUMBER(E1:E122)))</f>
        <v>9.0003053426033901</v>
      </c>
      <c r="F124" s="3" cm="1">
        <f t="array" ref="F124">MIN(_xlfn._xlws.FILTER(F1:F122, ISNUMBER(F1:F122)))</f>
        <v>11.0013808009965</v>
      </c>
      <c r="G124" s="3" cm="1">
        <f t="array" ref="G124">MIN(_xlfn._xlws.FILTER(G1:G122, ISNUMBER(G1:G122)))</f>
        <v>14.0232727291886</v>
      </c>
      <c r="H124" s="3" cm="1">
        <f t="array" ref="H124">MIN(_xlfn._xlws.FILTER(H1:H122, ISNUMBER(H1:H122)))</f>
        <v>8.4762404705289391</v>
      </c>
      <c r="I124" s="3" cm="1">
        <f t="array" ref="I124">MIN(_xlfn._xlws.FILTER(I1:I122, ISNUMBER(I1:I122)))</f>
        <v>16.233587473453799</v>
      </c>
      <c r="J124" s="3" cm="1">
        <f t="array" ref="J124">MIN(_xlfn._xlws.FILTER(J1:J122, ISNUMBER(J1:J122)))</f>
        <v>14.041882725415601</v>
      </c>
      <c r="K124" s="3" cm="1">
        <f t="array" ref="K124">MIN(_xlfn._xlws.FILTER(K1:K122, ISNUMBER(K1:K122)))</f>
        <v>10.3175675360882</v>
      </c>
      <c r="L124" s="3" cm="1">
        <f t="array" ref="L124">MIN(_xlfn._xlws.FILTER(L1:L122, ISNUMBER(L1:L122)))</f>
        <v>12.630564037682401</v>
      </c>
      <c r="M124" s="3" cm="1">
        <f t="array" ref="M124">MIN(_xlfn._xlws.FILTER(M1:M122, ISNUMBER(M1:M122)))</f>
        <v>12.0254791213824</v>
      </c>
      <c r="N124" s="3" cm="1">
        <f t="array" ref="N124">MIN(_xlfn._xlws.FILTER(N1:N122, ISNUMBER(N1:N122)))</f>
        <v>7.14791793160241</v>
      </c>
    </row>
    <row r="125" spans="1:25" x14ac:dyDescent="0.35">
      <c r="A125" s="2" t="s">
        <v>92</v>
      </c>
      <c r="B125" s="3" cm="1">
        <f t="array" ref="B125">MAX(_xlfn._xlws.FILTER(B1:B122, ISNUMBER(B1:B122)))</f>
        <v>34.688577725070502</v>
      </c>
      <c r="C125" s="3" cm="1">
        <f t="array" ref="C125">MAX(_xlfn._xlws.FILTER(C1:C122, ISNUMBER(C1:C122)))</f>
        <v>19.638783005344099</v>
      </c>
      <c r="D125" s="3" cm="1">
        <f t="array" ref="D125">MAX(_xlfn._xlws.FILTER(D1:D122, ISNUMBER(D1:D122)))</f>
        <v>17.736556582605601</v>
      </c>
      <c r="E125" s="3" cm="1">
        <f t="array" ref="E125">MAX(_xlfn._xlws.FILTER(E1:E122, ISNUMBER(E1:E122)))</f>
        <v>18.308896687491899</v>
      </c>
      <c r="F125" s="3" cm="1">
        <f t="array" ref="F125">MAX(_xlfn._xlws.FILTER(F1:F122, ISNUMBER(F1:F122)))</f>
        <v>18.9205339579681</v>
      </c>
      <c r="G125" s="3" cm="1">
        <f t="array" ref="G125">MAX(_xlfn._xlws.FILTER(G1:G122, ISNUMBER(G1:G122)))</f>
        <v>19.988254384668199</v>
      </c>
      <c r="H125" s="3" cm="1">
        <f t="array" ref="H125">MAX(_xlfn._xlws.FILTER(H1:H122, ISNUMBER(H1:H122)))</f>
        <v>16.325565105227</v>
      </c>
      <c r="I125" s="3" cm="1">
        <f t="array" ref="I125">MAX(_xlfn._xlws.FILTER(I1:I122, ISNUMBER(I1:I122)))</f>
        <v>30.7039948623061</v>
      </c>
      <c r="J125" s="3" cm="1">
        <f t="array" ref="J125">MAX(_xlfn._xlws.FILTER(J1:J122, ISNUMBER(J1:J122)))</f>
        <v>22.479348375682299</v>
      </c>
      <c r="K125" s="3" cm="1">
        <f t="array" ref="K125">MAX(_xlfn._xlws.FILTER(K1:K122, ISNUMBER(K1:K122)))</f>
        <v>20.210293133009799</v>
      </c>
      <c r="L125" s="3" cm="1">
        <f t="array" ref="L125">MAX(_xlfn._xlws.FILTER(L1:L122, ISNUMBER(L1:L122)))</f>
        <v>22.649830864511699</v>
      </c>
      <c r="M125" s="3" cm="1">
        <f t="array" ref="M125">MAX(_xlfn._xlws.FILTER(M1:M122, ISNUMBER(M1:M122)))</f>
        <v>20.404841272312499</v>
      </c>
      <c r="N125" s="3" cm="1">
        <f t="array" ref="N125">MAX(_xlfn._xlws.FILTER(N1:N122, ISNUMBER(N1:N122)))</f>
        <v>17.324407478026998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0.63100000000000001</v>
      </c>
      <c r="C127" s="9" cm="1">
        <f t="array" ref="C127">_xlfn.PERCENTRANK.EXC(_xlfn._xlws.FILTER(C1:C122, ISNUMBER(C1:C122)),C122)</f>
        <v>0.86799999999999999</v>
      </c>
      <c r="D127" s="9" cm="1">
        <f t="array" ref="D127">_xlfn.PERCENTRANK.EXC(_xlfn._xlws.FILTER(D1:D122, ISNUMBER(D1:D122)),D122)</f>
        <v>0.51600000000000001</v>
      </c>
      <c r="E127" s="9" cm="1">
        <f t="array" ref="E127">_xlfn.PERCENTRANK.EXC(_xlfn._xlws.FILTER(E1:E122, ISNUMBER(E1:E122)),E122)</f>
        <v>0.27800000000000002</v>
      </c>
      <c r="F127" s="9" cm="1">
        <f t="array" ref="F127">_xlfn.PERCENTRANK.EXC(_xlfn._xlws.FILTER(F1:F122, ISNUMBER(F1:F122)),F122)</f>
        <v>0.45</v>
      </c>
      <c r="G127" s="9" cm="1">
        <f t="array" ref="G127">_xlfn.PERCENTRANK.EXC(_xlfn._xlws.FILTER(G1:G122, ISNUMBER(G1:G122)),G122)</f>
        <v>0.48299999999999998</v>
      </c>
      <c r="H127" s="9" cm="1">
        <f t="array" ref="H127">_xlfn.PERCENTRANK.EXC(_xlfn._xlws.FILTER(H1:H122, ISNUMBER(H1:H122)),H122)</f>
        <v>0.22900000000000001</v>
      </c>
      <c r="I127" s="9" cm="1">
        <f t="array" ref="I127">_xlfn.PERCENTRANK.EXC(_xlfn._xlws.FILTER(I1:I122, ISNUMBER(I1:I122)),I122)</f>
        <v>0.77</v>
      </c>
      <c r="J127" s="9" cm="1">
        <f t="array" ref="J127">_xlfn.PERCENTRANK.EXC(_xlfn._xlws.FILTER(J1:J122, ISNUMBER(J1:J122)),J122)</f>
        <v>0.82699999999999996</v>
      </c>
      <c r="K127" s="9" cm="1">
        <f t="array" ref="K127">_xlfn.PERCENTRANK.EXC(_xlfn._xlws.FILTER(K1:K122, ISNUMBER(K1:K122)),K122)</f>
        <v>0.27800000000000002</v>
      </c>
      <c r="L127" s="9" cm="1">
        <f t="array" ref="L127">_xlfn.PERCENTRANK.EXC(_xlfn._xlws.FILTER(L1:L122, ISNUMBER(L1:L122)),L122)</f>
        <v>0.14699999999999999</v>
      </c>
      <c r="M127" s="9" cm="1">
        <f t="array" ref="M127">_xlfn.PERCENTRANK.EXC(_xlfn._xlws.FILTER(M1:M122, ISNUMBER(M1:M122)),M122)</f>
        <v>0.5</v>
      </c>
      <c r="N127" s="9" cm="1">
        <f t="array" ref="N127">_xlfn.PERCENTRANK.EXC(_xlfn._xlws.FILTER(N1:N122, ISNUMBER(N1:N122)),N122)</f>
        <v>0.28599999999999998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41894</v>
      </c>
      <c r="B2" s="3" cm="1">
        <f t="array" ref="B2:B122">_xll.FDS(B1,"FMA_DIV_YLD(NTMA,-10AY,0,AM,""PORTAGG"",""MEANR"")")</f>
        <v>4.5676055635010702</v>
      </c>
      <c r="C2" s="3" cm="1">
        <f t="array" ref="C2:C122">_xll.FDS(C1,"FMA_DIV_YLD(NTMA,-10AY,0,AM,""PORTAGG"",""MEANR"")")</f>
        <v>4.8052723800259001</v>
      </c>
      <c r="D2" s="3" cm="1">
        <f t="array" ref="D2:D122">_xll.FDS(D1,"FMA_DIV_YLD(NTMA,-10AY,0,AM,""PORTAGG"",""MEANR"")")</f>
        <v>2.7596606447101601</v>
      </c>
      <c r="E2" s="3" cm="1">
        <f t="array" ref="E2:E122">_xll.FDS(E1,"FMA_DIV_YLD(NTMA,-10AY,0,AM,""PORTAGG"",""MEANR"")")</f>
        <v>3.1205693910368701</v>
      </c>
      <c r="F2" s="3" cm="1">
        <f t="array" ref="F2:F122">_xll.FDS(F1,"FMA_DIV_YLD(NTMA,-10AY,0,AM,""PORTAGG"",""MEANR"")")</f>
        <v>2.0308791185977499</v>
      </c>
      <c r="G2" s="3" cm="1">
        <f t="array" ref="G2:G122">_xll.FDS(G1,"FMA_DIV_YLD(NTMA,-10AY,0,AM,""PORTAGG"",""MEANR"")")</f>
        <v>3.2935726973873201</v>
      </c>
      <c r="H2" s="3" cm="1">
        <f t="array" ref="H2:H122">_xll.FDS(H1,"FMA_DIV_YLD(NTMA,-10AY,0,AM,""PORTAGG"",""MEANR"")")</f>
        <v>3.9298068696583699</v>
      </c>
      <c r="I2" s="3" cm="1">
        <f t="array" ref="I2:I122">_xll.FDS(I1,"FMA_DIV_YLD(NTMA,-10AY,0,AM,""PORTAGG"",""MEANR"")")</f>
        <v>1.2189939630636299</v>
      </c>
      <c r="J2" s="3" cm="1">
        <f t="array" ref="J2:J122">_xll.FDS(J1,"FMA_DIV_YLD(NTMA,-10AY,0,AM,""PORTAGG"",""MEANR"")")</f>
        <v>2.11026912673755</v>
      </c>
      <c r="K2" s="3" cm="1">
        <f t="array" ref="K2:K122">_xll.FDS(K1,"FMA_DIV_YLD(NTMA,-10AY,0,AM,""PORTAGG"",""MEANR"")")</f>
        <v>3.5081793260688099</v>
      </c>
      <c r="L2" s="3" cm="1">
        <f t="array" ref="L2:L122">_xll.FDS(L1,"FMA_DIV_YLD(NTMA,-10AY,0,AM,""PORTAGG"",""MEANR"")")</f>
        <v>3.0031278540719799</v>
      </c>
      <c r="M2" s="3" cm="1">
        <f t="array" ref="M2:M122">_xll.FDS(M1,"FMA_DIV_YLD(NTMA,-10AY,0,AM,""PORTAGG"",""MEANR"")")</f>
        <v>4.2204737792437799</v>
      </c>
      <c r="N2" s="3" cm="1">
        <f t="array" ref="N2:N122">_xll.FDS(N1,"FMA_DIV_YLD(NTMA,-10AY,0,AM,""PORTAGG"",""MEANR"")")</f>
        <v>3.51543329623409</v>
      </c>
    </row>
    <row r="3" spans="1:14" x14ac:dyDescent="0.35">
      <c r="A3" s="2">
        <v>41922</v>
      </c>
      <c r="B3" s="3">
        <v>4.6080429488613497</v>
      </c>
      <c r="C3" s="3">
        <v>5.16716047928794</v>
      </c>
      <c r="D3" s="3">
        <v>3.0380649890814602</v>
      </c>
      <c r="E3" s="3">
        <v>3.4436631308143402</v>
      </c>
      <c r="F3" s="3">
        <v>2.16223506059452</v>
      </c>
      <c r="G3" s="3">
        <v>3.50999395957838</v>
      </c>
      <c r="H3" s="3">
        <v>4.2420047503523097</v>
      </c>
      <c r="I3" s="3">
        <v>1.2989766103771301</v>
      </c>
      <c r="J3" s="3">
        <v>2.2110482118582699</v>
      </c>
      <c r="K3" s="3">
        <v>3.84671942820626</v>
      </c>
      <c r="L3" s="3">
        <v>3.1775086043443799</v>
      </c>
      <c r="M3" s="3">
        <v>4.5304000248011098</v>
      </c>
      <c r="N3" s="3">
        <v>3.9751912211832301</v>
      </c>
    </row>
    <row r="4" spans="1:14" x14ac:dyDescent="0.35">
      <c r="A4" s="2">
        <v>41955</v>
      </c>
      <c r="B4" s="3">
        <v>4.4472681748377898</v>
      </c>
      <c r="C4" s="3">
        <v>4.9007125412858299</v>
      </c>
      <c r="D4" s="3">
        <v>2.92094222220129</v>
      </c>
      <c r="E4" s="3">
        <v>3.3551485160805701</v>
      </c>
      <c r="F4" s="3">
        <v>1.9613494706871999</v>
      </c>
      <c r="G4" s="3">
        <v>3.28955450223122</v>
      </c>
      <c r="H4" s="3">
        <v>4.0718576842402001</v>
      </c>
      <c r="I4" s="3">
        <v>1.2182282160865701</v>
      </c>
      <c r="J4" s="3">
        <v>2.0907535479627102</v>
      </c>
      <c r="K4" s="3">
        <v>3.7371360906659201</v>
      </c>
      <c r="L4" s="3">
        <v>3.1126500862611901</v>
      </c>
      <c r="M4" s="3">
        <v>4.1981958864036102</v>
      </c>
      <c r="N4" s="3">
        <v>4.0723100818005298</v>
      </c>
    </row>
    <row r="5" spans="1:14" x14ac:dyDescent="0.35">
      <c r="A5" s="2">
        <v>41985</v>
      </c>
      <c r="B5" s="3">
        <v>4.4753136967227203</v>
      </c>
      <c r="C5" s="3">
        <v>5.1456233007019803</v>
      </c>
      <c r="D5" s="3">
        <v>3.12805441277927</v>
      </c>
      <c r="E5" s="3">
        <v>3.2547166401805199</v>
      </c>
      <c r="F5" s="3">
        <v>1.98230305646273</v>
      </c>
      <c r="G5" s="3">
        <v>3.3225763224154501</v>
      </c>
      <c r="H5" s="3">
        <v>4.2916347328779798</v>
      </c>
      <c r="I5" s="3">
        <v>1.2343405232944999</v>
      </c>
      <c r="J5" s="3">
        <v>2.14980447837433</v>
      </c>
      <c r="K5" s="3">
        <v>3.7712441059499899</v>
      </c>
      <c r="L5" s="3">
        <v>3.1347547337368602</v>
      </c>
      <c r="M5" s="3">
        <v>4.1874569909075596</v>
      </c>
      <c r="N5" s="3">
        <v>4.1307611629082404</v>
      </c>
    </row>
    <row r="6" spans="1:14" x14ac:dyDescent="0.35">
      <c r="A6" s="2">
        <v>42016</v>
      </c>
      <c r="B6" s="3">
        <v>4.4028496333997502</v>
      </c>
      <c r="C6" s="3">
        <v>4.9682201174321303</v>
      </c>
      <c r="D6" s="3">
        <v>3.0268969879582701</v>
      </c>
      <c r="E6" s="3">
        <v>3.2007541229020302</v>
      </c>
      <c r="F6" s="3">
        <v>2.0266339448120401</v>
      </c>
      <c r="G6" s="3">
        <v>3.28635793550876</v>
      </c>
      <c r="H6" s="3">
        <v>4.2256340142405202</v>
      </c>
      <c r="I6" s="3">
        <v>1.22596657624615</v>
      </c>
      <c r="J6" s="3">
        <v>2.1386988129508602</v>
      </c>
      <c r="K6" s="3">
        <v>3.6756299350558699</v>
      </c>
      <c r="L6" s="3">
        <v>3.1007057241050102</v>
      </c>
      <c r="M6" s="3">
        <v>4.1372494209979296</v>
      </c>
      <c r="N6" s="3">
        <v>4.2338911805973298</v>
      </c>
    </row>
    <row r="7" spans="1:14" x14ac:dyDescent="0.35">
      <c r="A7" s="2">
        <v>42047</v>
      </c>
      <c r="B7" s="3">
        <v>4.3060183475813298</v>
      </c>
      <c r="C7" s="3">
        <v>4.73605108357419</v>
      </c>
      <c r="D7" s="3">
        <v>2.8504473270792499</v>
      </c>
      <c r="E7" s="3">
        <v>2.89301565369886</v>
      </c>
      <c r="F7" s="3">
        <v>1.9636542293708601</v>
      </c>
      <c r="G7" s="3">
        <v>3.28869995940211</v>
      </c>
      <c r="H7" s="3">
        <v>4.0020120376995196</v>
      </c>
      <c r="I7" s="3">
        <v>1.2340319711148899</v>
      </c>
      <c r="J7" s="3">
        <v>2.1139464211048198</v>
      </c>
      <c r="K7" s="3">
        <v>3.2518730744428201</v>
      </c>
      <c r="L7" s="3">
        <v>2.8603404081536001</v>
      </c>
      <c r="M7" s="3">
        <v>3.7247728271654199</v>
      </c>
      <c r="N7" s="3">
        <v>3.6599093134681802</v>
      </c>
    </row>
    <row r="8" spans="1:14" x14ac:dyDescent="0.35">
      <c r="A8" s="2">
        <v>42075</v>
      </c>
      <c r="B8" s="3">
        <v>4.2926721885630599</v>
      </c>
      <c r="C8" s="3">
        <v>4.6405182319184703</v>
      </c>
      <c r="D8" s="3">
        <v>2.94071419321953</v>
      </c>
      <c r="E8" s="3">
        <v>2.6997800497332198</v>
      </c>
      <c r="F8" s="3">
        <v>1.8638299320349401</v>
      </c>
      <c r="G8" s="3">
        <v>3.1704429471804598</v>
      </c>
      <c r="H8" s="3">
        <v>4.0367201216201698</v>
      </c>
      <c r="I8" s="3">
        <v>1.2708333784672801</v>
      </c>
      <c r="J8" s="3">
        <v>2.1792172873698998</v>
      </c>
      <c r="K8" s="3">
        <v>3.2155466526648699</v>
      </c>
      <c r="L8" s="3">
        <v>2.6414386150607201</v>
      </c>
      <c r="M8" s="3">
        <v>3.6733443148452301</v>
      </c>
      <c r="N8" s="3">
        <v>3.3924766876322701</v>
      </c>
    </row>
    <row r="9" spans="1:14" x14ac:dyDescent="0.35">
      <c r="A9" s="2">
        <v>42104</v>
      </c>
      <c r="B9" s="3">
        <v>4.4310958647291399</v>
      </c>
      <c r="C9" s="3">
        <v>4.5410517069019702</v>
      </c>
      <c r="D9" s="3">
        <v>2.8222379352445599</v>
      </c>
      <c r="E9" s="3">
        <v>2.6063371978410701</v>
      </c>
      <c r="F9" s="3">
        <v>1.84121609437922</v>
      </c>
      <c r="G9" s="3">
        <v>3.0236438881932699</v>
      </c>
      <c r="H9" s="3">
        <v>3.89618276633237</v>
      </c>
      <c r="I9" s="3">
        <v>1.2530926120260599</v>
      </c>
      <c r="J9" s="3">
        <v>2.1471923019209802</v>
      </c>
      <c r="K9" s="3">
        <v>3.0849576101286602</v>
      </c>
      <c r="L9" s="3">
        <v>2.5831034787212399</v>
      </c>
      <c r="M9" s="3">
        <v>3.6075712904039001</v>
      </c>
      <c r="N9" s="3">
        <v>3.0821105234421502</v>
      </c>
    </row>
    <row r="10" spans="1:14" x14ac:dyDescent="0.35">
      <c r="A10" s="2">
        <v>42136</v>
      </c>
      <c r="B10" s="3">
        <v>4.47223037780544</v>
      </c>
      <c r="C10" s="3">
        <v>4.7300799844113701</v>
      </c>
      <c r="D10" s="3">
        <v>2.8847750565930199</v>
      </c>
      <c r="E10" s="3">
        <v>2.8891806397731199</v>
      </c>
      <c r="F10" s="3">
        <v>1.87476496463943</v>
      </c>
      <c r="G10" s="3">
        <v>3.1340234869459298</v>
      </c>
      <c r="H10" s="3">
        <v>3.8950972225601999</v>
      </c>
      <c r="I10" s="3">
        <v>1.2582518564695599</v>
      </c>
      <c r="J10" s="3">
        <v>2.16371706264299</v>
      </c>
      <c r="K10" s="3">
        <v>3.3005358734246402</v>
      </c>
      <c r="L10" s="3">
        <v>2.7599681596706001</v>
      </c>
      <c r="M10" s="3">
        <v>3.8864565328092602</v>
      </c>
      <c r="N10" s="3">
        <v>3.20666472353069</v>
      </c>
    </row>
    <row r="11" spans="1:14" x14ac:dyDescent="0.35">
      <c r="A11" s="2">
        <v>42167</v>
      </c>
      <c r="B11" s="3">
        <v>4.4610760635103199</v>
      </c>
      <c r="C11" s="3">
        <v>4.9094973594937397</v>
      </c>
      <c r="D11" s="3">
        <v>2.9567975774014599</v>
      </c>
      <c r="E11" s="3">
        <v>3.0107943646808799</v>
      </c>
      <c r="F11" s="3">
        <v>1.88186802131432</v>
      </c>
      <c r="G11" s="3">
        <v>3.1774357939092899</v>
      </c>
      <c r="H11" s="3">
        <v>4.0176739246803903</v>
      </c>
      <c r="I11" s="3">
        <v>1.25645393428369</v>
      </c>
      <c r="J11" s="3">
        <v>2.17634430099422</v>
      </c>
      <c r="K11" s="3">
        <v>3.3637895868183598</v>
      </c>
      <c r="L11" s="3">
        <v>2.9217944385362302</v>
      </c>
      <c r="M11" s="3">
        <v>3.9202496924816801</v>
      </c>
      <c r="N11" s="3">
        <v>3.30007642644915</v>
      </c>
    </row>
    <row r="12" spans="1:14" x14ac:dyDescent="0.35">
      <c r="A12" s="2">
        <v>42195</v>
      </c>
      <c r="B12" s="3">
        <v>4.7104570306395699</v>
      </c>
      <c r="C12" s="3">
        <v>4.9663562887948203</v>
      </c>
      <c r="D12" s="3">
        <v>3.04958986768268</v>
      </c>
      <c r="E12" s="3">
        <v>2.9998593647693701</v>
      </c>
      <c r="F12" s="3">
        <v>1.9819089937400201</v>
      </c>
      <c r="G12" s="3">
        <v>3.1847482100504099</v>
      </c>
      <c r="H12" s="3">
        <v>4.1361340750537998</v>
      </c>
      <c r="I12" s="3">
        <v>1.26815330981798</v>
      </c>
      <c r="J12" s="3">
        <v>2.1948353186870202</v>
      </c>
      <c r="K12" s="3">
        <v>3.37716442667806</v>
      </c>
      <c r="L12" s="3">
        <v>2.9206618986266299</v>
      </c>
      <c r="M12" s="3">
        <v>3.9618229023014102</v>
      </c>
      <c r="N12" s="3">
        <v>3.27861299320685</v>
      </c>
    </row>
    <row r="13" spans="1:14" x14ac:dyDescent="0.35">
      <c r="A13" s="2">
        <v>42228</v>
      </c>
      <c r="B13" s="3">
        <v>4.6950234324348701</v>
      </c>
      <c r="C13" s="3">
        <v>5.0911854219388202</v>
      </c>
      <c r="D13" s="3">
        <v>3.0974154064427699</v>
      </c>
      <c r="E13" s="3">
        <v>3.1280527376931602</v>
      </c>
      <c r="F13" s="3">
        <v>1.9018691110502</v>
      </c>
      <c r="G13" s="3">
        <v>3.1891900266983502</v>
      </c>
      <c r="H13" s="3">
        <v>4.1435751958732796</v>
      </c>
      <c r="I13" s="3">
        <v>1.28024209317249</v>
      </c>
      <c r="J13" s="3">
        <v>2.2158635185087201</v>
      </c>
      <c r="K13" s="3">
        <v>3.40657269552942</v>
      </c>
      <c r="L13" s="3">
        <v>3.1890304099202398</v>
      </c>
      <c r="M13" s="3">
        <v>4.0780583387632703</v>
      </c>
      <c r="N13" s="3">
        <v>3.1894344735164402</v>
      </c>
    </row>
    <row r="14" spans="1:14" x14ac:dyDescent="0.35">
      <c r="A14" s="2">
        <v>42258</v>
      </c>
      <c r="B14" s="3">
        <v>5.1486023360600504</v>
      </c>
      <c r="C14" s="3">
        <v>5.4458340373105303</v>
      </c>
      <c r="D14" s="3">
        <v>3.2570279026889501</v>
      </c>
      <c r="E14" s="3">
        <v>3.3728284632024499</v>
      </c>
      <c r="F14" s="3">
        <v>2.1527634328178298</v>
      </c>
      <c r="G14" s="3">
        <v>3.3507392668331399</v>
      </c>
      <c r="H14" s="3">
        <v>4.4886625599263104</v>
      </c>
      <c r="I14" s="3">
        <v>1.3494695638882701</v>
      </c>
      <c r="J14" s="3">
        <v>2.3678583434000999</v>
      </c>
      <c r="K14" s="3">
        <v>3.6971294280582501</v>
      </c>
      <c r="L14" s="3">
        <v>3.5050289078308299</v>
      </c>
      <c r="M14" s="3">
        <v>4.3310705810123702</v>
      </c>
      <c r="N14" s="3">
        <v>3.4114612262337598</v>
      </c>
    </row>
    <row r="15" spans="1:14" x14ac:dyDescent="0.35">
      <c r="A15" s="2">
        <v>42289</v>
      </c>
      <c r="B15" s="3">
        <v>5.2085097318845603</v>
      </c>
      <c r="C15" s="3">
        <v>5.1972899083033202</v>
      </c>
      <c r="D15" s="3">
        <v>3.1555999290923</v>
      </c>
      <c r="E15" s="3">
        <v>3.30291475040648</v>
      </c>
      <c r="F15" s="3">
        <v>2.1054083467551501</v>
      </c>
      <c r="G15" s="3">
        <v>3.3345320497720001</v>
      </c>
      <c r="H15" s="3">
        <v>4.2443844097229002</v>
      </c>
      <c r="I15" s="3">
        <v>1.3348308363347501</v>
      </c>
      <c r="J15" s="3">
        <v>2.3077658361239699</v>
      </c>
      <c r="K15" s="3">
        <v>3.5704794560930599</v>
      </c>
      <c r="L15" s="3">
        <v>3.4699156335775698</v>
      </c>
      <c r="M15" s="3">
        <v>4.3157433787836501</v>
      </c>
      <c r="N15" s="3">
        <v>3.5900814178923399</v>
      </c>
    </row>
    <row r="16" spans="1:14" x14ac:dyDescent="0.35">
      <c r="A16" s="2">
        <v>42320</v>
      </c>
      <c r="B16" s="3">
        <v>4.8868430490000501</v>
      </c>
      <c r="C16" s="3">
        <v>5.3394510805528501</v>
      </c>
      <c r="D16" s="3">
        <v>3.36910430218134</v>
      </c>
      <c r="E16" s="3">
        <v>3.0059657936835502</v>
      </c>
      <c r="F16" s="3">
        <v>2.0134088994557402</v>
      </c>
      <c r="G16" s="3">
        <v>3.2794668194629999</v>
      </c>
      <c r="H16" s="3">
        <v>4.3531171277062501</v>
      </c>
      <c r="I16" s="3">
        <v>1.29155331468339</v>
      </c>
      <c r="J16" s="3">
        <v>2.3071621284302601</v>
      </c>
      <c r="K16" s="3">
        <v>3.4705864265630502</v>
      </c>
      <c r="L16" s="3">
        <v>3.19385453837317</v>
      </c>
      <c r="M16" s="3">
        <v>4.23568802437656</v>
      </c>
      <c r="N16" s="3">
        <v>3.6841577044922702</v>
      </c>
    </row>
    <row r="17" spans="1:14" x14ac:dyDescent="0.35">
      <c r="A17" s="2">
        <v>42349</v>
      </c>
      <c r="B17" s="3">
        <v>4.8069018589791899</v>
      </c>
      <c r="C17" s="3">
        <v>5.4070191142767099</v>
      </c>
      <c r="D17" s="3">
        <v>3.4645427904955</v>
      </c>
      <c r="E17" s="3">
        <v>3.14603142088753</v>
      </c>
      <c r="F17" s="3">
        <v>2.0773737355173498</v>
      </c>
      <c r="G17" s="3">
        <v>3.38242276260618</v>
      </c>
      <c r="H17" s="3">
        <v>4.4715631538906804</v>
      </c>
      <c r="I17" s="3">
        <v>1.31058183502697</v>
      </c>
      <c r="J17" s="3">
        <v>2.3410329467533502</v>
      </c>
      <c r="K17" s="3">
        <v>3.66685130327929</v>
      </c>
      <c r="L17" s="3">
        <v>3.3703178124924</v>
      </c>
      <c r="M17" s="3">
        <v>4.4659113915458004</v>
      </c>
      <c r="N17" s="3">
        <v>3.8695717516854402</v>
      </c>
    </row>
    <row r="18" spans="1:14" x14ac:dyDescent="0.35">
      <c r="A18" s="2">
        <v>42381</v>
      </c>
      <c r="B18" s="3">
        <v>4.9098320546471097</v>
      </c>
      <c r="C18" s="3">
        <v>5.53075056602282</v>
      </c>
      <c r="D18" s="3">
        <v>3.5493502970217001</v>
      </c>
      <c r="E18" s="3">
        <v>3.2718013062440199</v>
      </c>
      <c r="F18" s="3">
        <v>2.3247078516251301</v>
      </c>
      <c r="G18" s="3">
        <v>3.4684905595885702</v>
      </c>
      <c r="H18" s="3">
        <v>4.5537651040740297</v>
      </c>
      <c r="I18" s="3">
        <v>1.33804416852863</v>
      </c>
      <c r="J18" s="3">
        <v>2.4474811579966298</v>
      </c>
      <c r="K18" s="3">
        <v>3.8408246594228501</v>
      </c>
      <c r="L18" s="3">
        <v>3.2733706779476099</v>
      </c>
      <c r="M18" s="3">
        <v>4.5770200698241696</v>
      </c>
      <c r="N18" s="3">
        <v>4.1286902521182496</v>
      </c>
    </row>
    <row r="19" spans="1:14" x14ac:dyDescent="0.35">
      <c r="A19" s="2">
        <v>42412</v>
      </c>
      <c r="B19" s="3">
        <v>5.0512043242151101</v>
      </c>
      <c r="C19" s="3">
        <v>5.3109486475608003</v>
      </c>
      <c r="D19" s="3">
        <v>3.4597387151897201</v>
      </c>
      <c r="E19" s="3">
        <v>3.6638117568484101</v>
      </c>
      <c r="F19" s="3">
        <v>2.72611818648658</v>
      </c>
      <c r="G19" s="3">
        <v>3.6480781466079</v>
      </c>
      <c r="H19" s="3">
        <v>4.6594002385105302</v>
      </c>
      <c r="I19" s="3">
        <v>1.4698693982285</v>
      </c>
      <c r="J19" s="3">
        <v>2.4518202590146898</v>
      </c>
      <c r="K19" s="3">
        <v>4.1248390572961497</v>
      </c>
      <c r="L19" s="3">
        <v>3.6652251326370102</v>
      </c>
      <c r="M19" s="3">
        <v>4.6641846002276797</v>
      </c>
      <c r="N19" s="3">
        <v>4.8165483613289597</v>
      </c>
    </row>
    <row r="20" spans="1:14" x14ac:dyDescent="0.35">
      <c r="A20" s="2">
        <v>42440</v>
      </c>
      <c r="B20" s="3">
        <v>4.6904502486222102</v>
      </c>
      <c r="C20" s="3">
        <v>4.7275102218109</v>
      </c>
      <c r="D20" s="3">
        <v>3.1324792774025201</v>
      </c>
      <c r="E20" s="3">
        <v>3.3352913116052298</v>
      </c>
      <c r="F20" s="3">
        <v>2.3669027526949198</v>
      </c>
      <c r="G20" s="3">
        <v>3.4683861172342501</v>
      </c>
      <c r="H20" s="3">
        <v>4.3718682996087699</v>
      </c>
      <c r="I20" s="3">
        <v>1.36792810606793</v>
      </c>
      <c r="J20" s="3">
        <v>2.4751977345461702</v>
      </c>
      <c r="K20" s="3">
        <v>3.6914779752048501</v>
      </c>
      <c r="L20" s="3">
        <v>3.3070368016114999</v>
      </c>
      <c r="M20" s="3">
        <v>4.2408242350116101</v>
      </c>
      <c r="N20" s="3">
        <v>4.1769494941506302</v>
      </c>
    </row>
    <row r="21" spans="1:14" x14ac:dyDescent="0.35">
      <c r="A21" s="2">
        <v>42472</v>
      </c>
      <c r="B21" s="3">
        <v>4.6167249836974902</v>
      </c>
      <c r="C21" s="3">
        <v>4.9415118197533197</v>
      </c>
      <c r="D21" s="3">
        <v>3.1337251405833699</v>
      </c>
      <c r="E21" s="3">
        <v>3.3682222131274702</v>
      </c>
      <c r="F21" s="3">
        <v>2.4828790280349402</v>
      </c>
      <c r="G21" s="3">
        <v>3.5538783033735402</v>
      </c>
      <c r="H21" s="3">
        <v>4.3201716997014099</v>
      </c>
      <c r="I21" s="3">
        <v>1.33281108795883</v>
      </c>
      <c r="J21" s="3">
        <v>2.2917987413403398</v>
      </c>
      <c r="K21" s="3">
        <v>3.7986726591424</v>
      </c>
      <c r="L21" s="3">
        <v>3.3323474603877501</v>
      </c>
      <c r="M21" s="3">
        <v>4.3891585011893399</v>
      </c>
      <c r="N21" s="3">
        <v>4.6087874796832304</v>
      </c>
    </row>
    <row r="22" spans="1:14" x14ac:dyDescent="0.35">
      <c r="A22" s="2">
        <v>42502</v>
      </c>
      <c r="B22" s="3">
        <v>4.4854905719223197</v>
      </c>
      <c r="C22" s="3">
        <v>4.5726198079845801</v>
      </c>
      <c r="D22" s="3">
        <v>3.1000015858452201</v>
      </c>
      <c r="E22" s="3">
        <v>3.3729100454880698</v>
      </c>
      <c r="F22" s="3">
        <v>2.3999232849791001</v>
      </c>
      <c r="G22" s="3">
        <v>3.5591911160683898</v>
      </c>
      <c r="H22" s="3">
        <v>4.3911687352323199</v>
      </c>
      <c r="I22" s="3">
        <v>1.3945381654479201</v>
      </c>
      <c r="J22" s="3">
        <v>2.2927014117324598</v>
      </c>
      <c r="K22" s="3">
        <v>3.82463123617742</v>
      </c>
      <c r="L22" s="3">
        <v>3.4353217483421301</v>
      </c>
      <c r="M22" s="3">
        <v>4.4842517374138504</v>
      </c>
      <c r="N22" s="3">
        <v>4.5488721982325897</v>
      </c>
    </row>
    <row r="23" spans="1:14" x14ac:dyDescent="0.35">
      <c r="A23" s="2">
        <v>42531</v>
      </c>
      <c r="B23" s="3">
        <v>4.3649597620195904</v>
      </c>
      <c r="C23" s="3">
        <v>4.6091748829277304</v>
      </c>
      <c r="D23" s="3">
        <v>3.0661596082904099</v>
      </c>
      <c r="E23" s="3">
        <v>3.4186106729555998</v>
      </c>
      <c r="F23" s="3">
        <v>2.3792828658984901</v>
      </c>
      <c r="G23" s="3">
        <v>3.5485109459125201</v>
      </c>
      <c r="H23" s="3">
        <v>4.3872951075890096</v>
      </c>
      <c r="I23" s="3">
        <v>1.3621594770997001</v>
      </c>
      <c r="J23" s="3">
        <v>2.2771095330445799</v>
      </c>
      <c r="K23" s="3">
        <v>3.8509698530239</v>
      </c>
      <c r="L23" s="3">
        <v>3.2714917012433</v>
      </c>
      <c r="M23" s="3">
        <v>4.5578898164159503</v>
      </c>
      <c r="N23" s="3">
        <v>4.7878873173571899</v>
      </c>
    </row>
    <row r="24" spans="1:14" x14ac:dyDescent="0.35">
      <c r="A24" s="2">
        <v>42563</v>
      </c>
      <c r="B24" s="3">
        <v>4.27770230838793</v>
      </c>
      <c r="C24" s="3">
        <v>4.5871612476970203</v>
      </c>
      <c r="D24" s="3">
        <v>2.99857484681861</v>
      </c>
      <c r="E24" s="3">
        <v>3.3869211799021901</v>
      </c>
      <c r="F24" s="3">
        <v>2.44915865740849</v>
      </c>
      <c r="G24" s="3">
        <v>3.5131981922684301</v>
      </c>
      <c r="H24" s="3">
        <v>4.1638586289771604</v>
      </c>
      <c r="I24" s="3">
        <v>1.3197119222210101</v>
      </c>
      <c r="J24" s="3">
        <v>2.2264242589374499</v>
      </c>
      <c r="K24" s="3">
        <v>3.82090328841754</v>
      </c>
      <c r="L24" s="3">
        <v>3.2677903521848699</v>
      </c>
      <c r="M24" s="3">
        <v>4.40832906004003</v>
      </c>
      <c r="N24" s="3">
        <v>4.7893877677969199</v>
      </c>
    </row>
    <row r="25" spans="1:14" x14ac:dyDescent="0.35">
      <c r="A25" s="2">
        <v>42594</v>
      </c>
      <c r="B25" s="3">
        <v>4.1361523454272398</v>
      </c>
      <c r="C25" s="3">
        <v>4.4504673193508504</v>
      </c>
      <c r="D25" s="3">
        <v>2.94639855111516</v>
      </c>
      <c r="E25" s="3">
        <v>3.1443917950087399</v>
      </c>
      <c r="F25" s="3">
        <v>2.3806143355878402</v>
      </c>
      <c r="G25" s="3">
        <v>3.4129779845178798</v>
      </c>
      <c r="H25" s="3">
        <v>4.0608585763910101</v>
      </c>
      <c r="I25" s="3">
        <v>1.2755320378691899</v>
      </c>
      <c r="J25" s="3">
        <v>2.2034166415504299</v>
      </c>
      <c r="K25" s="3">
        <v>3.6836035694895202</v>
      </c>
      <c r="L25" s="3">
        <v>3.1389651035289901</v>
      </c>
      <c r="M25" s="3">
        <v>4.2217443683621596</v>
      </c>
      <c r="N25" s="3">
        <v>4.6854083741835204</v>
      </c>
    </row>
    <row r="26" spans="1:14" x14ac:dyDescent="0.35">
      <c r="A26" s="2">
        <v>42625</v>
      </c>
      <c r="B26" s="3">
        <v>4.2668110343359897</v>
      </c>
      <c r="C26" s="3">
        <v>4.73146280004429</v>
      </c>
      <c r="D26" s="3">
        <v>2.9757079679051901</v>
      </c>
      <c r="E26" s="3">
        <v>3.2295061374461298</v>
      </c>
      <c r="F26" s="3">
        <v>2.3851232996241798</v>
      </c>
      <c r="G26" s="3">
        <v>3.4714823188514599</v>
      </c>
      <c r="H26" s="3">
        <v>4.2011326817779304</v>
      </c>
      <c r="I26" s="3">
        <v>1.29385701303607</v>
      </c>
      <c r="J26" s="3">
        <v>2.23147815257003</v>
      </c>
      <c r="K26" s="3">
        <v>3.7235802307371801</v>
      </c>
      <c r="L26" s="3">
        <v>3.1870870304777301</v>
      </c>
      <c r="M26" s="3">
        <v>4.25155421865266</v>
      </c>
      <c r="N26" s="3">
        <v>4.8130956387015997</v>
      </c>
    </row>
    <row r="27" spans="1:14" x14ac:dyDescent="0.35">
      <c r="A27" s="2">
        <v>42655</v>
      </c>
      <c r="B27" s="3">
        <v>4.4836956540761799</v>
      </c>
      <c r="C27" s="3">
        <v>4.51030135442244</v>
      </c>
      <c r="D27" s="3">
        <v>2.9562310196528401</v>
      </c>
      <c r="E27" s="3">
        <v>3.15511965368567</v>
      </c>
      <c r="F27" s="3">
        <v>2.3749958723787801</v>
      </c>
      <c r="G27" s="3">
        <v>3.55191292147116</v>
      </c>
      <c r="H27" s="3">
        <v>4.2504720717729496</v>
      </c>
      <c r="I27" s="3">
        <v>1.2770977292594401</v>
      </c>
      <c r="J27" s="3">
        <v>2.25180162340357</v>
      </c>
      <c r="K27" s="3">
        <v>3.75778056404581</v>
      </c>
      <c r="L27" s="3">
        <v>3.1209889009604899</v>
      </c>
      <c r="M27" s="3">
        <v>4.1635413791812104</v>
      </c>
      <c r="N27" s="3">
        <v>4.9689588145344503</v>
      </c>
    </row>
    <row r="28" spans="1:14" x14ac:dyDescent="0.35">
      <c r="A28" s="2">
        <v>42685</v>
      </c>
      <c r="B28" s="3">
        <v>4.7555114686851798</v>
      </c>
      <c r="C28" s="3">
        <v>4.5986708853671896</v>
      </c>
      <c r="D28" s="3">
        <v>2.9679249249367698</v>
      </c>
      <c r="E28" s="3">
        <v>3.1771732656000302</v>
      </c>
      <c r="F28" s="3">
        <v>2.3274291750015599</v>
      </c>
      <c r="G28" s="3">
        <v>3.6313695520579898</v>
      </c>
      <c r="H28" s="3">
        <v>4.44036754672159</v>
      </c>
      <c r="I28" s="3">
        <v>1.3095585627694699</v>
      </c>
      <c r="J28" s="3">
        <v>2.2389148105699599</v>
      </c>
      <c r="K28" s="3">
        <v>3.7385914600099999</v>
      </c>
      <c r="L28" s="3">
        <v>3.1886850683928398</v>
      </c>
      <c r="M28" s="3">
        <v>4.1067813234676098</v>
      </c>
      <c r="N28" s="3">
        <v>4.7824175439346499</v>
      </c>
    </row>
    <row r="29" spans="1:14" x14ac:dyDescent="0.35">
      <c r="A29" s="2">
        <v>42716</v>
      </c>
      <c r="B29" s="3">
        <v>4.6234887787799099</v>
      </c>
      <c r="C29" s="3">
        <v>4.5320550131676001</v>
      </c>
      <c r="D29" s="3">
        <v>2.8396400940173701</v>
      </c>
      <c r="E29" s="3">
        <v>3.0388867876614198</v>
      </c>
      <c r="F29" s="3">
        <v>2.0960236045126601</v>
      </c>
      <c r="G29" s="3">
        <v>3.6224367614526001</v>
      </c>
      <c r="H29" s="3">
        <v>4.3685888539357096</v>
      </c>
      <c r="I29" s="3">
        <v>1.29314047494324</v>
      </c>
      <c r="J29" s="3">
        <v>2.1658023141604499</v>
      </c>
      <c r="K29" s="3">
        <v>3.5387040179798999</v>
      </c>
      <c r="L29" s="3">
        <v>3.04403707526347</v>
      </c>
      <c r="M29" s="3">
        <v>3.8738448576740199</v>
      </c>
      <c r="N29" s="3">
        <v>4.5059710203874603</v>
      </c>
    </row>
    <row r="30" spans="1:14" x14ac:dyDescent="0.35">
      <c r="A30" s="2">
        <v>42747</v>
      </c>
      <c r="B30" s="3">
        <v>4.5015770305971996</v>
      </c>
      <c r="C30" s="3">
        <v>4.44190146325057</v>
      </c>
      <c r="D30" s="3">
        <v>2.82610963098224</v>
      </c>
      <c r="E30" s="3">
        <v>2.9703423468455901</v>
      </c>
      <c r="F30" s="3">
        <v>2.1127311398809598</v>
      </c>
      <c r="G30" s="3">
        <v>3.4873622820030099</v>
      </c>
      <c r="H30" s="3">
        <v>4.23226149415959</v>
      </c>
      <c r="I30" s="3">
        <v>1.25807005435985</v>
      </c>
      <c r="J30" s="3">
        <v>2.1646706126538602</v>
      </c>
      <c r="K30" s="3">
        <v>3.4584997286559802</v>
      </c>
      <c r="L30" s="3">
        <v>2.9764685237938502</v>
      </c>
      <c r="M30" s="3">
        <v>3.9314042571119998</v>
      </c>
      <c r="N30" s="3">
        <v>4.3698554077323202</v>
      </c>
    </row>
    <row r="31" spans="1:14" x14ac:dyDescent="0.35">
      <c r="A31" s="2">
        <v>42776</v>
      </c>
      <c r="B31" s="3">
        <v>4.5066770999080497</v>
      </c>
      <c r="C31" s="3">
        <v>4.5227661126483003</v>
      </c>
      <c r="D31" s="3">
        <v>2.7980843190457798</v>
      </c>
      <c r="E31" s="3">
        <v>2.9746206237300399</v>
      </c>
      <c r="F31" s="3">
        <v>2.1241671633640098</v>
      </c>
      <c r="G31" s="3">
        <v>3.4192880236010801</v>
      </c>
      <c r="H31" s="3">
        <v>4.2569869973863996</v>
      </c>
      <c r="I31" s="3">
        <v>1.2402075972484099</v>
      </c>
      <c r="J31" s="3">
        <v>2.1411789885740502</v>
      </c>
      <c r="K31" s="3">
        <v>3.5044872333195398</v>
      </c>
      <c r="L31" s="3">
        <v>2.915858114188</v>
      </c>
      <c r="M31" s="3">
        <v>3.6679564289329898</v>
      </c>
      <c r="N31" s="3">
        <v>4.4459997597640504</v>
      </c>
    </row>
    <row r="32" spans="1:14" x14ac:dyDescent="0.35">
      <c r="A32" s="2">
        <v>42804</v>
      </c>
      <c r="B32" s="3">
        <v>4.5628965855188603</v>
      </c>
      <c r="C32" s="3">
        <v>4.5355825319113299</v>
      </c>
      <c r="D32" s="3">
        <v>2.9046325043350398</v>
      </c>
      <c r="E32" s="3">
        <v>2.9547148932438598</v>
      </c>
      <c r="F32" s="3">
        <v>2.1197184052445399</v>
      </c>
      <c r="G32" s="3">
        <v>3.34952494544337</v>
      </c>
      <c r="H32" s="3">
        <v>4.3278016601036997</v>
      </c>
      <c r="I32" s="3">
        <v>1.2149528090967501</v>
      </c>
      <c r="J32" s="3">
        <v>2.1010324022583902</v>
      </c>
      <c r="K32" s="3">
        <v>3.4274483038200101</v>
      </c>
      <c r="L32" s="3">
        <v>2.7703963195297798</v>
      </c>
      <c r="M32" s="3">
        <v>3.6302758418666201</v>
      </c>
      <c r="N32" s="3">
        <v>4.0675020700204296</v>
      </c>
    </row>
    <row r="33" spans="1:14" x14ac:dyDescent="0.35">
      <c r="A33" s="2">
        <v>42837</v>
      </c>
      <c r="B33" s="3">
        <v>4.5508925334230002</v>
      </c>
      <c r="C33" s="3">
        <v>4.4701872839538499</v>
      </c>
      <c r="D33" s="3">
        <v>2.9146788265497299</v>
      </c>
      <c r="E33" s="3">
        <v>2.9313895094584401</v>
      </c>
      <c r="F33" s="3">
        <v>2.2746130918821001</v>
      </c>
      <c r="G33" s="3">
        <v>3.4163551183181</v>
      </c>
      <c r="H33" s="3">
        <v>4.3286949935950103</v>
      </c>
      <c r="I33" s="3">
        <v>1.2252211505906001</v>
      </c>
      <c r="J33" s="3">
        <v>2.13588496407134</v>
      </c>
      <c r="K33" s="3">
        <v>3.3719077481634598</v>
      </c>
      <c r="L33" s="3">
        <v>2.7645296590855999</v>
      </c>
      <c r="M33" s="3">
        <v>3.6522905767017799</v>
      </c>
      <c r="N33" s="3">
        <v>4.0023595984299298</v>
      </c>
    </row>
    <row r="34" spans="1:14" x14ac:dyDescent="0.35">
      <c r="A34" s="2">
        <v>42867</v>
      </c>
      <c r="B34" s="3">
        <v>4.4497473643980401</v>
      </c>
      <c r="C34" s="3">
        <v>4.5611845843382604</v>
      </c>
      <c r="D34" s="3">
        <v>2.9531985318957101</v>
      </c>
      <c r="E34" s="3">
        <v>2.8700975950607299</v>
      </c>
      <c r="F34" s="3">
        <v>2.1557088412762999</v>
      </c>
      <c r="G34" s="3">
        <v>3.28749648857413</v>
      </c>
      <c r="H34" s="3">
        <v>4.2579926410826801</v>
      </c>
      <c r="I34" s="3">
        <v>1.1733264450546499</v>
      </c>
      <c r="J34" s="3">
        <v>2.1095299339430098</v>
      </c>
      <c r="K34" s="3">
        <v>3.1964611312576601</v>
      </c>
      <c r="L34" s="3">
        <v>2.6947020024736501</v>
      </c>
      <c r="M34" s="3">
        <v>3.5182825588212499</v>
      </c>
      <c r="N34" s="3">
        <v>3.7632082811986698</v>
      </c>
    </row>
    <row r="35" spans="1:14" x14ac:dyDescent="0.35">
      <c r="A35" s="2">
        <v>42898</v>
      </c>
      <c r="B35" s="3">
        <v>4.4759439897928797</v>
      </c>
      <c r="C35" s="3">
        <v>4.6948532657020898</v>
      </c>
      <c r="D35" s="3">
        <v>2.99892797441407</v>
      </c>
      <c r="E35" s="3">
        <v>2.9352132266606001</v>
      </c>
      <c r="F35" s="3">
        <v>2.1792410111878402</v>
      </c>
      <c r="G35" s="3">
        <v>3.3703563273145098</v>
      </c>
      <c r="H35" s="3">
        <v>4.2785505304721898</v>
      </c>
      <c r="I35" s="3">
        <v>1.17904692622709</v>
      </c>
      <c r="J35" s="3">
        <v>2.08860423283758</v>
      </c>
      <c r="K35" s="3">
        <v>3.30198921855182</v>
      </c>
      <c r="L35" s="3">
        <v>2.73753685398506</v>
      </c>
      <c r="M35" s="3">
        <v>3.5802821018086499</v>
      </c>
      <c r="N35" s="3">
        <v>3.7958286725726298</v>
      </c>
    </row>
    <row r="36" spans="1:14" x14ac:dyDescent="0.35">
      <c r="A36" s="2">
        <v>42928</v>
      </c>
      <c r="B36" s="3">
        <v>4.4475421017774996</v>
      </c>
      <c r="C36" s="3">
        <v>4.6589606364516101</v>
      </c>
      <c r="D36" s="3">
        <v>3.0506407774751998</v>
      </c>
      <c r="E36" s="3">
        <v>2.9713153129585002</v>
      </c>
      <c r="F36" s="3">
        <v>2.1632529810476702</v>
      </c>
      <c r="G36" s="3">
        <v>3.2636087499822102</v>
      </c>
      <c r="H36" s="3">
        <v>4.3050995209158298</v>
      </c>
      <c r="I36" s="3">
        <v>1.19010033836101</v>
      </c>
      <c r="J36" s="3">
        <v>2.10191059392973</v>
      </c>
      <c r="K36" s="3">
        <v>3.3342010417223</v>
      </c>
      <c r="L36" s="3">
        <v>2.79232169604881</v>
      </c>
      <c r="M36" s="3">
        <v>3.5135939206355902</v>
      </c>
      <c r="N36" s="3">
        <v>3.7599660774969101</v>
      </c>
    </row>
    <row r="37" spans="1:14" x14ac:dyDescent="0.35">
      <c r="A37" s="2">
        <v>42958</v>
      </c>
      <c r="B37" s="3">
        <v>4.3746201818481802</v>
      </c>
      <c r="C37" s="3">
        <v>4.6380719123600302</v>
      </c>
      <c r="D37" s="3">
        <v>3.0704819754264201</v>
      </c>
      <c r="E37" s="3">
        <v>3.1308945220073898</v>
      </c>
      <c r="F37" s="3">
        <v>2.1869646802361902</v>
      </c>
      <c r="G37" s="3">
        <v>3.3382492609488699</v>
      </c>
      <c r="H37" s="3">
        <v>4.3657053390213303</v>
      </c>
      <c r="I37" s="3">
        <v>1.18881283492331</v>
      </c>
      <c r="J37" s="3">
        <v>2.1152182596982101</v>
      </c>
      <c r="K37" s="3">
        <v>3.4446711197802</v>
      </c>
      <c r="L37" s="3">
        <v>2.8187921463375298</v>
      </c>
      <c r="M37" s="3">
        <v>3.77350324160059</v>
      </c>
      <c r="N37" s="3">
        <v>3.83046937246452</v>
      </c>
    </row>
    <row r="38" spans="1:14" x14ac:dyDescent="0.35">
      <c r="A38" s="2">
        <v>42990</v>
      </c>
      <c r="B38" s="3">
        <v>4.3847806494862001</v>
      </c>
      <c r="C38" s="3">
        <v>4.5570739503456004</v>
      </c>
      <c r="D38" s="3">
        <v>3.0850624680020302</v>
      </c>
      <c r="E38" s="3">
        <v>3.0462313116530302</v>
      </c>
      <c r="F38" s="3">
        <v>2.20506502832413</v>
      </c>
      <c r="G38" s="3">
        <v>3.2725334653617901</v>
      </c>
      <c r="H38" s="3">
        <v>4.3043397784271997</v>
      </c>
      <c r="I38" s="3">
        <v>1.1600160636697201</v>
      </c>
      <c r="J38" s="3">
        <v>2.0783545488784698</v>
      </c>
      <c r="K38" s="3">
        <v>3.3467164266955298</v>
      </c>
      <c r="L38" s="3">
        <v>2.8321003007763199</v>
      </c>
      <c r="M38" s="3">
        <v>3.7010111181162499</v>
      </c>
      <c r="N38" s="3">
        <v>3.7231159179670001</v>
      </c>
    </row>
    <row r="39" spans="1:14" x14ac:dyDescent="0.35">
      <c r="A39" s="2">
        <v>43020</v>
      </c>
      <c r="B39" s="3">
        <v>4.3723887880549697</v>
      </c>
      <c r="C39" s="3">
        <v>4.5604887493830999</v>
      </c>
      <c r="D39" s="3">
        <v>2.96468376358089</v>
      </c>
      <c r="E39" s="3">
        <v>2.95234341850959</v>
      </c>
      <c r="F39" s="3">
        <v>2.13438437934356</v>
      </c>
      <c r="G39" s="3">
        <v>3.22930414163066</v>
      </c>
      <c r="H39" s="3">
        <v>4.2584832437933997</v>
      </c>
      <c r="I39" s="3">
        <v>1.14710580284425</v>
      </c>
      <c r="J39" s="3">
        <v>2.04054722668306</v>
      </c>
      <c r="K39" s="3">
        <v>3.2870052484093799</v>
      </c>
      <c r="L39" s="3">
        <v>2.7653493866399099</v>
      </c>
      <c r="M39" s="3">
        <v>3.5518235580478499</v>
      </c>
      <c r="N39" s="3">
        <v>3.80606407368699</v>
      </c>
    </row>
    <row r="40" spans="1:14" x14ac:dyDescent="0.35">
      <c r="A40" s="2">
        <v>43049</v>
      </c>
      <c r="B40" s="3">
        <v>4.4607155755972903</v>
      </c>
      <c r="C40" s="3">
        <v>4.4140457730554798</v>
      </c>
      <c r="D40" s="3">
        <v>2.9111263206446698</v>
      </c>
      <c r="E40" s="3">
        <v>2.9204788304332499</v>
      </c>
      <c r="F40" s="3">
        <v>2.0383483458576102</v>
      </c>
      <c r="G40" s="3">
        <v>3.2885925121739299</v>
      </c>
      <c r="H40" s="3">
        <v>4.3445070054819199</v>
      </c>
      <c r="I40" s="3">
        <v>1.11365373427376</v>
      </c>
      <c r="J40" s="3">
        <v>2.0327167048612602</v>
      </c>
      <c r="K40" s="3">
        <v>3.3059796618769699</v>
      </c>
      <c r="L40" s="3">
        <v>2.8011573690836098</v>
      </c>
      <c r="M40" s="3">
        <v>3.6023419289012599</v>
      </c>
      <c r="N40" s="3">
        <v>3.8220699349343898</v>
      </c>
    </row>
    <row r="41" spans="1:14" x14ac:dyDescent="0.35">
      <c r="A41" s="2">
        <v>43081</v>
      </c>
      <c r="B41" s="3">
        <v>4.2755567828758796</v>
      </c>
      <c r="C41" s="3">
        <v>4.48513368942666</v>
      </c>
      <c r="D41" s="3">
        <v>2.9083710685836901</v>
      </c>
      <c r="E41" s="3">
        <v>2.8915202283261299</v>
      </c>
      <c r="F41" s="3">
        <v>2.0509324594954701</v>
      </c>
      <c r="G41" s="3">
        <v>3.2315624248409902</v>
      </c>
      <c r="H41" s="3">
        <v>4.3086708273110101</v>
      </c>
      <c r="I41" s="3">
        <v>1.10935392752133</v>
      </c>
      <c r="J41" s="3">
        <v>1.9637879621505101</v>
      </c>
      <c r="K41" s="3">
        <v>3.2530753928748899</v>
      </c>
      <c r="L41" s="3">
        <v>2.7991479447020802</v>
      </c>
      <c r="M41" s="3">
        <v>3.6586847469144201</v>
      </c>
      <c r="N41" s="3">
        <v>3.8300207272706999</v>
      </c>
    </row>
    <row r="42" spans="1:14" x14ac:dyDescent="0.35">
      <c r="A42" s="2">
        <v>43112</v>
      </c>
      <c r="B42" s="3">
        <v>4.3055583912259596</v>
      </c>
      <c r="C42" s="3">
        <v>4.4572809553015702</v>
      </c>
      <c r="D42" s="3">
        <v>2.8961856155567798</v>
      </c>
      <c r="E42" s="3">
        <v>2.8856312831675002</v>
      </c>
      <c r="F42" s="3">
        <v>1.99754769207599</v>
      </c>
      <c r="G42" s="3">
        <v>3.1654020784094099</v>
      </c>
      <c r="H42" s="3">
        <v>4.1375970516829996</v>
      </c>
      <c r="I42" s="3">
        <v>1.0454487627711899</v>
      </c>
      <c r="J42" s="3">
        <v>1.8900077420686301</v>
      </c>
      <c r="K42" s="3">
        <v>3.2126599284555502</v>
      </c>
      <c r="L42" s="3">
        <v>2.7895539118059101</v>
      </c>
      <c r="M42" s="3">
        <v>3.6464422555198501</v>
      </c>
      <c r="N42" s="3">
        <v>3.7559004832034302</v>
      </c>
    </row>
    <row r="43" spans="1:14" x14ac:dyDescent="0.35">
      <c r="A43" s="2">
        <v>43143</v>
      </c>
      <c r="B43" s="3">
        <v>4.5977476628842</v>
      </c>
      <c r="C43" s="3">
        <v>4.7180666667338196</v>
      </c>
      <c r="D43" s="3">
        <v>3.1526930148339898</v>
      </c>
      <c r="E43" s="3">
        <v>3.1571198532932399</v>
      </c>
      <c r="F43" s="3">
        <v>2.2017316506158102</v>
      </c>
      <c r="G43" s="3">
        <v>3.4117104782275498</v>
      </c>
      <c r="H43" s="3">
        <v>4.4783749300746898</v>
      </c>
      <c r="I43" s="3">
        <v>1.1077380771201799</v>
      </c>
      <c r="J43" s="3">
        <v>2.0124024042414899</v>
      </c>
      <c r="K43" s="3">
        <v>3.4690918273618401</v>
      </c>
      <c r="L43" s="3">
        <v>2.9781641178965201</v>
      </c>
      <c r="M43" s="3">
        <v>3.9769881022148401</v>
      </c>
      <c r="N43" s="3">
        <v>4.0027639945230602</v>
      </c>
    </row>
    <row r="44" spans="1:14" x14ac:dyDescent="0.35">
      <c r="A44" s="2">
        <v>43171</v>
      </c>
      <c r="B44" s="3">
        <v>4.1948813010746999</v>
      </c>
      <c r="C44" s="3">
        <v>4.6184056406642702</v>
      </c>
      <c r="D44" s="3">
        <v>3.1286345024276199</v>
      </c>
      <c r="E44" s="3">
        <v>3.1338583202327999</v>
      </c>
      <c r="F44" s="3">
        <v>2.2250724678373701</v>
      </c>
      <c r="G44" s="3">
        <v>3.4032783478709301</v>
      </c>
      <c r="H44" s="3">
        <v>4.4738647783436702</v>
      </c>
      <c r="I44" s="3">
        <v>1.02878619863448</v>
      </c>
      <c r="J44" s="3">
        <v>1.9452278761647099</v>
      </c>
      <c r="K44" s="3">
        <v>3.3813869819923501</v>
      </c>
      <c r="L44" s="3">
        <v>2.90135209492975</v>
      </c>
      <c r="M44" s="3">
        <v>3.8315313873475199</v>
      </c>
      <c r="N44" s="3">
        <v>4.0054228403945</v>
      </c>
    </row>
    <row r="45" spans="1:14" x14ac:dyDescent="0.35">
      <c r="A45" s="2">
        <v>43202</v>
      </c>
      <c r="B45" s="3">
        <v>4.27848442865659</v>
      </c>
      <c r="C45" s="3">
        <v>4.7865577071838601</v>
      </c>
      <c r="D45" s="3">
        <v>3.2171061387289601</v>
      </c>
      <c r="E45" s="3">
        <v>3.1902413718951399</v>
      </c>
      <c r="F45" s="3">
        <v>2.2713811155011001</v>
      </c>
      <c r="G45" s="3">
        <v>3.4870378450194801</v>
      </c>
      <c r="H45" s="3">
        <v>4.4191363897776297</v>
      </c>
      <c r="I45" s="3">
        <v>1.11386375699734</v>
      </c>
      <c r="J45" s="3">
        <v>2.0488368940152002</v>
      </c>
      <c r="K45" s="3">
        <v>3.3939512796889502</v>
      </c>
      <c r="L45" s="3">
        <v>2.9259319105355899</v>
      </c>
      <c r="M45" s="3">
        <v>4.1300716847845296</v>
      </c>
      <c r="N45" s="3">
        <v>3.9621843115870798</v>
      </c>
    </row>
    <row r="46" spans="1:14" x14ac:dyDescent="0.35">
      <c r="A46" s="2">
        <v>43231</v>
      </c>
      <c r="B46" s="3">
        <v>4.1689139682675904</v>
      </c>
      <c r="C46" s="3">
        <v>4.6041341656190999</v>
      </c>
      <c r="D46" s="3">
        <v>3.08208078040371</v>
      </c>
      <c r="E46" s="3">
        <v>3.09773286075758</v>
      </c>
      <c r="F46" s="3">
        <v>2.1931818030902201</v>
      </c>
      <c r="G46" s="3">
        <v>3.4215136055201101</v>
      </c>
      <c r="H46" s="3">
        <v>4.2620540999122003</v>
      </c>
      <c r="I46" s="3">
        <v>1.08179633413312</v>
      </c>
      <c r="J46" s="3">
        <v>2.0202760267077098</v>
      </c>
      <c r="K46" s="3">
        <v>3.2806644984856601</v>
      </c>
      <c r="L46" s="3">
        <v>2.9079412644047098</v>
      </c>
      <c r="M46" s="3">
        <v>3.9768049945508701</v>
      </c>
      <c r="N46" s="3">
        <v>3.8953853268645702</v>
      </c>
    </row>
    <row r="47" spans="1:14" x14ac:dyDescent="0.35">
      <c r="A47" s="2">
        <v>43263</v>
      </c>
      <c r="B47" s="3">
        <v>4.0193337192965402</v>
      </c>
      <c r="C47" s="3">
        <v>4.7344802984247396</v>
      </c>
      <c r="D47" s="3">
        <v>3.0575130260606702</v>
      </c>
      <c r="E47" s="3">
        <v>3.1295245681711799</v>
      </c>
      <c r="F47" s="3">
        <v>2.2213718470875299</v>
      </c>
      <c r="G47" s="3">
        <v>3.5346550528145801</v>
      </c>
      <c r="H47" s="3">
        <v>4.3400654353211099</v>
      </c>
      <c r="I47" s="3">
        <v>1.0505626902344101</v>
      </c>
      <c r="J47" s="3">
        <v>1.98861697701164</v>
      </c>
      <c r="K47" s="3">
        <v>3.3739620353905502</v>
      </c>
      <c r="L47" s="3">
        <v>2.8570534914578101</v>
      </c>
      <c r="M47" s="3">
        <v>4.0759374282261698</v>
      </c>
      <c r="N47" s="3">
        <v>4.3707221700011001</v>
      </c>
    </row>
    <row r="48" spans="1:14" x14ac:dyDescent="0.35">
      <c r="A48" s="2">
        <v>43293</v>
      </c>
      <c r="B48" s="3">
        <v>4.05457918190824</v>
      </c>
      <c r="C48" s="3">
        <v>4.5618781780435498</v>
      </c>
      <c r="D48" s="3">
        <v>3.02867918989392</v>
      </c>
      <c r="E48" s="3">
        <v>3.2245998207882201</v>
      </c>
      <c r="F48" s="3">
        <v>2.3275918762475398</v>
      </c>
      <c r="G48" s="3">
        <v>3.48526300917734</v>
      </c>
      <c r="H48" s="3">
        <v>4.4053868762342496</v>
      </c>
      <c r="I48" s="3">
        <v>1.03293612849679</v>
      </c>
      <c r="J48" s="3">
        <v>2.0037444218968399</v>
      </c>
      <c r="K48" s="3">
        <v>3.40644160833055</v>
      </c>
      <c r="L48" s="3">
        <v>2.94021251169297</v>
      </c>
      <c r="M48" s="3">
        <v>4.1871277792371799</v>
      </c>
      <c r="N48" s="3">
        <v>4.4833638765443302</v>
      </c>
    </row>
    <row r="49" spans="1:14" x14ac:dyDescent="0.35">
      <c r="A49" s="2">
        <v>43322</v>
      </c>
      <c r="B49" s="3">
        <v>4.0650993842197902</v>
      </c>
      <c r="C49" s="3">
        <v>4.59308548319681</v>
      </c>
      <c r="D49" s="3">
        <v>3.0843743354381399</v>
      </c>
      <c r="E49" s="3">
        <v>3.2519524927080199</v>
      </c>
      <c r="F49" s="3">
        <v>2.3291754142151602</v>
      </c>
      <c r="G49" s="3">
        <v>3.42229033877822</v>
      </c>
      <c r="H49" s="3">
        <v>4.4552285263663203</v>
      </c>
      <c r="I49" s="3">
        <v>1.07776980813142</v>
      </c>
      <c r="J49" s="3">
        <v>1.9964466556320399</v>
      </c>
      <c r="K49" s="3">
        <v>3.4452181008822902</v>
      </c>
      <c r="L49" s="3">
        <v>2.9040084032989202</v>
      </c>
      <c r="M49" s="3">
        <v>4.1003084781985502</v>
      </c>
      <c r="N49" s="3">
        <v>4.5769263603455999</v>
      </c>
    </row>
    <row r="50" spans="1:14" x14ac:dyDescent="0.35">
      <c r="A50" s="2">
        <v>43355</v>
      </c>
      <c r="B50" s="3">
        <v>3.9848955490065001</v>
      </c>
      <c r="C50" s="3">
        <v>4.7613456710671302</v>
      </c>
      <c r="D50" s="3">
        <v>3.17749368484799</v>
      </c>
      <c r="E50" s="3">
        <v>3.3517188043433102</v>
      </c>
      <c r="F50" s="3">
        <v>2.3753577567506099</v>
      </c>
      <c r="G50" s="3">
        <v>3.4229832334738499</v>
      </c>
      <c r="H50" s="3">
        <v>4.6360406456280101</v>
      </c>
      <c r="I50" s="3">
        <v>1.0778337017481401</v>
      </c>
      <c r="J50" s="3">
        <v>1.96916360947253</v>
      </c>
      <c r="K50" s="3">
        <v>3.5058056118064198</v>
      </c>
      <c r="L50" s="3">
        <v>3.0465429840491098</v>
      </c>
      <c r="M50" s="3">
        <v>4.1160690038663699</v>
      </c>
      <c r="N50" s="3">
        <v>4.6179041962571503</v>
      </c>
    </row>
    <row r="51" spans="1:14" x14ac:dyDescent="0.35">
      <c r="A51" s="2">
        <v>43385</v>
      </c>
      <c r="B51" s="3">
        <v>4.2311292873705399</v>
      </c>
      <c r="C51" s="3">
        <v>5.0242620473303496</v>
      </c>
      <c r="D51" s="3">
        <v>3.3345056375582698</v>
      </c>
      <c r="E51" s="3">
        <v>3.54638743823307</v>
      </c>
      <c r="F51" s="3">
        <v>2.3726804706326998</v>
      </c>
      <c r="G51" s="3">
        <v>3.6320522222950702</v>
      </c>
      <c r="H51" s="3">
        <v>4.8552155095369098</v>
      </c>
      <c r="I51" s="3">
        <v>1.1354286671092999</v>
      </c>
      <c r="J51" s="3">
        <v>2.0668428899043101</v>
      </c>
      <c r="K51" s="3">
        <v>3.7063942331456698</v>
      </c>
      <c r="L51" s="3">
        <v>3.2226147030557</v>
      </c>
      <c r="M51" s="3">
        <v>4.31993114086404</v>
      </c>
      <c r="N51" s="3">
        <v>5.0451618564659402</v>
      </c>
    </row>
    <row r="52" spans="1:14" x14ac:dyDescent="0.35">
      <c r="A52" s="2">
        <v>43416</v>
      </c>
      <c r="B52" s="3">
        <v>4.1493683416247702</v>
      </c>
      <c r="C52" s="3">
        <v>5.0444618881967997</v>
      </c>
      <c r="D52" s="3">
        <v>3.4001439585164901</v>
      </c>
      <c r="E52" s="3">
        <v>3.65173122836701</v>
      </c>
      <c r="F52" s="3">
        <v>2.4336743655913602</v>
      </c>
      <c r="G52" s="3">
        <v>3.5368165220922201</v>
      </c>
      <c r="H52" s="3">
        <v>4.8881279839942096</v>
      </c>
      <c r="I52" s="3">
        <v>1.2075895889892601</v>
      </c>
      <c r="J52" s="3">
        <v>2.1030566258914298</v>
      </c>
      <c r="K52" s="3">
        <v>3.74318186667869</v>
      </c>
      <c r="L52" s="3">
        <v>3.1984923607206701</v>
      </c>
      <c r="M52" s="3">
        <v>4.4261383130021601</v>
      </c>
      <c r="N52" s="3">
        <v>5.1302665179704396</v>
      </c>
    </row>
    <row r="53" spans="1:14" x14ac:dyDescent="0.35">
      <c r="A53" s="2">
        <v>43446</v>
      </c>
      <c r="B53" s="3">
        <v>4.1744194340663796</v>
      </c>
      <c r="C53" s="3">
        <v>5.3211091852444703</v>
      </c>
      <c r="D53" s="3">
        <v>3.4859823047718499</v>
      </c>
      <c r="E53" s="3">
        <v>3.8010292071556102</v>
      </c>
      <c r="F53" s="3">
        <v>2.5431472749531898</v>
      </c>
      <c r="G53" s="3">
        <v>3.5740665295868199</v>
      </c>
      <c r="H53" s="3">
        <v>5.0810556045977</v>
      </c>
      <c r="I53" s="3">
        <v>1.23595496971316</v>
      </c>
      <c r="J53" s="3">
        <v>2.1809201423975799</v>
      </c>
      <c r="K53" s="3">
        <v>3.8581683664088802</v>
      </c>
      <c r="L53" s="3">
        <v>3.3139585926225301</v>
      </c>
      <c r="M53" s="3">
        <v>4.4971003522139004</v>
      </c>
      <c r="N53" s="3">
        <v>5.2568666184254003</v>
      </c>
    </row>
    <row r="54" spans="1:14" x14ac:dyDescent="0.35">
      <c r="A54" s="2">
        <v>43476</v>
      </c>
      <c r="B54" s="3">
        <v>4.1042452683789596</v>
      </c>
      <c r="C54" s="3">
        <v>5.1998373835704301</v>
      </c>
      <c r="D54" s="3">
        <v>3.4558842174348001</v>
      </c>
      <c r="E54" s="3">
        <v>3.82866141842785</v>
      </c>
      <c r="F54" s="3">
        <v>2.6915453504690499</v>
      </c>
      <c r="G54" s="3">
        <v>3.53945959907157</v>
      </c>
      <c r="H54" s="3">
        <v>5.17625245358321</v>
      </c>
      <c r="I54" s="3">
        <v>1.2689362360521601</v>
      </c>
      <c r="J54" s="3">
        <v>2.24375147571903</v>
      </c>
      <c r="K54" s="3">
        <v>3.9506837853383598</v>
      </c>
      <c r="L54" s="3">
        <v>3.3843752777250198</v>
      </c>
      <c r="M54" s="3">
        <v>4.5130918265105899</v>
      </c>
      <c r="N54" s="3">
        <v>5.17574795645191</v>
      </c>
    </row>
    <row r="55" spans="1:14" x14ac:dyDescent="0.35">
      <c r="A55" s="2">
        <v>43508</v>
      </c>
      <c r="B55" s="3">
        <v>3.9870515645713902</v>
      </c>
      <c r="C55" s="3">
        <v>4.9564504885045304</v>
      </c>
      <c r="D55" s="3">
        <v>3.32262525725071</v>
      </c>
      <c r="E55" s="3">
        <v>3.7330560410591</v>
      </c>
      <c r="F55" s="3">
        <v>2.62837629983161</v>
      </c>
      <c r="G55" s="3">
        <v>3.4347187298332398</v>
      </c>
      <c r="H55" s="3">
        <v>5.00679854840359</v>
      </c>
      <c r="I55" s="3">
        <v>1.20631062821891</v>
      </c>
      <c r="J55" s="3">
        <v>2.1376027073770199</v>
      </c>
      <c r="K55" s="3">
        <v>3.7792455343582398</v>
      </c>
      <c r="L55" s="3">
        <v>3.1698985845104901</v>
      </c>
      <c r="M55" s="3">
        <v>4.2348340752739597</v>
      </c>
      <c r="N55" s="3">
        <v>5.0111198765370002</v>
      </c>
    </row>
    <row r="56" spans="1:14" x14ac:dyDescent="0.35">
      <c r="A56" s="2">
        <v>43536</v>
      </c>
      <c r="B56" s="3">
        <v>3.8998638284088298</v>
      </c>
      <c r="C56" s="3">
        <v>4.9635050561062304</v>
      </c>
      <c r="D56" s="3">
        <v>3.2655129129495002</v>
      </c>
      <c r="E56" s="3">
        <v>3.6183333631037602</v>
      </c>
      <c r="F56" s="3">
        <v>2.56750804913802</v>
      </c>
      <c r="G56" s="3">
        <v>3.3756094064826301</v>
      </c>
      <c r="H56" s="3">
        <v>4.9861226958909404</v>
      </c>
      <c r="I56" s="3">
        <v>1.16417257131128</v>
      </c>
      <c r="J56" s="3">
        <v>2.1077870467166302</v>
      </c>
      <c r="K56" s="3">
        <v>3.63591596145839</v>
      </c>
      <c r="L56" s="3">
        <v>3.1237136653892601</v>
      </c>
      <c r="M56" s="3">
        <v>4.1858085567998904</v>
      </c>
      <c r="N56" s="3">
        <v>4.8081995080653597</v>
      </c>
    </row>
    <row r="57" spans="1:14" x14ac:dyDescent="0.35">
      <c r="A57" s="2">
        <v>43567</v>
      </c>
      <c r="B57" s="3">
        <v>3.7909799842309302</v>
      </c>
      <c r="C57" s="3">
        <v>4.8911271202886502</v>
      </c>
      <c r="D57" s="3">
        <v>3.19934838128118</v>
      </c>
      <c r="E57" s="3">
        <v>3.4773489009357501</v>
      </c>
      <c r="F57" s="3">
        <v>2.58356196883387</v>
      </c>
      <c r="G57" s="3">
        <v>3.2744659340115398</v>
      </c>
      <c r="H57" s="3">
        <v>4.8161906510495696</v>
      </c>
      <c r="I57" s="3">
        <v>1.10470758827079</v>
      </c>
      <c r="J57" s="3">
        <v>2.0414246710802102</v>
      </c>
      <c r="K57" s="3">
        <v>3.5067991867858499</v>
      </c>
      <c r="L57" s="3">
        <v>3.0013453018153902</v>
      </c>
      <c r="M57" s="3">
        <v>4.0303148529281101</v>
      </c>
      <c r="N57" s="3">
        <v>4.6057326704985204</v>
      </c>
    </row>
    <row r="58" spans="1:14" x14ac:dyDescent="0.35">
      <c r="A58" s="2">
        <v>43595</v>
      </c>
      <c r="B58" s="3">
        <v>3.6913386795783798</v>
      </c>
      <c r="C58" s="3">
        <v>4.8450417683979401</v>
      </c>
      <c r="D58" s="3">
        <v>3.27174218037938</v>
      </c>
      <c r="E58" s="3">
        <v>3.5093067866787901</v>
      </c>
      <c r="F58" s="3">
        <v>2.6736209541568798</v>
      </c>
      <c r="G58" s="3">
        <v>3.3447236971206502</v>
      </c>
      <c r="H58" s="3">
        <v>4.9873756788427803</v>
      </c>
      <c r="I58" s="3">
        <v>1.11979029855516</v>
      </c>
      <c r="J58" s="3">
        <v>2.0711479721314601</v>
      </c>
      <c r="K58" s="3">
        <v>3.6330443532710901</v>
      </c>
      <c r="L58" s="3">
        <v>3.05710668139763</v>
      </c>
      <c r="M58" s="3">
        <v>4.2065966612644496</v>
      </c>
      <c r="N58" s="3">
        <v>4.8655620489923299</v>
      </c>
    </row>
    <row r="59" spans="1:14" x14ac:dyDescent="0.35">
      <c r="A59" s="2">
        <v>43628</v>
      </c>
      <c r="B59" s="3">
        <v>3.6709294569991799</v>
      </c>
      <c r="C59" s="3">
        <v>4.6950602724896902</v>
      </c>
      <c r="D59" s="3">
        <v>3.3497326888908598</v>
      </c>
      <c r="E59" s="3">
        <v>3.5669456967905999</v>
      </c>
      <c r="F59" s="3">
        <v>2.6848196763982299</v>
      </c>
      <c r="G59" s="3">
        <v>3.2387809055285799</v>
      </c>
      <c r="H59" s="3">
        <v>4.8031943496564802</v>
      </c>
      <c r="I59" s="3">
        <v>1.1477948658686501</v>
      </c>
      <c r="J59" s="3">
        <v>2.0885706739324301</v>
      </c>
      <c r="K59" s="3">
        <v>3.6163737474231299</v>
      </c>
      <c r="L59" s="3">
        <v>3.0706730319830902</v>
      </c>
      <c r="M59" s="3">
        <v>4.2231834359297302</v>
      </c>
      <c r="N59" s="3">
        <v>5.0093256546526801</v>
      </c>
    </row>
    <row r="60" spans="1:14" x14ac:dyDescent="0.35">
      <c r="A60" s="2">
        <v>43658</v>
      </c>
      <c r="B60" s="3">
        <v>3.44144533023379</v>
      </c>
      <c r="C60" s="3">
        <v>4.6185706388543597</v>
      </c>
      <c r="D60" s="3">
        <v>3.3069269617591401</v>
      </c>
      <c r="E60" s="3">
        <v>3.4841178428112798</v>
      </c>
      <c r="F60" s="3">
        <v>2.6466236704392698</v>
      </c>
      <c r="G60" s="3">
        <v>3.2644182703941298</v>
      </c>
      <c r="H60" s="3">
        <v>4.7829795353770796</v>
      </c>
      <c r="I60" s="3">
        <v>1.07872667720576</v>
      </c>
      <c r="J60" s="3">
        <v>2.0064232188857201</v>
      </c>
      <c r="K60" s="3">
        <v>3.5184357764295102</v>
      </c>
      <c r="L60" s="3">
        <v>2.97536640737763</v>
      </c>
      <c r="M60" s="3">
        <v>4.1449582758927601</v>
      </c>
      <c r="N60" s="3">
        <v>4.6336357374854797</v>
      </c>
    </row>
    <row r="61" spans="1:14" x14ac:dyDescent="0.35">
      <c r="A61" s="2">
        <v>43689</v>
      </c>
      <c r="B61" s="3">
        <v>3.3985742390630098</v>
      </c>
      <c r="C61" s="3">
        <v>4.66775438142834</v>
      </c>
      <c r="D61" s="3">
        <v>3.4149240549519999</v>
      </c>
      <c r="E61" s="3">
        <v>3.6131374423225702</v>
      </c>
      <c r="F61" s="3">
        <v>2.7734368578250099</v>
      </c>
      <c r="G61" s="3">
        <v>3.26104749117227</v>
      </c>
      <c r="H61" s="3">
        <v>5.0970207409676398</v>
      </c>
      <c r="I61" s="3">
        <v>1.13913035055152</v>
      </c>
      <c r="J61" s="3">
        <v>2.10484737378252</v>
      </c>
      <c r="K61" s="3">
        <v>3.6982657199541098</v>
      </c>
      <c r="L61" s="3">
        <v>3.0424271655708801</v>
      </c>
      <c r="M61" s="3">
        <v>4.2803945115891997</v>
      </c>
      <c r="N61" s="3">
        <v>5.1071351981003197</v>
      </c>
    </row>
    <row r="62" spans="1:14" x14ac:dyDescent="0.35">
      <c r="A62" s="2">
        <v>43720</v>
      </c>
      <c r="B62" s="3">
        <v>3.3345865604843401</v>
      </c>
      <c r="C62" s="3">
        <v>4.4905628568814997</v>
      </c>
      <c r="D62" s="3">
        <v>3.3316638789203701</v>
      </c>
      <c r="E62" s="3">
        <v>3.3863589948668298</v>
      </c>
      <c r="F62" s="3">
        <v>2.6034489502520102</v>
      </c>
      <c r="G62" s="3">
        <v>3.1753166566631399</v>
      </c>
      <c r="H62" s="3">
        <v>4.9481430409714102</v>
      </c>
      <c r="I62" s="3">
        <v>1.0885135414263101</v>
      </c>
      <c r="J62" s="3">
        <v>2.0278524259877702</v>
      </c>
      <c r="K62" s="3">
        <v>3.4982334386740201</v>
      </c>
      <c r="L62" s="3">
        <v>2.8424833538008198</v>
      </c>
      <c r="M62" s="3">
        <v>3.9365924348502901</v>
      </c>
      <c r="N62" s="3">
        <v>4.7263587639604401</v>
      </c>
    </row>
    <row r="63" spans="1:14" x14ac:dyDescent="0.35">
      <c r="A63" s="2">
        <v>43749</v>
      </c>
      <c r="B63" s="3">
        <v>3.3390824189328598</v>
      </c>
      <c r="C63" s="3">
        <v>4.4830717731599803</v>
      </c>
      <c r="D63" s="3">
        <v>3.3674423388742301</v>
      </c>
      <c r="E63" s="3">
        <v>3.3776514959783301</v>
      </c>
      <c r="F63" s="3">
        <v>2.6150575010994199</v>
      </c>
      <c r="G63" s="3">
        <v>3.21834761065463</v>
      </c>
      <c r="H63" s="3">
        <v>4.9170051356384201</v>
      </c>
      <c r="I63" s="3">
        <v>1.1053922401715699</v>
      </c>
      <c r="J63" s="3">
        <v>2.06478356400677</v>
      </c>
      <c r="K63" s="3">
        <v>3.5005709018433202</v>
      </c>
      <c r="L63" s="3">
        <v>2.7474171708908899</v>
      </c>
      <c r="M63" s="3">
        <v>3.8849020926026401</v>
      </c>
      <c r="N63" s="3">
        <v>4.7333996357680999</v>
      </c>
    </row>
    <row r="64" spans="1:14" x14ac:dyDescent="0.35">
      <c r="A64" s="2">
        <v>43781</v>
      </c>
      <c r="B64" s="3">
        <v>3.32866260511739</v>
      </c>
      <c r="C64" s="3">
        <v>4.3270311992541899</v>
      </c>
      <c r="D64" s="3">
        <v>3.2619463238923001</v>
      </c>
      <c r="E64" s="3">
        <v>3.1254610361564401</v>
      </c>
      <c r="F64" s="3">
        <v>2.4562073721559399</v>
      </c>
      <c r="G64" s="3">
        <v>3.1369466766954202</v>
      </c>
      <c r="H64" s="3">
        <v>4.7837513873263404</v>
      </c>
      <c r="I64" s="3">
        <v>1.06348706559016</v>
      </c>
      <c r="J64" s="3">
        <v>1.99747981052368</v>
      </c>
      <c r="K64" s="3">
        <v>3.3664356209164201</v>
      </c>
      <c r="L64" s="3">
        <v>2.6494804446671001</v>
      </c>
      <c r="M64" s="3">
        <v>3.6523664088622101</v>
      </c>
      <c r="N64" s="3">
        <v>4.4961970616393403</v>
      </c>
    </row>
    <row r="65" spans="1:14" x14ac:dyDescent="0.35">
      <c r="A65" s="2">
        <v>43811</v>
      </c>
      <c r="B65" s="3">
        <v>3.2555675272275799</v>
      </c>
      <c r="C65" s="3">
        <v>4.3187426300878</v>
      </c>
      <c r="D65" s="3">
        <v>3.2684881159185699</v>
      </c>
      <c r="E65" s="3">
        <v>3.1021827829589599</v>
      </c>
      <c r="F65" s="3">
        <v>2.4534306325100701</v>
      </c>
      <c r="G65" s="3">
        <v>3.1035384532313302</v>
      </c>
      <c r="H65" s="3">
        <v>4.7631173225023096</v>
      </c>
      <c r="I65" s="3">
        <v>1.06667356645282</v>
      </c>
      <c r="J65" s="3">
        <v>1.9604558526806699</v>
      </c>
      <c r="K65" s="3">
        <v>3.3962318281631401</v>
      </c>
      <c r="L65" s="3">
        <v>2.6340697777331799</v>
      </c>
      <c r="M65" s="3">
        <v>3.6495585873152199</v>
      </c>
      <c r="N65" s="3">
        <v>4.5294079194461396</v>
      </c>
    </row>
    <row r="66" spans="1:14" x14ac:dyDescent="0.35">
      <c r="A66" s="2">
        <v>43840</v>
      </c>
      <c r="B66" s="3">
        <v>3.1611583646166102</v>
      </c>
      <c r="C66" s="3">
        <v>4.1857438454449296</v>
      </c>
      <c r="D66" s="3">
        <v>3.2373381162813799</v>
      </c>
      <c r="E66" s="3">
        <v>3.05129721228659</v>
      </c>
      <c r="F66" s="3">
        <v>2.4297629493119701</v>
      </c>
      <c r="G66" s="3">
        <v>3.0373020959130801</v>
      </c>
      <c r="H66" s="3">
        <v>4.5751415440598997</v>
      </c>
      <c r="I66" s="3">
        <v>1.0223311522023499</v>
      </c>
      <c r="J66" s="3">
        <v>1.9179507097850701</v>
      </c>
      <c r="K66" s="3">
        <v>3.3267501324229198</v>
      </c>
      <c r="L66" s="3">
        <v>2.57652895081943</v>
      </c>
      <c r="M66" s="3">
        <v>3.58278924176226</v>
      </c>
      <c r="N66" s="3">
        <v>4.4275219148350704</v>
      </c>
    </row>
    <row r="67" spans="1:14" x14ac:dyDescent="0.35">
      <c r="A67" s="2">
        <v>43873</v>
      </c>
      <c r="B67" s="3">
        <v>3.0472752082791401</v>
      </c>
      <c r="C67" s="3">
        <v>4.10424807515213</v>
      </c>
      <c r="D67" s="3">
        <v>3.1958840210002202</v>
      </c>
      <c r="E67" s="3">
        <v>2.9935421454422899</v>
      </c>
      <c r="F67" s="3">
        <v>2.4481086373665999</v>
      </c>
      <c r="G67" s="3">
        <v>2.9394920976419598</v>
      </c>
      <c r="H67" s="3">
        <v>4.63012569041073</v>
      </c>
      <c r="I67" s="3">
        <v>0.96031306108396797</v>
      </c>
      <c r="J67" s="3">
        <v>1.86887240275904</v>
      </c>
      <c r="K67" s="3">
        <v>3.2828963598778498</v>
      </c>
      <c r="L67" s="3">
        <v>2.4646952156261901</v>
      </c>
      <c r="M67" s="3">
        <v>3.3996461498992199</v>
      </c>
      <c r="N67" s="3">
        <v>4.4232575141578501</v>
      </c>
    </row>
    <row r="68" spans="1:14" x14ac:dyDescent="0.35">
      <c r="A68" s="2">
        <v>43902</v>
      </c>
      <c r="B68" s="3">
        <v>3.4763309278719401</v>
      </c>
      <c r="C68" s="3">
        <v>5.4633689332184003</v>
      </c>
      <c r="D68" s="3">
        <v>4.6557911368952398</v>
      </c>
      <c r="E68" s="3">
        <v>4.4721778228945697</v>
      </c>
      <c r="F68" s="3">
        <v>3.1281787762960498</v>
      </c>
      <c r="G68" s="3">
        <v>3.8981770799863602</v>
      </c>
      <c r="H68" s="3">
        <v>6.7696936256728097</v>
      </c>
      <c r="I68" s="3">
        <v>1.2777574043283699</v>
      </c>
      <c r="J68" s="3">
        <v>2.55958609559482</v>
      </c>
      <c r="K68" s="3">
        <v>4.8453572062619497</v>
      </c>
      <c r="L68" s="3">
        <v>3.5943255762330901</v>
      </c>
      <c r="M68" s="3">
        <v>4.7677039955204901</v>
      </c>
      <c r="N68" s="3">
        <v>7.3421265969974803</v>
      </c>
    </row>
    <row r="69" spans="1:14" x14ac:dyDescent="0.35">
      <c r="A69" s="2">
        <v>43930</v>
      </c>
      <c r="B69" s="3">
        <v>2.9931535160139102</v>
      </c>
      <c r="C69" s="3">
        <v>4.6223914824358197</v>
      </c>
      <c r="D69" s="3">
        <v>4.0602260028667603</v>
      </c>
      <c r="E69" s="3">
        <v>3.5860512701863501</v>
      </c>
      <c r="F69" s="3">
        <v>2.9189127309020702</v>
      </c>
      <c r="G69" s="3">
        <v>3.40426873881295</v>
      </c>
      <c r="H69" s="3">
        <v>5.7695410662194604</v>
      </c>
      <c r="I69" s="3">
        <v>1.12674411293749</v>
      </c>
      <c r="J69" s="3">
        <v>2.2238056185049602</v>
      </c>
      <c r="K69" s="3">
        <v>3.9499382161254699</v>
      </c>
      <c r="L69" s="3">
        <v>2.8833964806586998</v>
      </c>
      <c r="M69" s="3">
        <v>3.6166805394342099</v>
      </c>
      <c r="N69" s="3">
        <v>5.8767282508131702</v>
      </c>
    </row>
    <row r="70" spans="1:14" x14ac:dyDescent="0.35">
      <c r="A70" s="2">
        <v>43963</v>
      </c>
      <c r="B70" s="3">
        <v>2.5813708728120099</v>
      </c>
      <c r="C70" s="3">
        <v>3.8324713173303899</v>
      </c>
      <c r="D70" s="3">
        <v>3.7500220975634102</v>
      </c>
      <c r="E70" s="3">
        <v>3.3385309902519902</v>
      </c>
      <c r="F70" s="3">
        <v>2.7725564565210399</v>
      </c>
      <c r="G70" s="3">
        <v>3.23840019287633</v>
      </c>
      <c r="H70" s="3">
        <v>4.5433708083942603</v>
      </c>
      <c r="I70" s="3">
        <v>1.00215527330954</v>
      </c>
      <c r="J70" s="3">
        <v>2.1142791351044101</v>
      </c>
      <c r="K70" s="3">
        <v>3.5442151218001299</v>
      </c>
      <c r="L70" s="3">
        <v>2.6250828517299398</v>
      </c>
      <c r="M70" s="3">
        <v>3.29561303207264</v>
      </c>
      <c r="N70" s="3">
        <v>4.9807819163519502</v>
      </c>
    </row>
    <row r="71" spans="1:14" x14ac:dyDescent="0.35">
      <c r="A71" s="2">
        <v>43994</v>
      </c>
      <c r="B71" s="3">
        <v>2.6142356262672002</v>
      </c>
      <c r="C71" s="3">
        <v>3.4665843381530701</v>
      </c>
      <c r="D71" s="3">
        <v>3.6056996241880102</v>
      </c>
      <c r="E71" s="3">
        <v>2.98053909761156</v>
      </c>
      <c r="F71" s="3">
        <v>2.5084552566885399</v>
      </c>
      <c r="G71" s="3">
        <v>3.1760184203072099</v>
      </c>
      <c r="H71" s="3">
        <v>4.1514367602815501</v>
      </c>
      <c r="I71" s="3">
        <v>0.93996093994668395</v>
      </c>
      <c r="J71" s="3">
        <v>1.98159846003012</v>
      </c>
      <c r="K71" s="3">
        <v>3.2225606486400502</v>
      </c>
      <c r="L71" s="3">
        <v>2.4650218087783902</v>
      </c>
      <c r="M71" s="3">
        <v>3.1295810307951299</v>
      </c>
      <c r="N71" s="3">
        <v>4.3719146224741996</v>
      </c>
    </row>
    <row r="72" spans="1:14" x14ac:dyDescent="0.35">
      <c r="A72" s="2">
        <v>44022</v>
      </c>
      <c r="B72" s="3">
        <v>2.4860179130343498</v>
      </c>
      <c r="C72" s="3">
        <v>3.4824551633595502</v>
      </c>
      <c r="D72" s="3">
        <v>3.51201113177813</v>
      </c>
      <c r="E72" s="3">
        <v>2.8530827759517101</v>
      </c>
      <c r="F72" s="3">
        <v>2.5422901201327202</v>
      </c>
      <c r="G72" s="3">
        <v>3.0151502831314998</v>
      </c>
      <c r="H72" s="3">
        <v>4.1467135356821396</v>
      </c>
      <c r="I72" s="3">
        <v>0.84060377160830302</v>
      </c>
      <c r="J72" s="3">
        <v>1.87128165780308</v>
      </c>
      <c r="K72" s="3">
        <v>3.1245149102504701</v>
      </c>
      <c r="L72" s="3">
        <v>2.3234543630800402</v>
      </c>
      <c r="M72" s="3">
        <v>2.9889025838514498</v>
      </c>
      <c r="N72" s="3">
        <v>4.3154285182551702</v>
      </c>
    </row>
    <row r="73" spans="1:14" x14ac:dyDescent="0.35">
      <c r="A73" s="2">
        <v>44055</v>
      </c>
      <c r="B73" s="3">
        <v>2.4439016823023798</v>
      </c>
      <c r="C73" s="3">
        <v>3.3217216892086001</v>
      </c>
      <c r="D73" s="3">
        <v>3.32781465605543</v>
      </c>
      <c r="E73" s="3">
        <v>2.7906793381685202</v>
      </c>
      <c r="F73" s="3">
        <v>2.41776614561208</v>
      </c>
      <c r="G73" s="3">
        <v>2.9222315294655599</v>
      </c>
      <c r="H73" s="3">
        <v>3.85941984419724</v>
      </c>
      <c r="I73" s="3">
        <v>0.81869595492104796</v>
      </c>
      <c r="J73" s="3">
        <v>1.7618639935992899</v>
      </c>
      <c r="K73" s="3">
        <v>3.0603227539354498</v>
      </c>
      <c r="L73" s="3">
        <v>2.3129572012185502</v>
      </c>
      <c r="M73" s="3">
        <v>2.9564198535231401</v>
      </c>
      <c r="N73" s="3">
        <v>3.8504752597523302</v>
      </c>
    </row>
    <row r="74" spans="1:14" x14ac:dyDescent="0.35">
      <c r="A74" s="2">
        <v>44085</v>
      </c>
      <c r="B74" s="3">
        <v>2.4228526464546301</v>
      </c>
      <c r="C74" s="3">
        <v>3.6144418922955999</v>
      </c>
      <c r="D74" s="3">
        <v>3.40981523896615</v>
      </c>
      <c r="E74" s="3">
        <v>2.79508690718946</v>
      </c>
      <c r="F74" s="3">
        <v>2.3622148596706101</v>
      </c>
      <c r="G74" s="3">
        <v>2.8991881825005801</v>
      </c>
      <c r="H74" s="3">
        <v>4.11042161433814</v>
      </c>
      <c r="I74" s="3">
        <v>0.82512987193250797</v>
      </c>
      <c r="J74" s="3">
        <v>1.7868549843007699</v>
      </c>
      <c r="K74" s="3">
        <v>3.1155917479686899</v>
      </c>
      <c r="L74" s="3">
        <v>2.3212251805638702</v>
      </c>
      <c r="M74" s="3">
        <v>2.9747423615353599</v>
      </c>
      <c r="N74" s="3">
        <v>4.02482703489546</v>
      </c>
    </row>
    <row r="75" spans="1:14" x14ac:dyDescent="0.35">
      <c r="A75" s="2">
        <v>44116</v>
      </c>
      <c r="B75" s="3">
        <v>2.34637373279039</v>
      </c>
      <c r="C75" s="3">
        <v>3.5404815811018602</v>
      </c>
      <c r="D75" s="3">
        <v>3.36135508717773</v>
      </c>
      <c r="E75" s="3">
        <v>2.7832577514764001</v>
      </c>
      <c r="F75" s="3">
        <v>2.3649216242697002</v>
      </c>
      <c r="G75" s="3">
        <v>2.90919364702241</v>
      </c>
      <c r="H75" s="3">
        <v>4.1883164424419901</v>
      </c>
      <c r="I75" s="3">
        <v>0.76016375862886298</v>
      </c>
      <c r="J75" s="3">
        <v>1.6915439668890799</v>
      </c>
      <c r="K75" s="3">
        <v>3.1679887921629799</v>
      </c>
      <c r="L75" s="3">
        <v>2.24816251178465</v>
      </c>
      <c r="M75" s="3">
        <v>2.9769766023728401</v>
      </c>
      <c r="N75" s="3">
        <v>4.0716618255418</v>
      </c>
    </row>
    <row r="76" spans="1:14" x14ac:dyDescent="0.35">
      <c r="A76" s="2">
        <v>44147</v>
      </c>
      <c r="B76" s="3">
        <v>2.3592386716817302</v>
      </c>
      <c r="C76" s="3">
        <v>3.5176788808670501</v>
      </c>
      <c r="D76" s="3">
        <v>3.3499439507951698</v>
      </c>
      <c r="E76" s="3">
        <v>2.8640423443232499</v>
      </c>
      <c r="F76" s="3">
        <v>2.2534141115319599</v>
      </c>
      <c r="G76" s="3">
        <v>2.8922006225528301</v>
      </c>
      <c r="H76" s="3">
        <v>4.0316135511128</v>
      </c>
      <c r="I76" s="3">
        <v>0.78320202040665599</v>
      </c>
      <c r="J76" s="3">
        <v>1.6958092623105601</v>
      </c>
      <c r="K76" s="3">
        <v>2.9749609855718702</v>
      </c>
      <c r="L76" s="3">
        <v>2.17647998881153</v>
      </c>
      <c r="M76" s="3">
        <v>3.04617824579445</v>
      </c>
      <c r="N76" s="3">
        <v>4.0277476298578003</v>
      </c>
    </row>
    <row r="77" spans="1:14" x14ac:dyDescent="0.35">
      <c r="A77" s="2">
        <v>44176</v>
      </c>
      <c r="B77" s="3">
        <v>2.3732908751519699</v>
      </c>
      <c r="C77" s="3">
        <v>3.5331016942892401</v>
      </c>
      <c r="D77" s="3">
        <v>3.1141176124538199</v>
      </c>
      <c r="E77" s="3">
        <v>2.8247533574273298</v>
      </c>
      <c r="F77" s="3">
        <v>2.1614297661869601</v>
      </c>
      <c r="G77" s="3">
        <v>2.91314693195398</v>
      </c>
      <c r="H77" s="3">
        <v>3.9136900213234198</v>
      </c>
      <c r="I77" s="3">
        <v>0.75304414393872598</v>
      </c>
      <c r="J77" s="3">
        <v>1.6406949921834499</v>
      </c>
      <c r="K77" s="3">
        <v>2.9414570230961399</v>
      </c>
      <c r="L77" s="3">
        <v>2.0782691238884201</v>
      </c>
      <c r="M77" s="3">
        <v>3.0653159166576698</v>
      </c>
      <c r="N77" s="3">
        <v>3.9945362949049001</v>
      </c>
    </row>
    <row r="78" spans="1:14" x14ac:dyDescent="0.35">
      <c r="A78" s="2">
        <v>44208</v>
      </c>
      <c r="B78" s="3">
        <v>2.4204867564322199</v>
      </c>
      <c r="C78" s="3">
        <v>3.5347035333689099</v>
      </c>
      <c r="D78" s="3">
        <v>3.0252407647467301</v>
      </c>
      <c r="E78" s="3">
        <v>2.71262104033939</v>
      </c>
      <c r="F78" s="3">
        <v>2.0826272971741302</v>
      </c>
      <c r="G78" s="3">
        <v>2.8076706302202998</v>
      </c>
      <c r="H78" s="3">
        <v>3.8376702898632198</v>
      </c>
      <c r="I78" s="3">
        <v>0.76442952543207499</v>
      </c>
      <c r="J78" s="3">
        <v>1.5629186494618399</v>
      </c>
      <c r="K78" s="3">
        <v>2.9170010843641401</v>
      </c>
      <c r="L78" s="3">
        <v>1.93600140554369</v>
      </c>
      <c r="M78" s="3">
        <v>2.9876921588733798</v>
      </c>
      <c r="N78" s="3">
        <v>3.9233355260756801</v>
      </c>
    </row>
    <row r="79" spans="1:14" x14ac:dyDescent="0.35">
      <c r="A79" s="2">
        <v>44239</v>
      </c>
      <c r="B79" s="3">
        <v>2.5682355030136299</v>
      </c>
      <c r="C79" s="3">
        <v>3.61076405538812</v>
      </c>
      <c r="D79" s="3">
        <v>2.9300447856732501</v>
      </c>
      <c r="E79" s="3">
        <v>2.72719660767588</v>
      </c>
      <c r="F79" s="3">
        <v>2.02957906441056</v>
      </c>
      <c r="G79" s="3">
        <v>2.8059191035997899</v>
      </c>
      <c r="H79" s="3">
        <v>3.98490795425713</v>
      </c>
      <c r="I79" s="3">
        <v>0.72102780735170802</v>
      </c>
      <c r="J79" s="3">
        <v>1.5250535162272301</v>
      </c>
      <c r="K79" s="3">
        <v>2.88381846305704</v>
      </c>
      <c r="L79" s="3">
        <v>1.8827899561908801</v>
      </c>
      <c r="M79" s="3">
        <v>2.9851212937117699</v>
      </c>
      <c r="N79" s="3">
        <v>3.9119072288986798</v>
      </c>
    </row>
    <row r="80" spans="1:14" x14ac:dyDescent="0.35">
      <c r="A80" s="2">
        <v>44267</v>
      </c>
      <c r="B80" s="3">
        <v>2.5781791579763702</v>
      </c>
      <c r="C80" s="3">
        <v>3.89382340309368</v>
      </c>
      <c r="D80" s="3">
        <v>2.84287861092634</v>
      </c>
      <c r="E80" s="3">
        <v>2.7562245001971699</v>
      </c>
      <c r="F80" s="3">
        <v>2.0544003469433298</v>
      </c>
      <c r="G80" s="3">
        <v>2.85211612839531</v>
      </c>
      <c r="H80" s="3">
        <v>3.9618428770984702</v>
      </c>
      <c r="I80" s="3">
        <v>0.77519910970295303</v>
      </c>
      <c r="J80" s="3">
        <v>1.53153744413699</v>
      </c>
      <c r="K80" s="3">
        <v>2.7370896024720701</v>
      </c>
      <c r="L80" s="3">
        <v>2.0237735684009901</v>
      </c>
      <c r="M80" s="3">
        <v>2.7738425008434202</v>
      </c>
      <c r="N80" s="3">
        <v>4.0463991019640702</v>
      </c>
    </row>
    <row r="81" spans="1:14" x14ac:dyDescent="0.35">
      <c r="A81" s="2">
        <v>44298</v>
      </c>
      <c r="B81" s="3">
        <v>2.5998742590202801</v>
      </c>
      <c r="C81" s="3">
        <v>3.9077251020759198</v>
      </c>
      <c r="D81" s="3">
        <v>2.7644652616810701</v>
      </c>
      <c r="E81" s="3">
        <v>2.6982749453939898</v>
      </c>
      <c r="F81" s="3">
        <v>2.0762589044009698</v>
      </c>
      <c r="G81" s="3">
        <v>2.7535821454157401</v>
      </c>
      <c r="H81" s="3">
        <v>3.9820996065085001</v>
      </c>
      <c r="I81" s="3">
        <v>0.72839952280081099</v>
      </c>
      <c r="J81" s="3">
        <v>1.47040509139965</v>
      </c>
      <c r="K81" s="3">
        <v>2.7240990320883198</v>
      </c>
      <c r="L81" s="3">
        <v>1.93114208536902</v>
      </c>
      <c r="M81" s="3">
        <v>2.7274174236503299</v>
      </c>
      <c r="N81" s="3">
        <v>4.0854131650446197</v>
      </c>
    </row>
    <row r="82" spans="1:14" x14ac:dyDescent="0.35">
      <c r="A82" s="2">
        <v>44328</v>
      </c>
      <c r="B82" s="3">
        <v>2.6294285283009202</v>
      </c>
      <c r="C82" s="3">
        <v>3.9334496203787102</v>
      </c>
      <c r="D82" s="3">
        <v>2.7704687098171901</v>
      </c>
      <c r="E82" s="3">
        <v>2.8472827090647401</v>
      </c>
      <c r="F82" s="3">
        <v>2.2071505528325899</v>
      </c>
      <c r="G82" s="3">
        <v>2.7997833663579601</v>
      </c>
      <c r="H82" s="3">
        <v>3.9146355107864999</v>
      </c>
      <c r="I82" s="3">
        <v>0.777857942606338</v>
      </c>
      <c r="J82" s="3">
        <v>1.5041455492956901</v>
      </c>
      <c r="K82" s="3">
        <v>2.7322586416301702</v>
      </c>
      <c r="L82" s="3">
        <v>2.0283894115768799</v>
      </c>
      <c r="M82" s="3">
        <v>2.8659491592580699</v>
      </c>
      <c r="N82" s="3">
        <v>4.2101328900252701</v>
      </c>
    </row>
    <row r="83" spans="1:14" x14ac:dyDescent="0.35">
      <c r="A83" s="2">
        <v>44358</v>
      </c>
      <c r="B83" s="3">
        <v>2.6812794898652199</v>
      </c>
      <c r="C83" s="3">
        <v>3.8819695912113601</v>
      </c>
      <c r="D83" s="3">
        <v>2.5753467104645198</v>
      </c>
      <c r="E83" s="3">
        <v>2.7746417547647799</v>
      </c>
      <c r="F83" s="3">
        <v>2.1647735116206901</v>
      </c>
      <c r="G83" s="3">
        <v>2.6223880357757001</v>
      </c>
      <c r="H83" s="3">
        <v>3.88337557890241</v>
      </c>
      <c r="I83" s="3">
        <v>0.72924332754742704</v>
      </c>
      <c r="J83" s="3">
        <v>1.45106590677813</v>
      </c>
      <c r="K83" s="3">
        <v>2.64147299461166</v>
      </c>
      <c r="L83" s="3">
        <v>1.9758972903435099</v>
      </c>
      <c r="M83" s="3">
        <v>2.67979345871395</v>
      </c>
      <c r="N83" s="3">
        <v>4.0376420161647903</v>
      </c>
    </row>
    <row r="84" spans="1:14" x14ac:dyDescent="0.35">
      <c r="A84" s="2">
        <v>44389</v>
      </c>
      <c r="B84" s="3">
        <v>2.5987484260436799</v>
      </c>
      <c r="C84" s="3">
        <v>4.0647656107549004</v>
      </c>
      <c r="D84" s="3">
        <v>2.70723978714671</v>
      </c>
      <c r="E84" s="3">
        <v>2.7804901783598801</v>
      </c>
      <c r="F84" s="3">
        <v>2.1935943905141699</v>
      </c>
      <c r="G84" s="3">
        <v>2.6005160743645299</v>
      </c>
      <c r="H84" s="3">
        <v>4.0016840715850304</v>
      </c>
      <c r="I84" s="3">
        <v>0.690346880427962</v>
      </c>
      <c r="J84" s="3">
        <v>1.42298298548786</v>
      </c>
      <c r="K84" s="3">
        <v>2.6904055119997898</v>
      </c>
      <c r="L84" s="3">
        <v>2.00449503521331</v>
      </c>
      <c r="M84" s="3">
        <v>2.65314973214854</v>
      </c>
      <c r="N84" s="3">
        <v>4.15433219639851</v>
      </c>
    </row>
    <row r="85" spans="1:14" x14ac:dyDescent="0.35">
      <c r="A85" s="2">
        <v>44420</v>
      </c>
      <c r="B85" s="3">
        <v>2.6933440347369002</v>
      </c>
      <c r="C85" s="3">
        <v>4.0212632667475399</v>
      </c>
      <c r="D85" s="3">
        <v>2.6918215339734202</v>
      </c>
      <c r="E85" s="3">
        <v>2.8198075683597401</v>
      </c>
      <c r="F85" s="3">
        <v>2.22157872773453</v>
      </c>
      <c r="G85" s="3">
        <v>2.5594807639039598</v>
      </c>
      <c r="H85" s="3">
        <v>4.1341207577688204</v>
      </c>
      <c r="I85" s="3">
        <v>0.70076567834413095</v>
      </c>
      <c r="J85" s="3">
        <v>1.4125200456999201</v>
      </c>
      <c r="K85" s="3">
        <v>2.6724287071343098</v>
      </c>
      <c r="L85" s="3">
        <v>1.94470650467976</v>
      </c>
      <c r="M85" s="3">
        <v>2.69280301151738</v>
      </c>
      <c r="N85" s="3">
        <v>4.2447295455852396</v>
      </c>
    </row>
    <row r="86" spans="1:14" x14ac:dyDescent="0.35">
      <c r="A86" s="2">
        <v>44449</v>
      </c>
      <c r="B86" s="3">
        <v>2.60295707730707</v>
      </c>
      <c r="C86" s="3">
        <v>4.0861298011021603</v>
      </c>
      <c r="D86" s="3">
        <v>2.7457230310037102</v>
      </c>
      <c r="E86" s="3">
        <v>2.8735465022232498</v>
      </c>
      <c r="F86" s="3">
        <v>2.12980080595635</v>
      </c>
      <c r="G86" s="3">
        <v>2.63048266198272</v>
      </c>
      <c r="H86" s="3">
        <v>4.2252150154315897</v>
      </c>
      <c r="I86" s="3">
        <v>0.68763819733020703</v>
      </c>
      <c r="J86" s="3">
        <v>1.42267113959173</v>
      </c>
      <c r="K86" s="3">
        <v>2.77627050920935</v>
      </c>
      <c r="L86" s="3">
        <v>1.8519866089264201</v>
      </c>
      <c r="M86" s="3">
        <v>2.75867244469713</v>
      </c>
      <c r="N86" s="3">
        <v>4.5017763605208199</v>
      </c>
    </row>
    <row r="87" spans="1:14" x14ac:dyDescent="0.35">
      <c r="A87" s="2">
        <v>44481</v>
      </c>
      <c r="B87" s="3">
        <v>2.6756470561043302</v>
      </c>
      <c r="C87" s="3">
        <v>4.0644144069564003</v>
      </c>
      <c r="D87" s="3">
        <v>2.7815885110953098</v>
      </c>
      <c r="E87" s="3">
        <v>3.0007671081431302</v>
      </c>
      <c r="F87" s="3">
        <v>2.2616219061470701</v>
      </c>
      <c r="G87" s="3">
        <v>2.7448620211098</v>
      </c>
      <c r="H87" s="3">
        <v>4.1320633735724499</v>
      </c>
      <c r="I87" s="3">
        <v>0.73099864693116701</v>
      </c>
      <c r="J87" s="3">
        <v>1.4661294815427699</v>
      </c>
      <c r="K87" s="3">
        <v>2.8840894138343698</v>
      </c>
      <c r="L87" s="3">
        <v>2.0028076748720798</v>
      </c>
      <c r="M87" s="3">
        <v>2.8968355298125101</v>
      </c>
      <c r="N87" s="3">
        <v>4.4774120040859202</v>
      </c>
    </row>
    <row r="88" spans="1:14" x14ac:dyDescent="0.35">
      <c r="A88" s="2">
        <v>44512</v>
      </c>
      <c r="B88" s="3">
        <v>2.7115254277110301</v>
      </c>
      <c r="C88" s="3">
        <v>3.9558079408645899</v>
      </c>
      <c r="D88" s="3">
        <v>2.6632196047788201</v>
      </c>
      <c r="E88" s="3">
        <v>2.9390715819458202</v>
      </c>
      <c r="F88" s="3">
        <v>2.2158259798544799</v>
      </c>
      <c r="G88" s="3">
        <v>2.5694766046895898</v>
      </c>
      <c r="H88" s="3">
        <v>4.0189191769980397</v>
      </c>
      <c r="I88" s="3">
        <v>0.66544005731105704</v>
      </c>
      <c r="J88" s="3">
        <v>1.36993187501747</v>
      </c>
      <c r="K88" s="3">
        <v>2.7272068093719102</v>
      </c>
      <c r="L88" s="3">
        <v>1.8414794238991901</v>
      </c>
      <c r="M88" s="3">
        <v>2.9355647476096598</v>
      </c>
      <c r="N88" s="3">
        <v>4.3040885435483203</v>
      </c>
    </row>
    <row r="89" spans="1:14" x14ac:dyDescent="0.35">
      <c r="A89" s="2">
        <v>44540</v>
      </c>
      <c r="B89" s="3">
        <v>2.7818211720600199</v>
      </c>
      <c r="C89" s="3">
        <v>3.96358462700685</v>
      </c>
      <c r="D89" s="3">
        <v>2.8391460976013301</v>
      </c>
      <c r="E89" s="3">
        <v>3.0588148115026401</v>
      </c>
      <c r="F89" s="3">
        <v>2.3192791771188501</v>
      </c>
      <c r="G89" s="3">
        <v>2.5803777112861801</v>
      </c>
      <c r="H89" s="3">
        <v>4.0212291939046603</v>
      </c>
      <c r="I89" s="3">
        <v>0.66581930600975203</v>
      </c>
      <c r="J89" s="3">
        <v>1.3701422077087499</v>
      </c>
      <c r="K89" s="3">
        <v>2.7887402406350201</v>
      </c>
      <c r="L89" s="3">
        <v>1.9770197803366001</v>
      </c>
      <c r="M89" s="3">
        <v>2.92537469820634</v>
      </c>
      <c r="N89" s="3">
        <v>4.6461787413315996</v>
      </c>
    </row>
    <row r="90" spans="1:14" x14ac:dyDescent="0.35">
      <c r="A90" s="2">
        <v>44573</v>
      </c>
      <c r="B90" s="3">
        <v>2.8201730053085798</v>
      </c>
      <c r="C90" s="3">
        <v>3.8547226983908298</v>
      </c>
      <c r="D90" s="3">
        <v>2.75127126790697</v>
      </c>
      <c r="E90" s="3">
        <v>3.0449231470292499</v>
      </c>
      <c r="F90" s="3">
        <v>2.2941222116006701</v>
      </c>
      <c r="G90" s="3">
        <v>2.5911810688975798</v>
      </c>
      <c r="H90" s="3">
        <v>3.8191625497975399</v>
      </c>
      <c r="I90" s="3">
        <v>0.68714906871159298</v>
      </c>
      <c r="J90" s="3">
        <v>1.36897910589167</v>
      </c>
      <c r="K90" s="3">
        <v>2.7258001704878598</v>
      </c>
      <c r="L90" s="3">
        <v>1.99052132191354</v>
      </c>
      <c r="M90" s="3">
        <v>2.8956028103309599</v>
      </c>
      <c r="N90" s="3">
        <v>4.5609113353590001</v>
      </c>
    </row>
    <row r="91" spans="1:14" x14ac:dyDescent="0.35">
      <c r="A91" s="2">
        <v>44603</v>
      </c>
      <c r="B91" s="3">
        <v>2.9760735603810402</v>
      </c>
      <c r="C91" s="3">
        <v>4.2637750586742102</v>
      </c>
      <c r="D91" s="3">
        <v>2.76645078205049</v>
      </c>
      <c r="E91" s="3">
        <v>3.2026553438587801</v>
      </c>
      <c r="F91" s="3">
        <v>2.4179089606647399</v>
      </c>
      <c r="G91" s="3">
        <v>2.7467565309695101</v>
      </c>
      <c r="H91" s="3">
        <v>3.76214169445237</v>
      </c>
      <c r="I91" s="3">
        <v>0.77888956308303603</v>
      </c>
      <c r="J91" s="3">
        <v>1.4878428115543401</v>
      </c>
      <c r="K91" s="3">
        <v>2.89374270676289</v>
      </c>
      <c r="L91" s="3">
        <v>2.2158444590612598</v>
      </c>
      <c r="M91" s="3">
        <v>2.9111191317277201</v>
      </c>
      <c r="N91" s="3">
        <v>4.7991335215583701</v>
      </c>
    </row>
    <row r="92" spans="1:14" x14ac:dyDescent="0.35">
      <c r="A92" s="2">
        <v>44631</v>
      </c>
      <c r="B92" s="3">
        <v>3.0845578396223301</v>
      </c>
      <c r="C92" s="3">
        <v>4.3753460943077203</v>
      </c>
      <c r="D92" s="3">
        <v>2.8501377418735001</v>
      </c>
      <c r="E92" s="3">
        <v>3.6899909641811202</v>
      </c>
      <c r="F92" s="3">
        <v>2.7055334722536899</v>
      </c>
      <c r="G92" s="3">
        <v>2.9374052576004002</v>
      </c>
      <c r="H92" s="3">
        <v>4.1660830701714104</v>
      </c>
      <c r="I92" s="3">
        <v>0.84546616286364895</v>
      </c>
      <c r="J92" s="3">
        <v>1.5714563032368301</v>
      </c>
      <c r="K92" s="3">
        <v>3.2918998059982298</v>
      </c>
      <c r="L92" s="3">
        <v>2.4505024729031399</v>
      </c>
      <c r="M92" s="3">
        <v>3.2155711221188099</v>
      </c>
      <c r="N92" s="3">
        <v>5.4632311439903596</v>
      </c>
    </row>
    <row r="93" spans="1:14" x14ac:dyDescent="0.35">
      <c r="A93" s="2">
        <v>44663</v>
      </c>
      <c r="B93" s="3">
        <v>3.1495472600576302</v>
      </c>
      <c r="C93" s="3">
        <v>4.3292716768611204</v>
      </c>
      <c r="D93" s="3">
        <v>2.8636171877768399</v>
      </c>
      <c r="E93" s="3">
        <v>3.6260994910883499</v>
      </c>
      <c r="F93" s="3">
        <v>2.6290269185198301</v>
      </c>
      <c r="G93" s="3">
        <v>2.7555292722192299</v>
      </c>
      <c r="H93" s="3">
        <v>3.9575102680399801</v>
      </c>
      <c r="I93" s="3">
        <v>0.80975012860711204</v>
      </c>
      <c r="J93" s="3">
        <v>1.49702745337367</v>
      </c>
      <c r="K93" s="3">
        <v>3.14099989103399</v>
      </c>
      <c r="L93" s="3">
        <v>2.3188010622362398</v>
      </c>
      <c r="M93" s="3">
        <v>3.1494565350555699</v>
      </c>
      <c r="N93" s="3">
        <v>5.0679731405307002</v>
      </c>
    </row>
    <row r="94" spans="1:14" x14ac:dyDescent="0.35">
      <c r="A94" s="2">
        <v>44693</v>
      </c>
      <c r="B94" s="3">
        <v>3.2386068347755299</v>
      </c>
      <c r="C94" s="3">
        <v>4.8641643525871103</v>
      </c>
      <c r="D94" s="3">
        <v>3.2563152173773902</v>
      </c>
      <c r="E94" s="3">
        <v>3.8903061052934298</v>
      </c>
      <c r="F94" s="3">
        <v>2.7054428632893099</v>
      </c>
      <c r="G94" s="3">
        <v>3.0170454802696498</v>
      </c>
      <c r="H94" s="3">
        <v>4.2840036215623396</v>
      </c>
      <c r="I94" s="3">
        <v>0.94961959283257102</v>
      </c>
      <c r="J94" s="3">
        <v>1.6863942846875599</v>
      </c>
      <c r="K94" s="3">
        <v>3.35355790177961</v>
      </c>
      <c r="L94" s="3">
        <v>2.6253837198092498</v>
      </c>
      <c r="M94" s="3">
        <v>3.47812262782818</v>
      </c>
      <c r="N94" s="3">
        <v>5.2853052590634402</v>
      </c>
    </row>
    <row r="95" spans="1:14" x14ac:dyDescent="0.35">
      <c r="A95" s="2">
        <v>44722</v>
      </c>
      <c r="B95" s="3">
        <v>3.2704018202788698</v>
      </c>
      <c r="C95" s="3">
        <v>4.9321770342924598</v>
      </c>
      <c r="D95" s="3">
        <v>3.1869651570510098</v>
      </c>
      <c r="E95" s="3">
        <v>3.91619842455651</v>
      </c>
      <c r="F95" s="3">
        <v>2.58655461015119</v>
      </c>
      <c r="G95" s="3">
        <v>3.12948282029368</v>
      </c>
      <c r="H95" s="3">
        <v>4.2189807825204797</v>
      </c>
      <c r="I95" s="3">
        <v>0.96508786141785896</v>
      </c>
      <c r="J95" s="3">
        <v>1.71228908093691</v>
      </c>
      <c r="K95" s="3">
        <v>3.3694635100068302</v>
      </c>
      <c r="L95" s="3">
        <v>2.6446972027644802</v>
      </c>
      <c r="M95" s="3">
        <v>3.3929252975751001</v>
      </c>
      <c r="N95" s="3">
        <v>5.6457491433044398</v>
      </c>
    </row>
    <row r="96" spans="1:14" x14ac:dyDescent="0.35">
      <c r="A96" s="2">
        <v>44754</v>
      </c>
      <c r="B96" s="3">
        <v>3.3284606568792099</v>
      </c>
      <c r="C96" s="3">
        <v>5.21265888840394</v>
      </c>
      <c r="D96" s="3">
        <v>3.47098214236896</v>
      </c>
      <c r="E96" s="3">
        <v>4.1819926261659104</v>
      </c>
      <c r="F96" s="3">
        <v>2.6877850582587302</v>
      </c>
      <c r="G96" s="3">
        <v>3.1311980190211801</v>
      </c>
      <c r="H96" s="3">
        <v>4.3543592422282202</v>
      </c>
      <c r="I96" s="3">
        <v>0.98150102152493801</v>
      </c>
      <c r="J96" s="3">
        <v>1.76155268039653</v>
      </c>
      <c r="K96" s="3">
        <v>3.4848269686727402</v>
      </c>
      <c r="L96" s="3">
        <v>3.39575704087884</v>
      </c>
      <c r="M96" s="3">
        <v>3.6303967130608501</v>
      </c>
      <c r="N96" s="3">
        <v>5.9152820025319999</v>
      </c>
    </row>
    <row r="97" spans="1:14" x14ac:dyDescent="0.35">
      <c r="A97" s="2">
        <v>44785</v>
      </c>
      <c r="B97" s="3">
        <v>3.2048321336856</v>
      </c>
      <c r="C97" s="3">
        <v>4.7295192689785202</v>
      </c>
      <c r="D97" s="3">
        <v>3.2578597422834799</v>
      </c>
      <c r="E97" s="3">
        <v>3.9182672996164398</v>
      </c>
      <c r="F97" s="3">
        <v>2.5720347703403399</v>
      </c>
      <c r="G97" s="3">
        <v>3.0642991125795902</v>
      </c>
      <c r="H97" s="3">
        <v>4.1828789996257303</v>
      </c>
      <c r="I97" s="3">
        <v>0.85320076933140099</v>
      </c>
      <c r="J97" s="3">
        <v>1.5863392200145701</v>
      </c>
      <c r="K97" s="3">
        <v>3.2512609089505</v>
      </c>
      <c r="L97" s="3">
        <v>3.05380147167044</v>
      </c>
      <c r="M97" s="3">
        <v>3.4754481242644899</v>
      </c>
      <c r="N97" s="3">
        <v>5.5577689778392498</v>
      </c>
    </row>
    <row r="98" spans="1:14" x14ac:dyDescent="0.35">
      <c r="A98" s="2">
        <v>44816</v>
      </c>
      <c r="B98" s="3">
        <v>3.1739074957916502</v>
      </c>
      <c r="C98" s="3">
        <v>4.7703053115743703</v>
      </c>
      <c r="D98" s="3">
        <v>3.34858875248496</v>
      </c>
      <c r="E98" s="3">
        <v>4.0173575378528996</v>
      </c>
      <c r="F98" s="3">
        <v>2.57917270808885</v>
      </c>
      <c r="G98" s="3">
        <v>3.1414685143547501</v>
      </c>
      <c r="H98" s="3">
        <v>4.3082808427759902</v>
      </c>
      <c r="I98" s="3">
        <v>0.91594149879750197</v>
      </c>
      <c r="J98" s="3">
        <v>1.66552289348829</v>
      </c>
      <c r="K98" s="3">
        <v>3.4013622570991999</v>
      </c>
      <c r="L98" s="3">
        <v>3.5856180694419799</v>
      </c>
      <c r="M98" s="3">
        <v>3.5752760710667499</v>
      </c>
      <c r="N98" s="3">
        <v>5.51459038815229</v>
      </c>
    </row>
    <row r="99" spans="1:14" x14ac:dyDescent="0.35">
      <c r="A99" s="2">
        <v>44846</v>
      </c>
      <c r="B99" s="3">
        <v>3.4791146651472702</v>
      </c>
      <c r="C99" s="3">
        <v>5.1484964238454696</v>
      </c>
      <c r="D99" s="3">
        <v>3.6932614653010898</v>
      </c>
      <c r="E99" s="3">
        <v>4.4728190515747901</v>
      </c>
      <c r="F99" s="3">
        <v>2.7674971239364199</v>
      </c>
      <c r="G99" s="3">
        <v>3.4664133994122999</v>
      </c>
      <c r="H99" s="3">
        <v>4.7519370809055896</v>
      </c>
      <c r="I99" s="3">
        <v>1.0909892783628601</v>
      </c>
      <c r="J99" s="3">
        <v>1.91876015115759</v>
      </c>
      <c r="K99" s="3">
        <v>3.74994655553142</v>
      </c>
      <c r="L99" s="3">
        <v>3.1578485361464899</v>
      </c>
      <c r="M99" s="3">
        <v>3.8396932597573801</v>
      </c>
      <c r="N99" s="3">
        <v>6.2806630815762103</v>
      </c>
    </row>
    <row r="100" spans="1:14" x14ac:dyDescent="0.35">
      <c r="A100" s="2">
        <v>44876</v>
      </c>
      <c r="B100" s="3">
        <v>3.3868940581059501</v>
      </c>
      <c r="C100" s="3">
        <v>4.62663860244679</v>
      </c>
      <c r="D100" s="3">
        <v>3.32398466028586</v>
      </c>
      <c r="E100" s="3">
        <v>3.8062627329432401</v>
      </c>
      <c r="F100" s="3">
        <v>2.59856578237879</v>
      </c>
      <c r="G100" s="3">
        <v>3.0908463792983301</v>
      </c>
      <c r="H100" s="3">
        <v>4.3809365674922898</v>
      </c>
      <c r="I100" s="3">
        <v>1.0038044926573699</v>
      </c>
      <c r="J100" s="3">
        <v>1.7318426318815101</v>
      </c>
      <c r="K100" s="3">
        <v>3.32068595617545</v>
      </c>
      <c r="L100" s="3">
        <v>2.7086926283033499</v>
      </c>
      <c r="M100" s="3">
        <v>3.5273106889933801</v>
      </c>
      <c r="N100" s="3">
        <v>5.4066945617336399</v>
      </c>
    </row>
    <row r="101" spans="1:14" x14ac:dyDescent="0.35">
      <c r="A101" s="2">
        <v>44907</v>
      </c>
      <c r="B101" s="3">
        <v>3.4472162624688401</v>
      </c>
      <c r="C101" s="3">
        <v>4.5126305109464404</v>
      </c>
      <c r="D101" s="3">
        <v>3.37414517269948</v>
      </c>
      <c r="E101" s="3">
        <v>3.7608316347511801</v>
      </c>
      <c r="F101" s="3">
        <v>2.64862360165775</v>
      </c>
      <c r="G101" s="3">
        <v>3.1415233449732098</v>
      </c>
      <c r="H101" s="3">
        <v>4.2487246007792603</v>
      </c>
      <c r="I101" s="3">
        <v>1.0098208764729799</v>
      </c>
      <c r="J101" s="3">
        <v>1.73661011733322</v>
      </c>
      <c r="K101" s="3">
        <v>3.2878626227971899</v>
      </c>
      <c r="L101" s="3">
        <v>2.6539119248200298</v>
      </c>
      <c r="M101" s="3">
        <v>3.6085108647141602</v>
      </c>
      <c r="N101" s="3">
        <v>5.7714284202717296</v>
      </c>
    </row>
    <row r="102" spans="1:14" x14ac:dyDescent="0.35">
      <c r="A102" s="2">
        <v>44938</v>
      </c>
      <c r="B102" s="3">
        <v>3.4157124523236999</v>
      </c>
      <c r="C102" s="3">
        <v>4.4442427749121904</v>
      </c>
      <c r="D102" s="3">
        <v>3.38342420417505</v>
      </c>
      <c r="E102" s="3">
        <v>3.5407362868141998</v>
      </c>
      <c r="F102" s="3">
        <v>2.7190636107779</v>
      </c>
      <c r="G102" s="3">
        <v>3.0700518618173498</v>
      </c>
      <c r="H102" s="3">
        <v>4.0924487440694399</v>
      </c>
      <c r="I102" s="3">
        <v>0.99412310368161605</v>
      </c>
      <c r="J102" s="3">
        <v>1.7463117894282301</v>
      </c>
      <c r="K102" s="3">
        <v>3.14548400652223</v>
      </c>
      <c r="L102" s="3">
        <v>2.5880403412789499</v>
      </c>
      <c r="M102" s="3">
        <v>3.46834928960148</v>
      </c>
      <c r="N102" s="3">
        <v>5.4301702217616299</v>
      </c>
    </row>
    <row r="103" spans="1:14" x14ac:dyDescent="0.35">
      <c r="A103" s="2">
        <v>44967</v>
      </c>
      <c r="B103" s="3">
        <v>3.2731282226997802</v>
      </c>
      <c r="C103" s="3">
        <v>4.3343706361190497</v>
      </c>
      <c r="D103" s="3">
        <v>3.2674566486550098</v>
      </c>
      <c r="E103" s="3">
        <v>3.4820816772245902</v>
      </c>
      <c r="F103" s="3">
        <v>2.6090849968382801</v>
      </c>
      <c r="G103" s="3">
        <v>3.0934739041190298</v>
      </c>
      <c r="H103" s="3">
        <v>4.0953530738330297</v>
      </c>
      <c r="I103" s="3">
        <v>0.93708673377698204</v>
      </c>
      <c r="J103" s="3">
        <v>1.7116653235246799</v>
      </c>
      <c r="K103" s="3">
        <v>3.1650809342708199</v>
      </c>
      <c r="L103" s="3">
        <v>2.5851945027868499</v>
      </c>
      <c r="M103" s="3">
        <v>3.56694476812716</v>
      </c>
      <c r="N103" s="3">
        <v>5.4330938681987799</v>
      </c>
    </row>
    <row r="104" spans="1:14" x14ac:dyDescent="0.35">
      <c r="A104" s="2">
        <v>44995</v>
      </c>
      <c r="B104" s="3">
        <v>3.4369400888219599</v>
      </c>
      <c r="C104" s="3">
        <v>4.5871971177049602</v>
      </c>
      <c r="D104" s="3">
        <v>3.4179489329658899</v>
      </c>
      <c r="E104" s="3">
        <v>3.5377235685063599</v>
      </c>
      <c r="F104" s="3">
        <v>2.57555402676874</v>
      </c>
      <c r="G104" s="3">
        <v>3.24720786632931</v>
      </c>
      <c r="H104" s="3">
        <v>4.2148397699207196</v>
      </c>
      <c r="I104" s="3">
        <v>0.98080138200022005</v>
      </c>
      <c r="J104" s="3">
        <v>1.8222343042537199</v>
      </c>
      <c r="K104" s="3">
        <v>3.20051752210829</v>
      </c>
      <c r="L104" s="3">
        <v>2.7254375907008099</v>
      </c>
      <c r="M104" s="3">
        <v>3.6482233350986801</v>
      </c>
      <c r="N104" s="3">
        <v>5.3621054088311899</v>
      </c>
    </row>
    <row r="105" spans="1:14" x14ac:dyDescent="0.35">
      <c r="A105" s="2">
        <v>45028</v>
      </c>
      <c r="B105" s="3">
        <v>3.3942374214906001</v>
      </c>
      <c r="C105" s="3">
        <v>4.4159821153601904</v>
      </c>
      <c r="D105" s="3">
        <v>3.2769100844355599</v>
      </c>
      <c r="E105" s="3">
        <v>3.52931596509768</v>
      </c>
      <c r="F105" s="3">
        <v>2.61764374894407</v>
      </c>
      <c r="G105" s="3">
        <v>3.1231419708565702</v>
      </c>
      <c r="H105" s="3">
        <v>4.1085027461129604</v>
      </c>
      <c r="I105" s="3">
        <v>0.90763792122532505</v>
      </c>
      <c r="J105" s="3">
        <v>1.7253517625636401</v>
      </c>
      <c r="K105" s="3">
        <v>3.1473196230092002</v>
      </c>
      <c r="L105" s="3">
        <v>2.6889037283190498</v>
      </c>
      <c r="M105" s="3">
        <v>3.6741146216299598</v>
      </c>
      <c r="N105" s="3">
        <v>5.3306063704606297</v>
      </c>
    </row>
    <row r="106" spans="1:14" x14ac:dyDescent="0.35">
      <c r="A106" s="2">
        <v>45058</v>
      </c>
      <c r="B106" s="3">
        <v>3.48642904628921</v>
      </c>
      <c r="C106" s="3">
        <v>4.4408045288340903</v>
      </c>
      <c r="D106" s="3">
        <v>3.2614318114767999</v>
      </c>
      <c r="E106" s="3">
        <v>3.5832218020480102</v>
      </c>
      <c r="F106" s="3">
        <v>2.5316284158128499</v>
      </c>
      <c r="G106" s="3">
        <v>3.0676214709333101</v>
      </c>
      <c r="H106" s="3">
        <v>4.2731009809116003</v>
      </c>
      <c r="I106" s="3">
        <v>0.85984234483531197</v>
      </c>
      <c r="J106" s="3">
        <v>1.7105730220071</v>
      </c>
      <c r="K106" s="3">
        <v>3.1871300108323299</v>
      </c>
      <c r="L106" s="3">
        <v>2.7230529718737202</v>
      </c>
      <c r="M106" s="3">
        <v>3.73407463472136</v>
      </c>
      <c r="N106" s="3">
        <v>5.5097410894209498</v>
      </c>
    </row>
    <row r="107" spans="1:14" x14ac:dyDescent="0.35">
      <c r="A107" s="2">
        <v>45089</v>
      </c>
      <c r="B107" s="3">
        <v>3.5115045098845901</v>
      </c>
      <c r="C107" s="3">
        <v>4.4089129424985201</v>
      </c>
      <c r="D107" s="3">
        <v>3.31381658780957</v>
      </c>
      <c r="E107" s="3">
        <v>3.61210486795675</v>
      </c>
      <c r="F107" s="3">
        <v>2.3644858090970802</v>
      </c>
      <c r="G107" s="3">
        <v>3.1688101462415701</v>
      </c>
      <c r="H107" s="3">
        <v>4.3594343619092699</v>
      </c>
      <c r="I107" s="3">
        <v>0.78243153044959401</v>
      </c>
      <c r="J107" s="3">
        <v>1.6367904546985299</v>
      </c>
      <c r="K107" s="3">
        <v>3.2704266874822099</v>
      </c>
      <c r="L107" s="3">
        <v>2.6669967886849602</v>
      </c>
      <c r="M107" s="3">
        <v>3.7056137695157001</v>
      </c>
      <c r="N107" s="3">
        <v>5.4030780810523096</v>
      </c>
    </row>
    <row r="108" spans="1:14" x14ac:dyDescent="0.35">
      <c r="A108" s="2">
        <v>45119</v>
      </c>
      <c r="B108" s="3">
        <v>3.43053900630784</v>
      </c>
      <c r="C108" s="3">
        <v>4.3032918714998702</v>
      </c>
      <c r="D108" s="3">
        <v>3.2550698903410602</v>
      </c>
      <c r="E108" s="3">
        <v>3.6644498849548302</v>
      </c>
      <c r="F108" s="3">
        <v>2.4141755976954902</v>
      </c>
      <c r="G108" s="3">
        <v>3.2008631206579099</v>
      </c>
      <c r="H108" s="3">
        <v>4.3976471051837098</v>
      </c>
      <c r="I108" s="3">
        <v>0.75895075544427204</v>
      </c>
      <c r="J108" s="3">
        <v>1.5912833869432601</v>
      </c>
      <c r="K108" s="3">
        <v>3.2654655417746601</v>
      </c>
      <c r="L108" s="3">
        <v>2.6833267689305398</v>
      </c>
      <c r="M108" s="3">
        <v>3.7508652542916101</v>
      </c>
      <c r="N108" s="3">
        <v>5.26457182816449</v>
      </c>
    </row>
    <row r="109" spans="1:14" x14ac:dyDescent="0.35">
      <c r="A109" s="2">
        <v>45149</v>
      </c>
      <c r="B109" s="3">
        <v>3.4421867212539299</v>
      </c>
      <c r="C109" s="3">
        <v>4.1780366746204702</v>
      </c>
      <c r="D109" s="3">
        <v>3.4213150197974702</v>
      </c>
      <c r="E109" s="3">
        <v>3.7206893675422199</v>
      </c>
      <c r="F109" s="3">
        <v>2.3654000932831298</v>
      </c>
      <c r="G109" s="3">
        <v>3.2143880909920299</v>
      </c>
      <c r="H109" s="3">
        <v>4.42687625577262</v>
      </c>
      <c r="I109" s="3">
        <v>0.898413034779317</v>
      </c>
      <c r="J109" s="3">
        <v>1.6061421336018</v>
      </c>
      <c r="K109" s="3">
        <v>3.2989821076395098</v>
      </c>
      <c r="L109" s="3">
        <v>2.7762102341487198</v>
      </c>
      <c r="M109" s="3">
        <v>3.8884261730070202</v>
      </c>
      <c r="N109" s="3">
        <v>5.5306554853562302</v>
      </c>
    </row>
    <row r="110" spans="1:14" x14ac:dyDescent="0.35">
      <c r="A110" s="2">
        <v>45181</v>
      </c>
      <c r="B110" s="3">
        <v>3.4050774144233098</v>
      </c>
      <c r="C110" s="3">
        <v>4.19397613287674</v>
      </c>
      <c r="D110" s="3">
        <v>3.50203446060112</v>
      </c>
      <c r="E110" s="3">
        <v>3.7605015397541801</v>
      </c>
      <c r="F110" s="3">
        <v>2.3130952673271099</v>
      </c>
      <c r="G110" s="3">
        <v>3.2953100551405701</v>
      </c>
      <c r="H110" s="3">
        <v>4.46745028059813</v>
      </c>
      <c r="I110" s="3">
        <v>0.88659515073345896</v>
      </c>
      <c r="J110" s="3">
        <v>1.61395132277138</v>
      </c>
      <c r="K110" s="3">
        <v>3.3616712463101899</v>
      </c>
      <c r="L110" s="3">
        <v>2.9795814772887401</v>
      </c>
      <c r="M110" s="3">
        <v>3.9846456682537599</v>
      </c>
      <c r="N110" s="3">
        <v>5.4099950207820999</v>
      </c>
    </row>
    <row r="111" spans="1:14" x14ac:dyDescent="0.35">
      <c r="A111" s="2">
        <v>45211</v>
      </c>
      <c r="B111" s="3">
        <v>3.43322246839631</v>
      </c>
      <c r="C111" s="3">
        <v>4.3413349195458899</v>
      </c>
      <c r="D111" s="3">
        <v>3.6465071762994801</v>
      </c>
      <c r="E111" s="3">
        <v>3.8586185369938</v>
      </c>
      <c r="F111" s="3">
        <v>2.3639302260226298</v>
      </c>
      <c r="G111" s="3">
        <v>3.3463573584481101</v>
      </c>
      <c r="H111" s="3">
        <v>4.4361431438787999</v>
      </c>
      <c r="I111" s="3">
        <v>0.91922963721095297</v>
      </c>
      <c r="J111" s="3">
        <v>1.66811277482576</v>
      </c>
      <c r="K111" s="3">
        <v>3.4401316898876702</v>
      </c>
      <c r="L111" s="3">
        <v>2.9773898934438301</v>
      </c>
      <c r="M111" s="3">
        <v>3.72066477313966</v>
      </c>
      <c r="N111" s="3">
        <v>5.5200334848343298</v>
      </c>
    </row>
    <row r="112" spans="1:14" x14ac:dyDescent="0.35">
      <c r="A112" s="2">
        <v>45240</v>
      </c>
      <c r="B112" s="3">
        <v>3.4644684741075298</v>
      </c>
      <c r="C112" s="3">
        <v>4.4061762729435401</v>
      </c>
      <c r="D112" s="3">
        <v>3.5987742202184498</v>
      </c>
      <c r="E112" s="3">
        <v>3.8835213795585601</v>
      </c>
      <c r="F112" s="3">
        <v>2.4010616334227399</v>
      </c>
      <c r="G112" s="3">
        <v>3.4929496942717302</v>
      </c>
      <c r="H112" s="3">
        <v>4.6163423421354004</v>
      </c>
      <c r="I112" s="3">
        <v>0.90443682195073605</v>
      </c>
      <c r="J112" s="3">
        <v>1.64750706208204</v>
      </c>
      <c r="K112" s="3">
        <v>3.4595040514362698</v>
      </c>
      <c r="L112" s="3">
        <v>2.9125742079231198</v>
      </c>
      <c r="M112" s="3">
        <v>3.8732411034994501</v>
      </c>
      <c r="N112" s="3">
        <v>5.6564366985410199</v>
      </c>
    </row>
    <row r="113" spans="1:25" x14ac:dyDescent="0.35">
      <c r="A113" s="2">
        <v>45272</v>
      </c>
      <c r="B113" s="3">
        <v>3.10918978830993</v>
      </c>
      <c r="C113" s="3">
        <v>4.2306221573745404</v>
      </c>
      <c r="D113" s="3">
        <v>3.4817920830770199</v>
      </c>
      <c r="E113" s="3">
        <v>3.54248951316506</v>
      </c>
      <c r="F113" s="3">
        <v>2.4291082318492001</v>
      </c>
      <c r="G113" s="3">
        <v>3.3120727673625798</v>
      </c>
      <c r="H113" s="3">
        <v>4.3962908124299398</v>
      </c>
      <c r="I113" s="3">
        <v>0.872398073670968</v>
      </c>
      <c r="J113" s="3">
        <v>1.5744749105555</v>
      </c>
      <c r="K113" s="3">
        <v>3.2423550054479202</v>
      </c>
      <c r="L113" s="3">
        <v>2.70069256072766</v>
      </c>
      <c r="M113" s="3">
        <v>3.0217631498017501</v>
      </c>
      <c r="N113" s="3">
        <v>5.4538880552175204</v>
      </c>
    </row>
    <row r="114" spans="1:25" x14ac:dyDescent="0.35">
      <c r="A114" s="2">
        <v>45303</v>
      </c>
      <c r="B114" s="3">
        <v>2.9703014929786602</v>
      </c>
      <c r="C114" s="3">
        <v>4.0480863705386803</v>
      </c>
      <c r="D114" s="3">
        <v>3.3532693231996702</v>
      </c>
      <c r="E114" s="3">
        <v>3.59782287993812</v>
      </c>
      <c r="F114" s="3">
        <v>2.2975223952381798</v>
      </c>
      <c r="G114" s="3">
        <v>3.2764449408380201</v>
      </c>
      <c r="H114" s="3">
        <v>4.3236399324421599</v>
      </c>
      <c r="I114" s="3">
        <v>0.91481627894268003</v>
      </c>
      <c r="J114" s="3">
        <v>1.5418594564661401</v>
      </c>
      <c r="K114" s="3">
        <v>3.2622990021733398</v>
      </c>
      <c r="L114" s="3">
        <v>2.7190191677539199</v>
      </c>
      <c r="M114" s="3">
        <v>2.9934500314303301</v>
      </c>
      <c r="N114" s="3">
        <v>5.4126884883757604</v>
      </c>
    </row>
    <row r="115" spans="1:25" x14ac:dyDescent="0.35">
      <c r="A115" s="2">
        <v>45334</v>
      </c>
      <c r="B115" s="3">
        <v>3.03213586412648</v>
      </c>
      <c r="C115" s="3">
        <v>4.0022099191323699</v>
      </c>
      <c r="D115" s="3">
        <v>3.31344557393914</v>
      </c>
      <c r="E115" s="3">
        <v>3.5177587041604599</v>
      </c>
      <c r="F115" s="3">
        <v>2.27490644019846</v>
      </c>
      <c r="G115" s="3">
        <v>3.3770758908400502</v>
      </c>
      <c r="H115" s="3">
        <v>4.31928095994465</v>
      </c>
      <c r="I115" s="3">
        <v>0.884311958671674</v>
      </c>
      <c r="J115" s="3">
        <v>1.49027898028537</v>
      </c>
      <c r="K115" s="3">
        <v>3.19005537314368</v>
      </c>
      <c r="L115" s="3">
        <v>2.4646258682736999</v>
      </c>
      <c r="M115" s="3">
        <v>3.35276303482053</v>
      </c>
      <c r="N115" s="3">
        <v>5.4731884193890297</v>
      </c>
    </row>
    <row r="116" spans="1:25" x14ac:dyDescent="0.35">
      <c r="A116" s="2">
        <v>45363</v>
      </c>
      <c r="B116" s="3">
        <v>2.7605150619533099</v>
      </c>
      <c r="C116" s="3">
        <v>3.97383810139298</v>
      </c>
      <c r="D116" s="3">
        <v>3.1596903911402898</v>
      </c>
      <c r="E116" s="3">
        <v>3.2921655732532402</v>
      </c>
      <c r="F116" s="3">
        <v>2.2213171354141101</v>
      </c>
      <c r="G116" s="3">
        <v>3.2196026423772901</v>
      </c>
      <c r="H116" s="3">
        <v>4.1106209011309698</v>
      </c>
      <c r="I116" s="3">
        <v>0.87607691271601795</v>
      </c>
      <c r="J116" s="3">
        <v>1.45265747669307</v>
      </c>
      <c r="K116" s="3">
        <v>3.0779962695287599</v>
      </c>
      <c r="L116" s="3">
        <v>2.5713115229158299</v>
      </c>
      <c r="M116" s="3">
        <v>3.1976127205860299</v>
      </c>
      <c r="N116" s="3">
        <v>5.1813262975198597</v>
      </c>
    </row>
    <row r="117" spans="1:25" x14ac:dyDescent="0.35">
      <c r="A117" s="2">
        <v>45394</v>
      </c>
      <c r="B117" s="3">
        <v>2.7831433573724902</v>
      </c>
      <c r="C117" s="3">
        <v>3.9637093996724899</v>
      </c>
      <c r="D117" s="3">
        <v>3.1316681087901901</v>
      </c>
      <c r="E117" s="3">
        <v>3.3554637231326301</v>
      </c>
      <c r="F117" s="3">
        <v>2.1762299601636301</v>
      </c>
      <c r="G117" s="3">
        <v>3.3569118581579001</v>
      </c>
      <c r="H117" s="3">
        <v>4.01772165065967</v>
      </c>
      <c r="I117" s="3">
        <v>0.92492661913554797</v>
      </c>
      <c r="J117" s="3">
        <v>1.47071243150415</v>
      </c>
      <c r="K117" s="3">
        <v>3.1409159059540599</v>
      </c>
      <c r="L117" s="3">
        <v>2.5573858533474798</v>
      </c>
      <c r="M117" s="3">
        <v>3.2987108988723199</v>
      </c>
      <c r="N117" s="3">
        <v>5.2748329802356704</v>
      </c>
    </row>
    <row r="118" spans="1:25" x14ac:dyDescent="0.35">
      <c r="A118" s="2">
        <v>45422</v>
      </c>
      <c r="B118" s="3">
        <v>2.7785343371939102</v>
      </c>
      <c r="C118" s="3">
        <v>3.9816384878914399</v>
      </c>
      <c r="D118" s="3">
        <v>3.0582842631807199</v>
      </c>
      <c r="E118" s="3">
        <v>3.2845618954008202</v>
      </c>
      <c r="F118" s="3">
        <v>2.2312119918818998</v>
      </c>
      <c r="G118" s="3">
        <v>3.27276741205932</v>
      </c>
      <c r="H118" s="3">
        <v>3.8185206882306399</v>
      </c>
      <c r="I118" s="3">
        <v>0.93808629877886196</v>
      </c>
      <c r="J118" s="3">
        <v>1.4618085543121599</v>
      </c>
      <c r="K118" s="3">
        <v>3.0545986314750202</v>
      </c>
      <c r="L118" s="3">
        <v>2.46556235600193</v>
      </c>
      <c r="M118" s="3">
        <v>3.1691744882682098</v>
      </c>
      <c r="N118" s="3">
        <v>5.1861422301231404</v>
      </c>
    </row>
    <row r="119" spans="1:25" x14ac:dyDescent="0.35">
      <c r="A119" s="2">
        <v>45455</v>
      </c>
      <c r="B119" s="3">
        <v>2.7526797354723</v>
      </c>
      <c r="C119" s="3">
        <v>3.9424132945113302</v>
      </c>
      <c r="D119" s="3">
        <v>3.3277407445996401</v>
      </c>
      <c r="E119" s="3">
        <v>3.34378900008713</v>
      </c>
      <c r="F119" s="3">
        <v>2.24991458485305</v>
      </c>
      <c r="G119" s="3">
        <v>3.1771220248618501</v>
      </c>
      <c r="H119" s="3">
        <v>3.9229164381421202</v>
      </c>
      <c r="I119" s="3">
        <v>0.87925445040902295</v>
      </c>
      <c r="J119" s="3">
        <v>1.4185271377548401</v>
      </c>
      <c r="K119" s="3">
        <v>3.2224576749974498</v>
      </c>
      <c r="L119" s="3">
        <v>2.4047950746427298</v>
      </c>
      <c r="M119" s="3">
        <v>3.1635921976380899</v>
      </c>
      <c r="N119" s="3">
        <v>5.2931412390884498</v>
      </c>
    </row>
    <row r="120" spans="1:25" x14ac:dyDescent="0.35">
      <c r="A120" s="2">
        <v>45485</v>
      </c>
      <c r="B120" s="3">
        <v>2.67900510118979</v>
      </c>
      <c r="C120" s="3">
        <v>3.8283075239854201</v>
      </c>
      <c r="D120" s="3">
        <v>3.2455992448264501</v>
      </c>
      <c r="E120" s="3">
        <v>3.3349657644723698</v>
      </c>
      <c r="F120" s="3">
        <v>2.1739109476592899</v>
      </c>
      <c r="G120" s="3">
        <v>3.14606420573512</v>
      </c>
      <c r="H120" s="3">
        <v>3.8829746486137999</v>
      </c>
      <c r="I120" s="3">
        <v>0.81527053469316502</v>
      </c>
      <c r="J120" s="3">
        <v>1.37199730944022</v>
      </c>
      <c r="K120" s="3">
        <v>3.2827203417792798</v>
      </c>
      <c r="L120" s="3">
        <v>2.4191161463125002</v>
      </c>
      <c r="M120" s="3">
        <v>3.1292480206934998</v>
      </c>
      <c r="N120" s="3">
        <v>5.2670834323751903</v>
      </c>
    </row>
    <row r="121" spans="1:25" x14ac:dyDescent="0.35">
      <c r="A121" s="2">
        <v>45516</v>
      </c>
      <c r="B121" s="3">
        <v>2.5984917170075001</v>
      </c>
      <c r="C121" s="3">
        <v>3.8728200272073199</v>
      </c>
      <c r="D121" s="3">
        <v>3.2837237348400898</v>
      </c>
      <c r="E121" s="3">
        <v>3.5546694336707199</v>
      </c>
      <c r="F121" s="3">
        <v>2.5831370121649302</v>
      </c>
      <c r="G121" s="3">
        <v>3.2411424046747999</v>
      </c>
      <c r="H121" s="3">
        <v>3.93383943244962</v>
      </c>
      <c r="I121" s="3">
        <v>0.877159372856122</v>
      </c>
      <c r="J121" s="3">
        <v>1.4477370121097599</v>
      </c>
      <c r="K121" s="3">
        <v>3.50793844595866</v>
      </c>
      <c r="L121" s="3">
        <v>2.6804023559580799</v>
      </c>
      <c r="M121" s="3">
        <v>3.3893403985641402</v>
      </c>
      <c r="N121" s="3">
        <v>5.6378723200665499</v>
      </c>
    </row>
    <row r="122" spans="1:25" x14ac:dyDescent="0.35">
      <c r="A122" s="2">
        <v>45546</v>
      </c>
      <c r="B122" s="3">
        <v>3.0429923615918999</v>
      </c>
      <c r="C122" s="3">
        <v>3.7489247783247701</v>
      </c>
      <c r="D122" s="3">
        <v>3.1560145967207598</v>
      </c>
      <c r="E122" s="3">
        <v>3.3926663810110802</v>
      </c>
      <c r="F122" s="3">
        <v>2.51922808344789</v>
      </c>
      <c r="G122" s="3">
        <v>3.19891368442206</v>
      </c>
      <c r="H122" s="3">
        <v>3.93899413338562</v>
      </c>
      <c r="I122" s="3">
        <v>0.84205888856349098</v>
      </c>
      <c r="J122" s="3">
        <v>1.39919024358435</v>
      </c>
      <c r="K122" s="3">
        <v>3.4437436745227599</v>
      </c>
      <c r="L122" s="3">
        <v>2.7222805294515702</v>
      </c>
      <c r="M122" s="3">
        <v>3.3283902975974402</v>
      </c>
      <c r="N122" s="3">
        <v>5.4402712422490902</v>
      </c>
    </row>
    <row r="125" spans="1:25" x14ac:dyDescent="0.35">
      <c r="A125" s="2" t="s">
        <v>91</v>
      </c>
      <c r="B125" s="3" cm="1">
        <f t="array" ref="B125">MIN(_xlfn._xlws.FILTER(B1:B122, ISNUMBER(B1:B122)))</f>
        <v>2.34637373279039</v>
      </c>
      <c r="C125" s="3" cm="1">
        <f t="array" ref="C125">MIN(_xlfn._xlws.FILTER(C1:C122, ISNUMBER(C1:C122)))</f>
        <v>3.3217216892086001</v>
      </c>
      <c r="D125" s="3" cm="1">
        <f t="array" ref="D125">MIN(_xlfn._xlws.FILTER(D1:D122, ISNUMBER(D1:D122)))</f>
        <v>2.5753467104645198</v>
      </c>
      <c r="E125" s="3" cm="1">
        <f t="array" ref="E125">MIN(_xlfn._xlws.FILTER(E1:E122, ISNUMBER(E1:E122)))</f>
        <v>2.6063371978410701</v>
      </c>
      <c r="F125" s="3" cm="1">
        <f t="array" ref="F125">MIN(_xlfn._xlws.FILTER(F1:F122, ISNUMBER(F1:F122)))</f>
        <v>1.84121609437922</v>
      </c>
      <c r="G125" s="3" cm="1">
        <f t="array" ref="G125">MIN(_xlfn._xlws.FILTER(G1:G122, ISNUMBER(G1:G122)))</f>
        <v>2.5594807639039598</v>
      </c>
      <c r="H125" s="3" cm="1">
        <f t="array" ref="H125">MIN(_xlfn._xlws.FILTER(H1:H122, ISNUMBER(H1:H122)))</f>
        <v>3.76214169445237</v>
      </c>
      <c r="I125" s="3" cm="1">
        <f t="array" ref="I125">MIN(_xlfn._xlws.FILTER(I1:I122, ISNUMBER(I1:I122)))</f>
        <v>0.66544005731105704</v>
      </c>
      <c r="J125" s="3" cm="1">
        <f t="array" ref="J125">MIN(_xlfn._xlws.FILTER(J1:J122, ISNUMBER(J1:J122)))</f>
        <v>1.36897910589167</v>
      </c>
      <c r="K125" s="3" cm="1">
        <f t="array" ref="K125">MIN(_xlfn._xlws.FILTER(K1:K122, ISNUMBER(K1:K122)))</f>
        <v>2.64147299461166</v>
      </c>
      <c r="L125" s="3" cm="1">
        <f t="array" ref="L125">MIN(_xlfn._xlws.FILTER(L1:L122, ISNUMBER(L1:L122)))</f>
        <v>1.8414794238991901</v>
      </c>
      <c r="M125" s="3" cm="1">
        <f t="array" ref="M125">MIN(_xlfn._xlws.FILTER(M1:M122, ISNUMBER(M1:M122)))</f>
        <v>2.65314973214854</v>
      </c>
      <c r="N125" s="3" cm="1">
        <f t="array" ref="N125">MIN(_xlfn._xlws.FILTER(N1:N122, ISNUMBER(N1:N122)))</f>
        <v>3.0821105234421502</v>
      </c>
    </row>
    <row r="126" spans="1:25" x14ac:dyDescent="0.35">
      <c r="A126" s="2" t="s">
        <v>92</v>
      </c>
      <c r="B126" s="3" cm="1">
        <f t="array" ref="B126">MAX(_xlfn._xlws.FILTER(B1:B122, ISNUMBER(B1:B122)))</f>
        <v>5.2085097318845603</v>
      </c>
      <c r="C126" s="3" cm="1">
        <f t="array" ref="C126">MAX(_xlfn._xlws.FILTER(C1:C122, ISNUMBER(C1:C122)))</f>
        <v>5.53075056602282</v>
      </c>
      <c r="D126" s="3" cm="1">
        <f t="array" ref="D126">MAX(_xlfn._xlws.FILTER(D1:D122, ISNUMBER(D1:D122)))</f>
        <v>4.6557911368952398</v>
      </c>
      <c r="E126" s="3" cm="1">
        <f t="array" ref="E126">MAX(_xlfn._xlws.FILTER(E1:E122, ISNUMBER(E1:E122)))</f>
        <v>4.4728190515747901</v>
      </c>
      <c r="F126" s="3" cm="1">
        <f t="array" ref="F126">MAX(_xlfn._xlws.FILTER(F1:F122, ISNUMBER(F1:F122)))</f>
        <v>3.1281787762960498</v>
      </c>
      <c r="G126" s="3" cm="1">
        <f t="array" ref="G126">MAX(_xlfn._xlws.FILTER(G1:G122, ISNUMBER(G1:G122)))</f>
        <v>3.8981770799863602</v>
      </c>
      <c r="H126" s="3" cm="1">
        <f t="array" ref="H126">MAX(_xlfn._xlws.FILTER(H1:H122, ISNUMBER(H1:H122)))</f>
        <v>6.7696936256728097</v>
      </c>
      <c r="I126" s="3" cm="1">
        <f t="array" ref="I126">MAX(_xlfn._xlws.FILTER(I1:I122, ISNUMBER(I1:I122)))</f>
        <v>1.4698693982285</v>
      </c>
      <c r="J126" s="3" cm="1">
        <f t="array" ref="J126">MAX(_xlfn._xlws.FILTER(J1:J122, ISNUMBER(J1:J122)))</f>
        <v>2.55958609559482</v>
      </c>
      <c r="K126" s="3" cm="1">
        <f t="array" ref="K126">MAX(_xlfn._xlws.FILTER(K1:K122, ISNUMBER(K1:K122)))</f>
        <v>4.8453572062619497</v>
      </c>
      <c r="L126" s="3" cm="1">
        <f t="array" ref="L126">MAX(_xlfn._xlws.FILTER(L1:L122, ISNUMBER(L1:L122)))</f>
        <v>3.6652251326370102</v>
      </c>
      <c r="M126" s="3" cm="1">
        <f t="array" ref="M126">MAX(_xlfn._xlws.FILTER(M1:M122, ISNUMBER(M1:M122)))</f>
        <v>4.7677039955204901</v>
      </c>
      <c r="N126" s="3" cm="1">
        <f t="array" ref="N126">MAX(_xlfn._xlws.FILTER(N1:N122, ISNUMBER(N1:N122)))</f>
        <v>7.3421265969974803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0.26200000000000001</v>
      </c>
      <c r="C128" s="9" cm="1">
        <f t="array" ref="C128">_xlfn.PERCENTRANK.EXC(_xlfn._xlws.FILTER(C1:C122, ISNUMBER(C1:C122)),C122)</f>
        <v>8.1000000000000003E-2</v>
      </c>
      <c r="D128" s="9" cm="1">
        <f t="array" ref="D128">_xlfn.PERCENTRANK.EXC(_xlfn._xlws.FILTER(D1:D122, ISNUMBER(D1:D122)),D122)</f>
        <v>0.50800000000000001</v>
      </c>
      <c r="E128" s="9" cm="1">
        <f t="array" ref="E128">_xlfn.PERCENTRANK.EXC(_xlfn._xlws.FILTER(E1:E122, ISNUMBER(E1:E122)),E122)</f>
        <v>0.65500000000000003</v>
      </c>
      <c r="F128" s="9" cm="1">
        <f t="array" ref="F128">_xlfn.PERCENTRANK.EXC(_xlfn._xlws.FILTER(F1:F122, ISNUMBER(F1:F122)),F122)</f>
        <v>0.72899999999999998</v>
      </c>
      <c r="G128" s="9" cm="1">
        <f t="array" ref="G128">_xlfn.PERCENTRANK.EXC(_xlfn._xlws.FILTER(G1:G122, ISNUMBER(G1:G122)),G122)</f>
        <v>0.40899999999999997</v>
      </c>
      <c r="H128" s="9" cm="1">
        <f t="array" ref="H128">_xlfn.PERCENTRANK.EXC(_xlfn._xlws.FILTER(H1:H122, ISNUMBER(H1:H122)),H122)</f>
        <v>0.122</v>
      </c>
      <c r="I128" s="9" cm="1">
        <f t="array" ref="I128">_xlfn.PERCENTRANK.EXC(_xlfn._xlws.FILTER(I1:I122, ISNUMBER(I1:I122)),I122)</f>
        <v>0.20399999999999999</v>
      </c>
      <c r="J128" s="9" cm="1">
        <f t="array" ref="J128">_xlfn.PERCENTRANK.EXC(_xlfn._xlws.FILTER(J1:J122, ISNUMBER(J1:J122)),J122)</f>
        <v>0.04</v>
      </c>
      <c r="K128" s="9" cm="1">
        <f t="array" ref="K128">_xlfn.PERCENTRANK.EXC(_xlfn._xlws.FILTER(K1:K122, ISNUMBER(K1:K122)),K122)</f>
        <v>0.60599999999999998</v>
      </c>
      <c r="L128" s="9" cm="1">
        <f t="array" ref="L128">_xlfn.PERCENTRANK.EXC(_xlfn._xlws.FILTER(L1:L122, ISNUMBER(L1:L122)),L122)</f>
        <v>0.40899999999999997</v>
      </c>
      <c r="M128" s="9" cm="1">
        <f t="array" ref="M128">_xlfn.PERCENTRANK.EXC(_xlfn._xlws.FILTER(M1:M122, ISNUMBER(M1:M122)),M122)</f>
        <v>0.26200000000000001</v>
      </c>
      <c r="N128" s="9" cm="1">
        <f t="array" ref="N128">_xlfn.PERCENTRANK.EXC(_xlfn._xlws.FILTER(N1:N122, ISNUMBER(N1:N122)),N122)</f>
        <v>0.86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41894</v>
      </c>
      <c r="B2" s="24" cm="1">
        <f t="array" ref="B2:B122">_xll.FDS(B1,"FG_TOTAL_RETURNC(-10AY,0,AM)")/100</f>
        <v>2.5227070000000003E-3</v>
      </c>
      <c r="C2" s="24" cm="1">
        <f t="array" ref="C2:C122">_xll.FDS(C1,"FG_TOTAL_RETURNC(-10AY,0,AM)")/100</f>
        <v>-1.2576222E-2</v>
      </c>
      <c r="D2" s="24" cm="1">
        <f t="array" ref="D2:D122">_xll.FDS(D1,"FG_TOTAL_RETURNC(-10AY,0,AM)")/100</f>
        <v>8.1453323000000005E-3</v>
      </c>
      <c r="E2" s="24" cm="1">
        <f t="array" ref="E2:E122">_xll.FDS(E1,"FG_TOTAL_RETURNC(-10AY,0,AM)")/100</f>
        <v>2.4769902E-2</v>
      </c>
      <c r="F2" s="24" cm="1">
        <f t="array" ref="F2:F122">_xll.FDS(F1,"FG_TOTAL_RETURNC(-10AY,0,AM)")/100</f>
        <v>-3.3812523000000001E-3</v>
      </c>
      <c r="G2" s="24" cm="1">
        <f t="array" ref="G2:G122">_xll.FDS(G1,"FG_TOTAL_RETURNC(-10AY,0,AM)")/100</f>
        <v>1.9283771999999998E-2</v>
      </c>
      <c r="H2" s="24" cm="1">
        <f t="array" ref="H2:H122">_xll.FDS(H1,"FG_TOTAL_RETURNC(-10AY,0,AM)")/100</f>
        <v>-5.4616930000000001E-3</v>
      </c>
      <c r="I2" s="24" cm="1">
        <f t="array" ref="I2:I122">_xll.FDS(I1,"FG_TOTAL_RETURNC(-10AY,0,AM)")/100</f>
        <v>4.2548776000000003E-2</v>
      </c>
      <c r="J2" s="24" cm="1">
        <f t="array" ref="J2:J122">_xll.FDS(J1,"FG_TOTAL_RETURNC(-10AY,0,AM)")/100</f>
        <v>2.8936147999999998E-2</v>
      </c>
      <c r="K2" s="24" cm="1">
        <f t="array" ref="K2:K122">_xll.FDS(K1,"FG_TOTAL_RETURNC(-10AY,0,AM)")/100</f>
        <v>2.8026938000000001E-2</v>
      </c>
      <c r="L2" s="24" cm="1">
        <f t="array" ref="L2:L122">_xll.FDS(L1,"FG_TOTAL_RETURNC(-10AY,0,AM)")/100</f>
        <v>3.7489413999999999E-2</v>
      </c>
      <c r="M2" s="24" cm="1">
        <f t="array" ref="M2:M122">_xll.FDS(M1,"FG_TOTAL_RETURNC(-10AY,0,AM)")/100</f>
        <v>-1.0995626000000001E-2</v>
      </c>
      <c r="N2" s="24" cm="1">
        <f t="array" ref="N2:N122">_xll.FDS(N1,"FG_TOTAL_RETURNC(-10AY,0,AM)")/100</f>
        <v>4.6632170000000001E-2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41922</v>
      </c>
      <c r="B3" s="24">
        <v>-4.1268349999999995E-2</v>
      </c>
      <c r="C3" s="24">
        <v>-0.105364685</v>
      </c>
      <c r="D3" s="24">
        <v>-9.3847090000000008E-2</v>
      </c>
      <c r="E3" s="24">
        <v>-0.11187844999999999</v>
      </c>
      <c r="F3" s="24">
        <v>-6.5309524999999993E-2</v>
      </c>
      <c r="G3" s="24">
        <v>-8.0780740000000004E-2</v>
      </c>
      <c r="H3" s="24">
        <v>-8.2875669999999999E-2</v>
      </c>
      <c r="I3" s="24">
        <v>-4.8405530000000002E-2</v>
      </c>
      <c r="J3" s="24">
        <v>-3.8659989999999998E-2</v>
      </c>
      <c r="K3" s="24">
        <v>-0.10796070000000001</v>
      </c>
      <c r="L3" s="24">
        <v>-7.4705599999999997E-2</v>
      </c>
      <c r="M3" s="24">
        <v>-8.1730730000000001E-2</v>
      </c>
      <c r="N3" s="24">
        <v>-0.10891092000000001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41955</v>
      </c>
      <c r="B4" s="24">
        <v>7.5065613000000003E-2</v>
      </c>
      <c r="C4" s="24">
        <v>7.5927495999999997E-2</v>
      </c>
      <c r="D4" s="24">
        <v>3.737998E-2</v>
      </c>
      <c r="E4" s="24">
        <v>4.0046689999999996E-2</v>
      </c>
      <c r="F4" s="24">
        <v>5.8983684000000002E-2</v>
      </c>
      <c r="G4" s="24">
        <v>5.6517480000000002E-2</v>
      </c>
      <c r="H4" s="24">
        <v>3.3206223999999999E-2</v>
      </c>
      <c r="I4" s="24">
        <v>8.49216E-2</v>
      </c>
      <c r="J4" s="24">
        <v>7.0431469999999996E-2</v>
      </c>
      <c r="K4" s="24">
        <v>2.2819877000000002E-2</v>
      </c>
      <c r="L4" s="24">
        <v>4.5195220000000001E-2</v>
      </c>
      <c r="M4" s="24">
        <v>6.8717239999999999E-2</v>
      </c>
      <c r="N4" s="24">
        <v>-2.4999976E-2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41985</v>
      </c>
      <c r="B5" s="24">
        <v>-1.5380799999999998E-2</v>
      </c>
      <c r="C5" s="24">
        <v>-0.10866081</v>
      </c>
      <c r="D5" s="24">
        <v>-9.4214920000000008E-2</v>
      </c>
      <c r="E5" s="24">
        <v>3.3270954999999998E-2</v>
      </c>
      <c r="F5" s="24">
        <v>-2.6563883E-2</v>
      </c>
      <c r="G5" s="24">
        <v>-8.9672803999999995E-3</v>
      </c>
      <c r="H5" s="24">
        <v>-6.2697530000000001E-2</v>
      </c>
      <c r="I5" s="24">
        <v>2.0495652999999998E-3</v>
      </c>
      <c r="J5" s="24">
        <v>-1.5052019999999999E-2</v>
      </c>
      <c r="K5" s="24">
        <v>-1.8725156999999999E-2</v>
      </c>
      <c r="L5" s="24">
        <v>2.5188923000000001E-3</v>
      </c>
      <c r="M5" s="24">
        <v>-1.5003085000000001E-2</v>
      </c>
      <c r="N5" s="24">
        <v>-2.1367549999999999E-2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42016</v>
      </c>
      <c r="B6" s="24">
        <v>2.8052568E-2</v>
      </c>
      <c r="C6" s="24">
        <v>3.2958864999999997E-2</v>
      </c>
      <c r="D6" s="24">
        <v>6.4091679999999998E-3</v>
      </c>
      <c r="E6" s="24">
        <v>-2.6410996999999999E-2</v>
      </c>
      <c r="F6" s="24">
        <v>-1.8022716000000001E-2</v>
      </c>
      <c r="G6" s="24">
        <v>-1.7160654000000001E-2</v>
      </c>
      <c r="H6" s="24">
        <v>4.2608975999999998E-3</v>
      </c>
      <c r="I6" s="24">
        <v>-7.2411300000000001E-3</v>
      </c>
      <c r="J6" s="24">
        <v>1.4304519E-2</v>
      </c>
      <c r="K6" s="24">
        <v>-1.7332375000000001E-2</v>
      </c>
      <c r="L6" s="24">
        <v>-2.5169074999999999E-2</v>
      </c>
      <c r="M6" s="24">
        <v>-4.0879009999999993E-2</v>
      </c>
      <c r="N6" s="24">
        <v>-5.6808949999999997E-2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42047</v>
      </c>
      <c r="B7" s="24">
        <v>-1.4877319E-2</v>
      </c>
      <c r="C7" s="24">
        <v>2.2931694999999998E-2</v>
      </c>
      <c r="D7" s="24">
        <v>2.867639E-2</v>
      </c>
      <c r="E7" s="24">
        <v>8.5098505000000005E-2</v>
      </c>
      <c r="F7" s="24">
        <v>6.3119889999999998E-2</v>
      </c>
      <c r="G7" s="24">
        <v>4.1269780000000006E-2</v>
      </c>
      <c r="H7" s="24">
        <v>7.4200870000000002E-2</v>
      </c>
      <c r="I7" s="24">
        <v>4.3820740000000004E-2</v>
      </c>
      <c r="J7" s="24">
        <v>3.0940056000000001E-2</v>
      </c>
      <c r="K7" s="24">
        <v>9.003746E-2</v>
      </c>
      <c r="L7" s="24">
        <v>7.0277094999999998E-2</v>
      </c>
      <c r="M7" s="24">
        <v>8.4884169999999995E-2</v>
      </c>
      <c r="N7" s="24">
        <v>0.11810409999999999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42075</v>
      </c>
      <c r="B8" s="24">
        <v>1.1527776999999999E-2</v>
      </c>
      <c r="C8" s="24">
        <v>1.5824199000000001E-2</v>
      </c>
      <c r="D8" s="24">
        <v>-4.2530354999999999E-2</v>
      </c>
      <c r="E8" s="24">
        <v>2.3972988000000002E-3</v>
      </c>
      <c r="F8" s="24">
        <v>5.7676076999999999E-2</v>
      </c>
      <c r="G8" s="24">
        <v>-1.3109744000000001E-2</v>
      </c>
      <c r="H8" s="24">
        <v>-3.9319872999999998E-2</v>
      </c>
      <c r="I8" s="24">
        <v>-1.886785E-3</v>
      </c>
      <c r="J8" s="24">
        <v>-8.7114570000000006E-3</v>
      </c>
      <c r="K8" s="24">
        <v>-2.3709357E-2</v>
      </c>
      <c r="L8" s="24">
        <v>1.3290405E-2</v>
      </c>
      <c r="M8" s="24">
        <v>-6.0188769999999997E-4</v>
      </c>
      <c r="N8" s="24">
        <v>3.4745932000000003E-3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42104</v>
      </c>
      <c r="B9" s="24">
        <v>1.1085391E-2</v>
      </c>
      <c r="C9" s="24">
        <v>1.9039273000000002E-2</v>
      </c>
      <c r="D9" s="24">
        <v>5.4497957E-2</v>
      </c>
      <c r="E9" s="24">
        <v>4.3730735999999999E-2</v>
      </c>
      <c r="F9" s="24">
        <v>3.7690399999999999E-2</v>
      </c>
      <c r="G9" s="24">
        <v>6.3021300000000002E-2</v>
      </c>
      <c r="H9" s="24">
        <v>3.0420302999999999E-2</v>
      </c>
      <c r="I9" s="24">
        <v>2.0758747999999997E-2</v>
      </c>
      <c r="J9" s="24">
        <v>1.8682599000000001E-2</v>
      </c>
      <c r="K9" s="24">
        <v>4.7786830000000002E-2</v>
      </c>
      <c r="L9" s="24">
        <v>3.4578680000000001E-2</v>
      </c>
      <c r="M9" s="24">
        <v>1.1442423E-2</v>
      </c>
      <c r="N9" s="24">
        <v>4.5013905E-2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42136</v>
      </c>
      <c r="B10" s="24">
        <v>-3.8231910000000001E-2</v>
      </c>
      <c r="C10" s="24">
        <v>-2.0806789999999999E-2</v>
      </c>
      <c r="D10" s="24">
        <v>2.0884990000000003E-2</v>
      </c>
      <c r="E10" s="24">
        <v>-2.3240566000000001E-2</v>
      </c>
      <c r="F10" s="24">
        <v>-1.1591315E-3</v>
      </c>
      <c r="G10" s="24">
        <v>2.0052314000000002E-2</v>
      </c>
      <c r="H10" s="24">
        <v>5.2603364E-2</v>
      </c>
      <c r="I10" s="24">
        <v>2.7835370000000003E-4</v>
      </c>
      <c r="J10" s="24">
        <v>-2.8562546000000002E-4</v>
      </c>
      <c r="K10" s="24">
        <v>1.1214972E-2</v>
      </c>
      <c r="L10" s="24">
        <v>1.8440247E-2</v>
      </c>
      <c r="M10" s="24">
        <v>4.4656992000000001E-3</v>
      </c>
      <c r="N10" s="24">
        <v>2.4519563000000001E-2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42167</v>
      </c>
      <c r="B11" s="24">
        <v>-3.6079943000000003E-2</v>
      </c>
      <c r="C11" s="24">
        <v>-4.9869894999999997E-2</v>
      </c>
      <c r="D11" s="24">
        <v>-4.4382810000000002E-2</v>
      </c>
      <c r="E11" s="24">
        <v>-2.1447718000000001E-2</v>
      </c>
      <c r="F11" s="24">
        <v>2.7079582000000004E-3</v>
      </c>
      <c r="G11" s="24">
        <v>-6.2677263999999996E-3</v>
      </c>
      <c r="H11" s="24">
        <v>-2.4477362999999999E-2</v>
      </c>
      <c r="I11" s="24">
        <v>8.9998244999999998E-3</v>
      </c>
      <c r="J11" s="24">
        <v>1.4281273000000001E-4</v>
      </c>
      <c r="K11" s="24">
        <v>-2.9574633000000001E-3</v>
      </c>
      <c r="L11" s="24">
        <v>-5.6582092999999997E-3</v>
      </c>
      <c r="M11" s="24">
        <v>2.4303436000000001E-2</v>
      </c>
      <c r="N11" s="24">
        <v>5.8214664000000001E-3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42195</v>
      </c>
      <c r="B12" s="24">
        <v>-6.0999869999999998E-2</v>
      </c>
      <c r="C12" s="24">
        <v>-3.2330274999999999E-2</v>
      </c>
      <c r="D12" s="24">
        <v>-4.7878685000000004E-2</v>
      </c>
      <c r="E12" s="24">
        <v>6.5538883000000004E-3</v>
      </c>
      <c r="F12" s="24">
        <v>-1.8219769E-2</v>
      </c>
      <c r="G12" s="24">
        <v>-1.9480585999999999E-3</v>
      </c>
      <c r="H12" s="24">
        <v>-1.9565642000000001E-2</v>
      </c>
      <c r="I12" s="24">
        <v>-7.8254339999999992E-3</v>
      </c>
      <c r="J12" s="24">
        <v>-7.2196719999999999E-3</v>
      </c>
      <c r="K12" s="24">
        <v>-4.1967033999999997E-3</v>
      </c>
      <c r="L12" s="24">
        <v>8.3248615000000008E-3</v>
      </c>
      <c r="M12" s="24">
        <v>-3.1611443000000003E-2</v>
      </c>
      <c r="N12" s="24">
        <v>1.2573004E-3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42228</v>
      </c>
      <c r="B13" s="24">
        <v>-4.6403408E-3</v>
      </c>
      <c r="C13" s="24">
        <v>-3.6231874999999997E-2</v>
      </c>
      <c r="D13" s="24">
        <v>-2.1889447999999999E-2</v>
      </c>
      <c r="E13" s="24">
        <v>-2.4575949E-2</v>
      </c>
      <c r="F13" s="24">
        <v>1.2638211E-2</v>
      </c>
      <c r="G13" s="24">
        <v>-1.9999981E-2</v>
      </c>
      <c r="H13" s="24">
        <v>-1.6286969000000001E-3</v>
      </c>
      <c r="I13" s="24">
        <v>2.6660441999999999E-2</v>
      </c>
      <c r="J13" s="24">
        <v>6.9404840000000002E-3</v>
      </c>
      <c r="K13" s="24">
        <v>1.3252616E-2</v>
      </c>
      <c r="L13" s="24">
        <v>-4.1872860000000001E-3</v>
      </c>
      <c r="M13" s="24">
        <v>-1.9795894999999997E-2</v>
      </c>
      <c r="N13" s="24">
        <v>2.2875785999999999E-2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42258</v>
      </c>
      <c r="B14" s="24">
        <v>-7.0804175999999996E-2</v>
      </c>
      <c r="C14" s="24">
        <v>-8.1203040000000004E-2</v>
      </c>
      <c r="D14" s="24">
        <v>-7.9701543E-2</v>
      </c>
      <c r="E14" s="24">
        <v>-6.0326519999999995E-2</v>
      </c>
      <c r="F14" s="24">
        <v>-8.4243354999999992E-2</v>
      </c>
      <c r="G14" s="24">
        <v>-4.6518563999999998E-2</v>
      </c>
      <c r="H14" s="24">
        <v>-7.8303337000000001E-2</v>
      </c>
      <c r="I14" s="24">
        <v>-4.4788240000000007E-2</v>
      </c>
      <c r="J14" s="24">
        <v>-5.8299779999999995E-2</v>
      </c>
      <c r="K14" s="24">
        <v>-6.7638216000000001E-2</v>
      </c>
      <c r="L14" s="24">
        <v>-7.6834860000000005E-2</v>
      </c>
      <c r="M14" s="24">
        <v>-1.9564569E-2</v>
      </c>
      <c r="N14" s="24">
        <v>-4.9201249999999995E-2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42289</v>
      </c>
      <c r="B15" s="24">
        <v>7.3063729999999993E-2</v>
      </c>
      <c r="C15" s="24">
        <v>6.7648650000000005E-2</v>
      </c>
      <c r="D15" s="24">
        <v>5.3754330000000003E-2</v>
      </c>
      <c r="E15" s="24">
        <v>-9.0634227000000005E-3</v>
      </c>
      <c r="F15" s="24">
        <v>3.2367944999999995E-2</v>
      </c>
      <c r="G15" s="24">
        <v>2.8328895999999997E-3</v>
      </c>
      <c r="H15" s="24">
        <v>3.3038259E-2</v>
      </c>
      <c r="I15" s="24">
        <v>1.4052986999999999E-2</v>
      </c>
      <c r="J15" s="24">
        <v>2.9711843000000002E-2</v>
      </c>
      <c r="K15" s="24">
        <v>2.7254462E-2</v>
      </c>
      <c r="L15" s="24">
        <v>9.9378824000000004E-3</v>
      </c>
      <c r="M15" s="24">
        <v>9.6559524999999995E-4</v>
      </c>
      <c r="N15" s="24">
        <v>1.0752678E-2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42320</v>
      </c>
      <c r="B16" s="24">
        <v>2.6008130000000001E-2</v>
      </c>
      <c r="C16" s="24">
        <v>-6.2340260000000002E-2</v>
      </c>
      <c r="D16" s="24">
        <v>-7.7732799999999991E-2</v>
      </c>
      <c r="E16" s="24">
        <v>2.6676654999999998E-3</v>
      </c>
      <c r="F16" s="24">
        <v>2.3927330000000004E-2</v>
      </c>
      <c r="G16" s="24">
        <v>-2.9504120000000002E-2</v>
      </c>
      <c r="H16" s="24">
        <v>-4.3358144999999994E-2</v>
      </c>
      <c r="I16" s="24">
        <v>4.9161910000000003E-2</v>
      </c>
      <c r="J16" s="24">
        <v>1.6474724E-2</v>
      </c>
      <c r="K16" s="24">
        <v>-2.1849394000000001E-2</v>
      </c>
      <c r="L16" s="24">
        <v>8.6101293999999995E-3</v>
      </c>
      <c r="M16" s="24">
        <v>-5.2411612999999996E-2</v>
      </c>
      <c r="N16" s="24">
        <v>-6.6489339999999994E-2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42349</v>
      </c>
      <c r="B17" s="24">
        <v>2.9051542E-2</v>
      </c>
      <c r="C17" s="24">
        <v>-1.4168978E-2</v>
      </c>
      <c r="D17" s="24">
        <v>-5.3116799999999999E-2</v>
      </c>
      <c r="E17" s="24">
        <v>-2.0144402999999998E-2</v>
      </c>
      <c r="F17" s="24">
        <v>-3.2232046E-2</v>
      </c>
      <c r="G17" s="24">
        <v>-1.3260007000000001E-2</v>
      </c>
      <c r="H17" s="24">
        <v>-3.4075915999999998E-2</v>
      </c>
      <c r="I17" s="24">
        <v>-1.1156737999999999E-2</v>
      </c>
      <c r="J17" s="24">
        <v>-1.4450251999999999E-2</v>
      </c>
      <c r="K17" s="24">
        <v>-3.9888322000000004E-2</v>
      </c>
      <c r="L17" s="24">
        <v>-4.1463429999999996E-2</v>
      </c>
      <c r="M17" s="24">
        <v>-4.0040674000000005E-2</v>
      </c>
      <c r="N17" s="24">
        <v>-2.2079825000000001E-2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42381</v>
      </c>
      <c r="B18" s="24">
        <v>-1.0214806E-2</v>
      </c>
      <c r="C18" s="24">
        <v>-2.7192055999999999E-2</v>
      </c>
      <c r="D18" s="24">
        <v>-6.8651619999999997E-2</v>
      </c>
      <c r="E18" s="24">
        <v>-3.5298644999999997E-2</v>
      </c>
      <c r="F18" s="24">
        <v>-3.8848519999999997E-2</v>
      </c>
      <c r="G18" s="24">
        <v>-2.9498517999999998E-2</v>
      </c>
      <c r="H18" s="24">
        <v>-5.0005198000000001E-2</v>
      </c>
      <c r="I18" s="24">
        <v>-4.4417739999999997E-2</v>
      </c>
      <c r="J18" s="24">
        <v>-3.4902809999999999E-2</v>
      </c>
      <c r="K18" s="24">
        <v>-3.8480997000000003E-2</v>
      </c>
      <c r="L18" s="24">
        <v>-2.2012054999999999E-2</v>
      </c>
      <c r="M18" s="24">
        <v>-2.9538869999999998E-2</v>
      </c>
      <c r="N18" s="24">
        <v>-5.0307155000000006E-2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42412</v>
      </c>
      <c r="B19" s="24">
        <v>-1.5673935E-2</v>
      </c>
      <c r="C19" s="24">
        <v>-1.0514021E-2</v>
      </c>
      <c r="D19" s="24">
        <v>2.9767869999999998E-2</v>
      </c>
      <c r="E19" s="24">
        <v>-7.0365906000000006E-2</v>
      </c>
      <c r="F19" s="24">
        <v>-9.1623070000000001E-2</v>
      </c>
      <c r="G19" s="24">
        <v>-4.8632264000000001E-2</v>
      </c>
      <c r="H19" s="24">
        <v>-2.8533458999999997E-2</v>
      </c>
      <c r="I19" s="24">
        <v>-7.1252639999999992E-2</v>
      </c>
      <c r="J19" s="24">
        <v>-3.6304652999999999E-2</v>
      </c>
      <c r="K19" s="24">
        <v>-5.1170883E-2</v>
      </c>
      <c r="L19" s="24">
        <v>-5.2356059999999996E-2</v>
      </c>
      <c r="M19" s="24">
        <v>-3.6456406000000004E-2</v>
      </c>
      <c r="N19" s="24">
        <v>-0.14846158000000001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42440</v>
      </c>
      <c r="B20" s="24">
        <v>0.12101912499999999</v>
      </c>
      <c r="C20" s="24">
        <v>0.16706026000000002</v>
      </c>
      <c r="D20" s="24">
        <v>0.14600682000000001</v>
      </c>
      <c r="E20" s="24">
        <v>8.6072679999999999E-2</v>
      </c>
      <c r="F20" s="24">
        <v>0.10758888000000001</v>
      </c>
      <c r="G20" s="24">
        <v>5.7152987000000002E-2</v>
      </c>
      <c r="H20" s="24">
        <v>7.1721314999999994E-2</v>
      </c>
      <c r="I20" s="24">
        <v>8.6411000000000002E-2</v>
      </c>
      <c r="J20" s="24">
        <v>8.6427690000000001E-2</v>
      </c>
      <c r="K20" s="24">
        <v>0.11106038</v>
      </c>
      <c r="L20" s="24">
        <v>0.11924493999999999</v>
      </c>
      <c r="M20" s="24">
        <v>0.11350739000000001</v>
      </c>
      <c r="N20" s="24">
        <v>0.14272809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42472</v>
      </c>
      <c r="B21" s="24">
        <v>6.4566134999999997E-2</v>
      </c>
      <c r="C21" s="24">
        <v>-2.9337347E-2</v>
      </c>
      <c r="D21" s="24">
        <v>3.8050531999999998E-2</v>
      </c>
      <c r="E21" s="24">
        <v>1.2743949999999999E-2</v>
      </c>
      <c r="F21" s="24">
        <v>-8.6724760000000001E-4</v>
      </c>
      <c r="G21" s="24">
        <v>1.3095974999999999E-2</v>
      </c>
      <c r="H21" s="24">
        <v>1.0834931999999999E-2</v>
      </c>
      <c r="I21" s="24">
        <v>3.1403303E-2</v>
      </c>
      <c r="J21" s="24">
        <v>2.0800589999999997E-2</v>
      </c>
      <c r="K21" s="24">
        <v>-9.8724959999999997E-3</v>
      </c>
      <c r="L21" s="24">
        <v>9.4611645000000008E-3</v>
      </c>
      <c r="M21" s="24">
        <v>1.8008827999999998E-2</v>
      </c>
      <c r="N21" s="24">
        <v>-6.6403092999999996E-2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42502</v>
      </c>
      <c r="B22" s="24">
        <v>9.2188119999999998E-3</v>
      </c>
      <c r="C22" s="24">
        <v>2.5534153E-2</v>
      </c>
      <c r="D22" s="24">
        <v>5.3541660000000005E-3</v>
      </c>
      <c r="E22" s="24">
        <v>7.0782900000000001E-3</v>
      </c>
      <c r="F22" s="24">
        <v>1.4756918000000001E-2</v>
      </c>
      <c r="G22" s="24">
        <v>2.3201704E-3</v>
      </c>
      <c r="H22" s="24">
        <v>-4.4136047000000005E-3</v>
      </c>
      <c r="I22" s="24">
        <v>-3.3056377999999997E-2</v>
      </c>
      <c r="J22" s="24">
        <v>3.1080246000000002E-3</v>
      </c>
      <c r="K22" s="24">
        <v>7.8936815000000011E-3</v>
      </c>
      <c r="L22" s="24">
        <v>-1.0289371E-2</v>
      </c>
      <c r="M22" s="24">
        <v>-3.5714269E-2</v>
      </c>
      <c r="N22" s="24">
        <v>1.7781496000000001E-2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42531</v>
      </c>
      <c r="B23" s="24">
        <v>3.8942337E-2</v>
      </c>
      <c r="C23" s="24">
        <v>-1.2703239999999999E-2</v>
      </c>
      <c r="D23" s="24">
        <v>2.6218772000000001E-2</v>
      </c>
      <c r="E23" s="24">
        <v>-1.79618E-2</v>
      </c>
      <c r="F23" s="24">
        <v>-3.4217238000000001E-3</v>
      </c>
      <c r="G23" s="24">
        <v>-6.6137314000000002E-4</v>
      </c>
      <c r="H23" s="24">
        <v>-1.0132967999999999E-2</v>
      </c>
      <c r="I23" s="24">
        <v>2.8803467999999999E-2</v>
      </c>
      <c r="J23" s="24">
        <v>1.6992687999999999E-2</v>
      </c>
      <c r="K23" s="24">
        <v>-1.3602613999999999E-2</v>
      </c>
      <c r="L23" s="24">
        <v>-6.8965553999999997E-3</v>
      </c>
      <c r="M23" s="24">
        <v>-1.3845623E-2</v>
      </c>
      <c r="N23" s="24">
        <v>-3.0782104000000001E-2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42563</v>
      </c>
      <c r="B24" s="24">
        <v>6.4303636999999997E-2</v>
      </c>
      <c r="C24" s="24">
        <v>5.8023569999999997E-2</v>
      </c>
      <c r="D24" s="24">
        <v>8.7459089999999996E-3</v>
      </c>
      <c r="E24" s="24">
        <v>-5.838752E-3</v>
      </c>
      <c r="F24" s="24">
        <v>3.129506E-2</v>
      </c>
      <c r="G24" s="24">
        <v>4.8794746000000002E-3</v>
      </c>
      <c r="H24" s="24">
        <v>1.4186859000000001E-2</v>
      </c>
      <c r="I24" s="24">
        <v>2.6162148E-2</v>
      </c>
      <c r="J24" s="24">
        <v>2.8573632000000002E-2</v>
      </c>
      <c r="K24" s="24">
        <v>-9.3670489999999988E-3</v>
      </c>
      <c r="L24" s="24">
        <v>-1.9188284999999999E-2</v>
      </c>
      <c r="M24" s="24">
        <v>9.1171264999999997E-4</v>
      </c>
      <c r="N24" s="24">
        <v>-2.8008997000000001E-2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42594</v>
      </c>
      <c r="B25" s="24">
        <v>2.3558020000000002E-2</v>
      </c>
      <c r="C25" s="24">
        <v>2.9107094E-2</v>
      </c>
      <c r="D25" s="24">
        <v>2.6326299000000001E-2</v>
      </c>
      <c r="E25" s="24">
        <v>8.5620639999999998E-2</v>
      </c>
      <c r="F25" s="24">
        <v>3.4395932999999997E-2</v>
      </c>
      <c r="G25" s="24">
        <v>3.8877606000000002E-2</v>
      </c>
      <c r="H25" s="24">
        <v>1.8099546000000001E-2</v>
      </c>
      <c r="I25" s="24">
        <v>5.1215289999999997E-2</v>
      </c>
      <c r="J25" s="24">
        <v>1.6329408E-2</v>
      </c>
      <c r="K25" s="24">
        <v>4.7598359999999999E-2</v>
      </c>
      <c r="L25" s="24">
        <v>5.5317400000000003E-2</v>
      </c>
      <c r="M25" s="24">
        <v>5.2861810000000002E-2</v>
      </c>
      <c r="N25" s="24">
        <v>2.4523139999999999E-2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42625</v>
      </c>
      <c r="B26" s="24">
        <v>1.3551235E-2</v>
      </c>
      <c r="C26" s="24">
        <v>-4.314482E-2</v>
      </c>
      <c r="D26" s="24">
        <v>-1.1270881E-2</v>
      </c>
      <c r="E26" s="24">
        <v>-9.4339850000000006E-3</v>
      </c>
      <c r="F26" s="24">
        <v>8.1102850000000001E-3</v>
      </c>
      <c r="G26" s="24">
        <v>3.2544136000000002E-4</v>
      </c>
      <c r="H26" s="24">
        <v>1.0158777000000001E-2</v>
      </c>
      <c r="I26" s="24">
        <v>-7.4231625000000002E-3</v>
      </c>
      <c r="J26" s="24">
        <v>-9.7043514000000001E-3</v>
      </c>
      <c r="K26" s="24">
        <v>5.3697824000000002E-3</v>
      </c>
      <c r="L26" s="24">
        <v>6.5014360000000002E-3</v>
      </c>
      <c r="M26" s="24">
        <v>8.3103180000000006E-3</v>
      </c>
      <c r="N26" s="24">
        <v>1.5070915000000001E-2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42655</v>
      </c>
      <c r="B27" s="24">
        <v>-7.5976189999999999E-2</v>
      </c>
      <c r="C27" s="24">
        <v>3.8577199999999999E-2</v>
      </c>
      <c r="D27" s="24">
        <v>-6.6823960000000002E-3</v>
      </c>
      <c r="E27" s="24">
        <v>-1.7904758E-2</v>
      </c>
      <c r="F27" s="24">
        <v>-5.6315660000000002E-3</v>
      </c>
      <c r="G27" s="24">
        <v>-3.1229615000000002E-2</v>
      </c>
      <c r="H27" s="24">
        <v>-4.4625997999999993E-2</v>
      </c>
      <c r="I27" s="24">
        <v>1.1898756E-2</v>
      </c>
      <c r="J27" s="24">
        <v>-7.1470140000000001E-3</v>
      </c>
      <c r="K27" s="24">
        <v>-2.5061666999999999E-2</v>
      </c>
      <c r="L27" s="24">
        <v>-1.0496557E-2</v>
      </c>
      <c r="M27" s="24">
        <v>-3.0219792999999998E-2</v>
      </c>
      <c r="N27" s="24">
        <v>-5.1528397000000004E-2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42685</v>
      </c>
      <c r="B28" s="24">
        <v>-5.7418465999999994E-2</v>
      </c>
      <c r="C28" s="24">
        <v>-1.4471769000000001E-2</v>
      </c>
      <c r="D28" s="24">
        <v>-1.6620516999999998E-2</v>
      </c>
      <c r="E28" s="24">
        <v>-1.1249065000000001E-2</v>
      </c>
      <c r="F28" s="24">
        <v>1.2136698E-3</v>
      </c>
      <c r="G28" s="24">
        <v>-2.0147740000000001E-2</v>
      </c>
      <c r="H28" s="24">
        <v>-9.8683833999999998E-3</v>
      </c>
      <c r="I28" s="24">
        <v>-1.3796568E-2</v>
      </c>
      <c r="J28" s="24">
        <v>1.268065E-2</v>
      </c>
      <c r="K28" s="24">
        <v>-4.6354531999999995E-3</v>
      </c>
      <c r="L28" s="24">
        <v>-2.9783726E-2</v>
      </c>
      <c r="M28" s="24">
        <v>-2.5849820000000003E-2</v>
      </c>
      <c r="N28" s="24">
        <v>1.7035007000000001E-2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42716</v>
      </c>
      <c r="B29" s="24">
        <v>3.9717317000000002E-2</v>
      </c>
      <c r="C29" s="24">
        <v>3.7689686E-2</v>
      </c>
      <c r="D29" s="24">
        <v>8.651913E-2</v>
      </c>
      <c r="E29" s="24">
        <v>2.4323343999999997E-2</v>
      </c>
      <c r="F29" s="24">
        <v>2.525258E-2</v>
      </c>
      <c r="G29" s="24">
        <v>-6.8540573000000007E-3</v>
      </c>
      <c r="H29" s="24">
        <v>3.1561374999999996E-2</v>
      </c>
      <c r="I29" s="24">
        <v>2.7288437000000002E-2</v>
      </c>
      <c r="J29" s="24">
        <v>4.5421004000000001E-2</v>
      </c>
      <c r="K29" s="24">
        <v>3.5562992000000002E-2</v>
      </c>
      <c r="L29" s="24">
        <v>1.2615560999999999E-2</v>
      </c>
      <c r="M29" s="24">
        <v>4.6164990000000003E-2</v>
      </c>
      <c r="N29" s="24">
        <v>6.7903995999999994E-2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42747</v>
      </c>
      <c r="B30" s="24">
        <v>1.6605139000000001E-2</v>
      </c>
      <c r="C30" s="24">
        <v>4.2237042999999995E-2</v>
      </c>
      <c r="D30" s="24">
        <v>9.9917649999999997E-3</v>
      </c>
      <c r="E30" s="24">
        <v>3.4058690000000003E-2</v>
      </c>
      <c r="F30" s="24">
        <v>8.1402063000000011E-3</v>
      </c>
      <c r="G30" s="24">
        <v>4.965377E-2</v>
      </c>
      <c r="H30" s="24">
        <v>2.0704508E-2</v>
      </c>
      <c r="I30" s="24">
        <v>3.4837365000000002E-2</v>
      </c>
      <c r="J30" s="24">
        <v>7.1502924000000001E-3</v>
      </c>
      <c r="K30" s="24">
        <v>3.067398E-2</v>
      </c>
      <c r="L30" s="24">
        <v>2.9711007999999997E-2</v>
      </c>
      <c r="M30" s="24">
        <v>1.5113950000000001E-2</v>
      </c>
      <c r="N30" s="24">
        <v>4.5591949999999999E-2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42776</v>
      </c>
      <c r="B31" s="24">
        <v>2.361071E-2</v>
      </c>
      <c r="C31" s="24">
        <v>1.5334605999999999E-2</v>
      </c>
      <c r="D31" s="24">
        <v>2.1851896999999999E-2</v>
      </c>
      <c r="E31" s="24">
        <v>1.1856198E-2</v>
      </c>
      <c r="F31" s="24">
        <v>1.6017437000000002E-2</v>
      </c>
      <c r="G31" s="24">
        <v>1.4144778E-2</v>
      </c>
      <c r="H31" s="24">
        <v>1.8234133999999999E-2</v>
      </c>
      <c r="I31" s="24">
        <v>3.7803530000000002E-2</v>
      </c>
      <c r="J31" s="24">
        <v>2.1983862E-2</v>
      </c>
      <c r="K31" s="24">
        <v>-7.5637100000000004E-3</v>
      </c>
      <c r="L31" s="24">
        <v>2.2058844999999997E-2</v>
      </c>
      <c r="M31" s="24">
        <v>4.4505359999999994E-2</v>
      </c>
      <c r="N31" s="24">
        <v>-3.1505763999999999E-2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42804</v>
      </c>
      <c r="B32" s="24">
        <v>-3.4715712000000003E-2</v>
      </c>
      <c r="C32" s="24">
        <v>9.1532469999999998E-3</v>
      </c>
      <c r="D32" s="24">
        <v>-3.8419724000000002E-2</v>
      </c>
      <c r="E32" s="24">
        <v>2.7096271999999998E-2</v>
      </c>
      <c r="F32" s="24">
        <v>-7.7855589999999998E-4</v>
      </c>
      <c r="G32" s="24">
        <v>2.2380830000000001E-2</v>
      </c>
      <c r="H32" s="24">
        <v>-5.3408739999999998E-3</v>
      </c>
      <c r="I32" s="24">
        <v>3.1480670000000002E-2</v>
      </c>
      <c r="J32" s="24">
        <v>2.6694298000000002E-2</v>
      </c>
      <c r="K32" s="24">
        <v>3.4897684999999998E-2</v>
      </c>
      <c r="L32" s="24">
        <v>6.5547585000000005E-2</v>
      </c>
      <c r="M32" s="24">
        <v>8.5217950000000004E-3</v>
      </c>
      <c r="N32" s="24">
        <v>4.2670009999999994E-2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42837</v>
      </c>
      <c r="B33" s="24">
        <v>1.8826961999999999E-2</v>
      </c>
      <c r="C33" s="24">
        <v>1.9954681000000002E-2</v>
      </c>
      <c r="D33" s="24">
        <v>1.9600390999999998E-2</v>
      </c>
      <c r="E33" s="24">
        <v>1.2477756E-2</v>
      </c>
      <c r="F33" s="24">
        <v>-5.8434010000000007E-3</v>
      </c>
      <c r="G33" s="24">
        <v>2.0304559999999999E-2</v>
      </c>
      <c r="H33" s="24">
        <v>3.0953884000000001E-2</v>
      </c>
      <c r="I33" s="24">
        <v>-1.5027523000000001E-3</v>
      </c>
      <c r="J33" s="24">
        <v>-1.110673E-2</v>
      </c>
      <c r="K33" s="24">
        <v>2.1705507999999998E-2</v>
      </c>
      <c r="L33" s="24">
        <v>7.3143243999999998E-3</v>
      </c>
      <c r="M33" s="24">
        <v>1.9499539999999999E-2</v>
      </c>
      <c r="N33" s="24">
        <v>1.7017840999999999E-2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42867</v>
      </c>
      <c r="B34" s="24">
        <v>2.1085023999999997E-2</v>
      </c>
      <c r="C34" s="24">
        <v>-3.2903491999999999E-2</v>
      </c>
      <c r="D34" s="24">
        <v>-3.4750402E-2</v>
      </c>
      <c r="E34" s="24">
        <v>7.5352189999999999E-2</v>
      </c>
      <c r="F34" s="24">
        <v>2.6057958999999999E-2</v>
      </c>
      <c r="G34" s="24">
        <v>6.3432813000000005E-2</v>
      </c>
      <c r="H34" s="24">
        <v>4.3811320000000001E-2</v>
      </c>
      <c r="I34" s="24">
        <v>5.8661820000000003E-2</v>
      </c>
      <c r="J34" s="24">
        <v>2.1151066E-2</v>
      </c>
      <c r="K34" s="24">
        <v>9.9013570000000009E-2</v>
      </c>
      <c r="L34" s="24">
        <v>7.8756331999999998E-2</v>
      </c>
      <c r="M34" s="24">
        <v>7.7462434999999996E-2</v>
      </c>
      <c r="N34" s="24">
        <v>0.11155378000000001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42898</v>
      </c>
      <c r="B35" s="24">
        <v>4.7563910000000001E-2</v>
      </c>
      <c r="C35" s="24">
        <v>-9.1954470000000007E-3</v>
      </c>
      <c r="D35" s="24">
        <v>1.8000722E-2</v>
      </c>
      <c r="E35" s="24">
        <v>1.899147E-2</v>
      </c>
      <c r="F35" s="24">
        <v>3.6089299999999998E-2</v>
      </c>
      <c r="G35" s="24">
        <v>2.3391247E-3</v>
      </c>
      <c r="H35" s="24">
        <v>-1.1740922999999999E-3</v>
      </c>
      <c r="I35" s="24">
        <v>4.5453310000000005E-3</v>
      </c>
      <c r="J35" s="24">
        <v>1.8327950999999999E-2</v>
      </c>
      <c r="K35" s="24">
        <v>4.8326254000000003E-3</v>
      </c>
      <c r="L35" s="24">
        <v>1.0355592E-2</v>
      </c>
      <c r="M35" s="24">
        <v>5.3254365999999996E-3</v>
      </c>
      <c r="N35" s="24">
        <v>7.1685313999999998E-3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42928</v>
      </c>
      <c r="B36" s="24">
        <v>3.2889605000000002E-2</v>
      </c>
      <c r="C36" s="24">
        <v>2.7678132000000001E-2</v>
      </c>
      <c r="D36" s="24">
        <v>3.5179615000000004E-2</v>
      </c>
      <c r="E36" s="24">
        <v>1.0629892E-2</v>
      </c>
      <c r="F36" s="24">
        <v>-6.356418E-3</v>
      </c>
      <c r="G36" s="24">
        <v>2.5254368999999999E-2</v>
      </c>
      <c r="H36" s="24">
        <v>3.8024186999999999E-3</v>
      </c>
      <c r="I36" s="24">
        <v>1.3326287000000001E-2</v>
      </c>
      <c r="J36" s="24">
        <v>7.5598955000000002E-3</v>
      </c>
      <c r="K36" s="24">
        <v>1.7638564000000002E-2</v>
      </c>
      <c r="L36" s="24">
        <v>1.6409754999999998E-2</v>
      </c>
      <c r="M36" s="24">
        <v>4.9197434999999998E-2</v>
      </c>
      <c r="N36" s="24">
        <v>4.0304065E-2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42958</v>
      </c>
      <c r="B37" s="24">
        <v>1.9222379000000001E-2</v>
      </c>
      <c r="C37" s="24">
        <v>2.6303649999999998E-2</v>
      </c>
      <c r="D37" s="24">
        <v>-2.9315351999999999E-3</v>
      </c>
      <c r="E37" s="24">
        <v>-1.4586747000000001E-2</v>
      </c>
      <c r="F37" s="24">
        <v>9.3336105000000006E-3</v>
      </c>
      <c r="G37" s="24">
        <v>-1.1915146999999999E-2</v>
      </c>
      <c r="H37" s="24">
        <v>1.4965534E-3</v>
      </c>
      <c r="I37" s="24">
        <v>9.9502800000000006E-3</v>
      </c>
      <c r="J37" s="24">
        <v>4.5084952999999996E-4</v>
      </c>
      <c r="K37" s="24">
        <v>4.4642686999999993E-3</v>
      </c>
      <c r="L37" s="24">
        <v>3.3684970000000002E-2</v>
      </c>
      <c r="M37" s="24">
        <v>-3.040737E-2</v>
      </c>
      <c r="N37" s="24">
        <v>2.8909801999999998E-2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42990</v>
      </c>
      <c r="B38" s="24">
        <v>1.3502001999999999E-2</v>
      </c>
      <c r="C38" s="24">
        <v>4.1366935000000001E-2</v>
      </c>
      <c r="D38" s="24">
        <v>4.7409059999999996E-2</v>
      </c>
      <c r="E38" s="24">
        <v>5.3289533E-2</v>
      </c>
      <c r="F38" s="24">
        <v>2.2008538000000001E-2</v>
      </c>
      <c r="G38" s="24">
        <v>2.7941226999999999E-2</v>
      </c>
      <c r="H38" s="24">
        <v>3.4967183999999998E-2</v>
      </c>
      <c r="I38" s="24">
        <v>2.8993606999999998E-2</v>
      </c>
      <c r="J38" s="24">
        <v>2.4291396E-2</v>
      </c>
      <c r="K38" s="24">
        <v>4.5128226E-2</v>
      </c>
      <c r="L38" s="24">
        <v>2.962482E-2</v>
      </c>
      <c r="M38" s="24">
        <v>4.6153902999999996E-2</v>
      </c>
      <c r="N38" s="24">
        <v>5.3486824000000002E-2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43020</v>
      </c>
      <c r="B39" s="24">
        <v>-2.3260713E-3</v>
      </c>
      <c r="C39" s="24">
        <v>-2.2884310000000001E-2</v>
      </c>
      <c r="D39" s="24">
        <v>2.3859620000000002E-2</v>
      </c>
      <c r="E39" s="24">
        <v>2.5609016000000002E-2</v>
      </c>
      <c r="F39" s="24">
        <v>2.5696753999999999E-2</v>
      </c>
      <c r="G39" s="24">
        <v>1.0300397999999999E-2</v>
      </c>
      <c r="H39" s="24">
        <v>1.7614841000000003E-2</v>
      </c>
      <c r="I39" s="24">
        <v>1.2817979E-2</v>
      </c>
      <c r="J39" s="24">
        <v>2.3401618000000003E-2</v>
      </c>
      <c r="K39" s="24">
        <v>1.8972874000000001E-2</v>
      </c>
      <c r="L39" s="24">
        <v>1.5664935000000001E-2</v>
      </c>
      <c r="M39" s="24">
        <v>1.8099546000000001E-2</v>
      </c>
      <c r="N39" s="24">
        <v>-4.1773914999999997E-3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43049</v>
      </c>
      <c r="B40" s="24">
        <v>-4.546422E-2</v>
      </c>
      <c r="C40" s="24">
        <v>2.3862122999999999E-2</v>
      </c>
      <c r="D40" s="24">
        <v>4.7978163000000004E-3</v>
      </c>
      <c r="E40" s="24">
        <v>-3.0450224999999998E-3</v>
      </c>
      <c r="F40" s="24">
        <v>4.2343019999999995E-2</v>
      </c>
      <c r="G40" s="24">
        <v>-3.2851875000000003E-2</v>
      </c>
      <c r="H40" s="24">
        <v>-1.7026186000000002E-2</v>
      </c>
      <c r="I40" s="24">
        <v>3.9994478E-2</v>
      </c>
      <c r="J40" s="24">
        <v>1.3548493E-2</v>
      </c>
      <c r="K40" s="24">
        <v>-1.2841104999999998E-2</v>
      </c>
      <c r="L40" s="24">
        <v>-1.5738129999999999E-2</v>
      </c>
      <c r="M40" s="24">
        <v>-2.9722214E-2</v>
      </c>
      <c r="N40" s="24">
        <v>-6.7763329999999998E-3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43081</v>
      </c>
      <c r="B41" s="24">
        <v>4.0079950000000003E-2</v>
      </c>
      <c r="C41" s="24">
        <v>-1.4674126999999999E-2</v>
      </c>
      <c r="D41" s="24">
        <v>-4.0927530000000002E-3</v>
      </c>
      <c r="E41" s="24">
        <v>1.0079384E-2</v>
      </c>
      <c r="F41" s="24">
        <v>1.4048696000000001E-2</v>
      </c>
      <c r="G41" s="24">
        <v>2.2547483E-2</v>
      </c>
      <c r="H41" s="24">
        <v>1.8187045999999998E-2</v>
      </c>
      <c r="I41" s="24">
        <v>1.3079166E-2</v>
      </c>
      <c r="J41" s="24">
        <v>3.3670425000000004E-2</v>
      </c>
      <c r="K41" s="24">
        <v>1.6585350000000002E-2</v>
      </c>
      <c r="L41" s="24">
        <v>1.4070988E-2</v>
      </c>
      <c r="M41" s="24">
        <v>-1.7749727E-2</v>
      </c>
      <c r="N41" s="24">
        <v>1.2995481E-2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43112</v>
      </c>
      <c r="B42" s="24">
        <v>3.7486909999999998E-2</v>
      </c>
      <c r="C42" s="24">
        <v>6.2322616999999997E-2</v>
      </c>
      <c r="D42" s="24">
        <v>4.4370890000000003E-2</v>
      </c>
      <c r="E42" s="24">
        <v>4.6177982999999999E-2</v>
      </c>
      <c r="F42" s="24">
        <v>6.6352963000000001E-2</v>
      </c>
      <c r="G42" s="24">
        <v>4.6105384999999999E-2</v>
      </c>
      <c r="H42" s="24">
        <v>7.2049975000000002E-2</v>
      </c>
      <c r="I42" s="24">
        <v>5.8716297000000001E-2</v>
      </c>
      <c r="J42" s="24">
        <v>4.703951E-2</v>
      </c>
      <c r="K42" s="24">
        <v>5.2132845000000004E-2</v>
      </c>
      <c r="L42" s="24">
        <v>4.1496514999999998E-2</v>
      </c>
      <c r="M42" s="24">
        <v>5.7404520000000001E-2</v>
      </c>
      <c r="N42" s="24">
        <v>6.6789865000000004E-2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43143</v>
      </c>
      <c r="B43" s="24">
        <v>-1.9295335E-2</v>
      </c>
      <c r="C43" s="24">
        <v>-5.0697089999999993E-2</v>
      </c>
      <c r="D43" s="24">
        <v>-7.6386632999999995E-2</v>
      </c>
      <c r="E43" s="24">
        <v>-5.7084856000000003E-2</v>
      </c>
      <c r="F43" s="24">
        <v>-5.1055726999999995E-2</v>
      </c>
      <c r="G43" s="24">
        <v>-3.9967120000000002E-2</v>
      </c>
      <c r="H43" s="24">
        <v>-6.5750539999999996E-2</v>
      </c>
      <c r="I43" s="24">
        <v>-3.4166276000000002E-2</v>
      </c>
      <c r="J43" s="24">
        <v>-4.5264899999999997E-2</v>
      </c>
      <c r="K43" s="24">
        <v>-4.9100339999999992E-2</v>
      </c>
      <c r="L43" s="24">
        <v>-4.0194870000000001E-2</v>
      </c>
      <c r="M43" s="24">
        <v>-5.8463215999999998E-2</v>
      </c>
      <c r="N43" s="24">
        <v>-3.4159660000000001E-2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43171</v>
      </c>
      <c r="B44" s="24">
        <v>6.479907E-2</v>
      </c>
      <c r="C44" s="24">
        <v>3.6938190000000003E-2</v>
      </c>
      <c r="D44" s="24">
        <v>6.8321229999999998E-3</v>
      </c>
      <c r="E44" s="24">
        <v>1.2292503999999999E-2</v>
      </c>
      <c r="F44" s="24">
        <v>7.6386929999999994E-3</v>
      </c>
      <c r="G44" s="24">
        <v>2.5663375999999999E-3</v>
      </c>
      <c r="H44" s="24">
        <v>1.0095239000000001E-2</v>
      </c>
      <c r="I44" s="24">
        <v>9.5738649999999995E-2</v>
      </c>
      <c r="J44" s="24">
        <v>4.9672127000000003E-2</v>
      </c>
      <c r="K44" s="24">
        <v>2.6298879999999997E-2</v>
      </c>
      <c r="L44" s="24">
        <v>3.4898400000000003E-2</v>
      </c>
      <c r="M44" s="24">
        <v>1.9219398000000002E-2</v>
      </c>
      <c r="N44" s="24">
        <v>1.9092321000000002E-2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43202</v>
      </c>
      <c r="B45" s="24">
        <v>5.8244467000000003E-3</v>
      </c>
      <c r="C45" s="24">
        <v>-3.9484978000000004E-2</v>
      </c>
      <c r="D45" s="24">
        <v>3.5715102999999998E-4</v>
      </c>
      <c r="E45" s="24">
        <v>-4.2501092000000002E-3</v>
      </c>
      <c r="F45" s="24">
        <v>-7.4159503000000007E-3</v>
      </c>
      <c r="G45" s="24">
        <v>-2.2753120000000002E-2</v>
      </c>
      <c r="H45" s="24">
        <v>3.5122752E-2</v>
      </c>
      <c r="I45" s="24">
        <v>-6.6644850000000005E-2</v>
      </c>
      <c r="J45" s="24">
        <v>-4.1384163000000002E-2</v>
      </c>
      <c r="K45" s="24">
        <v>8.749962E-3</v>
      </c>
      <c r="L45" s="24">
        <v>1.8393992999999999E-3</v>
      </c>
      <c r="M45" s="24">
        <v>-4.4676539999999994E-2</v>
      </c>
      <c r="N45" s="24">
        <v>2.3955703000000002E-2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43231</v>
      </c>
      <c r="B46" s="24">
        <v>-2.6956916000000001E-2</v>
      </c>
      <c r="C46" s="24">
        <v>2.1000980999999998E-2</v>
      </c>
      <c r="D46" s="24">
        <v>3.6058544999999997E-2</v>
      </c>
      <c r="E46" s="24">
        <v>1.0670781000000001E-2</v>
      </c>
      <c r="F46" s="24">
        <v>1.7433166999999999E-2</v>
      </c>
      <c r="G46" s="24">
        <v>4.0744542999999996E-3</v>
      </c>
      <c r="H46" s="24">
        <v>1.4344810999999999E-2</v>
      </c>
      <c r="I46" s="24">
        <v>4.4695140000000001E-2</v>
      </c>
      <c r="J46" s="24">
        <v>2.6021956999999998E-2</v>
      </c>
      <c r="K46" s="24">
        <v>1.7348289999999999E-2</v>
      </c>
      <c r="L46" s="24">
        <v>-1.7441869000000002E-2</v>
      </c>
      <c r="M46" s="24">
        <v>3.8870334999999999E-2</v>
      </c>
      <c r="N46" s="24">
        <v>5.99885E-3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43263</v>
      </c>
      <c r="B47" s="24">
        <v>3.9400815999999998E-2</v>
      </c>
      <c r="C47" s="24">
        <v>-6.1270000000000005E-3</v>
      </c>
      <c r="D47" s="24">
        <v>-3.4457445000000004E-4</v>
      </c>
      <c r="E47" s="24">
        <v>-2.5037766000000003E-2</v>
      </c>
      <c r="F47" s="24">
        <v>-1.0280609000000001E-2</v>
      </c>
      <c r="G47" s="24">
        <v>-1.7970979000000002E-2</v>
      </c>
      <c r="H47" s="24">
        <v>-1.0878502999999999E-2</v>
      </c>
      <c r="I47" s="24">
        <v>3.7589907999999998E-2</v>
      </c>
      <c r="J47" s="24">
        <v>2.2246717999999999E-2</v>
      </c>
      <c r="K47" s="24">
        <v>-1.9792974000000001E-2</v>
      </c>
      <c r="L47" s="24">
        <v>3.737092E-3</v>
      </c>
      <c r="M47" s="24">
        <v>-2.1338759999999998E-2</v>
      </c>
      <c r="N47" s="24">
        <v>-9.0936240000000002E-2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43293</v>
      </c>
      <c r="B48" s="24">
        <v>-2.6530385E-2</v>
      </c>
      <c r="C48" s="24">
        <v>2.8538226999999999E-2</v>
      </c>
      <c r="D48" s="24">
        <v>9.6768140000000006E-3</v>
      </c>
      <c r="E48" s="24">
        <v>-3.2259464000000002E-2</v>
      </c>
      <c r="F48" s="24">
        <v>-5.2322626000000004E-2</v>
      </c>
      <c r="G48" s="24">
        <v>3.2918452999999999E-3</v>
      </c>
      <c r="H48" s="24">
        <v>-1.4497100999999998E-2</v>
      </c>
      <c r="I48" s="24">
        <v>2.2832990000000001E-2</v>
      </c>
      <c r="J48" s="24">
        <v>6.1151979999999996E-3</v>
      </c>
      <c r="K48" s="24">
        <v>-9.5557569999999998E-3</v>
      </c>
      <c r="L48" s="24">
        <v>-2.2520661000000001E-2</v>
      </c>
      <c r="M48" s="24">
        <v>-3.7805675999999996E-2</v>
      </c>
      <c r="N48" s="24">
        <v>-1.6147136999999999E-2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43322</v>
      </c>
      <c r="B49" s="24">
        <v>-3.258407E-2</v>
      </c>
      <c r="C49" s="24">
        <v>-1.8769085000000001E-2</v>
      </c>
      <c r="D49" s="24">
        <v>-9.63521E-3</v>
      </c>
      <c r="E49" s="24">
        <v>-2.6850104E-2</v>
      </c>
      <c r="F49" s="24">
        <v>8.2412960000000004E-3</v>
      </c>
      <c r="G49" s="24">
        <v>2.6236415000000003E-2</v>
      </c>
      <c r="H49" s="24">
        <v>-2.9705703E-2</v>
      </c>
      <c r="I49" s="24">
        <v>5.9065820000000005E-3</v>
      </c>
      <c r="J49" s="24">
        <v>1.3566256E-2</v>
      </c>
      <c r="K49" s="24">
        <v>-2.5936604000000002E-2</v>
      </c>
      <c r="L49" s="24">
        <v>-9.6774099999999991E-3</v>
      </c>
      <c r="M49" s="24">
        <v>1.1695862E-2</v>
      </c>
      <c r="N49" s="24">
        <v>-4.8663497E-2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43355</v>
      </c>
      <c r="B50" s="24">
        <v>1.4069438E-2</v>
      </c>
      <c r="C50" s="24">
        <v>-2.6245534000000001E-2</v>
      </c>
      <c r="D50" s="24">
        <v>-1.181376E-2</v>
      </c>
      <c r="E50" s="24">
        <v>-9.0847610000000002E-3</v>
      </c>
      <c r="F50" s="24">
        <v>-8.1739426000000011E-3</v>
      </c>
      <c r="G50" s="24">
        <v>1.6749858999999999E-2</v>
      </c>
      <c r="H50" s="24">
        <v>-2.3550271999999997E-2</v>
      </c>
      <c r="I50" s="24">
        <v>1.1411428E-2</v>
      </c>
      <c r="J50" s="24">
        <v>2.1048187999999999E-2</v>
      </c>
      <c r="K50" s="24">
        <v>7.2320700000000002E-3</v>
      </c>
      <c r="L50" s="24">
        <v>-2.3452818E-2</v>
      </c>
      <c r="M50" s="24">
        <v>1.5735387999999999E-2</v>
      </c>
      <c r="N50" s="24">
        <v>1.0086536E-2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43385</v>
      </c>
      <c r="B51" s="24">
        <v>-4.5196590000000002E-2</v>
      </c>
      <c r="C51" s="24">
        <v>-5.9387803000000003E-2</v>
      </c>
      <c r="D51" s="24">
        <v>-4.1139245000000005E-2</v>
      </c>
      <c r="E51" s="24">
        <v>-5.0933780000000005E-2</v>
      </c>
      <c r="F51" s="24">
        <v>-5.2603482999999994E-3</v>
      </c>
      <c r="G51" s="24">
        <v>-6.0693619999999997E-2</v>
      </c>
      <c r="H51" s="24">
        <v>-2.5625526999999999E-2</v>
      </c>
      <c r="I51" s="24">
        <v>-4.3528320000000002E-2</v>
      </c>
      <c r="J51" s="24">
        <v>-4.1228649999999999E-2</v>
      </c>
      <c r="K51" s="24">
        <v>-4.7323703999999994E-2</v>
      </c>
      <c r="L51" s="24">
        <v>-5.4703115999999996E-2</v>
      </c>
      <c r="M51" s="24">
        <v>-4.173255E-2</v>
      </c>
      <c r="N51" s="24">
        <v>-7.8459380000000009E-2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43416</v>
      </c>
      <c r="B52" s="24">
        <v>3.7648678000000005E-2</v>
      </c>
      <c r="C52" s="24">
        <v>2.2826552000000003E-2</v>
      </c>
      <c r="D52" s="24">
        <v>-2.7869462999999997E-2</v>
      </c>
      <c r="E52" s="24">
        <v>-4.5080479999999999E-2</v>
      </c>
      <c r="F52" s="24">
        <v>-4.1953143999999998E-2</v>
      </c>
      <c r="G52" s="24">
        <v>9.8460909999999995E-3</v>
      </c>
      <c r="H52" s="24">
        <v>-1.6398489999999998E-2</v>
      </c>
      <c r="I52" s="24">
        <v>-4.5835256999999997E-2</v>
      </c>
      <c r="J52" s="24">
        <v>-1.2248635000000001E-2</v>
      </c>
      <c r="K52" s="24">
        <v>-3.6998986999999997E-2</v>
      </c>
      <c r="L52" s="24">
        <v>-5.2928330000000003E-3</v>
      </c>
      <c r="M52" s="24">
        <v>-3.9260924000000003E-2</v>
      </c>
      <c r="N52" s="24">
        <v>-3.4829736E-2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43446</v>
      </c>
      <c r="B53" s="24">
        <v>8.4871054000000001E-3</v>
      </c>
      <c r="C53" s="24">
        <v>-3.133905E-2</v>
      </c>
      <c r="D53" s="24">
        <v>-2.9800117000000001E-2</v>
      </c>
      <c r="E53" s="24">
        <v>-2.5477707000000002E-2</v>
      </c>
      <c r="F53" s="24">
        <v>-1.1407554E-2</v>
      </c>
      <c r="G53" s="24">
        <v>-2.4374723000000001E-3</v>
      </c>
      <c r="H53" s="24">
        <v>-3.9006053999999998E-2</v>
      </c>
      <c r="I53" s="24">
        <v>-7.6955556999999996E-3</v>
      </c>
      <c r="J53" s="24">
        <v>-2.6085079000000001E-2</v>
      </c>
      <c r="K53" s="24">
        <v>-2.0989000000000001E-2</v>
      </c>
      <c r="L53" s="24">
        <v>-1.6672611E-2</v>
      </c>
      <c r="M53" s="24">
        <v>-9.9588036999999994E-3</v>
      </c>
      <c r="N53" s="24">
        <v>1.5637517E-2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43476</v>
      </c>
      <c r="B54" s="24">
        <v>2.2269845E-2</v>
      </c>
      <c r="C54" s="24">
        <v>2.8920650000000003E-2</v>
      </c>
      <c r="D54" s="24">
        <v>1.674366E-2</v>
      </c>
      <c r="E54" s="24">
        <v>4.229188E-3</v>
      </c>
      <c r="F54" s="24">
        <v>-8.9369415999999997E-3</v>
      </c>
      <c r="G54" s="24">
        <v>2.7489661999999999E-3</v>
      </c>
      <c r="H54" s="24">
        <v>2.2529960000000002E-2</v>
      </c>
      <c r="I54" s="24">
        <v>-2.3562669999999997E-2</v>
      </c>
      <c r="J54" s="24">
        <v>-1.8592358E-2</v>
      </c>
      <c r="K54" s="24">
        <v>-1.3653337999999999E-2</v>
      </c>
      <c r="L54" s="24">
        <v>-1.7295837000000001E-2</v>
      </c>
      <c r="M54" s="24">
        <v>1.1009336000000002E-2</v>
      </c>
      <c r="N54" s="24">
        <v>1.7176627999999999E-2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43508</v>
      </c>
      <c r="B55" s="24">
        <v>2.6817440000000001E-2</v>
      </c>
      <c r="C55" s="24">
        <v>3.5625935000000004E-2</v>
      </c>
      <c r="D55" s="24">
        <v>5.0155519999999995E-2</v>
      </c>
      <c r="E55" s="24">
        <v>9.1882943999999998E-3</v>
      </c>
      <c r="F55" s="24">
        <v>1.646483E-2</v>
      </c>
      <c r="G55" s="24">
        <v>1.5839099999999998E-2</v>
      </c>
      <c r="H55" s="24">
        <v>3.7945747000000002E-2</v>
      </c>
      <c r="I55" s="24">
        <v>6.3476204999999994E-2</v>
      </c>
      <c r="J55" s="24">
        <v>5.8382870000000003E-2</v>
      </c>
      <c r="K55" s="24">
        <v>4.145074E-2</v>
      </c>
      <c r="L55" s="24">
        <v>6.7502737000000007E-2</v>
      </c>
      <c r="M55" s="24">
        <v>2.0254016E-2</v>
      </c>
      <c r="N55" s="24">
        <v>2.2012591000000001E-2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43536</v>
      </c>
      <c r="B56" s="24">
        <v>2.3668646999999998E-2</v>
      </c>
      <c r="C56" s="24">
        <v>1.8155694E-2</v>
      </c>
      <c r="D56" s="24">
        <v>2.5546074000000002E-2</v>
      </c>
      <c r="E56" s="24">
        <v>2.7693509999999998E-2</v>
      </c>
      <c r="F56" s="24">
        <v>6.5165759999999996E-3</v>
      </c>
      <c r="G56" s="24">
        <v>3.1184435E-2</v>
      </c>
      <c r="H56" s="24">
        <v>2.4582386000000001E-2</v>
      </c>
      <c r="I56" s="24">
        <v>2.8088212000000001E-2</v>
      </c>
      <c r="J56" s="24">
        <v>1.9664288000000002E-2</v>
      </c>
      <c r="K56" s="24">
        <v>3.9445638999999998E-2</v>
      </c>
      <c r="L56" s="24">
        <v>1.4858365E-2</v>
      </c>
      <c r="M56" s="24">
        <v>6.7293644000000004E-4</v>
      </c>
      <c r="N56" s="24">
        <v>3.6923049999999999E-2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43567</v>
      </c>
      <c r="B57" s="24">
        <v>2.7905106999999998E-2</v>
      </c>
      <c r="C57" s="24">
        <v>2.5809525999999999E-2</v>
      </c>
      <c r="D57" s="24">
        <v>2.8519869999999999E-2</v>
      </c>
      <c r="E57" s="24">
        <v>4.1712759999999995E-2</v>
      </c>
      <c r="F57" s="24">
        <v>1.8497943999999999E-2</v>
      </c>
      <c r="G57" s="24">
        <v>3.5475492000000004E-2</v>
      </c>
      <c r="H57" s="24">
        <v>4.3986440000000002E-2</v>
      </c>
      <c r="I57" s="24">
        <v>5.9636950000000001E-2</v>
      </c>
      <c r="J57" s="24">
        <v>4.2727589999999996E-2</v>
      </c>
      <c r="K57" s="24">
        <v>4.4786333999999997E-2</v>
      </c>
      <c r="L57" s="24">
        <v>5.6520224000000001E-2</v>
      </c>
      <c r="M57" s="24">
        <v>8.5406780000000002E-2</v>
      </c>
      <c r="N57" s="24">
        <v>5.4525256000000001E-2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43595</v>
      </c>
      <c r="B58" s="24">
        <v>7.3686839999999995E-3</v>
      </c>
      <c r="C58" s="24">
        <v>-6.8619249999999996E-3</v>
      </c>
      <c r="D58" s="24">
        <v>-1.7901002999999999E-2</v>
      </c>
      <c r="E58" s="24">
        <v>4.2523146000000003E-3</v>
      </c>
      <c r="F58" s="24">
        <v>-1.7980396999999999E-2</v>
      </c>
      <c r="G58" s="24">
        <v>3.6506653000000001E-3</v>
      </c>
      <c r="H58" s="24">
        <v>-2.7695894000000002E-2</v>
      </c>
      <c r="I58" s="24">
        <v>-4.4664740000000007E-3</v>
      </c>
      <c r="J58" s="24">
        <v>-7.0995090000000004E-3</v>
      </c>
      <c r="K58" s="24">
        <v>-1.9960701000000001E-2</v>
      </c>
      <c r="L58" s="24">
        <v>-5.4785609999999998E-3</v>
      </c>
      <c r="M58" s="24">
        <v>-4.9256444000000003E-2</v>
      </c>
      <c r="N58" s="24">
        <v>-3.7988067E-2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43628</v>
      </c>
      <c r="B59" s="24">
        <v>-6.7372920000000006E-3</v>
      </c>
      <c r="C59" s="24">
        <v>2.9479623E-2</v>
      </c>
      <c r="D59" s="24">
        <v>7.1477889999999999E-4</v>
      </c>
      <c r="E59" s="24">
        <v>-1.5525758000000001E-2</v>
      </c>
      <c r="F59" s="24">
        <v>2.4043322E-3</v>
      </c>
      <c r="G59" s="24">
        <v>4.5886993000000001E-2</v>
      </c>
      <c r="H59" s="24">
        <v>-8.4848404000000006E-3</v>
      </c>
      <c r="I59" s="24">
        <v>-1.4378369E-2</v>
      </c>
      <c r="J59" s="24">
        <v>1.0066032399999999E-3</v>
      </c>
      <c r="K59" s="24">
        <v>1.1018395E-2</v>
      </c>
      <c r="L59" s="24">
        <v>4.5366286999999998E-3</v>
      </c>
      <c r="M59" s="24">
        <v>3.2579900000000004E-4</v>
      </c>
      <c r="N59" s="24">
        <v>-7.6782702999999997E-3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43658</v>
      </c>
      <c r="B60" s="24">
        <v>7.4924110000000002E-2</v>
      </c>
      <c r="C60" s="24">
        <v>3.2299042E-2</v>
      </c>
      <c r="D60" s="24">
        <v>4.4764520000000002E-2</v>
      </c>
      <c r="E60" s="24">
        <v>1.7464519000000001E-2</v>
      </c>
      <c r="F60" s="24">
        <v>2.5649190000000002E-2</v>
      </c>
      <c r="G60" s="24">
        <v>9.0829133999999999E-3</v>
      </c>
      <c r="H60" s="24">
        <v>1.1242986E-2</v>
      </c>
      <c r="I60" s="24">
        <v>6.3713073999999995E-2</v>
      </c>
      <c r="J60" s="24">
        <v>4.7588350000000001E-2</v>
      </c>
      <c r="K60" s="24">
        <v>3.6302686000000001E-2</v>
      </c>
      <c r="L60" s="24">
        <v>2.3287415999999998E-2</v>
      </c>
      <c r="M60" s="24">
        <v>3.6721825999999999E-2</v>
      </c>
      <c r="N60" s="24">
        <v>9.0085029999999996E-2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43689</v>
      </c>
      <c r="B61" s="24">
        <v>-2.4341105999999998E-2</v>
      </c>
      <c r="C61" s="24">
        <v>-5.7054462E-2</v>
      </c>
      <c r="D61" s="24">
        <v>-3.7254214000000001E-2</v>
      </c>
      <c r="E61" s="24">
        <v>-5.8631897000000002E-2</v>
      </c>
      <c r="F61" s="24">
        <v>-3.6848782999999996E-2</v>
      </c>
      <c r="G61" s="24">
        <v>8.6580514999999997E-3</v>
      </c>
      <c r="H61" s="24">
        <v>-7.3775529999999992E-2</v>
      </c>
      <c r="I61" s="24">
        <v>-4.7434450000000003E-2</v>
      </c>
      <c r="J61" s="24">
        <v>-4.184264E-2</v>
      </c>
      <c r="K61" s="24">
        <v>-5.1600275000000001E-2</v>
      </c>
      <c r="L61" s="24">
        <v>-3.1653762000000002E-2</v>
      </c>
      <c r="M61" s="24">
        <v>-8.6575869999999999E-2</v>
      </c>
      <c r="N61" s="24">
        <v>-9.5138130000000001E-2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43720</v>
      </c>
      <c r="B62" s="24">
        <v>6.7528485999999999E-3</v>
      </c>
      <c r="C62" s="24">
        <v>5.4877995999999998E-2</v>
      </c>
      <c r="D62" s="24">
        <v>3.2963157E-2</v>
      </c>
      <c r="E62" s="24">
        <v>5.3825380000000006E-2</v>
      </c>
      <c r="F62" s="24">
        <v>5.9366703E-2</v>
      </c>
      <c r="G62" s="24">
        <v>2.2264004E-2</v>
      </c>
      <c r="H62" s="24">
        <v>4.8862099999999999E-2</v>
      </c>
      <c r="I62" s="24">
        <v>4.8169136000000001E-2</v>
      </c>
      <c r="J62" s="24">
        <v>4.5891643000000003E-2</v>
      </c>
      <c r="K62" s="24">
        <v>4.8209309999999998E-2</v>
      </c>
      <c r="L62" s="24">
        <v>6.2374949999999998E-2</v>
      </c>
      <c r="M62" s="24">
        <v>7.6677321999999992E-2</v>
      </c>
      <c r="N62" s="24">
        <v>8.1175090000000005E-2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43749</v>
      </c>
      <c r="B63" s="24">
        <v>-1.7700732E-2</v>
      </c>
      <c r="C63" s="24">
        <v>-1.5562474999999999E-2</v>
      </c>
      <c r="D63" s="24">
        <v>-9.7120999999999996E-3</v>
      </c>
      <c r="E63" s="24">
        <v>-4.3779016000000002E-3</v>
      </c>
      <c r="F63" s="24">
        <v>1.6723037E-2</v>
      </c>
      <c r="G63" s="24">
        <v>-1.8367886999999999E-2</v>
      </c>
      <c r="H63" s="24">
        <v>9.5723869999999999E-3</v>
      </c>
      <c r="I63" s="24">
        <v>-8.9769363000000001E-3</v>
      </c>
      <c r="J63" s="24">
        <v>-1.206696E-2</v>
      </c>
      <c r="K63" s="24">
        <v>-3.2851696000000003E-3</v>
      </c>
      <c r="L63" s="24">
        <v>-6.9074035000000001E-3</v>
      </c>
      <c r="M63" s="24">
        <v>-2.4728E-2</v>
      </c>
      <c r="N63" s="24">
        <v>-5.3628683000000003E-3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43781</v>
      </c>
      <c r="B64" s="24">
        <v>4.7420263000000004E-3</v>
      </c>
      <c r="C64" s="24">
        <v>3.2520412999999998E-2</v>
      </c>
      <c r="D64" s="24">
        <v>3.1873941000000003E-2</v>
      </c>
      <c r="E64" s="24">
        <v>6.0461640000000004E-2</v>
      </c>
      <c r="F64" s="24">
        <v>4.8293950000000002E-2</v>
      </c>
      <c r="G64" s="24">
        <v>3.07405E-2</v>
      </c>
      <c r="H64" s="24">
        <v>3.223765E-2</v>
      </c>
      <c r="I64" s="24">
        <v>5.4575800000000001E-2</v>
      </c>
      <c r="J64" s="24">
        <v>4.2932390000000001E-2</v>
      </c>
      <c r="K64" s="24">
        <v>4.5154930000000003E-2</v>
      </c>
      <c r="L64" s="24">
        <v>3.3828734999999999E-2</v>
      </c>
      <c r="M64" s="24">
        <v>8.3840479999999995E-2</v>
      </c>
      <c r="N64" s="24">
        <v>6.7217827000000008E-2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43811</v>
      </c>
      <c r="B65" s="24">
        <v>7.7968597000000001E-2</v>
      </c>
      <c r="C65" s="24">
        <v>1.3122559000000001E-3</v>
      </c>
      <c r="D65" s="24">
        <v>6.1099530000000004E-3</v>
      </c>
      <c r="E65" s="24">
        <v>1.3476133E-2</v>
      </c>
      <c r="F65" s="24">
        <v>1.1016488E-2</v>
      </c>
      <c r="G65" s="24">
        <v>2.2302865999999998E-2</v>
      </c>
      <c r="H65" s="24">
        <v>1.6533971000000001E-2</v>
      </c>
      <c r="I65" s="24">
        <v>2.4660109999999999E-2</v>
      </c>
      <c r="J65" s="24">
        <v>2.6310682000000002E-2</v>
      </c>
      <c r="K65" s="24">
        <v>9.4606875999999999E-3</v>
      </c>
      <c r="L65" s="24">
        <v>2.0489215999999998E-2</v>
      </c>
      <c r="M65" s="24">
        <v>3.1191468000000003E-2</v>
      </c>
      <c r="N65" s="24">
        <v>-9.0939999999999997E-3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43840</v>
      </c>
      <c r="B66" s="24">
        <v>2.3994207E-2</v>
      </c>
      <c r="C66" s="24">
        <v>1.8209934000000001E-2</v>
      </c>
      <c r="D66" s="24">
        <v>2.5998234999999998E-2</v>
      </c>
      <c r="E66" s="24">
        <v>1.4660716000000001E-2</v>
      </c>
      <c r="F66" s="24">
        <v>-5.6654215000000001E-3</v>
      </c>
      <c r="G66" s="24">
        <v>2.4606823999999999E-2</v>
      </c>
      <c r="H66" s="24">
        <v>3.0686498000000003E-2</v>
      </c>
      <c r="I66" s="24">
        <v>6.0006620000000004E-2</v>
      </c>
      <c r="J66" s="24">
        <v>3.2082557999999997E-2</v>
      </c>
      <c r="K66" s="24">
        <v>1.8409133000000001E-2</v>
      </c>
      <c r="L66" s="24">
        <v>1.5241861000000001E-2</v>
      </c>
      <c r="M66" s="24">
        <v>-1.8595457000000002E-3</v>
      </c>
      <c r="N66" s="24">
        <v>1.5176891999999999E-2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43873</v>
      </c>
      <c r="B67" s="24">
        <v>9.2576740000000005E-3</v>
      </c>
      <c r="C67" s="24">
        <v>1.1816263E-2</v>
      </c>
      <c r="D67" s="24">
        <v>1.9993304999999999E-2</v>
      </c>
      <c r="E67" s="24">
        <v>-2.0161271E-3</v>
      </c>
      <c r="F67" s="24">
        <v>-1.8481016E-3</v>
      </c>
      <c r="G67" s="24">
        <v>4.0108919999999999E-2</v>
      </c>
      <c r="H67" s="24">
        <v>-1.0704755999999999E-2</v>
      </c>
      <c r="I67" s="24">
        <v>7.2517514000000005E-2</v>
      </c>
      <c r="J67" s="24">
        <v>3.5952329999999998E-2</v>
      </c>
      <c r="K67" s="24">
        <v>1.2296437999999999E-3</v>
      </c>
      <c r="L67" s="24">
        <v>2.7267336999999999E-2</v>
      </c>
      <c r="M67" s="24">
        <v>5.0322174999999997E-2</v>
      </c>
      <c r="N67" s="24">
        <v>1.8206357999999999E-2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43902</v>
      </c>
      <c r="B68" s="24">
        <v>-0.21455347</v>
      </c>
      <c r="C68" s="24">
        <v>-0.34602080000000002</v>
      </c>
      <c r="D68" s="24">
        <v>-0.33681810000000001</v>
      </c>
      <c r="E68" s="24">
        <v>-0.31885522999999999</v>
      </c>
      <c r="F68" s="24">
        <v>-0.24591821999999999</v>
      </c>
      <c r="G68" s="24">
        <v>-0.24041890999999999</v>
      </c>
      <c r="H68" s="24">
        <v>-0.30748419999999999</v>
      </c>
      <c r="I68" s="24">
        <v>-0.24309557000000001</v>
      </c>
      <c r="J68" s="24">
        <v>-0.26468498000000001</v>
      </c>
      <c r="K68" s="24">
        <v>-0.32361065000000006</v>
      </c>
      <c r="L68" s="24">
        <v>-0.28274667999999997</v>
      </c>
      <c r="M68" s="24">
        <v>-0.30032134999999999</v>
      </c>
      <c r="N68" s="24">
        <v>-0.38046360000000001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43930</v>
      </c>
      <c r="B69" s="24">
        <v>2.4390220000000001E-2</v>
      </c>
      <c r="C69" s="24">
        <v>9.9867709999999998E-2</v>
      </c>
      <c r="D69" s="24">
        <v>0.13990152</v>
      </c>
      <c r="E69" s="24">
        <v>0.13890266000000001</v>
      </c>
      <c r="F69" s="24">
        <v>0.12455356999999999</v>
      </c>
      <c r="G69" s="24">
        <v>0.13694762999999999</v>
      </c>
      <c r="H69" s="24">
        <v>8.4635370000000001E-2</v>
      </c>
      <c r="I69" s="24">
        <v>0.13516450000000002</v>
      </c>
      <c r="J69" s="24">
        <v>0.12816513000000002</v>
      </c>
      <c r="K69" s="24">
        <v>0.1071266</v>
      </c>
      <c r="L69" s="24">
        <v>0.10860813</v>
      </c>
      <c r="M69" s="24">
        <v>0.11106467</v>
      </c>
      <c r="N69" s="24">
        <v>0.14911818500000001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43963</v>
      </c>
      <c r="B70" s="24">
        <v>6.915462E-2</v>
      </c>
      <c r="C70" s="24">
        <v>-4.8105716999999994E-3</v>
      </c>
      <c r="D70" s="24">
        <v>4.3647410000000005E-2</v>
      </c>
      <c r="E70" s="24">
        <v>8.6796280000000006E-4</v>
      </c>
      <c r="F70" s="24">
        <v>3.5133003999999995E-2</v>
      </c>
      <c r="G70" s="24">
        <v>2.0396947999999998E-2</v>
      </c>
      <c r="H70" s="24">
        <v>-5.2020549999999997E-3</v>
      </c>
      <c r="I70" s="24">
        <v>0.10584486</v>
      </c>
      <c r="J70" s="24">
        <v>3.0445695000000002E-2</v>
      </c>
      <c r="K70" s="24">
        <v>-2.665025E-2</v>
      </c>
      <c r="L70" s="24">
        <v>2.9390454E-2</v>
      </c>
      <c r="M70" s="24">
        <v>2.7809143000000001E-2</v>
      </c>
      <c r="N70" s="24">
        <v>-4.0930213999999993E-2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43994</v>
      </c>
      <c r="B71" s="24">
        <v>7.780695E-2</v>
      </c>
      <c r="C71" s="24">
        <v>0.16012096000000001</v>
      </c>
      <c r="D71" s="24">
        <v>6.3354015E-2</v>
      </c>
      <c r="E71" s="24">
        <v>0.16305292000000002</v>
      </c>
      <c r="F71" s="24">
        <v>7.6510069999999999E-2</v>
      </c>
      <c r="G71" s="24">
        <v>4.2949795999999998E-2</v>
      </c>
      <c r="H71" s="24">
        <v>5.5510879999999999E-2</v>
      </c>
      <c r="I71" s="24">
        <v>6.1948540000000003E-2</v>
      </c>
      <c r="J71" s="24">
        <v>6.1185240000000002E-2</v>
      </c>
      <c r="K71" s="24">
        <v>0.13774227999999999</v>
      </c>
      <c r="L71" s="24">
        <v>0.11843491</v>
      </c>
      <c r="M71" s="24">
        <v>0.10493601</v>
      </c>
      <c r="N71" s="24">
        <v>0.15276432000000001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44022</v>
      </c>
      <c r="B72" s="24">
        <v>7.7775480000000008E-2</v>
      </c>
      <c r="C72" s="24">
        <v>3.7552595000000001E-2</v>
      </c>
      <c r="D72" s="24">
        <v>2.973199E-2</v>
      </c>
      <c r="E72" s="24">
        <v>5.7145000000000001E-2</v>
      </c>
      <c r="F72" s="24">
        <v>1.7329454E-3</v>
      </c>
      <c r="G72" s="24">
        <v>5.8374285999999997E-2</v>
      </c>
      <c r="H72" s="24">
        <v>7.8076124000000004E-3</v>
      </c>
      <c r="I72" s="24">
        <v>0.12101019</v>
      </c>
      <c r="J72" s="24">
        <v>4.8604130000000002E-2</v>
      </c>
      <c r="K72" s="24">
        <v>4.0817620000000006E-2</v>
      </c>
      <c r="L72" s="24">
        <v>7.8927636000000009E-2</v>
      </c>
      <c r="M72" s="24">
        <v>7.7500342999999999E-2</v>
      </c>
      <c r="N72" s="24">
        <v>5.7222960000000003E-2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44055</v>
      </c>
      <c r="B73" s="24">
        <v>9.2415810000000004E-3</v>
      </c>
      <c r="C73" s="24">
        <v>6.4187526999999994E-2</v>
      </c>
      <c r="D73" s="24">
        <v>8.4415549999999992E-2</v>
      </c>
      <c r="E73" s="24">
        <v>6.9850326000000004E-2</v>
      </c>
      <c r="F73" s="24">
        <v>3.8358091999999996E-2</v>
      </c>
      <c r="G73" s="24">
        <v>3.8796306000000003E-2</v>
      </c>
      <c r="H73" s="24">
        <v>5.2207350000000007E-2</v>
      </c>
      <c r="I73" s="24">
        <v>2.9889703E-2</v>
      </c>
      <c r="J73" s="24">
        <v>6.2502027000000002E-2</v>
      </c>
      <c r="K73" s="24">
        <v>6.2298536000000002E-2</v>
      </c>
      <c r="L73" s="24">
        <v>4.9955963999999999E-2</v>
      </c>
      <c r="M73" s="24">
        <v>0.10289585000000001</v>
      </c>
      <c r="N73" s="24">
        <v>6.5540790000000002E-2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44085</v>
      </c>
      <c r="B74" s="24">
        <v>6.3924789999999995E-3</v>
      </c>
      <c r="C74" s="24">
        <v>-3.5423636000000001E-2</v>
      </c>
      <c r="D74" s="24">
        <v>-1.7964065000000001E-2</v>
      </c>
      <c r="E74" s="24">
        <v>9.6602440000000001E-3</v>
      </c>
      <c r="F74" s="24">
        <v>1.070261E-2</v>
      </c>
      <c r="G74" s="24">
        <v>1.1491537000000001E-2</v>
      </c>
      <c r="H74" s="24">
        <v>-5.1805915999999994E-2</v>
      </c>
      <c r="I74" s="24">
        <v>-5.1863789999999996E-3</v>
      </c>
      <c r="J74" s="24">
        <v>-1.001662E-2</v>
      </c>
      <c r="K74" s="24">
        <v>-9.1001390000000001E-3</v>
      </c>
      <c r="L74" s="24">
        <v>-1.4273643000000001E-2</v>
      </c>
      <c r="M74" s="24">
        <v>-8.1005690000000002E-3</v>
      </c>
      <c r="N74" s="24">
        <v>-3.1698108000000003E-2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44116</v>
      </c>
      <c r="B75" s="24">
        <v>6.6094399999999998E-2</v>
      </c>
      <c r="C75" s="24">
        <v>4.0198444999999999E-2</v>
      </c>
      <c r="D75" s="24">
        <v>2.8694391E-2</v>
      </c>
      <c r="E75" s="24">
        <v>3.2992363000000002E-3</v>
      </c>
      <c r="F75" s="24">
        <v>1.8275022999999998E-2</v>
      </c>
      <c r="G75" s="24">
        <v>7.3373319999999994E-3</v>
      </c>
      <c r="H75" s="24">
        <v>1.8083811000000002E-2</v>
      </c>
      <c r="I75" s="24">
        <v>9.0617290000000003E-2</v>
      </c>
      <c r="J75" s="24">
        <v>5.9263110000000001E-2</v>
      </c>
      <c r="K75" s="24">
        <v>-4.421711E-3</v>
      </c>
      <c r="L75" s="24">
        <v>5.2526950000000003E-2</v>
      </c>
      <c r="M75" s="24">
        <v>3.6046267E-2</v>
      </c>
      <c r="N75" s="24">
        <v>-9.7427963999999999E-3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44147</v>
      </c>
      <c r="B76" s="24">
        <v>3.8810015000000003E-2</v>
      </c>
      <c r="C76" s="24">
        <v>4.5324445000000005E-2</v>
      </c>
      <c r="D76" s="24">
        <v>-1.0460615E-3</v>
      </c>
      <c r="E76" s="24">
        <v>-3.0582069999999999E-2</v>
      </c>
      <c r="F76" s="24">
        <v>4.8138259999999995E-2</v>
      </c>
      <c r="G76" s="24">
        <v>-5.8740380000000007E-3</v>
      </c>
      <c r="H76" s="24">
        <v>5.3665876000000001E-2</v>
      </c>
      <c r="I76" s="24">
        <v>-2.0812810000000001E-2</v>
      </c>
      <c r="J76" s="24">
        <v>2.2132396999999999E-3</v>
      </c>
      <c r="K76" s="24">
        <v>6.5937877000000006E-2</v>
      </c>
      <c r="L76" s="24">
        <v>2.292955E-2</v>
      </c>
      <c r="M76" s="24">
        <v>2.9627562E-2</v>
      </c>
      <c r="N76" s="24">
        <v>4.8012613999999995E-2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44176</v>
      </c>
      <c r="B77" s="24">
        <v>5.0843239999999998E-2</v>
      </c>
      <c r="C77" s="24">
        <v>8.3979970000000001E-2</v>
      </c>
      <c r="D77" s="24">
        <v>9.7033140000000004E-2</v>
      </c>
      <c r="E77" s="24">
        <v>4.8168300000000004E-2</v>
      </c>
      <c r="F77" s="24">
        <v>5.5368779999999999E-2</v>
      </c>
      <c r="G77" s="24">
        <v>2.8834700000000001E-2</v>
      </c>
      <c r="H77" s="24">
        <v>5.344343E-2</v>
      </c>
      <c r="I77" s="24">
        <v>4.6636699999999996E-2</v>
      </c>
      <c r="J77" s="24">
        <v>3.7060141999999997E-2</v>
      </c>
      <c r="K77" s="24">
        <v>6.1859010000000006E-2</v>
      </c>
      <c r="L77" s="24">
        <v>5.7225823000000002E-2</v>
      </c>
      <c r="M77" s="24">
        <v>4.3294550000000001E-2</v>
      </c>
      <c r="N77" s="24">
        <v>8.9748499999999995E-2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44208</v>
      </c>
      <c r="B78" s="24">
        <v>1.9755362999999998E-2</v>
      </c>
      <c r="C78" s="24">
        <v>4.3305397000000002E-2</v>
      </c>
      <c r="D78" s="24">
        <v>3.0877829000000002E-2</v>
      </c>
      <c r="E78" s="24">
        <v>6.3392520000000008E-2</v>
      </c>
      <c r="F78" s="24">
        <v>5.0346970000000005E-2</v>
      </c>
      <c r="G78" s="24">
        <v>4.4883012999999999E-2</v>
      </c>
      <c r="H78" s="24">
        <v>6.3115240000000003E-2</v>
      </c>
      <c r="I78" s="24">
        <v>4.1876435000000004E-2</v>
      </c>
      <c r="J78" s="24">
        <v>3.8468599999999999E-2</v>
      </c>
      <c r="K78" s="24">
        <v>3.3463359999999998E-2</v>
      </c>
      <c r="L78" s="24">
        <v>6.6083074000000006E-2</v>
      </c>
      <c r="M78" s="24">
        <v>6.3823580000000005E-2</v>
      </c>
      <c r="N78" s="24">
        <v>3.9876223000000002E-2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44239</v>
      </c>
      <c r="B79" s="24">
        <v>-3.9800882000000003E-2</v>
      </c>
      <c r="C79" s="24">
        <v>2.2791982000000002E-2</v>
      </c>
      <c r="D79" s="24">
        <v>2.7500033E-2</v>
      </c>
      <c r="E79" s="24">
        <v>1.5408277999999999E-2</v>
      </c>
      <c r="F79" s="24">
        <v>3.6956548999999998E-2</v>
      </c>
      <c r="G79" s="24">
        <v>-2.1997093999999999E-3</v>
      </c>
      <c r="H79" s="24">
        <v>-1.0689974E-2</v>
      </c>
      <c r="I79" s="24">
        <v>7.1769834000000005E-2</v>
      </c>
      <c r="J79" s="24">
        <v>3.6618589999999999E-2</v>
      </c>
      <c r="K79" s="24">
        <v>3.2286643999999997E-3</v>
      </c>
      <c r="L79" s="24">
        <v>7.9107999999999998E-2</v>
      </c>
      <c r="M79" s="24">
        <v>2.6839137000000002E-2</v>
      </c>
      <c r="N79" s="24">
        <v>3.3411263999999996E-2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44267</v>
      </c>
      <c r="B80" s="24">
        <v>-2.7735471999999997E-2</v>
      </c>
      <c r="C80" s="24">
        <v>3.9792059999999995E-4</v>
      </c>
      <c r="D80" s="24">
        <v>4.8661709999999997E-2</v>
      </c>
      <c r="E80" s="24">
        <v>7.2836875999999998E-3</v>
      </c>
      <c r="F80" s="24">
        <v>-3.6477982999999999E-2</v>
      </c>
      <c r="G80" s="24">
        <v>-3.1084657000000002E-2</v>
      </c>
      <c r="H80" s="24">
        <v>4.3549420000000005E-2</v>
      </c>
      <c r="I80" s="24">
        <v>-6.2386749999999998E-2</v>
      </c>
      <c r="J80" s="24">
        <v>3.6164522000000001E-3</v>
      </c>
      <c r="K80" s="24">
        <v>4.0959716000000007E-2</v>
      </c>
      <c r="L80" s="24">
        <v>-2.4363756E-2</v>
      </c>
      <c r="M80" s="24">
        <v>5.3442239999999995E-2</v>
      </c>
      <c r="N80" s="24">
        <v>2.1985172999999997E-2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44298</v>
      </c>
      <c r="B81" s="24">
        <v>-2.3824453000000002E-2</v>
      </c>
      <c r="C81" s="24">
        <v>1.1933207999999999E-2</v>
      </c>
      <c r="D81" s="24">
        <v>1.3631104999999999E-2</v>
      </c>
      <c r="E81" s="24">
        <v>4.127753E-2</v>
      </c>
      <c r="F81" s="24">
        <v>4.3514966999999996E-3</v>
      </c>
      <c r="G81" s="24">
        <v>4.5961379999999996E-2</v>
      </c>
      <c r="H81" s="24">
        <v>4.7066212000000003E-3</v>
      </c>
      <c r="I81" s="24">
        <v>6.8557262000000008E-2</v>
      </c>
      <c r="J81" s="24">
        <v>4.8039674999999997E-2</v>
      </c>
      <c r="K81" s="24">
        <v>1.2928604999999999E-2</v>
      </c>
      <c r="L81" s="24">
        <v>5.997777E-2</v>
      </c>
      <c r="M81" s="24">
        <v>2.6584029999999998E-2</v>
      </c>
      <c r="N81" s="24">
        <v>1.581788E-3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44328</v>
      </c>
      <c r="B82" s="24">
        <v>1.8625617000000001E-2</v>
      </c>
      <c r="C82" s="24">
        <v>2.7515649999999999E-2</v>
      </c>
      <c r="D82" s="24">
        <v>3.6337613999999997E-2</v>
      </c>
      <c r="E82" s="24">
        <v>-5.2083135000000006E-3</v>
      </c>
      <c r="F82" s="24">
        <v>-5.5025934999999998E-2</v>
      </c>
      <c r="G82" s="24">
        <v>3.2629967E-3</v>
      </c>
      <c r="H82" s="24">
        <v>4.0287375E-2</v>
      </c>
      <c r="I82" s="24">
        <v>-5.8751879999999999E-2</v>
      </c>
      <c r="J82" s="24">
        <v>-1.5134633E-2</v>
      </c>
      <c r="K82" s="24">
        <v>3.1076549999999998E-2</v>
      </c>
      <c r="L82" s="24">
        <v>-1.9562482999999999E-2</v>
      </c>
      <c r="M82" s="24">
        <v>3.4527780000000001E-3</v>
      </c>
      <c r="N82" s="24">
        <v>1.1370778E-2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44358</v>
      </c>
      <c r="B83" s="24">
        <v>-1.2899578E-2</v>
      </c>
      <c r="C83" s="24">
        <v>4.690838E-2</v>
      </c>
      <c r="D83" s="24">
        <v>5.0601599999999997E-2</v>
      </c>
      <c r="E83" s="24">
        <v>5.3671480000000001E-2</v>
      </c>
      <c r="F83" s="24">
        <v>6.0455202999999999E-2</v>
      </c>
      <c r="G83" s="24">
        <v>9.617508000000001E-2</v>
      </c>
      <c r="H83" s="24">
        <v>3.0023932000000003E-2</v>
      </c>
      <c r="I83" s="24">
        <v>7.6840520000000009E-2</v>
      </c>
      <c r="J83" s="24">
        <v>4.6619415000000004E-2</v>
      </c>
      <c r="K83" s="24">
        <v>6.4504384999999997E-2</v>
      </c>
      <c r="L83" s="24">
        <v>7.422005999999999E-2</v>
      </c>
      <c r="M83" s="24">
        <v>6.0257434999999998E-2</v>
      </c>
      <c r="N83" s="24">
        <v>6.5615653999999995E-2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44389</v>
      </c>
      <c r="B84" s="24">
        <v>-3.3838750000000002E-3</v>
      </c>
      <c r="C84" s="24">
        <v>-3.3716202000000001E-2</v>
      </c>
      <c r="D84" s="24">
        <v>-1.5071391999999999E-2</v>
      </c>
      <c r="E84" s="24">
        <v>-1.3475536999999999E-2</v>
      </c>
      <c r="F84" s="24">
        <v>-3.6295055999999997E-3</v>
      </c>
      <c r="G84" s="24">
        <v>-2.0140410000000001E-4</v>
      </c>
      <c r="H84" s="24">
        <v>-1.6004740999999999E-2</v>
      </c>
      <c r="I84" s="24">
        <v>6.3291550000000002E-2</v>
      </c>
      <c r="J84" s="24">
        <v>3.3511639000000003E-2</v>
      </c>
      <c r="K84" s="24">
        <v>-2.7862965999999999E-2</v>
      </c>
      <c r="L84" s="24">
        <v>-2.2316038999999999E-2</v>
      </c>
      <c r="M84" s="24">
        <v>-1.1415481999999999E-2</v>
      </c>
      <c r="N84" s="24">
        <v>-3.5301029999999997E-2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44420</v>
      </c>
      <c r="B85" s="24">
        <v>-1.4227927E-2</v>
      </c>
      <c r="C85" s="24">
        <v>1.3420224000000001E-2</v>
      </c>
      <c r="D85" s="24">
        <v>1.2885928E-2</v>
      </c>
      <c r="E85" s="24">
        <v>-1.7073749999999999E-3</v>
      </c>
      <c r="F85" s="24">
        <v>-2.9141306999999998E-3</v>
      </c>
      <c r="G85" s="24">
        <v>1.8134117000000002E-2</v>
      </c>
      <c r="H85" s="24">
        <v>1.0240912E-2</v>
      </c>
      <c r="I85" s="24">
        <v>1.4099598E-2</v>
      </c>
      <c r="J85" s="24">
        <v>1.837194E-2</v>
      </c>
      <c r="K85" s="24">
        <v>3.3394694000000003E-2</v>
      </c>
      <c r="L85" s="24">
        <v>4.5856476E-2</v>
      </c>
      <c r="M85" s="24">
        <v>2.1205067999999997E-2</v>
      </c>
      <c r="N85" s="24">
        <v>3.5977839999999997E-2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44449</v>
      </c>
      <c r="B86" s="24">
        <v>3.9363623E-2</v>
      </c>
      <c r="C86" s="24">
        <v>-2.3836613E-2</v>
      </c>
      <c r="D86" s="24">
        <v>-1.2986958E-2</v>
      </c>
      <c r="E86" s="24">
        <v>-1.7103851E-2</v>
      </c>
      <c r="F86" s="24">
        <v>6.4006924999999992E-2</v>
      </c>
      <c r="G86" s="24">
        <v>-2.2560834999999998E-2</v>
      </c>
      <c r="H86" s="24">
        <v>-2.3852109999999999E-2</v>
      </c>
      <c r="I86" s="24">
        <v>2.4651049999999997E-2</v>
      </c>
      <c r="J86" s="24">
        <v>7.4148179999999995E-4</v>
      </c>
      <c r="K86" s="24">
        <v>-1.7048298999999999E-2</v>
      </c>
      <c r="L86" s="24">
        <v>3.8537145000000002E-2</v>
      </c>
      <c r="M86" s="24">
        <v>-2.0764767999999999E-2</v>
      </c>
      <c r="N86" s="24">
        <v>-4.1258515999999995E-2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44481</v>
      </c>
      <c r="B87" s="24">
        <v>-2.9351413000000003E-2</v>
      </c>
      <c r="C87" s="24">
        <v>-6.201565E-3</v>
      </c>
      <c r="D87" s="24">
        <v>1.3694881999999999E-2</v>
      </c>
      <c r="E87" s="24">
        <v>-5.6844530000000004E-2</v>
      </c>
      <c r="F87" s="24">
        <v>-6.9907903999999993E-2</v>
      </c>
      <c r="G87" s="24">
        <v>-4.2316256000000003E-2</v>
      </c>
      <c r="H87" s="24">
        <v>3.9706229999999995E-3</v>
      </c>
      <c r="I87" s="24">
        <v>-5.0574303000000001E-2</v>
      </c>
      <c r="J87" s="24">
        <v>-2.3386002000000003E-2</v>
      </c>
      <c r="K87" s="24">
        <v>-3.2876015000000001E-2</v>
      </c>
      <c r="L87" s="24">
        <v>-7.0995809999999993E-2</v>
      </c>
      <c r="M87" s="24">
        <v>-5.3747654000000006E-2</v>
      </c>
      <c r="N87" s="24">
        <v>-4.9535632000000003E-3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44512</v>
      </c>
      <c r="B88" s="24">
        <v>3.2520294000000001E-4</v>
      </c>
      <c r="C88" s="24">
        <v>1.6770719999999999E-2</v>
      </c>
      <c r="D88" s="24">
        <v>5.9602620000000002E-2</v>
      </c>
      <c r="E88" s="24">
        <v>4.8892974999999998E-2</v>
      </c>
      <c r="F88" s="24">
        <v>3.4849405E-2</v>
      </c>
      <c r="G88" s="24">
        <v>7.9704046000000001E-2</v>
      </c>
      <c r="H88" s="24">
        <v>1.9470571999999998E-2</v>
      </c>
      <c r="I88" s="24">
        <v>0.10516882000000001</v>
      </c>
      <c r="J88" s="24">
        <v>7.7602506000000002E-2</v>
      </c>
      <c r="K88" s="24">
        <v>7.2269796999999997E-2</v>
      </c>
      <c r="L88" s="24">
        <v>8.0293420000000004E-2</v>
      </c>
      <c r="M88" s="24">
        <v>7.9875710000000003E-2</v>
      </c>
      <c r="N88" s="24">
        <v>5.5382610000000006E-2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44540</v>
      </c>
      <c r="B89" s="24">
        <v>-4.1686953999999998E-2</v>
      </c>
      <c r="C89" s="24">
        <v>-3.1837344000000004E-2</v>
      </c>
      <c r="D89" s="24">
        <v>-4.9250006999999998E-2</v>
      </c>
      <c r="E89" s="24">
        <v>-4.1923227E-2</v>
      </c>
      <c r="F89" s="24">
        <v>-2.3544550000000001E-2</v>
      </c>
      <c r="G89" s="24">
        <v>3.3288001999999999E-3</v>
      </c>
      <c r="H89" s="24">
        <v>-1.3428747999999999E-2</v>
      </c>
      <c r="I89" s="24">
        <v>8.3861349999999994E-3</v>
      </c>
      <c r="J89" s="24">
        <v>7.4261427E-3</v>
      </c>
      <c r="K89" s="24">
        <v>-2.6210785E-2</v>
      </c>
      <c r="L89" s="24">
        <v>-6.9798109999999997E-2</v>
      </c>
      <c r="M89" s="24">
        <v>-4.8489750000000005E-2</v>
      </c>
      <c r="N89" s="24">
        <v>-3.9504588E-2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44573</v>
      </c>
      <c r="B90" s="24">
        <v>1.4550685999999999E-3</v>
      </c>
      <c r="C90" s="24">
        <v>2.5357484999999999E-2</v>
      </c>
      <c r="D90" s="24">
        <v>4.8369169999999996E-2</v>
      </c>
      <c r="E90" s="24">
        <v>3.4269213999999999E-2</v>
      </c>
      <c r="F90" s="24">
        <v>6.7622660000000003E-3</v>
      </c>
      <c r="G90" s="24">
        <v>8.3918570000000008E-3</v>
      </c>
      <c r="H90" s="24">
        <v>7.3217629999999992E-2</v>
      </c>
      <c r="I90" s="24">
        <v>-2.5527000000000001E-2</v>
      </c>
      <c r="J90" s="24">
        <v>4.1553974E-3</v>
      </c>
      <c r="K90" s="24">
        <v>4.7421336000000001E-2</v>
      </c>
      <c r="L90" s="24">
        <v>9.4223020000000005E-3</v>
      </c>
      <c r="M90" s="24">
        <v>3.1886696999999999E-2</v>
      </c>
      <c r="N90" s="24">
        <v>5.1284669999999997E-2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44603</v>
      </c>
      <c r="B91" s="24">
        <v>-7.9608020000000002E-2</v>
      </c>
      <c r="C91" s="24">
        <v>-5.2462935000000002E-2</v>
      </c>
      <c r="D91" s="24">
        <v>-1.321137E-2</v>
      </c>
      <c r="E91" s="24">
        <v>-5.7893157000000001E-2</v>
      </c>
      <c r="F91" s="24">
        <v>-5.9273423999999998E-2</v>
      </c>
      <c r="G91" s="24">
        <v>-5.8447779999999998E-2</v>
      </c>
      <c r="H91" s="24">
        <v>-2.0272135999999997E-3</v>
      </c>
      <c r="I91" s="24">
        <v>-0.10401445000000001</v>
      </c>
      <c r="J91" s="24">
        <v>-6.4880489999999999E-2</v>
      </c>
      <c r="K91" s="24">
        <v>-6.0362099999999995E-2</v>
      </c>
      <c r="L91" s="24">
        <v>-9.235734000000001E-2</v>
      </c>
      <c r="M91" s="24">
        <v>-0.11720269999999999</v>
      </c>
      <c r="N91" s="24">
        <v>-4.8563776000000003E-2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44631</v>
      </c>
      <c r="B92" s="24">
        <v>6.5383910000000002E-3</v>
      </c>
      <c r="C92" s="24">
        <v>3.0431032E-2</v>
      </c>
      <c r="D92" s="24">
        <v>-8.2389115999999991E-3</v>
      </c>
      <c r="E92" s="24">
        <v>-0.15394365000000002</v>
      </c>
      <c r="F92" s="24">
        <v>-8.474045999999999E-2</v>
      </c>
      <c r="G92" s="24">
        <v>-7.1736930000000004E-2</v>
      </c>
      <c r="H92" s="24">
        <v>-8.5896670000000008E-2</v>
      </c>
      <c r="I92" s="24">
        <v>-6.5291286000000004E-2</v>
      </c>
      <c r="J92" s="24">
        <v>-4.6292486000000001E-2</v>
      </c>
      <c r="K92" s="24">
        <v>-0.12981802000000001</v>
      </c>
      <c r="L92" s="24">
        <v>-0.14419013</v>
      </c>
      <c r="M92" s="24">
        <v>-0.12004889000000001</v>
      </c>
      <c r="N92" s="24">
        <v>-0.16433238999999999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44663</v>
      </c>
      <c r="B93" s="24">
        <v>-6.8671702999999994E-3</v>
      </c>
      <c r="C93" s="24">
        <v>8.1214189999999992E-2</v>
      </c>
      <c r="D93" s="24">
        <v>2.2845268000000002E-2</v>
      </c>
      <c r="E93" s="24">
        <v>1.3103724000000001E-2</v>
      </c>
      <c r="F93" s="24">
        <v>-1.3836741E-2</v>
      </c>
      <c r="G93" s="24">
        <v>9.1895469999999993E-2</v>
      </c>
      <c r="H93" s="24">
        <v>6.8888782999999995E-2</v>
      </c>
      <c r="I93" s="24">
        <v>4.7689795000000007E-2</v>
      </c>
      <c r="J93" s="24">
        <v>4.6579956999999998E-2</v>
      </c>
      <c r="K93" s="24">
        <v>4.4909359999999995E-2</v>
      </c>
      <c r="L93" s="24">
        <v>3.9979220000000003E-2</v>
      </c>
      <c r="M93" s="24">
        <v>6.3350916000000007E-2</v>
      </c>
      <c r="N93" s="24">
        <v>7.1135879999999999E-2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44693</v>
      </c>
      <c r="B94" s="24">
        <v>-0.14333767</v>
      </c>
      <c r="C94" s="24">
        <v>-0.13505316000000001</v>
      </c>
      <c r="D94" s="24">
        <v>-0.11472082</v>
      </c>
      <c r="E94" s="24">
        <v>-7.2431620000000002E-2</v>
      </c>
      <c r="F94" s="24">
        <v>-4.4171149999999999E-2</v>
      </c>
      <c r="G94" s="24">
        <v>-0.1281687</v>
      </c>
      <c r="H94" s="24">
        <v>-9.2367060000000001E-2</v>
      </c>
      <c r="I94" s="24">
        <v>-0.14228905</v>
      </c>
      <c r="J94" s="24">
        <v>-0.10483927</v>
      </c>
      <c r="K94" s="24">
        <v>-7.4183105999999999E-2</v>
      </c>
      <c r="L94" s="24">
        <v>-0.10496759000000001</v>
      </c>
      <c r="M94" s="24">
        <v>-0.12568593</v>
      </c>
      <c r="N94" s="24">
        <v>-8.2058430000000002E-2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44722</v>
      </c>
      <c r="B95" s="24">
        <v>8.4005594000000003E-3</v>
      </c>
      <c r="C95" s="24">
        <v>1.3290763000000001E-2</v>
      </c>
      <c r="D95" s="24">
        <v>4.6446920000000003E-2</v>
      </c>
      <c r="E95" s="24">
        <v>1.9830703999999998E-2</v>
      </c>
      <c r="F95" s="24">
        <v>2.6462078000000001E-3</v>
      </c>
      <c r="G95" s="24">
        <v>-2.3745835E-2</v>
      </c>
      <c r="H95" s="24">
        <v>2.9022931999999998E-2</v>
      </c>
      <c r="I95" s="24">
        <v>-7.9340339999999995E-3</v>
      </c>
      <c r="J95" s="24">
        <v>-6.4740180000000007E-3</v>
      </c>
      <c r="K95" s="24">
        <v>2.4586199999999999E-2</v>
      </c>
      <c r="L95" s="24">
        <v>3.1881212999999999E-2</v>
      </c>
      <c r="M95" s="24">
        <v>2.5562762999999999E-2</v>
      </c>
      <c r="N95" s="24">
        <v>-1.3812720999999998E-2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44754</v>
      </c>
      <c r="B96" s="24">
        <v>-2.3178399000000002E-2</v>
      </c>
      <c r="C96" s="24">
        <v>-6.8811417E-2</v>
      </c>
      <c r="D96" s="24">
        <v>-8.9152629999999997E-2</v>
      </c>
      <c r="E96" s="24">
        <v>-0.11759966999999999</v>
      </c>
      <c r="F96" s="24">
        <v>-3.2487750000000003E-2</v>
      </c>
      <c r="G96" s="24">
        <v>1.9450187999999998E-3</v>
      </c>
      <c r="H96" s="24">
        <v>-5.5375633000000007E-2</v>
      </c>
      <c r="I96" s="24">
        <v>-7.1421266000000006E-3</v>
      </c>
      <c r="J96" s="24">
        <v>-1.8800913999999998E-2</v>
      </c>
      <c r="K96" s="24">
        <v>-6.9009600000000004E-2</v>
      </c>
      <c r="L96" s="24">
        <v>-7.4753523000000002E-2</v>
      </c>
      <c r="M96" s="24">
        <v>-7.7661094999999999E-2</v>
      </c>
      <c r="N96" s="24">
        <v>-8.9073659999999999E-2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44785</v>
      </c>
      <c r="B97" s="24">
        <v>0.12502802000000002</v>
      </c>
      <c r="C97" s="24">
        <v>0.11564302</v>
      </c>
      <c r="D97" s="24">
        <v>9.8181840000000006E-2</v>
      </c>
      <c r="E97" s="24">
        <v>0.10451853</v>
      </c>
      <c r="F97" s="24">
        <v>7.5834750000000006E-2</v>
      </c>
      <c r="G97" s="24">
        <v>6.7702054999999997E-2</v>
      </c>
      <c r="H97" s="24">
        <v>7.1991799999999995E-2</v>
      </c>
      <c r="I97" s="24">
        <v>0.15424132000000002</v>
      </c>
      <c r="J97" s="24">
        <v>0.12149786999999999</v>
      </c>
      <c r="K97" s="24">
        <v>0.11908030500000001</v>
      </c>
      <c r="L97" s="24">
        <v>0.13820647999999999</v>
      </c>
      <c r="M97" s="24">
        <v>9.9804989999999996E-2</v>
      </c>
      <c r="N97" s="24">
        <v>0.10430241000000001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44816</v>
      </c>
      <c r="B98" s="24">
        <v>-4.3019294999999999E-2</v>
      </c>
      <c r="C98" s="24">
        <v>-2.838707E-2</v>
      </c>
      <c r="D98" s="24">
        <v>-2.3730695000000003E-2</v>
      </c>
      <c r="E98" s="24">
        <v>-4.7520695000000002E-2</v>
      </c>
      <c r="F98" s="24">
        <v>-6.9086432000000003E-2</v>
      </c>
      <c r="G98" s="24">
        <v>-4.3181839999999999E-2</v>
      </c>
      <c r="H98" s="24">
        <v>-4.7009945000000004E-2</v>
      </c>
      <c r="I98" s="24">
        <v>-5.9475239999999999E-2</v>
      </c>
      <c r="J98" s="24">
        <v>-3.7766337000000004E-2</v>
      </c>
      <c r="K98" s="24">
        <v>-5.3357840000000004E-2</v>
      </c>
      <c r="L98" s="24">
        <v>-7.5402974999999997E-2</v>
      </c>
      <c r="M98" s="24">
        <v>-6.1483917000000006E-2</v>
      </c>
      <c r="N98" s="24">
        <v>-3.7780344E-2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44846</v>
      </c>
      <c r="B99" s="24">
        <v>-0.16066593000000001</v>
      </c>
      <c r="C99" s="24">
        <v>-0.13147407999999999</v>
      </c>
      <c r="D99" s="24">
        <v>-0.142170725</v>
      </c>
      <c r="E99" s="24">
        <v>-0.14403468</v>
      </c>
      <c r="F99" s="24">
        <v>-8.1936300000000004E-2</v>
      </c>
      <c r="G99" s="24">
        <v>-0.1232779</v>
      </c>
      <c r="H99" s="24">
        <v>-0.12751675000000001</v>
      </c>
      <c r="I99" s="24">
        <v>-0.15322131</v>
      </c>
      <c r="J99" s="24">
        <v>-0.12880181999999998</v>
      </c>
      <c r="K99" s="24">
        <v>-0.12406867999999999</v>
      </c>
      <c r="L99" s="24">
        <v>-0.15860521</v>
      </c>
      <c r="M99" s="24">
        <v>-0.15968502000000001</v>
      </c>
      <c r="N99" s="24">
        <v>-0.12801641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44876</v>
      </c>
      <c r="B100" s="24">
        <v>0.13761461</v>
      </c>
      <c r="C100" s="24">
        <v>0.16207944999999999</v>
      </c>
      <c r="D100" s="24">
        <v>0.154530525</v>
      </c>
      <c r="E100" s="24">
        <v>0.25848960000000004</v>
      </c>
      <c r="F100" s="24">
        <v>0.12720549</v>
      </c>
      <c r="G100" s="24">
        <v>0.17339479999999999</v>
      </c>
      <c r="H100" s="24">
        <v>0.14884615000000001</v>
      </c>
      <c r="I100" s="24">
        <v>9.6322170000000013E-2</v>
      </c>
      <c r="J100" s="24">
        <v>0.11765204999999999</v>
      </c>
      <c r="K100" s="24">
        <v>0.21708572000000001</v>
      </c>
      <c r="L100" s="24">
        <v>0.26169787999999999</v>
      </c>
      <c r="M100" s="24">
        <v>0.27886057000000003</v>
      </c>
      <c r="N100" s="24">
        <v>0.28330208000000001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44907</v>
      </c>
      <c r="B101" s="24">
        <v>7.4324370000000001E-2</v>
      </c>
      <c r="C101" s="24">
        <v>1.8421053999999999E-2</v>
      </c>
      <c r="D101" s="24">
        <v>-2.9395044000000002E-2</v>
      </c>
      <c r="E101" s="24">
        <v>1.8525957999999999E-2</v>
      </c>
      <c r="F101" s="24">
        <v>5.6425332999999996E-3</v>
      </c>
      <c r="G101" s="24">
        <v>-1.1313796000000001E-2</v>
      </c>
      <c r="H101" s="24">
        <v>5.5239320000000001E-2</v>
      </c>
      <c r="I101" s="24">
        <v>-8.2650780000000004E-3</v>
      </c>
      <c r="J101" s="24">
        <v>1.10411644E-3</v>
      </c>
      <c r="K101" s="24">
        <v>2.7651189999999999E-2</v>
      </c>
      <c r="L101" s="24">
        <v>3.8145660999999997E-2</v>
      </c>
      <c r="M101" s="24">
        <v>-3.5169719999999997E-3</v>
      </c>
      <c r="N101" s="24">
        <v>1.096487E-2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44938</v>
      </c>
      <c r="B102" s="24">
        <v>1.3614892999999999E-2</v>
      </c>
      <c r="C102" s="24">
        <v>4.5381070000000003E-2</v>
      </c>
      <c r="D102" s="24">
        <v>3.5155177000000003E-2</v>
      </c>
      <c r="E102" s="24">
        <v>9.8431470000000007E-2</v>
      </c>
      <c r="F102" s="24">
        <v>2.5441408000000002E-2</v>
      </c>
      <c r="G102" s="24">
        <v>3.8066387E-2</v>
      </c>
      <c r="H102" s="24">
        <v>4.2333363999999998E-2</v>
      </c>
      <c r="I102" s="24">
        <v>-2.0491660000000002E-2</v>
      </c>
      <c r="J102" s="24">
        <v>-3.6346912000000001E-4</v>
      </c>
      <c r="K102" s="24">
        <v>7.5717090000000001E-2</v>
      </c>
      <c r="L102" s="24">
        <v>6.9114327000000003E-2</v>
      </c>
      <c r="M102" s="24">
        <v>4.653728E-2</v>
      </c>
      <c r="N102" s="24">
        <v>8.7696910000000003E-2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44967</v>
      </c>
      <c r="B103" s="24">
        <v>3.6604999999999999E-2</v>
      </c>
      <c r="C103" s="24">
        <v>1.4267683E-2</v>
      </c>
      <c r="D103" s="24">
        <v>2.276659E-2</v>
      </c>
      <c r="E103" s="24">
        <v>0</v>
      </c>
      <c r="F103" s="24">
        <v>2.8126717000000002E-2</v>
      </c>
      <c r="G103" s="24">
        <v>-2.6996135999999998E-3</v>
      </c>
      <c r="H103" s="24">
        <v>0</v>
      </c>
      <c r="I103" s="24">
        <v>7.4001193000000007E-2</v>
      </c>
      <c r="J103" s="24">
        <v>2.7912140000000002E-2</v>
      </c>
      <c r="K103" s="24">
        <v>4.4138431999999998E-3</v>
      </c>
      <c r="L103" s="24">
        <v>-1.2007355999999999E-3</v>
      </c>
      <c r="M103" s="24">
        <v>-1.2436449999999998E-2</v>
      </c>
      <c r="N103" s="24">
        <v>2.1592498000000002E-2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44995</v>
      </c>
      <c r="B104" s="24">
        <v>-7.2176989999999996E-2</v>
      </c>
      <c r="C104" s="24">
        <v>-7.9437312999999996E-2</v>
      </c>
      <c r="D104" s="24">
        <v>-7.3823689999999997E-2</v>
      </c>
      <c r="E104" s="24">
        <v>-1.6924798000000001E-2</v>
      </c>
      <c r="F104" s="24">
        <v>-2.3055731999999999E-2</v>
      </c>
      <c r="G104" s="24">
        <v>-3.3386051999999999E-2</v>
      </c>
      <c r="H104" s="24">
        <v>-2.4714231E-2</v>
      </c>
      <c r="I104" s="24">
        <v>-3.7203968000000004E-2</v>
      </c>
      <c r="J104" s="24">
        <v>-5.4234859999999996E-2</v>
      </c>
      <c r="K104" s="24">
        <v>-8.2394479999999999E-3</v>
      </c>
      <c r="L104" s="24">
        <v>-4.3760540000000001E-2</v>
      </c>
      <c r="M104" s="24">
        <v>-4.0927290000000005E-2</v>
      </c>
      <c r="N104" s="24">
        <v>-2.1136105000000002E-2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45028</v>
      </c>
      <c r="B105" s="24">
        <v>3.8586377999999998E-2</v>
      </c>
      <c r="C105" s="24">
        <v>5.0786495000000001E-2</v>
      </c>
      <c r="D105" s="24">
        <v>6.5713406000000002E-2</v>
      </c>
      <c r="E105" s="24">
        <v>5.5677649999999995E-2</v>
      </c>
      <c r="F105" s="24">
        <v>2.2719263999999999E-2</v>
      </c>
      <c r="G105" s="24">
        <v>9.0548400000000001E-2</v>
      </c>
      <c r="H105" s="24">
        <v>5.9233426999999998E-2</v>
      </c>
      <c r="I105" s="24">
        <v>8.6547140000000009E-2</v>
      </c>
      <c r="J105" s="24">
        <v>6.1454653999999997E-2</v>
      </c>
      <c r="K105" s="24">
        <v>7.5879215999999999E-2</v>
      </c>
      <c r="L105" s="24">
        <v>5.7832480000000006E-2</v>
      </c>
      <c r="M105" s="24">
        <v>6.9233180000000005E-2</v>
      </c>
      <c r="N105" s="24">
        <v>6.2753080000000003E-2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45058</v>
      </c>
      <c r="B106" s="24">
        <v>6.5398215999999997E-3</v>
      </c>
      <c r="C106" s="24">
        <v>-2.0958066000000001E-2</v>
      </c>
      <c r="D106" s="24">
        <v>-6.5658090000000006E-3</v>
      </c>
      <c r="E106" s="24">
        <v>1.0409355000000002E-3</v>
      </c>
      <c r="F106" s="24">
        <v>3.6679864E-2</v>
      </c>
      <c r="G106" s="24">
        <v>3.4667252999999995E-2</v>
      </c>
      <c r="H106" s="24">
        <v>-6.5788627000000002E-3</v>
      </c>
      <c r="I106" s="24">
        <v>3.8301826000000004E-2</v>
      </c>
      <c r="J106" s="24">
        <v>8.6754559999999998E-3</v>
      </c>
      <c r="K106" s="24">
        <v>-3.3461452000000001E-3</v>
      </c>
      <c r="L106" s="24">
        <v>-8.0817939999999998E-3</v>
      </c>
      <c r="M106" s="24">
        <v>5.5818559999999996E-3</v>
      </c>
      <c r="N106" s="24">
        <v>-5.7142970000000001E-3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45089</v>
      </c>
      <c r="B107" s="24">
        <v>-3.7469863999999999E-2</v>
      </c>
      <c r="C107" s="24">
        <v>-6.8390370000000005E-4</v>
      </c>
      <c r="D107" s="24">
        <v>-9.6062420000000009E-3</v>
      </c>
      <c r="E107" s="24">
        <v>2.1730661E-3</v>
      </c>
      <c r="F107" s="24">
        <v>4.7375439999999998E-2</v>
      </c>
      <c r="G107" s="24">
        <v>-3.3166647E-2</v>
      </c>
      <c r="H107" s="24">
        <v>-1.7705976999999998E-2</v>
      </c>
      <c r="I107" s="24">
        <v>0.10909759499999999</v>
      </c>
      <c r="J107" s="24">
        <v>5.3961395999999995E-2</v>
      </c>
      <c r="K107" s="24">
        <v>-1.7777443E-2</v>
      </c>
      <c r="L107" s="24">
        <v>2.6227474000000001E-2</v>
      </c>
      <c r="M107" s="24">
        <v>-1.8318057000000002E-2</v>
      </c>
      <c r="N107" s="24">
        <v>-3.5949945E-3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45119</v>
      </c>
      <c r="B108" s="24">
        <v>4.9853085999999998E-2</v>
      </c>
      <c r="C108" s="24">
        <v>1.6926408E-2</v>
      </c>
      <c r="D108" s="24">
        <v>2.4032830000000002E-2</v>
      </c>
      <c r="E108" s="24">
        <v>2.594173E-2</v>
      </c>
      <c r="F108" s="24">
        <v>-5.7498810000000001E-3</v>
      </c>
      <c r="G108" s="24">
        <v>1.9466281000000002E-2</v>
      </c>
      <c r="H108" s="24">
        <v>1.3433337E-2</v>
      </c>
      <c r="I108" s="24">
        <v>3.5624026999999996E-2</v>
      </c>
      <c r="J108" s="24">
        <v>3.2002807000000001E-2</v>
      </c>
      <c r="K108" s="24">
        <v>4.8655867999999998E-2</v>
      </c>
      <c r="L108" s="24">
        <v>4.1322349999999994E-2</v>
      </c>
      <c r="M108" s="24">
        <v>2.4597167999999999E-2</v>
      </c>
      <c r="N108" s="24">
        <v>7.0584415999999997E-2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45149</v>
      </c>
      <c r="B109" s="24">
        <v>-5.8282556999999999E-2</v>
      </c>
      <c r="C109" s="24">
        <v>-2.5405169000000002E-2</v>
      </c>
      <c r="D109" s="24">
        <v>5.7244299999999995E-4</v>
      </c>
      <c r="E109" s="24">
        <v>-2.6324928000000001E-2</v>
      </c>
      <c r="F109" s="24">
        <v>-1.4136553000000001E-2</v>
      </c>
      <c r="G109" s="24">
        <v>-2.3600458999999997E-3</v>
      </c>
      <c r="H109" s="24">
        <v>1.8496513E-3</v>
      </c>
      <c r="I109" s="24">
        <v>-1.7649293E-2</v>
      </c>
      <c r="J109" s="24">
        <v>-8.2957745000000001E-4</v>
      </c>
      <c r="K109" s="24">
        <v>-1.9994854999999999E-2</v>
      </c>
      <c r="L109" s="24">
        <v>-2.8798102999999999E-2</v>
      </c>
      <c r="M109" s="24">
        <v>-6.0430526999999998E-2</v>
      </c>
      <c r="N109" s="24">
        <v>-2.0545840000000003E-2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45181</v>
      </c>
      <c r="B110" s="24">
        <v>-6.5605105999999996E-2</v>
      </c>
      <c r="C110" s="24">
        <v>-1.1235952E-2</v>
      </c>
      <c r="D110" s="24">
        <v>-1.3729990000000001E-2</v>
      </c>
      <c r="E110" s="24">
        <v>-3.2017112E-2</v>
      </c>
      <c r="F110" s="24">
        <v>1.5316962999999999E-2</v>
      </c>
      <c r="G110" s="24">
        <v>-2.838707E-2</v>
      </c>
      <c r="H110" s="24">
        <v>-1.5076994999999999E-2</v>
      </c>
      <c r="I110" s="24">
        <v>1.7884492999999998E-2</v>
      </c>
      <c r="J110" s="24">
        <v>7.6293945000000007E-4</v>
      </c>
      <c r="K110" s="24">
        <v>-3.6358893000000003E-2</v>
      </c>
      <c r="L110" s="24">
        <v>-7.6815309999999998E-2</v>
      </c>
      <c r="M110" s="24">
        <v>-3.7591754999999998E-2</v>
      </c>
      <c r="N110" s="24">
        <v>-1.3775826E-2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45211</v>
      </c>
      <c r="B111" s="24">
        <v>-4.9988029999999996E-3</v>
      </c>
      <c r="C111" s="24">
        <v>-3.5454571000000004E-2</v>
      </c>
      <c r="D111" s="24">
        <v>-3.6832988000000004E-2</v>
      </c>
      <c r="E111" s="24">
        <v>-4.1528820000000001E-2</v>
      </c>
      <c r="F111" s="24">
        <v>-3.1776606999999998E-2</v>
      </c>
      <c r="G111" s="24">
        <v>-2.6339054000000001E-2</v>
      </c>
      <c r="H111" s="24">
        <v>-4.6859383999999999E-3</v>
      </c>
      <c r="I111" s="24">
        <v>-6.2382219999999999E-3</v>
      </c>
      <c r="J111" s="24">
        <v>-2.4174273E-2</v>
      </c>
      <c r="K111" s="24">
        <v>-4.5059740000000001E-2</v>
      </c>
      <c r="L111" s="24">
        <v>-3.1360685999999999E-2</v>
      </c>
      <c r="M111" s="24">
        <v>2.7464031999999999E-2</v>
      </c>
      <c r="N111" s="24">
        <v>-3.7142873E-2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45240</v>
      </c>
      <c r="B112" s="24">
        <v>-2.0552874E-3</v>
      </c>
      <c r="C112" s="24">
        <v>7.5401070000000008E-3</v>
      </c>
      <c r="D112" s="24">
        <v>2.4089812999999998E-3</v>
      </c>
      <c r="E112" s="24">
        <v>9.9693536999999992E-3</v>
      </c>
      <c r="F112" s="24">
        <v>2.3205280000000001E-3</v>
      </c>
      <c r="G112" s="24">
        <v>-2.0913899999999999E-2</v>
      </c>
      <c r="H112" s="24">
        <v>-2.5737584000000001E-2</v>
      </c>
      <c r="I112" s="24">
        <v>2.2869229999999997E-2</v>
      </c>
      <c r="J112" s="24">
        <v>1.6026377999999997E-2</v>
      </c>
      <c r="K112" s="24">
        <v>1.6202330000000001E-2</v>
      </c>
      <c r="L112" s="24">
        <v>4.7258496000000004E-2</v>
      </c>
      <c r="M112" s="24">
        <v>-2.1681010000000001E-2</v>
      </c>
      <c r="N112" s="24">
        <v>2.7035952000000002E-2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45272</v>
      </c>
      <c r="B113" s="24">
        <v>5.9496520000000004E-2</v>
      </c>
      <c r="C113" s="24">
        <v>6.9691420000000004E-2</v>
      </c>
      <c r="D113" s="24">
        <v>4.8963546999999996E-2</v>
      </c>
      <c r="E113" s="24">
        <v>0.10478365000000001</v>
      </c>
      <c r="F113" s="24">
        <v>4.2665719999999997E-2</v>
      </c>
      <c r="G113" s="24">
        <v>7.8244686000000008E-2</v>
      </c>
      <c r="H113" s="24">
        <v>5.0257683000000004E-2</v>
      </c>
      <c r="I113" s="24">
        <v>5.3595543000000002E-2</v>
      </c>
      <c r="J113" s="24">
        <v>5.3312540000000005E-2</v>
      </c>
      <c r="K113" s="24">
        <v>7.6083899999999996E-2</v>
      </c>
      <c r="L113" s="24">
        <v>8.451758999999999E-2</v>
      </c>
      <c r="M113" s="24">
        <v>0.14875531</v>
      </c>
      <c r="N113" s="24">
        <v>7.4478390000000005E-2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45303</v>
      </c>
      <c r="B114" s="24">
        <v>6.093693E-2</v>
      </c>
      <c r="C114" s="24">
        <v>5.8089374999999999E-2</v>
      </c>
      <c r="D114" s="24">
        <v>5.3972840000000001E-2</v>
      </c>
      <c r="E114" s="24">
        <v>4.1761398E-3</v>
      </c>
      <c r="F114" s="24">
        <v>6.8458796000000002E-2</v>
      </c>
      <c r="G114" s="24">
        <v>3.1007766999999999E-2</v>
      </c>
      <c r="H114" s="24">
        <v>2.8042555E-2</v>
      </c>
      <c r="I114" s="24">
        <v>2.9895306E-2</v>
      </c>
      <c r="J114" s="24">
        <v>3.1277537000000001E-2</v>
      </c>
      <c r="K114" s="24">
        <v>4.6815872000000001E-3</v>
      </c>
      <c r="L114" s="24">
        <v>9.3976259999999992E-3</v>
      </c>
      <c r="M114" s="24">
        <v>2.30695E-2</v>
      </c>
      <c r="N114" s="24">
        <v>2.5322914000000002E-2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45334</v>
      </c>
      <c r="B115" s="24">
        <v>-4.4056472999999999E-2</v>
      </c>
      <c r="C115" s="24">
        <v>-3.3740997E-3</v>
      </c>
      <c r="D115" s="24">
        <v>3.8557053000000002E-3</v>
      </c>
      <c r="E115" s="24">
        <v>4.1067600000000001E-3</v>
      </c>
      <c r="F115" s="24">
        <v>8.1288815000000007E-3</v>
      </c>
      <c r="G115" s="24">
        <v>-2.7986646E-2</v>
      </c>
      <c r="H115" s="24">
        <v>-1.7093956E-2</v>
      </c>
      <c r="I115" s="24">
        <v>6.2945604000000002E-2</v>
      </c>
      <c r="J115" s="24">
        <v>5.0977589999999996E-2</v>
      </c>
      <c r="K115" s="24">
        <v>1.0677099000000001E-2</v>
      </c>
      <c r="L115" s="24">
        <v>8.2147710000000013E-2</v>
      </c>
      <c r="M115" s="24">
        <v>5.5586100000000003E-3</v>
      </c>
      <c r="N115" s="24">
        <v>5.6064130000000002E-3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45363</v>
      </c>
      <c r="B116" s="24">
        <v>-2.8260945999999997E-3</v>
      </c>
      <c r="C116" s="24">
        <v>3.3008932999999997E-2</v>
      </c>
      <c r="D116" s="24">
        <v>3.7585734999999995E-2</v>
      </c>
      <c r="E116" s="24">
        <v>7.0892929999999993E-2</v>
      </c>
      <c r="F116" s="24">
        <v>4.4945480000000003E-2</v>
      </c>
      <c r="G116" s="24">
        <v>4.7056316999999993E-2</v>
      </c>
      <c r="H116" s="24">
        <v>4.4720410000000002E-2</v>
      </c>
      <c r="I116" s="24">
        <v>1.9111514E-2</v>
      </c>
      <c r="J116" s="24">
        <v>3.1538248000000005E-2</v>
      </c>
      <c r="K116" s="24">
        <v>6.4674019999999999E-2</v>
      </c>
      <c r="L116" s="24">
        <v>4.0924550000000004E-2</v>
      </c>
      <c r="M116" s="24">
        <v>8.8444230000000013E-2</v>
      </c>
      <c r="N116" s="24">
        <v>8.7441329999999998E-2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45394</v>
      </c>
      <c r="B117" s="24">
        <v>-2.7032852E-2</v>
      </c>
      <c r="C117" s="24">
        <v>-2.0893096999999999E-2</v>
      </c>
      <c r="D117" s="24">
        <v>-1.7715453999999999E-2</v>
      </c>
      <c r="E117" s="24">
        <v>-3.7237406000000001E-2</v>
      </c>
      <c r="F117" s="24">
        <v>-1.3146698000000002E-2</v>
      </c>
      <c r="G117" s="24">
        <v>-6.4847109999999999E-2</v>
      </c>
      <c r="H117" s="24">
        <v>2.3782253E-3</v>
      </c>
      <c r="I117" s="24">
        <v>-1.0854065E-2</v>
      </c>
      <c r="J117" s="24">
        <v>-8.3824395999999995E-3</v>
      </c>
      <c r="K117" s="24">
        <v>-4.1384277000000004E-2</v>
      </c>
      <c r="L117" s="24">
        <v>-1.7926276000000001E-2</v>
      </c>
      <c r="M117" s="24">
        <v>-6.3361526000000001E-2</v>
      </c>
      <c r="N117" s="24">
        <v>-2.9411792999999999E-2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45422</v>
      </c>
      <c r="B118" s="24">
        <v>1.4564156999999999E-2</v>
      </c>
      <c r="C118" s="24">
        <v>2.4267793000000003E-2</v>
      </c>
      <c r="D118" s="24">
        <v>2.7994514000000002E-2</v>
      </c>
      <c r="E118" s="24">
        <v>6.380164599999999E-2</v>
      </c>
      <c r="F118" s="24">
        <v>-1.6072988999999999E-2</v>
      </c>
      <c r="G118" s="24">
        <v>5.2007914000000002E-2</v>
      </c>
      <c r="H118" s="24">
        <v>7.2064039999999996E-2</v>
      </c>
      <c r="I118" s="24">
        <v>8.6476799999999996E-3</v>
      </c>
      <c r="J118" s="24">
        <v>1.9555688000000002E-2</v>
      </c>
      <c r="K118" s="24">
        <v>6.0338260000000005E-2</v>
      </c>
      <c r="L118" s="24">
        <v>5.0611972999999998E-2</v>
      </c>
      <c r="M118" s="24">
        <v>5.4737926000000006E-2</v>
      </c>
      <c r="N118" s="24">
        <v>6.1717987000000002E-2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45455</v>
      </c>
      <c r="B119" s="24">
        <v>3.0361889999999999E-2</v>
      </c>
      <c r="C119" s="24">
        <v>1.6154407999999999E-2</v>
      </c>
      <c r="D119" s="24">
        <v>-1.9079089E-2</v>
      </c>
      <c r="E119" s="24">
        <v>-1.7626882E-3</v>
      </c>
      <c r="F119" s="24">
        <v>1.3997436E-2</v>
      </c>
      <c r="G119" s="24">
        <v>4.4404029999999997E-2</v>
      </c>
      <c r="H119" s="24">
        <v>-2.1337866999999997E-3</v>
      </c>
      <c r="I119" s="24">
        <v>7.2591900000000001E-2</v>
      </c>
      <c r="J119" s="24">
        <v>3.9397835999999999E-2</v>
      </c>
      <c r="K119" s="24">
        <v>-2.8661550000000001E-2</v>
      </c>
      <c r="L119" s="24">
        <v>3.9632915999999997E-2</v>
      </c>
      <c r="M119" s="24">
        <v>4.4221280000000002E-2</v>
      </c>
      <c r="N119" s="24">
        <v>-1.2629628000000001E-3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45485</v>
      </c>
      <c r="B120" s="24">
        <v>1.2526988999999999E-2</v>
      </c>
      <c r="C120" s="24">
        <v>5.0409794000000001E-2</v>
      </c>
      <c r="D120" s="24">
        <v>4.0420413000000002E-2</v>
      </c>
      <c r="E120" s="24">
        <v>1.8181801000000001E-2</v>
      </c>
      <c r="F120" s="24">
        <v>4.4012309999999999E-2</v>
      </c>
      <c r="G120" s="24">
        <v>1.4885783E-2</v>
      </c>
      <c r="H120" s="24">
        <v>1.837194E-2</v>
      </c>
      <c r="I120" s="24">
        <v>4.5270560000000001E-2</v>
      </c>
      <c r="J120" s="24">
        <v>3.7754892999999998E-2</v>
      </c>
      <c r="K120" s="24">
        <v>-8.5276959999999995E-3</v>
      </c>
      <c r="L120" s="24">
        <v>1.1138916E-2</v>
      </c>
      <c r="M120" s="24">
        <v>-8.5754990000000003E-3</v>
      </c>
      <c r="N120" s="24">
        <v>1.4776945E-2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45516</v>
      </c>
      <c r="B121" s="24">
        <v>-1.3385296E-2</v>
      </c>
      <c r="C121" s="24">
        <v>-5.3843139999999998E-2</v>
      </c>
      <c r="D121" s="24">
        <v>-1.8388987000000002E-2</v>
      </c>
      <c r="E121" s="24">
        <v>-5.7017508000000001E-2</v>
      </c>
      <c r="F121" s="24">
        <v>-7.9411744999999992E-2</v>
      </c>
      <c r="G121" s="24">
        <v>-5.2240489999999997E-3</v>
      </c>
      <c r="H121" s="24">
        <v>-1.4432430000000001E-2</v>
      </c>
      <c r="I121" s="24">
        <v>-8.7789480000000003E-2</v>
      </c>
      <c r="J121" s="24">
        <v>-4.7715069999999998E-2</v>
      </c>
      <c r="K121" s="24">
        <v>-5.2112284000000002E-2</v>
      </c>
      <c r="L121" s="24">
        <v>-9.4017089999999998E-2</v>
      </c>
      <c r="M121" s="24">
        <v>-6.7515554000000005E-2</v>
      </c>
      <c r="N121" s="24">
        <v>-5.5599746999999998E-2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45547</v>
      </c>
      <c r="B122" s="24">
        <v>8.5130579999999997E-2</v>
      </c>
      <c r="C122" s="24">
        <v>7.4226737000000001E-2</v>
      </c>
      <c r="D122" s="24">
        <v>6.5963029999999992E-2</v>
      </c>
      <c r="E122" s="24">
        <v>6.7441940000000006E-2</v>
      </c>
      <c r="F122" s="24">
        <v>6.8766117000000002E-2</v>
      </c>
      <c r="G122" s="24">
        <v>3.1508803000000002E-2</v>
      </c>
      <c r="H122" s="24">
        <v>3.6046267E-2</v>
      </c>
      <c r="I122" s="24">
        <v>4.8384904999999999E-2</v>
      </c>
      <c r="J122" s="24">
        <v>4.8418283000000006E-2</v>
      </c>
      <c r="K122" s="24">
        <v>4.0565850000000001E-2</v>
      </c>
      <c r="L122" s="24">
        <v>2.9140472000000001E-2</v>
      </c>
      <c r="M122" s="24">
        <v>5.3336740000000001E-2</v>
      </c>
      <c r="N122" s="50">
        <v>6.7844151999999991E-2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0.13761461</v>
      </c>
      <c r="C126" s="24" cm="1">
        <f t="array" ref="C126">MAX(_xlfn._xlws.FILTER(C1:C122, ISNUMBER(C1:C122)))</f>
        <v>0.16706026000000002</v>
      </c>
      <c r="D126" s="24" cm="1">
        <f t="array" ref="D126">MAX(_xlfn._xlws.FILTER(D1:D122, ISNUMBER(D1:D122)))</f>
        <v>0.154530525</v>
      </c>
      <c r="E126" s="24" cm="1">
        <f t="array" ref="E126">MAX(_xlfn._xlws.FILTER(E1:E122, ISNUMBER(E1:E122)))</f>
        <v>0.25848960000000004</v>
      </c>
      <c r="F126" s="24" cm="1">
        <f t="array" ref="F126">MAX(_xlfn._xlws.FILTER(F1:F122, ISNUMBER(F1:F122)))</f>
        <v>0.12720549</v>
      </c>
      <c r="G126" s="24" cm="1">
        <f t="array" ref="G126">MAX(_xlfn._xlws.FILTER(G1:G122, ISNUMBER(G1:G122)))</f>
        <v>0.17339479999999999</v>
      </c>
      <c r="H126" s="24" cm="1">
        <f t="array" ref="H126">MAX(_xlfn._xlws.FILTER(H1:H122, ISNUMBER(H1:H122)))</f>
        <v>0.14884615000000001</v>
      </c>
      <c r="I126" s="24" cm="1">
        <f t="array" ref="I126">MAX(_xlfn._xlws.FILTER(I1:I122, ISNUMBER(I1:I122)))</f>
        <v>0.15424132000000002</v>
      </c>
      <c r="J126" s="24" cm="1">
        <f t="array" ref="J126">MAX(_xlfn._xlws.FILTER(J1:J122, ISNUMBER(J1:J122)))</f>
        <v>0.12816513000000002</v>
      </c>
      <c r="K126" s="24" cm="1">
        <f t="array" ref="K126">MAX(_xlfn._xlws.FILTER(K1:K122, ISNUMBER(K1:K122)))</f>
        <v>0.21708572000000001</v>
      </c>
      <c r="L126" s="24" cm="1">
        <f t="array" ref="L126">MAX(_xlfn._xlws.FILTER(L1:L122, ISNUMBER(L1:L122)))</f>
        <v>0.26169787999999999</v>
      </c>
      <c r="M126" s="24" cm="1">
        <f t="array" ref="M126">MAX(_xlfn._xlws.FILTER(M1:M122, ISNUMBER(M1:M122)))</f>
        <v>0.27886057000000003</v>
      </c>
      <c r="N126" s="24" cm="1">
        <f t="array" ref="N126">MAX(_xlfn._xlws.FILTER(N1:N122, ISNUMBER(N1:N122)))</f>
        <v>0.28330208000000001</v>
      </c>
    </row>
    <row r="127" spans="1:26" x14ac:dyDescent="0.35">
      <c r="A127" t="s">
        <v>85</v>
      </c>
      <c r="B127" s="24" cm="1">
        <f t="array" ref="B127">MIN(_xlfn._xlws.FILTER(B2:B122, ISNUMBER(B2:B122)))</f>
        <v>-0.21455347</v>
      </c>
      <c r="C127" s="24" cm="1">
        <f t="array" ref="C127">MIN(_xlfn._xlws.FILTER(C2:C122, ISNUMBER(C2:C122)))</f>
        <v>-0.34602080000000002</v>
      </c>
      <c r="D127" s="24" cm="1">
        <f t="array" ref="D127">MIN(_xlfn._xlws.FILTER(D2:D122, ISNUMBER(D2:D122)))</f>
        <v>-0.33681810000000001</v>
      </c>
      <c r="E127" s="24" cm="1">
        <f t="array" ref="E127">MIN(_xlfn._xlws.FILTER(E2:E122, ISNUMBER(E2:E122)))</f>
        <v>-0.31885522999999999</v>
      </c>
      <c r="F127" s="24" cm="1">
        <f t="array" ref="F127">MIN(_xlfn._xlws.FILTER(F2:F122, ISNUMBER(F2:F122)))</f>
        <v>-0.24591821999999999</v>
      </c>
      <c r="G127" s="24" cm="1">
        <f t="array" ref="G127">MIN(_xlfn._xlws.FILTER(G2:G122, ISNUMBER(G2:G122)))</f>
        <v>-0.24041890999999999</v>
      </c>
      <c r="H127" s="24" cm="1">
        <f t="array" ref="H127">MIN(_xlfn._xlws.FILTER(H2:H122, ISNUMBER(H2:H122)))</f>
        <v>-0.30748419999999999</v>
      </c>
      <c r="I127" s="24" cm="1">
        <f t="array" ref="I127">MIN(_xlfn._xlws.FILTER(I2:I122, ISNUMBER(I2:I122)))</f>
        <v>-0.24309557000000001</v>
      </c>
      <c r="J127" s="24" cm="1">
        <f t="array" ref="J127">MIN(_xlfn._xlws.FILTER(J2:J122, ISNUMBER(J2:J122)))</f>
        <v>-0.26468498000000001</v>
      </c>
      <c r="K127" s="24" cm="1">
        <f t="array" ref="K127">MIN(_xlfn._xlws.FILTER(K2:K122, ISNUMBER(K2:K122)))</f>
        <v>-0.32361065000000006</v>
      </c>
      <c r="L127" s="24" cm="1">
        <f t="array" ref="L127">MIN(_xlfn._xlws.FILTER(L2:L122, ISNUMBER(L2:L122)))</f>
        <v>-0.28274667999999997</v>
      </c>
      <c r="M127" s="24" cm="1">
        <f t="array" ref="M127">MIN(_xlfn._xlws.FILTER(M2:M122, ISNUMBER(M2:M122)))</f>
        <v>-0.30032134999999999</v>
      </c>
      <c r="N127" s="24" cm="1">
        <f t="array" ref="N127">MIN(_xlfn._xlws.FILTER(N2:N122, ISNUMBER(N2:N122)))</f>
        <v>-0.38046360000000001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11</v>
      </c>
      <c r="C129">
        <f>COUNTIF(C2:C122, "&lt;"&amp;Assumption!$E$50)</f>
        <v>14</v>
      </c>
      <c r="D129">
        <f>COUNTIF(D2:D122, "&lt;"&amp;Assumption!$E$50)</f>
        <v>12</v>
      </c>
      <c r="E129">
        <f>COUNTIF(E2:E122, "&lt;"&amp;Assumption!$E$50)</f>
        <v>14</v>
      </c>
      <c r="F129">
        <f>COUNTIF(F2:F122, "&lt;"&amp;Assumption!$E$50)</f>
        <v>13</v>
      </c>
      <c r="G129">
        <f>COUNTIF(G2:G122, "&lt;"&amp;Assumption!$E$50)</f>
        <v>8</v>
      </c>
      <c r="H129">
        <f>COUNTIF(H2:H122, "&lt;"&amp;Assumption!$E$50)</f>
        <v>12</v>
      </c>
      <c r="I129">
        <f>COUNTIF(I2:I122, "&lt;"&amp;Assumption!$E$50)</f>
        <v>12</v>
      </c>
      <c r="J129">
        <f>COUNTIF(J2:J122, "&lt;"&amp;Assumption!$E$50)</f>
        <v>6</v>
      </c>
      <c r="K129">
        <f>COUNTIF(K2:K122, "&lt;"&amp;Assumption!$E$50)</f>
        <v>12</v>
      </c>
      <c r="L129">
        <f>COUNTIF(L2:L122, "&lt;"&amp;Assumption!$E$50)</f>
        <v>15</v>
      </c>
      <c r="M129">
        <f>COUNTIF(M2:M122, "&lt;"&amp;Assumption!$E$50)</f>
        <v>15</v>
      </c>
      <c r="N129">
        <f>COUNTIF(N2:N122, "&lt;"&amp;Assumption!$E$50)</f>
        <v>16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9.0909090909090912E-2</v>
      </c>
      <c r="C132" s="9">
        <f t="shared" si="2"/>
        <v>0.11570247933884298</v>
      </c>
      <c r="D132" s="9">
        <f t="shared" si="2"/>
        <v>9.9173553719008267E-2</v>
      </c>
      <c r="E132" s="9">
        <f t="shared" si="2"/>
        <v>0.11570247933884298</v>
      </c>
      <c r="F132" s="9">
        <f t="shared" si="2"/>
        <v>0.10743801652892562</v>
      </c>
      <c r="G132" s="9">
        <f t="shared" si="2"/>
        <v>6.6115702479338845E-2</v>
      </c>
      <c r="H132" s="9">
        <f t="shared" si="2"/>
        <v>9.9173553719008267E-2</v>
      </c>
      <c r="I132" s="9">
        <f t="shared" si="2"/>
        <v>9.9173553719008267E-2</v>
      </c>
      <c r="J132" s="9">
        <f t="shared" si="2"/>
        <v>4.9586776859504134E-2</v>
      </c>
      <c r="K132" s="9">
        <f t="shared" ref="K132:N132" si="3">K129/K130</f>
        <v>9.9173553719008267E-2</v>
      </c>
      <c r="L132" s="9">
        <f t="shared" si="3"/>
        <v>0.12396694214876033</v>
      </c>
      <c r="M132" s="9">
        <f t="shared" si="3"/>
        <v>0.12396694214876033</v>
      </c>
      <c r="N132" s="9">
        <f t="shared" si="3"/>
        <v>0.13223140495867769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0.96699999999999997</v>
      </c>
      <c r="C134" s="9" cm="1">
        <f t="array" ref="C134">_xlfn.PERCENTRANK.EXC(_xlfn._xlws.FILTER(C2:C122, ISNUMBER(C2:C122)),C122)</f>
        <v>0.92600000000000005</v>
      </c>
      <c r="D134" s="9" cm="1">
        <f t="array" ref="D134">_xlfn.PERCENTRANK.EXC(_xlfn._xlws.FILTER(D2:D122, ISNUMBER(D2:D122)),D122)</f>
        <v>0.93400000000000005</v>
      </c>
      <c r="E134" s="9" cm="1">
        <f t="array" ref="E134">_xlfn.PERCENTRANK.EXC(_xlfn._xlws.FILTER(E2:E122, ISNUMBER(E2:E122)),E122)</f>
        <v>0.89300000000000002</v>
      </c>
      <c r="F134" s="9" cm="1">
        <f t="array" ref="F134">_xlfn.PERCENTRANK.EXC(_xlfn._xlws.FILTER(F2:F122, ISNUMBER(F2:F122)),F122)</f>
        <v>0.95</v>
      </c>
      <c r="G134" s="9" cm="1">
        <f t="array" ref="G134">_xlfn.PERCENTRANK.EXC(_xlfn._xlws.FILTER(G2:G122, ISNUMBER(G2:G122)),G122)</f>
        <v>0.754</v>
      </c>
      <c r="H134" s="9" cm="1">
        <f t="array" ref="H134">_xlfn.PERCENTRANK.EXC(_xlfn._xlws.FILTER(H2:H122, ISNUMBER(H2:H122)),H122)</f>
        <v>0.77800000000000002</v>
      </c>
      <c r="I134" s="9" cm="1">
        <f t="array" ref="I134">_xlfn.PERCENTRANK.EXC(_xlfn._xlws.FILTER(I2:I122, ISNUMBER(I2:I122)),I122)</f>
        <v>0.73699999999999999</v>
      </c>
      <c r="J134" s="9" cm="1">
        <f t="array" ref="J134">_xlfn.PERCENTRANK.EXC(_xlfn._xlws.FILTER(J2:J122, ISNUMBER(J2:J122)),J122)</f>
        <v>0.86</v>
      </c>
      <c r="K134" s="9" cm="1">
        <f t="array" ref="K134">_xlfn.PERCENTRANK.EXC(_xlfn._xlws.FILTER(K2:K122, ISNUMBER(K2:K122)),K122)</f>
        <v>0.745</v>
      </c>
      <c r="L134" s="9" cm="1">
        <f t="array" ref="L134">_xlfn.PERCENTRANK.EXC(_xlfn._xlws.FILTER(L2:L122, ISNUMBER(L2:L122)),L122)</f>
        <v>0.622</v>
      </c>
      <c r="M134" s="9" cm="1">
        <f t="array" ref="M134">_xlfn.PERCENTRANK.EXC(_xlfn._xlws.FILTER(M2:M122, ISNUMBER(M2:M122)),M122)</f>
        <v>0.80300000000000005</v>
      </c>
      <c r="N134" s="9" cm="1">
        <f t="array" ref="N134">_xlfn.PERCENTRANK.EXC(_xlfn._xlws.FILTER(N2:N122, ISNUMBER(N2:N122)),N122)</f>
        <v>0.86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0.85</v>
      </c>
      <c r="C136" s="9" cm="1">
        <f t="array" ref="C136">_xlfn.PERCENTRANK.EXC(_xlfn._xlws.FILTER(C4:C125, ISNUMBER(C4:C125)),C113)</f>
        <v>0.91600000000000004</v>
      </c>
      <c r="D136" s="9" cm="1">
        <f t="array" ref="D136">_xlfn.PERCENTRANK.EXC(_xlfn._xlws.FILTER(D4:D125, ISNUMBER(D4:D125)),D113)</f>
        <v>0.85799999999999998</v>
      </c>
      <c r="E136" s="9" cm="1">
        <f t="array" ref="E136">_xlfn.PERCENTRANK.EXC(_xlfn._xlws.FILTER(E4:E125, ISNUMBER(E4:E125)),E113)</f>
        <v>0.96599999999999997</v>
      </c>
      <c r="F136" s="9" cm="1">
        <f t="array" ref="F136">_xlfn.PERCENTRANK.EXC(_xlfn._xlws.FILTER(F4:F125, ISNUMBER(F4:F125)),F113)</f>
        <v>0.81599999999999995</v>
      </c>
      <c r="G136" s="9" cm="1">
        <f t="array" ref="G136">_xlfn.PERCENTRANK.EXC(_xlfn._xlws.FILTER(G4:G125, ISNUMBER(G4:G125)),G113)</f>
        <v>0.94099999999999995</v>
      </c>
      <c r="H136" s="9" cm="1">
        <f t="array" ref="H136">_xlfn.PERCENTRANK.EXC(_xlfn._xlws.FILTER(H4:H125, ISNUMBER(H4:H125)),H113)</f>
        <v>0.85</v>
      </c>
      <c r="I136" s="9" cm="1">
        <f t="array" ref="I136">_xlfn.PERCENTRANK.EXC(_xlfn._xlws.FILTER(I4:I125, ISNUMBER(I4:I125)),I113)</f>
        <v>0.75800000000000001</v>
      </c>
      <c r="J136" s="9" cm="1">
        <f t="array" ref="J136">_xlfn.PERCENTRANK.EXC(_xlfn._xlws.FILTER(J4:J125, ISNUMBER(J4:J125)),J113)</f>
        <v>0.89100000000000001</v>
      </c>
      <c r="K136" s="9" cm="1">
        <f t="array" ref="K136">_xlfn.PERCENTRANK.EXC(_xlfn._xlws.FILTER(K4:K125, ISNUMBER(K4:K125)),K113)</f>
        <v>0.93300000000000005</v>
      </c>
      <c r="L136" s="9" cm="1">
        <f t="array" ref="L136">_xlfn.PERCENTRANK.EXC(_xlfn._xlws.FILTER(L4:L125, ISNUMBER(L4:L125)),L113)</f>
        <v>0.95</v>
      </c>
      <c r="M136" s="9" cm="1">
        <f t="array" ref="M136">_xlfn.PERCENTRANK.EXC(_xlfn._xlws.FILTER(M4:M125, ISNUMBER(M4:M125)),M113)</f>
        <v>0.98299999999999998</v>
      </c>
      <c r="N136" s="9" cm="1">
        <f t="array" ref="N136">_xlfn.PERCENTRANK.EXC(_xlfn._xlws.FILTER(N4:N125, ISNUMBER(N4:N125)),N113)</f>
        <v>0.89100000000000001</v>
      </c>
    </row>
    <row r="138" spans="1:17" x14ac:dyDescent="0.35">
      <c r="A138" t="s">
        <v>829</v>
      </c>
      <c r="B138">
        <f t="shared" ref="B138:J138" si="4">STDEV(B40:B122)</f>
        <v>5.4760429488387809E-2</v>
      </c>
      <c r="C138">
        <f t="shared" si="4"/>
        <v>6.392639204458983E-2</v>
      </c>
      <c r="D138">
        <f t="shared" si="4"/>
        <v>6.0615018813783873E-2</v>
      </c>
      <c r="E138">
        <f t="shared" si="4"/>
        <v>6.9595495994724171E-2</v>
      </c>
      <c r="F138">
        <f t="shared" si="4"/>
        <v>5.0794472506964179E-2</v>
      </c>
      <c r="G138">
        <f t="shared" si="4"/>
        <v>5.4648527093547825E-2</v>
      </c>
      <c r="H138">
        <f t="shared" si="4"/>
        <v>5.5693475369970907E-2</v>
      </c>
      <c r="I138">
        <f t="shared" si="4"/>
        <v>6.5487816252910058E-2</v>
      </c>
      <c r="J138">
        <f t="shared" si="4"/>
        <v>5.3071447790874186E-2</v>
      </c>
      <c r="K138">
        <f t="shared" ref="K138:N138" si="5">STDEV(K40:K122)</f>
        <v>6.479527766802512E-2</v>
      </c>
      <c r="L138">
        <f t="shared" si="5"/>
        <v>7.0116506120274785E-2</v>
      </c>
      <c r="M138">
        <f t="shared" si="5"/>
        <v>7.3634657256993752E-2</v>
      </c>
      <c r="N138">
        <f t="shared" si="5"/>
        <v>7.7316359227076067E-2</v>
      </c>
    </row>
    <row r="139" spans="1:17" x14ac:dyDescent="0.35">
      <c r="A139" t="s">
        <v>830</v>
      </c>
      <c r="B139" s="74">
        <f t="shared" ref="B139:J139" si="6">B138*SQRT(12)</f>
        <v>0.18969569223636132</v>
      </c>
      <c r="C139" s="74">
        <f t="shared" si="6"/>
        <v>0.22144751793159292</v>
      </c>
      <c r="D139" s="74">
        <f t="shared" si="6"/>
        <v>0.20997658457443408</v>
      </c>
      <c r="E139" s="74">
        <f t="shared" si="6"/>
        <v>0.24108587008163712</v>
      </c>
      <c r="F139" s="74">
        <f t="shared" si="6"/>
        <v>0.17595721425144487</v>
      </c>
      <c r="G139" s="74">
        <f t="shared" si="6"/>
        <v>0.18930805096965836</v>
      </c>
      <c r="H139" s="74">
        <f t="shared" si="6"/>
        <v>0.19292785798175097</v>
      </c>
      <c r="I139" s="74">
        <f t="shared" si="6"/>
        <v>0.22685645005355021</v>
      </c>
      <c r="J139" s="74">
        <f t="shared" si="6"/>
        <v>0.18384488801006627</v>
      </c>
      <c r="K139" s="74">
        <f t="shared" ref="K139:N139" si="7">K138*SQRT(12)</f>
        <v>0.22445742602310509</v>
      </c>
      <c r="L139" s="74">
        <f t="shared" si="7"/>
        <v>0.24289070209906014</v>
      </c>
      <c r="M139" s="74">
        <f t="shared" si="7"/>
        <v>0.25507793513406701</v>
      </c>
      <c r="N139" s="74">
        <f t="shared" si="7"/>
        <v>0.267831724875085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41894</v>
      </c>
      <c r="B2" s="7" cm="1">
        <f t="array" ref="B2:B122">_xll.FDS(B1,"P_PRICE_RETURNS_PR('52W',2,-10AY,0,AM)")</f>
        <v>13.207542</v>
      </c>
      <c r="C2" s="7" cm="1">
        <f t="array" ref="C2:C122">_xll.FDS(C1,"P_PRICE_RETURNS_PR('52W',2,-10AY,0,AM)")</f>
        <v>7.3985576999999996</v>
      </c>
      <c r="D2" s="7" cm="1">
        <f t="array" ref="D2:D122">_xll.FDS(D1,"P_PRICE_RETURNS_PR('52W',2,-10AY,0,AM)")</f>
        <v>17.075657</v>
      </c>
      <c r="E2" s="7" cm="1">
        <f t="array" ref="E2:E122">_xll.FDS(E1,"P_PRICE_RETURNS_PR('52W',2,-10AY,0,AM)")</f>
        <v>9.5650200000000005</v>
      </c>
      <c r="F2" s="7" cm="1">
        <f t="array" ref="F2:F122">_xll.FDS(F1,"P_PRICE_RETURNS_PR('52W',2,-10AY,0,AM)")</f>
        <v>3.6258697999999998</v>
      </c>
      <c r="G2" s="7" cm="1">
        <f t="array" ref="G2:G122">_xll.FDS(G1,"P_PRICE_RETURNS_PR('52W',2,-10AY,0,AM)")</f>
        <v>11.946391999999999</v>
      </c>
      <c r="H2" s="7" cm="1">
        <f t="array" ref="H2:H122">_xll.FDS(H1,"P_PRICE_RETURNS_PR('52W',2,-10AY,0,AM)")</f>
        <v>8.5413219999999992</v>
      </c>
      <c r="I2" s="7" cm="1">
        <f t="array" ref="I2:I122">_xll.FDS(I1,"P_PRICE_RETURNS_PR('52W',2,-10AY,0,AM)")</f>
        <v>29.483115999999999</v>
      </c>
      <c r="J2" s="7" cm="1">
        <f t="array" ref="J2:J122">_xll.FDS(J1,"P_PRICE_RETURNS_PR('52W',2,-10AY,0,AM)")</f>
        <v>20.180427999999999</v>
      </c>
      <c r="K2" s="158" cm="1">
        <f t="array" ref="K2:K122">_xll.FDS(K1,"P_PRICE_RETURNS_PR('52W',2,-10AY,0,AM)")</f>
        <v>7.7589034999999997</v>
      </c>
      <c r="L2" s="158" cm="1">
        <f t="array" ref="L2:L122">_xll.FDS(L1,"P_PRICE_RETURNS_PR('52W',2,-10AY,0,AM)")</f>
        <v>6.683719</v>
      </c>
      <c r="M2" s="158" cm="1">
        <f t="array" ref="M2:M122">_xll.FDS(M1,"P_PRICE_RETURNS_PR('52W',2,-10AY,0,AM)")</f>
        <v>0.95881223999999998</v>
      </c>
      <c r="N2" s="158" cm="1">
        <f t="array" ref="N2:N122">_xll.FDS(N1,"P_PRICE_RETURNS_PR('52W',2,-10AY,0,AM)")</f>
        <v>19.685268000000001</v>
      </c>
    </row>
    <row r="3" spans="1:14" x14ac:dyDescent="0.35">
      <c r="A3" s="2">
        <v>41922</v>
      </c>
      <c r="B3" s="40">
        <v>2.5478719999999999</v>
      </c>
      <c r="C3" s="40">
        <v>-5.6452929999999997</v>
      </c>
      <c r="D3" s="40">
        <v>4.855728</v>
      </c>
      <c r="E3" s="40">
        <v>-6.9874229999999997</v>
      </c>
      <c r="F3" s="40">
        <v>-6.2296509999999996</v>
      </c>
      <c r="G3" s="40">
        <v>1.9650459</v>
      </c>
      <c r="H3" s="40">
        <v>0.65052509999999997</v>
      </c>
      <c r="I3" s="40">
        <v>21.908069999999999</v>
      </c>
      <c r="J3" s="40">
        <v>14.820421</v>
      </c>
      <c r="K3" s="47">
        <v>-8.1883610000000004</v>
      </c>
      <c r="L3" s="47">
        <v>-2.4849296000000001</v>
      </c>
      <c r="M3" s="47">
        <v>-6.553382</v>
      </c>
      <c r="N3" s="47">
        <v>-3.4401894</v>
      </c>
    </row>
    <row r="4" spans="1:14" x14ac:dyDescent="0.35">
      <c r="A4" s="2">
        <v>41955</v>
      </c>
      <c r="B4" s="40">
        <v>8.0998535</v>
      </c>
      <c r="C4" s="40">
        <v>-0.80780980000000002</v>
      </c>
      <c r="D4" s="40">
        <v>5.9402109999999997</v>
      </c>
      <c r="E4" s="40">
        <v>-6.5103590000000002</v>
      </c>
      <c r="F4" s="40">
        <v>-0.11214018000000001</v>
      </c>
      <c r="G4" s="40">
        <v>3.6117195999999998</v>
      </c>
      <c r="H4" s="40">
        <v>0.14212132</v>
      </c>
      <c r="I4" s="40">
        <v>25.963342999999998</v>
      </c>
      <c r="J4" s="40">
        <v>17.496849999999998</v>
      </c>
      <c r="K4" s="47">
        <v>-6.2300740000000001</v>
      </c>
      <c r="L4" s="47">
        <v>-1.7794966999999999</v>
      </c>
      <c r="M4" s="47">
        <v>1.5779734000000001</v>
      </c>
      <c r="N4" s="47">
        <v>-5.4815709999999997</v>
      </c>
    </row>
    <row r="5" spans="1:14" x14ac:dyDescent="0.35">
      <c r="A5" s="2">
        <v>41985</v>
      </c>
      <c r="B5" s="40">
        <v>10.927284</v>
      </c>
      <c r="C5" s="40">
        <v>-1.6705452999999999</v>
      </c>
      <c r="D5" s="40">
        <v>-1.0899127</v>
      </c>
      <c r="E5" s="40">
        <v>-4.9626646000000001</v>
      </c>
      <c r="F5" s="40">
        <v>-3.0926703999999998</v>
      </c>
      <c r="G5" s="40">
        <v>4.6156883000000004</v>
      </c>
      <c r="H5" s="40">
        <v>-4.8598049999999997</v>
      </c>
      <c r="I5" s="40">
        <v>22.62621</v>
      </c>
      <c r="J5" s="40">
        <v>14.968145</v>
      </c>
      <c r="K5" s="47">
        <v>-6.2788066999999996</v>
      </c>
      <c r="L5" s="47">
        <v>0.66150427000000001</v>
      </c>
      <c r="M5" s="47">
        <v>1.7658948999999999</v>
      </c>
      <c r="N5" s="47">
        <v>-3.3575594</v>
      </c>
    </row>
    <row r="6" spans="1:14" x14ac:dyDescent="0.35">
      <c r="A6" s="2">
        <v>42016</v>
      </c>
      <c r="B6" s="40">
        <v>9.3143100000000008</v>
      </c>
      <c r="C6" s="40">
        <v>-4.2773604000000001</v>
      </c>
      <c r="D6" s="40">
        <v>-3.1036972999999999</v>
      </c>
      <c r="E6" s="40">
        <v>-11.585008999999999</v>
      </c>
      <c r="F6" s="40">
        <v>-7.0230904000000001</v>
      </c>
      <c r="G6" s="40">
        <v>-2.4404526</v>
      </c>
      <c r="H6" s="40">
        <v>-9.7519869999999997</v>
      </c>
      <c r="I6" s="40">
        <v>18.103241000000001</v>
      </c>
      <c r="J6" s="40">
        <v>12.200904</v>
      </c>
      <c r="K6" s="47">
        <v>-11.656117</v>
      </c>
      <c r="L6" s="47">
        <v>-8.2909469999999992</v>
      </c>
      <c r="M6" s="47">
        <v>-10.394202999999999</v>
      </c>
      <c r="N6" s="47">
        <v>-17.456202999999999</v>
      </c>
    </row>
    <row r="7" spans="1:14" x14ac:dyDescent="0.35">
      <c r="A7" s="2">
        <v>42047</v>
      </c>
      <c r="B7" s="40">
        <v>7.7991365999999998</v>
      </c>
      <c r="C7" s="40">
        <v>-2.8007925</v>
      </c>
      <c r="D7" s="40">
        <v>-0.53322314999999998</v>
      </c>
      <c r="E7" s="40">
        <v>-3.9062917000000001</v>
      </c>
      <c r="F7" s="40">
        <v>3.5607099999999998</v>
      </c>
      <c r="G7" s="40">
        <v>1.0504127000000001</v>
      </c>
      <c r="H7" s="40">
        <v>-2.4921416999999999</v>
      </c>
      <c r="I7" s="40">
        <v>20.964621999999999</v>
      </c>
      <c r="J7" s="40">
        <v>16.987514000000001</v>
      </c>
      <c r="K7" s="47">
        <v>-4.1132393</v>
      </c>
      <c r="L7" s="47">
        <v>0.20866393999999999</v>
      </c>
      <c r="M7" s="47">
        <v>-3.1435846999999999</v>
      </c>
      <c r="N7" s="47">
        <v>-9.637302</v>
      </c>
    </row>
    <row r="8" spans="1:14" x14ac:dyDescent="0.35">
      <c r="A8" s="2">
        <v>42075</v>
      </c>
      <c r="B8" s="40">
        <v>2.0874380000000001</v>
      </c>
      <c r="C8" s="40">
        <v>-2.8079390000000002</v>
      </c>
      <c r="D8" s="40">
        <v>-6.7436220000000002</v>
      </c>
      <c r="E8" s="40">
        <v>-2.1289349</v>
      </c>
      <c r="F8" s="40">
        <v>11.172831</v>
      </c>
      <c r="G8" s="40">
        <v>-2.9344617999999998</v>
      </c>
      <c r="H8" s="40">
        <v>-5.8703003000000002</v>
      </c>
      <c r="I8" s="40">
        <v>18.129206</v>
      </c>
      <c r="J8" s="40">
        <v>12.742233000000001</v>
      </c>
      <c r="K8" s="47">
        <v>-8.9158720000000002</v>
      </c>
      <c r="L8" s="47">
        <v>0.50840379999999996</v>
      </c>
      <c r="M8" s="47">
        <v>-5.3843019999999999</v>
      </c>
      <c r="N8" s="47">
        <v>-13.727164</v>
      </c>
    </row>
    <row r="9" spans="1:14" x14ac:dyDescent="0.35">
      <c r="A9" s="2">
        <v>42104</v>
      </c>
      <c r="B9" s="40">
        <v>0.3360629</v>
      </c>
      <c r="C9" s="40">
        <v>-6.5098466999999998</v>
      </c>
      <c r="D9" s="40">
        <v>-3.0166029999999999</v>
      </c>
      <c r="E9" s="40">
        <v>1.0252237</v>
      </c>
      <c r="F9" s="40">
        <v>20.896996000000001</v>
      </c>
      <c r="G9" s="40">
        <v>2.5365232999999998</v>
      </c>
      <c r="H9" s="40">
        <v>-3.3829690000000001</v>
      </c>
      <c r="I9" s="40">
        <v>28.021502999999999</v>
      </c>
      <c r="J9" s="40">
        <v>16.917372</v>
      </c>
      <c r="K9" s="47">
        <v>-5.6418059999999999</v>
      </c>
      <c r="L9" s="47">
        <v>3.0173182000000001</v>
      </c>
      <c r="M9" s="47">
        <v>-2.75082</v>
      </c>
      <c r="N9" s="47">
        <v>-11.398989</v>
      </c>
    </row>
    <row r="10" spans="1:14" x14ac:dyDescent="0.35">
      <c r="A10" s="2">
        <v>42136</v>
      </c>
      <c r="B10" s="40">
        <v>-4.6197295</v>
      </c>
      <c r="C10" s="40">
        <v>-9.2116539999999993</v>
      </c>
      <c r="D10" s="40">
        <v>-3.8670002999999999</v>
      </c>
      <c r="E10" s="40">
        <v>-4.0593680000000001</v>
      </c>
      <c r="F10" s="40">
        <v>17.39949</v>
      </c>
      <c r="G10" s="40">
        <v>2.2981524000000002</v>
      </c>
      <c r="H10" s="40">
        <v>-3.8910330000000002</v>
      </c>
      <c r="I10" s="40">
        <v>23.51426</v>
      </c>
      <c r="J10" s="40">
        <v>12.800717000000001</v>
      </c>
      <c r="K10" s="47">
        <v>-7.4058055999999999</v>
      </c>
      <c r="L10" s="47">
        <v>4.5929073999999996</v>
      </c>
      <c r="M10" s="47">
        <v>-5.0233363999999998</v>
      </c>
      <c r="N10" s="47">
        <v>-9.6939089999999997</v>
      </c>
    </row>
    <row r="11" spans="1:14" x14ac:dyDescent="0.35">
      <c r="A11" s="2">
        <v>42167</v>
      </c>
      <c r="B11" s="40">
        <v>-8.0610389999999992</v>
      </c>
      <c r="C11" s="40">
        <v>-13.217646</v>
      </c>
      <c r="D11" s="40">
        <v>-10.070783</v>
      </c>
      <c r="E11" s="40">
        <v>-6.6173973000000004</v>
      </c>
      <c r="F11" s="40">
        <v>11.516476000000001</v>
      </c>
      <c r="G11" s="40">
        <v>1.6569734</v>
      </c>
      <c r="H11" s="40">
        <v>-5.9419209999999998</v>
      </c>
      <c r="I11" s="40">
        <v>19.454001999999999</v>
      </c>
      <c r="J11" s="40">
        <v>10.627996</v>
      </c>
      <c r="K11" s="47">
        <v>-7.9854545999999997</v>
      </c>
      <c r="L11" s="47">
        <v>3.0856729000000001</v>
      </c>
      <c r="M11" s="47">
        <v>-2.5297105000000002</v>
      </c>
      <c r="N11" s="47">
        <v>-11.595768</v>
      </c>
    </row>
    <row r="12" spans="1:14" x14ac:dyDescent="0.35">
      <c r="A12" s="2">
        <v>42195</v>
      </c>
      <c r="B12" s="40">
        <v>-13.872491999999999</v>
      </c>
      <c r="C12" s="40">
        <v>-16.6708</v>
      </c>
      <c r="D12" s="40">
        <v>-17.612808000000001</v>
      </c>
      <c r="E12" s="40">
        <v>-3.9497553999999999</v>
      </c>
      <c r="F12" s="40">
        <v>7.3720574000000001</v>
      </c>
      <c r="G12" s="40">
        <v>2.6904224999999999</v>
      </c>
      <c r="H12" s="40">
        <v>-7.6935289999999998</v>
      </c>
      <c r="I12" s="40">
        <v>14.942705</v>
      </c>
      <c r="J12" s="40">
        <v>7.7479480000000001</v>
      </c>
      <c r="K12" s="47">
        <v>-4.0191889999999999</v>
      </c>
      <c r="L12" s="47">
        <v>7.196021</v>
      </c>
      <c r="M12" s="47">
        <v>-1.910758</v>
      </c>
      <c r="N12" s="47">
        <v>-6.4572929999999999</v>
      </c>
    </row>
    <row r="13" spans="1:14" x14ac:dyDescent="0.35">
      <c r="A13" s="2">
        <v>42228</v>
      </c>
      <c r="B13" s="40">
        <v>-8.6890335000000007</v>
      </c>
      <c r="C13" s="40">
        <v>-19.598155999999999</v>
      </c>
      <c r="D13" s="40">
        <v>-18.482136000000001</v>
      </c>
      <c r="E13" s="40">
        <v>1.4474511000000001</v>
      </c>
      <c r="F13" s="40">
        <v>9.5562339999999999</v>
      </c>
      <c r="G13" s="40">
        <v>4.4255019999999998</v>
      </c>
      <c r="H13" s="40">
        <v>-5.1899195000000002</v>
      </c>
      <c r="I13" s="40">
        <v>17.067242</v>
      </c>
      <c r="J13" s="40">
        <v>10.071087</v>
      </c>
      <c r="K13" s="47">
        <v>2.5951624</v>
      </c>
      <c r="L13" s="47">
        <v>11.873174000000001</v>
      </c>
      <c r="M13" s="47">
        <v>-1.7952859000000001</v>
      </c>
      <c r="N13" s="47">
        <v>3.8626909999999999</v>
      </c>
    </row>
    <row r="14" spans="1:14" x14ac:dyDescent="0.35">
      <c r="A14" s="2">
        <v>42258</v>
      </c>
      <c r="B14" s="40">
        <v>-16.481596</v>
      </c>
      <c r="C14" s="40">
        <v>-25.985997999999999</v>
      </c>
      <c r="D14" s="40">
        <v>-25.861834999999999</v>
      </c>
      <c r="E14" s="40">
        <v>-7.2968063000000001</v>
      </c>
      <c r="F14" s="40">
        <v>0.32684803000000001</v>
      </c>
      <c r="G14" s="40">
        <v>-2.5500536</v>
      </c>
      <c r="H14" s="40">
        <v>-12.090075000000001</v>
      </c>
      <c r="I14" s="40">
        <v>6.7131400000000001</v>
      </c>
      <c r="J14" s="40">
        <v>0.15053749</v>
      </c>
      <c r="K14" s="47">
        <v>-6.9182040000000002</v>
      </c>
      <c r="L14" s="47">
        <v>-0.25199652</v>
      </c>
      <c r="M14" s="47">
        <v>-2.4409532999999999</v>
      </c>
      <c r="N14" s="47">
        <v>-6.0542819999999997</v>
      </c>
    </row>
    <row r="15" spans="1:14" x14ac:dyDescent="0.35">
      <c r="A15" s="2">
        <v>42289</v>
      </c>
      <c r="B15" s="40">
        <v>-5.2750529999999998</v>
      </c>
      <c r="C15" s="40">
        <v>-10.717922</v>
      </c>
      <c r="D15" s="40">
        <v>-13.464123000000001</v>
      </c>
      <c r="E15" s="40">
        <v>3.7923217</v>
      </c>
      <c r="F15" s="40">
        <v>11.187208</v>
      </c>
      <c r="G15" s="40">
        <v>6.5695642999999997</v>
      </c>
      <c r="H15" s="40">
        <v>-1.0287046</v>
      </c>
      <c r="I15" s="40">
        <v>14.30031</v>
      </c>
      <c r="J15" s="40">
        <v>7.9036713000000001</v>
      </c>
      <c r="K15" s="47">
        <v>7.152164</v>
      </c>
      <c r="L15" s="47">
        <v>8.651662</v>
      </c>
      <c r="M15" s="47">
        <v>6.1212179999999998</v>
      </c>
      <c r="N15" s="47">
        <v>7.0231915000000003</v>
      </c>
    </row>
    <row r="16" spans="1:14" x14ac:dyDescent="0.35">
      <c r="A16" s="2">
        <v>42320</v>
      </c>
      <c r="B16" s="40">
        <v>-9.5975400000000004</v>
      </c>
      <c r="C16" s="40">
        <v>-22.191590000000001</v>
      </c>
      <c r="D16" s="40">
        <v>-23.066568</v>
      </c>
      <c r="E16" s="40">
        <v>6.2060355999999997E-2</v>
      </c>
      <c r="F16" s="40">
        <v>7.5065017000000003</v>
      </c>
      <c r="G16" s="40">
        <v>-2.1073282</v>
      </c>
      <c r="H16" s="40">
        <v>-8.3628540000000005</v>
      </c>
      <c r="I16" s="40">
        <v>10.532892</v>
      </c>
      <c r="J16" s="40">
        <v>2.4646281999999999</v>
      </c>
      <c r="K16" s="47">
        <v>2.4725318000000001</v>
      </c>
      <c r="L16" s="47">
        <v>4.848516</v>
      </c>
      <c r="M16" s="47">
        <v>-5.9066057000000001</v>
      </c>
      <c r="N16" s="47">
        <v>2.4690032</v>
      </c>
    </row>
    <row r="17" spans="1:14" x14ac:dyDescent="0.35">
      <c r="A17" s="2">
        <v>42349</v>
      </c>
      <c r="B17" s="40">
        <v>-5.984229</v>
      </c>
      <c r="C17" s="40">
        <v>-15.239411</v>
      </c>
      <c r="D17" s="40">
        <v>-20.903772</v>
      </c>
      <c r="E17" s="40">
        <v>-7.1267659999999999</v>
      </c>
      <c r="F17" s="40">
        <v>5.8554890000000004</v>
      </c>
      <c r="G17" s="40">
        <v>-3.9695619999999998</v>
      </c>
      <c r="H17" s="40">
        <v>-8.3966255000000007</v>
      </c>
      <c r="I17" s="40">
        <v>7.8887105000000002</v>
      </c>
      <c r="J17" s="40">
        <v>0.87023972999999999</v>
      </c>
      <c r="K17" s="47">
        <v>-1.6541003999999999</v>
      </c>
      <c r="L17" s="47">
        <v>-1.7267227000000001</v>
      </c>
      <c r="M17" s="47">
        <v>-10.114515000000001</v>
      </c>
      <c r="N17" s="47">
        <v>-7.8159569999999998E-2</v>
      </c>
    </row>
    <row r="18" spans="1:14" x14ac:dyDescent="0.35">
      <c r="A18" s="2">
        <v>42381</v>
      </c>
      <c r="B18" s="40">
        <v>-9.0349249999999994</v>
      </c>
      <c r="C18" s="40">
        <v>-18.954277000000001</v>
      </c>
      <c r="D18" s="40">
        <v>-25.57413</v>
      </c>
      <c r="E18" s="40">
        <v>-5.9769272999999998</v>
      </c>
      <c r="F18" s="40">
        <v>4.6137689999999996</v>
      </c>
      <c r="G18" s="40">
        <v>-3.7549138000000002</v>
      </c>
      <c r="H18" s="40">
        <v>-10.667503</v>
      </c>
      <c r="I18" s="40">
        <v>4.9914956000000004</v>
      </c>
      <c r="J18" s="40">
        <v>-2.446717</v>
      </c>
      <c r="K18" s="47">
        <v>-1.8953085000000001</v>
      </c>
      <c r="L18" s="47">
        <v>0.57328939999999995</v>
      </c>
      <c r="M18" s="47">
        <v>-7.2141409999999997</v>
      </c>
      <c r="N18" s="47">
        <v>3.100276</v>
      </c>
    </row>
    <row r="19" spans="1:14" x14ac:dyDescent="0.35">
      <c r="A19" s="2">
        <v>42412</v>
      </c>
      <c r="B19" s="40">
        <v>-9.1084840000000007</v>
      </c>
      <c r="C19" s="40">
        <v>-21.604144999999999</v>
      </c>
      <c r="D19" s="40">
        <v>-25.495165</v>
      </c>
      <c r="E19" s="40">
        <v>-19.447814999999999</v>
      </c>
      <c r="F19" s="40">
        <v>-10.613334999999999</v>
      </c>
      <c r="G19" s="40">
        <v>-12.0646</v>
      </c>
      <c r="H19" s="40">
        <v>-19.211079000000002</v>
      </c>
      <c r="I19" s="40">
        <v>-6.5830289999999998</v>
      </c>
      <c r="J19" s="40">
        <v>-8.809787</v>
      </c>
      <c r="K19" s="47">
        <v>-14.604234999999999</v>
      </c>
      <c r="L19" s="47">
        <v>-10.950476</v>
      </c>
      <c r="M19" s="47">
        <v>-17.591930000000001</v>
      </c>
      <c r="N19" s="47">
        <v>-21.479733</v>
      </c>
    </row>
    <row r="20" spans="1:14" x14ac:dyDescent="0.35">
      <c r="A20" s="2">
        <v>42440</v>
      </c>
      <c r="B20" s="40">
        <v>4.0916442999999996</v>
      </c>
      <c r="C20" s="40">
        <v>-7.325971</v>
      </c>
      <c r="D20" s="40">
        <v>-10.187303999999999</v>
      </c>
      <c r="E20" s="40">
        <v>-11.941485999999999</v>
      </c>
      <c r="F20" s="40">
        <v>-4.3235006</v>
      </c>
      <c r="G20" s="40">
        <v>-4.8040390000000004</v>
      </c>
      <c r="H20" s="40">
        <v>-9.3717520000000007</v>
      </c>
      <c r="I20" s="40">
        <v>2.3485659999999999</v>
      </c>
      <c r="J20" s="40">
        <v>1.2128592</v>
      </c>
      <c r="K20" s="47">
        <v>-2.1259130000000002</v>
      </c>
      <c r="L20" s="47">
        <v>-0.73156949999999998</v>
      </c>
      <c r="M20" s="47">
        <v>-7.5143694999999999</v>
      </c>
      <c r="N20" s="47">
        <v>-9.8969819999999995</v>
      </c>
    </row>
    <row r="21" spans="1:14" x14ac:dyDescent="0.35">
      <c r="A21" s="2">
        <v>42472</v>
      </c>
      <c r="B21" s="40">
        <v>6.0579657999999998</v>
      </c>
      <c r="C21" s="40">
        <v>-14.208316999999999</v>
      </c>
      <c r="D21" s="40">
        <v>-12.215178999999999</v>
      </c>
      <c r="E21" s="40">
        <v>-15.314799000000001</v>
      </c>
      <c r="F21" s="40">
        <v>-9.8731810000000007</v>
      </c>
      <c r="G21" s="40">
        <v>-10.227907</v>
      </c>
      <c r="H21" s="40">
        <v>-11.586076</v>
      </c>
      <c r="I21" s="40">
        <v>2.7413964000000002</v>
      </c>
      <c r="J21" s="40">
        <v>0.15000105</v>
      </c>
      <c r="K21" s="47">
        <v>-8.1639879999999998</v>
      </c>
      <c r="L21" s="47">
        <v>-4.0270270000000004</v>
      </c>
      <c r="M21" s="47">
        <v>-7.5866404000000003</v>
      </c>
      <c r="N21" s="47">
        <v>-20.116758000000001</v>
      </c>
    </row>
    <row r="22" spans="1:14" x14ac:dyDescent="0.35">
      <c r="A22" s="2">
        <v>42502</v>
      </c>
      <c r="B22" s="40">
        <v>11.290539000000001</v>
      </c>
      <c r="C22" s="40">
        <v>-10.148173</v>
      </c>
      <c r="D22" s="40">
        <v>-13.550651999999999</v>
      </c>
      <c r="E22" s="40">
        <v>-12.686157</v>
      </c>
      <c r="F22" s="40">
        <v>-8.4370609999999999</v>
      </c>
      <c r="G22" s="40">
        <v>-11.788458</v>
      </c>
      <c r="H22" s="40">
        <v>-16.375243999999999</v>
      </c>
      <c r="I22" s="40">
        <v>-0.68250895</v>
      </c>
      <c r="J22" s="40">
        <v>0.48996210000000001</v>
      </c>
      <c r="K22" s="47">
        <v>-8.4656120000000001</v>
      </c>
      <c r="L22" s="47">
        <v>-6.7343655</v>
      </c>
      <c r="M22" s="47">
        <v>-11.283302000000001</v>
      </c>
      <c r="N22" s="47">
        <v>-20.642126000000001</v>
      </c>
    </row>
    <row r="23" spans="1:14" x14ac:dyDescent="0.35">
      <c r="A23" s="2">
        <v>42531</v>
      </c>
      <c r="B23" s="40">
        <v>16.518937999999999</v>
      </c>
      <c r="C23" s="40">
        <v>-6.8883896</v>
      </c>
      <c r="D23" s="40">
        <v>-8.3935680000000001</v>
      </c>
      <c r="E23" s="40">
        <v>-13.442259999999999</v>
      </c>
      <c r="F23" s="40">
        <v>-9.0669520000000006</v>
      </c>
      <c r="G23" s="40">
        <v>-11.972206999999999</v>
      </c>
      <c r="H23" s="40">
        <v>-15.454971</v>
      </c>
      <c r="I23" s="40">
        <v>0.58237313999999996</v>
      </c>
      <c r="J23" s="40">
        <v>1.7276286999999999</v>
      </c>
      <c r="K23" s="47">
        <v>-10.406274</v>
      </c>
      <c r="L23" s="47">
        <v>-7.8987119999999997</v>
      </c>
      <c r="M23" s="47">
        <v>-14.314735000000001</v>
      </c>
      <c r="N23" s="47">
        <v>-24.549050000000001</v>
      </c>
    </row>
    <row r="24" spans="1:14" x14ac:dyDescent="0.35">
      <c r="A24" s="2">
        <v>42563</v>
      </c>
      <c r="B24" s="40">
        <v>35.959209999999999</v>
      </c>
      <c r="C24" s="40">
        <v>2.0844697999999999</v>
      </c>
      <c r="D24" s="40">
        <v>-1.6425669000000001</v>
      </c>
      <c r="E24" s="40">
        <v>-13.453949</v>
      </c>
      <c r="F24" s="40">
        <v>-4.4071673999999996</v>
      </c>
      <c r="G24" s="40">
        <v>-10.683948000000001</v>
      </c>
      <c r="H24" s="40">
        <v>-12.224387999999999</v>
      </c>
      <c r="I24" s="40">
        <v>4.7357560000000003</v>
      </c>
      <c r="J24" s="40">
        <v>5.8670280000000004</v>
      </c>
      <c r="K24" s="47">
        <v>-9.913081</v>
      </c>
      <c r="L24" s="47">
        <v>-9.3922019999999993</v>
      </c>
      <c r="M24" s="47">
        <v>-11.718904500000001</v>
      </c>
      <c r="N24" s="47">
        <v>-25.765281999999999</v>
      </c>
    </row>
    <row r="25" spans="1:14" x14ac:dyDescent="0.35">
      <c r="A25" s="2">
        <v>42594</v>
      </c>
      <c r="B25" s="40">
        <v>39.81091</v>
      </c>
      <c r="C25" s="40">
        <v>9.0053199999999993</v>
      </c>
      <c r="D25" s="40">
        <v>3.2059312000000002</v>
      </c>
      <c r="E25" s="40">
        <v>-3.6765753999999999</v>
      </c>
      <c r="F25" s="40">
        <v>-2.3532389999999999</v>
      </c>
      <c r="G25" s="40">
        <v>-5.3179083</v>
      </c>
      <c r="H25" s="40">
        <v>-10.489903999999999</v>
      </c>
      <c r="I25" s="40">
        <v>7.2407602999999998</v>
      </c>
      <c r="J25" s="40">
        <v>6.8541527000000002</v>
      </c>
      <c r="K25" s="47">
        <v>-6.8594400000000002</v>
      </c>
      <c r="L25" s="47">
        <v>-3.9779365000000002</v>
      </c>
      <c r="M25" s="47">
        <v>-5.1750603000000002</v>
      </c>
      <c r="N25" s="47">
        <v>-25.645733</v>
      </c>
    </row>
    <row r="26" spans="1:14" x14ac:dyDescent="0.35">
      <c r="A26" s="2">
        <v>42625</v>
      </c>
      <c r="B26" s="40">
        <v>52.503407000000003</v>
      </c>
      <c r="C26" s="40">
        <v>13.520515</v>
      </c>
      <c r="D26" s="40">
        <v>10.88003</v>
      </c>
      <c r="E26" s="40">
        <v>1.5402794</v>
      </c>
      <c r="F26" s="40">
        <v>7.4943900000000001</v>
      </c>
      <c r="G26" s="40">
        <v>-0.66623089999999996</v>
      </c>
      <c r="H26" s="40">
        <v>-1.8989623</v>
      </c>
      <c r="I26" s="40">
        <v>11.435699</v>
      </c>
      <c r="J26" s="40">
        <v>12.36825</v>
      </c>
      <c r="K26" s="47">
        <v>0.43387413000000002</v>
      </c>
      <c r="L26" s="47">
        <v>4.690194</v>
      </c>
      <c r="M26" s="47">
        <v>-2.4790823</v>
      </c>
      <c r="N26" s="47">
        <v>-20.619523999999998</v>
      </c>
    </row>
    <row r="27" spans="1:14" x14ac:dyDescent="0.35">
      <c r="A27" s="2">
        <v>42655</v>
      </c>
      <c r="B27" s="40">
        <v>31.321906999999999</v>
      </c>
      <c r="C27" s="40">
        <v>10.429406</v>
      </c>
      <c r="D27" s="40">
        <v>4.5206546999999997</v>
      </c>
      <c r="E27" s="40">
        <v>0.63432454999999999</v>
      </c>
      <c r="F27" s="40">
        <v>3.5377144999999999</v>
      </c>
      <c r="G27" s="40">
        <v>-4.0402293</v>
      </c>
      <c r="H27" s="40">
        <v>-9.2742439999999995</v>
      </c>
      <c r="I27" s="40">
        <v>11.198974</v>
      </c>
      <c r="J27" s="40">
        <v>8.3459970000000006</v>
      </c>
      <c r="K27" s="47">
        <v>-4.6810330000000002</v>
      </c>
      <c r="L27" s="47">
        <v>2.5719642999999999</v>
      </c>
      <c r="M27" s="47">
        <v>-5.5173755</v>
      </c>
      <c r="N27" s="47">
        <v>-25.510836000000001</v>
      </c>
    </row>
    <row r="28" spans="1:14" x14ac:dyDescent="0.35">
      <c r="A28" s="2">
        <v>42685</v>
      </c>
      <c r="B28" s="40">
        <v>20.130656999999999</v>
      </c>
      <c r="C28" s="40">
        <v>16.130244999999999</v>
      </c>
      <c r="D28" s="40">
        <v>9.3818070000000002</v>
      </c>
      <c r="E28" s="40">
        <v>-1.4367700000000001</v>
      </c>
      <c r="F28" s="40">
        <v>0.27135609999999999</v>
      </c>
      <c r="G28" s="40">
        <v>-4.0460880000000001</v>
      </c>
      <c r="H28" s="40">
        <v>-8.0157389999999999</v>
      </c>
      <c r="I28" s="40">
        <v>3.5098672</v>
      </c>
      <c r="J28" s="40">
        <v>6.4347386000000002</v>
      </c>
      <c r="K28" s="47">
        <v>-4.5268774000000001</v>
      </c>
      <c r="L28" s="47">
        <v>-2.7945817000000002</v>
      </c>
      <c r="M28" s="47">
        <v>-4.1375694000000003</v>
      </c>
      <c r="N28" s="47">
        <v>-20.764832999999999</v>
      </c>
    </row>
    <row r="29" spans="1:14" x14ac:dyDescent="0.35">
      <c r="A29" s="2">
        <v>42716</v>
      </c>
      <c r="B29" s="40">
        <v>21.894300000000001</v>
      </c>
      <c r="C29" s="40">
        <v>22.172535</v>
      </c>
      <c r="D29" s="40">
        <v>27.881409000000001</v>
      </c>
      <c r="E29" s="40">
        <v>3.7411332000000002</v>
      </c>
      <c r="F29" s="40">
        <v>7.2545650000000004</v>
      </c>
      <c r="G29" s="40">
        <v>-2.4861217</v>
      </c>
      <c r="H29" s="40">
        <v>0.28275250000000002</v>
      </c>
      <c r="I29" s="40">
        <v>8.5899830000000001</v>
      </c>
      <c r="J29" s="40">
        <v>14.498925</v>
      </c>
      <c r="K29" s="47">
        <v>4.6189904000000004</v>
      </c>
      <c r="L29" s="47">
        <v>4.2340993999999998</v>
      </c>
      <c r="M29" s="47">
        <v>5.8535694999999999</v>
      </c>
      <c r="N29" s="47">
        <v>-11.378610999999999</v>
      </c>
    </row>
    <row r="30" spans="1:14" x14ac:dyDescent="0.35">
      <c r="A30" s="2">
        <v>42747</v>
      </c>
      <c r="B30" s="40">
        <v>25.197243</v>
      </c>
      <c r="C30" s="40">
        <v>30.891953999999998</v>
      </c>
      <c r="D30" s="40">
        <v>38.679755999999998</v>
      </c>
      <c r="E30" s="40">
        <v>11.199617</v>
      </c>
      <c r="F30" s="40">
        <v>12.498044999999999</v>
      </c>
      <c r="G30" s="40">
        <v>5.466926</v>
      </c>
      <c r="H30" s="40">
        <v>7.7469707000000003</v>
      </c>
      <c r="I30" s="40">
        <v>17.596340000000001</v>
      </c>
      <c r="J30" s="40">
        <v>19.488095999999999</v>
      </c>
      <c r="K30" s="47">
        <v>12.14348</v>
      </c>
      <c r="L30" s="47">
        <v>9.7467419999999994</v>
      </c>
      <c r="M30" s="47">
        <v>10.724104000000001</v>
      </c>
      <c r="N30" s="47">
        <v>-2.429694</v>
      </c>
    </row>
    <row r="31" spans="1:14" x14ac:dyDescent="0.35">
      <c r="A31" s="2">
        <v>42776</v>
      </c>
      <c r="B31" s="40">
        <v>28.007317</v>
      </c>
      <c r="C31" s="40">
        <v>35.591949999999997</v>
      </c>
      <c r="D31" s="40">
        <v>40.505028000000003</v>
      </c>
      <c r="E31" s="40">
        <v>21.455013000000001</v>
      </c>
      <c r="F31" s="40">
        <v>24.394835</v>
      </c>
      <c r="G31" s="40">
        <v>12.506150999999999</v>
      </c>
      <c r="H31" s="40">
        <v>14.896058999999999</v>
      </c>
      <c r="I31" s="40">
        <v>33.212325999999997</v>
      </c>
      <c r="J31" s="40">
        <v>27.645420000000001</v>
      </c>
      <c r="K31" s="47">
        <v>16.234981999999999</v>
      </c>
      <c r="L31" s="47">
        <v>17.984486</v>
      </c>
      <c r="M31" s="47">
        <v>20.621013999999999</v>
      </c>
      <c r="N31" s="47">
        <v>10.771108</v>
      </c>
    </row>
    <row r="32" spans="1:14" x14ac:dyDescent="0.35">
      <c r="A32" s="2">
        <v>42804</v>
      </c>
      <c r="B32" s="40">
        <v>14.201117</v>
      </c>
      <c r="C32" s="40">
        <v>19.151973999999999</v>
      </c>
      <c r="D32" s="40">
        <v>17.835342000000001</v>
      </c>
      <c r="E32" s="40">
        <v>18.521559</v>
      </c>
      <c r="F32" s="40">
        <v>16.550122999999999</v>
      </c>
      <c r="G32" s="40">
        <v>10.660601</v>
      </c>
      <c r="H32" s="40">
        <v>6.9957136999999996</v>
      </c>
      <c r="I32" s="40">
        <v>26.94229</v>
      </c>
      <c r="J32" s="40">
        <v>21.680676999999999</v>
      </c>
      <c r="K32" s="47">
        <v>12.591445999999999</v>
      </c>
      <c r="L32" s="47">
        <v>15.488922000000001</v>
      </c>
      <c r="M32" s="47">
        <v>12.297869</v>
      </c>
      <c r="N32" s="47">
        <v>6.2080979999999997</v>
      </c>
    </row>
    <row r="33" spans="1:14" x14ac:dyDescent="0.35">
      <c r="A33" s="2">
        <v>42837</v>
      </c>
      <c r="B33" s="40">
        <v>7.2903275000000001</v>
      </c>
      <c r="C33" s="40">
        <v>22.036266000000001</v>
      </c>
      <c r="D33" s="40">
        <v>13.4152775</v>
      </c>
      <c r="E33" s="40">
        <v>14.432192000000001</v>
      </c>
      <c r="F33" s="40">
        <v>12.952232</v>
      </c>
      <c r="G33" s="40">
        <v>9.5019580000000001</v>
      </c>
      <c r="H33" s="40">
        <v>6.8996550000000001</v>
      </c>
      <c r="I33" s="40">
        <v>20.780432000000001</v>
      </c>
      <c r="J33" s="40">
        <v>16.005278000000001</v>
      </c>
      <c r="K33" s="47">
        <v>12.741291</v>
      </c>
      <c r="L33" s="47">
        <v>12.446356</v>
      </c>
      <c r="M33" s="47">
        <v>8.8702319999999997</v>
      </c>
      <c r="N33" s="47">
        <v>10.302054999999999</v>
      </c>
    </row>
    <row r="34" spans="1:14" x14ac:dyDescent="0.35">
      <c r="A34" s="2">
        <v>42867</v>
      </c>
      <c r="B34" s="40">
        <v>8.5518470000000004</v>
      </c>
      <c r="C34" s="40">
        <v>15.082312</v>
      </c>
      <c r="D34" s="40">
        <v>8.8910219999999995</v>
      </c>
      <c r="E34" s="40">
        <v>22.190010000000001</v>
      </c>
      <c r="F34" s="40">
        <v>14.210153</v>
      </c>
      <c r="G34" s="40">
        <v>16.178417</v>
      </c>
      <c r="H34" s="40">
        <v>12.077737000000001</v>
      </c>
      <c r="I34" s="40">
        <v>32.236908</v>
      </c>
      <c r="J34" s="40">
        <v>18.09188</v>
      </c>
      <c r="K34" s="47">
        <v>22.933805</v>
      </c>
      <c r="L34" s="47">
        <v>22.563326</v>
      </c>
      <c r="M34" s="47">
        <v>21.64818</v>
      </c>
      <c r="N34" s="47">
        <v>20.464611000000001</v>
      </c>
    </row>
    <row r="35" spans="1:14" x14ac:dyDescent="0.35">
      <c r="A35" s="2">
        <v>42898</v>
      </c>
      <c r="B35" s="40">
        <v>9.4526409999999998</v>
      </c>
      <c r="C35" s="40">
        <v>15.4911995</v>
      </c>
      <c r="D35" s="40">
        <v>8.0190180000000009</v>
      </c>
      <c r="E35" s="40">
        <v>26.787911999999999</v>
      </c>
      <c r="F35" s="40">
        <v>18.738209999999999</v>
      </c>
      <c r="G35" s="40">
        <v>16.527248</v>
      </c>
      <c r="H35" s="40">
        <v>13.0921</v>
      </c>
      <c r="I35" s="40">
        <v>29.118895999999999</v>
      </c>
      <c r="J35" s="40">
        <v>18.246936999999999</v>
      </c>
      <c r="K35" s="47">
        <v>25.231373000000001</v>
      </c>
      <c r="L35" s="47">
        <v>24.692475999999999</v>
      </c>
      <c r="M35" s="47">
        <v>24.013054</v>
      </c>
      <c r="N35" s="47">
        <v>25.181507</v>
      </c>
    </row>
    <row r="36" spans="1:14" x14ac:dyDescent="0.35">
      <c r="A36" s="2">
        <v>42928</v>
      </c>
      <c r="B36" s="40">
        <v>6.2220335000000002</v>
      </c>
      <c r="C36" s="40">
        <v>12.178766</v>
      </c>
      <c r="D36" s="40">
        <v>10.849607000000001</v>
      </c>
      <c r="E36" s="40">
        <v>28.888203000000001</v>
      </c>
      <c r="F36" s="40">
        <v>14.403212</v>
      </c>
      <c r="G36" s="40">
        <v>18.889952000000001</v>
      </c>
      <c r="H36" s="40">
        <v>11.934125999999999</v>
      </c>
      <c r="I36" s="40">
        <v>27.503776999999999</v>
      </c>
      <c r="J36" s="40">
        <v>15.831161</v>
      </c>
      <c r="K36" s="47">
        <v>28.645302000000001</v>
      </c>
      <c r="L36" s="47">
        <v>29.218138</v>
      </c>
      <c r="M36" s="47">
        <v>29.995654999999999</v>
      </c>
      <c r="N36" s="47">
        <v>33.979460000000003</v>
      </c>
    </row>
    <row r="37" spans="1:14" x14ac:dyDescent="0.35">
      <c r="A37" s="2">
        <v>42958</v>
      </c>
      <c r="B37" s="40">
        <v>5.658245</v>
      </c>
      <c r="C37" s="40">
        <v>10.600698</v>
      </c>
      <c r="D37" s="40">
        <v>7.3142050000000003</v>
      </c>
      <c r="E37" s="40">
        <v>16.862500000000001</v>
      </c>
      <c r="F37" s="40">
        <v>11.090731999999999</v>
      </c>
      <c r="G37" s="40">
        <v>13.077199999999999</v>
      </c>
      <c r="H37" s="40">
        <v>9.8994020000000003</v>
      </c>
      <c r="I37" s="40">
        <v>22.582339999999999</v>
      </c>
      <c r="J37" s="40">
        <v>13.922404999999999</v>
      </c>
      <c r="K37" s="47">
        <v>23.501469</v>
      </c>
      <c r="L37" s="47">
        <v>26.312721</v>
      </c>
      <c r="M37" s="47">
        <v>19.425034</v>
      </c>
      <c r="N37" s="47">
        <v>35.031962999999998</v>
      </c>
    </row>
    <row r="38" spans="1:14" x14ac:dyDescent="0.35">
      <c r="A38" s="2">
        <v>42990</v>
      </c>
      <c r="B38" s="40">
        <v>5.7669519999999999</v>
      </c>
      <c r="C38" s="40">
        <v>21.754097000000002</v>
      </c>
      <c r="D38" s="40">
        <v>14.080833999999999</v>
      </c>
      <c r="E38" s="40">
        <v>24.399270000000001</v>
      </c>
      <c r="F38" s="40">
        <v>13.170313999999999</v>
      </c>
      <c r="G38" s="40">
        <v>16.198885000000001</v>
      </c>
      <c r="H38" s="40">
        <v>12.812889</v>
      </c>
      <c r="I38" s="40">
        <v>26.993048000000002</v>
      </c>
      <c r="J38" s="40">
        <v>17.935694000000002</v>
      </c>
      <c r="K38" s="47">
        <v>28.226375999999998</v>
      </c>
      <c r="L38" s="47">
        <v>29.477167000000001</v>
      </c>
      <c r="M38" s="47">
        <v>24.207592000000002</v>
      </c>
      <c r="N38" s="47">
        <v>39.645339999999997</v>
      </c>
    </row>
    <row r="39" spans="1:14" x14ac:dyDescent="0.35">
      <c r="A39" s="2">
        <v>43020</v>
      </c>
      <c r="B39" s="40">
        <v>14.1972065</v>
      </c>
      <c r="C39" s="40">
        <v>14.54885</v>
      </c>
      <c r="D39" s="40">
        <v>17.588543000000001</v>
      </c>
      <c r="E39" s="40">
        <v>29.91103</v>
      </c>
      <c r="F39" s="40">
        <v>16.73584</v>
      </c>
      <c r="G39" s="40">
        <v>21.180199999999999</v>
      </c>
      <c r="H39" s="40">
        <v>20.16244</v>
      </c>
      <c r="I39" s="40">
        <v>27.108395000000002</v>
      </c>
      <c r="J39" s="40">
        <v>21.564411</v>
      </c>
      <c r="K39" s="47">
        <v>34.017919999999997</v>
      </c>
      <c r="L39" s="47">
        <v>32.900416999999997</v>
      </c>
      <c r="M39" s="47">
        <v>30.396248</v>
      </c>
      <c r="N39" s="47">
        <v>46.616936000000003</v>
      </c>
    </row>
    <row r="40" spans="1:14" x14ac:dyDescent="0.35">
      <c r="A40" s="2">
        <v>43049</v>
      </c>
      <c r="B40" s="40">
        <v>13.542866999999999</v>
      </c>
      <c r="C40" s="40">
        <v>18.655968000000001</v>
      </c>
      <c r="D40" s="40">
        <v>18.012608</v>
      </c>
      <c r="E40" s="40">
        <v>30.579138</v>
      </c>
      <c r="F40" s="40">
        <v>21.703385999999998</v>
      </c>
      <c r="G40" s="40">
        <v>18.835280999999998</v>
      </c>
      <c r="H40" s="40">
        <v>18.155396</v>
      </c>
      <c r="I40" s="40">
        <v>34.099260000000001</v>
      </c>
      <c r="J40" s="40">
        <v>21.38815</v>
      </c>
      <c r="K40" s="47">
        <v>31.355953</v>
      </c>
      <c r="L40" s="47">
        <v>33.532859999999999</v>
      </c>
      <c r="M40" s="47">
        <v>28.246271</v>
      </c>
      <c r="N40" s="47">
        <v>42.667589999999997</v>
      </c>
    </row>
    <row r="41" spans="1:14" x14ac:dyDescent="0.35">
      <c r="A41" s="2">
        <v>43081</v>
      </c>
      <c r="B41" s="40">
        <v>15.685843999999999</v>
      </c>
      <c r="C41" s="40">
        <v>12.9992485</v>
      </c>
      <c r="D41" s="40">
        <v>10.129595</v>
      </c>
      <c r="E41" s="40">
        <v>29.167449999999999</v>
      </c>
      <c r="F41" s="40">
        <v>20.203209000000001</v>
      </c>
      <c r="G41" s="40">
        <v>23.150015</v>
      </c>
      <c r="H41" s="40">
        <v>17.747105000000001</v>
      </c>
      <c r="I41" s="40">
        <v>32.187305000000002</v>
      </c>
      <c r="J41" s="40">
        <v>20.301033</v>
      </c>
      <c r="K41" s="47">
        <v>30.477322000000001</v>
      </c>
      <c r="L41" s="47">
        <v>35.018158</v>
      </c>
      <c r="M41" s="47">
        <v>21.943092</v>
      </c>
      <c r="N41" s="47">
        <v>35.822139999999997</v>
      </c>
    </row>
    <row r="42" spans="1:14" x14ac:dyDescent="0.35">
      <c r="A42" s="2">
        <v>43112</v>
      </c>
      <c r="B42" s="40">
        <v>18.062125999999999</v>
      </c>
      <c r="C42" s="40">
        <v>15.17694</v>
      </c>
      <c r="D42" s="40">
        <v>13.878297999999999</v>
      </c>
      <c r="E42" s="40">
        <v>30.681301000000001</v>
      </c>
      <c r="F42" s="40">
        <v>27.14405</v>
      </c>
      <c r="G42" s="40">
        <v>22.733711</v>
      </c>
      <c r="H42" s="40">
        <v>23.670244</v>
      </c>
      <c r="I42" s="40">
        <v>35.237563999999999</v>
      </c>
      <c r="J42" s="40">
        <v>25.065697</v>
      </c>
      <c r="K42" s="47">
        <v>33.193897</v>
      </c>
      <c r="L42" s="47">
        <v>36.563502999999997</v>
      </c>
      <c r="M42" s="47">
        <v>27.023363</v>
      </c>
      <c r="N42" s="47">
        <v>38.575744999999998</v>
      </c>
    </row>
    <row r="43" spans="1:14" x14ac:dyDescent="0.35">
      <c r="A43" s="2">
        <v>43143</v>
      </c>
      <c r="B43" s="40">
        <v>13.113391999999999</v>
      </c>
      <c r="C43" s="40">
        <v>7.6864720000000002</v>
      </c>
      <c r="D43" s="40">
        <v>2.9303073999999998</v>
      </c>
      <c r="E43" s="40">
        <v>21.777557000000002</v>
      </c>
      <c r="F43" s="40">
        <v>18.75055</v>
      </c>
      <c r="G43" s="40">
        <v>16.184985999999999</v>
      </c>
      <c r="H43" s="40">
        <v>13.469851</v>
      </c>
      <c r="I43" s="40">
        <v>25.859081</v>
      </c>
      <c r="J43" s="40">
        <v>16.836119</v>
      </c>
      <c r="K43" s="47">
        <v>27.619302999999999</v>
      </c>
      <c r="L43" s="47">
        <v>28.245401000000001</v>
      </c>
      <c r="M43" s="47">
        <v>14.501249</v>
      </c>
      <c r="N43" s="47">
        <v>38.196026000000003</v>
      </c>
    </row>
    <row r="44" spans="1:14" x14ac:dyDescent="0.35">
      <c r="A44" s="2">
        <v>43171</v>
      </c>
      <c r="B44" s="40">
        <v>24.77467</v>
      </c>
      <c r="C44" s="40">
        <v>10.651398</v>
      </c>
      <c r="D44" s="40">
        <v>7.7741860000000003</v>
      </c>
      <c r="E44" s="40">
        <v>20.022345000000001</v>
      </c>
      <c r="F44" s="40">
        <v>19.750881</v>
      </c>
      <c r="G44" s="40">
        <v>13.933229000000001</v>
      </c>
      <c r="H44" s="40">
        <v>15.230775</v>
      </c>
      <c r="I44" s="40">
        <v>33.699738000000004</v>
      </c>
      <c r="J44" s="40">
        <v>19.450939999999999</v>
      </c>
      <c r="K44" s="47">
        <v>26.558948999999998</v>
      </c>
      <c r="L44" s="47">
        <v>24.55659</v>
      </c>
      <c r="M44" s="47">
        <v>15.71579</v>
      </c>
      <c r="N44" s="47">
        <v>35.071013999999998</v>
      </c>
    </row>
    <row r="45" spans="1:14" x14ac:dyDescent="0.35">
      <c r="A45" s="2">
        <v>43202</v>
      </c>
      <c r="B45" s="40">
        <v>23.182285</v>
      </c>
      <c r="C45" s="40">
        <v>4.2029860000000001</v>
      </c>
      <c r="D45" s="40">
        <v>5.7401299999999997</v>
      </c>
      <c r="E45" s="40">
        <v>18.039380999999999</v>
      </c>
      <c r="F45" s="40">
        <v>19.561444999999999</v>
      </c>
      <c r="G45" s="40">
        <v>9.1251610000000003</v>
      </c>
      <c r="H45" s="40">
        <v>15.696752999999999</v>
      </c>
      <c r="I45" s="40">
        <v>24.977135000000001</v>
      </c>
      <c r="J45" s="40">
        <v>15.793657</v>
      </c>
      <c r="K45" s="47">
        <v>24.954139999999999</v>
      </c>
      <c r="L45" s="47">
        <v>23.8796</v>
      </c>
      <c r="M45" s="47">
        <v>8.4316490000000002</v>
      </c>
      <c r="N45" s="47">
        <v>35.992443000000002</v>
      </c>
    </row>
    <row r="46" spans="1:14" x14ac:dyDescent="0.35">
      <c r="A46" s="2">
        <v>43231</v>
      </c>
      <c r="B46" s="40">
        <v>16.628874</v>
      </c>
      <c r="C46" s="40">
        <v>9.5076079999999994</v>
      </c>
      <c r="D46" s="40">
        <v>13.323426</v>
      </c>
      <c r="E46" s="40">
        <v>11.965954</v>
      </c>
      <c r="F46" s="40">
        <v>18.851459999999999</v>
      </c>
      <c r="G46" s="40">
        <v>3.8845657999999998</v>
      </c>
      <c r="H46" s="40">
        <v>12.961149000000001</v>
      </c>
      <c r="I46" s="40">
        <v>23.604810000000001</v>
      </c>
      <c r="J46" s="40">
        <v>16.15156</v>
      </c>
      <c r="K46" s="47">
        <v>16.838657000000001</v>
      </c>
      <c r="L46" s="47">
        <v>13.57752</v>
      </c>
      <c r="M46" s="47">
        <v>5.0139069999999997</v>
      </c>
      <c r="N46" s="47">
        <v>24.101437000000001</v>
      </c>
    </row>
    <row r="47" spans="1:14" x14ac:dyDescent="0.35">
      <c r="A47" s="2">
        <v>43263</v>
      </c>
      <c r="B47" s="40">
        <v>16.47184</v>
      </c>
      <c r="C47" s="40">
        <v>10.351801</v>
      </c>
      <c r="D47" s="40">
        <v>11.451720999999999</v>
      </c>
      <c r="E47" s="40">
        <v>6.1458826000000002</v>
      </c>
      <c r="F47" s="40">
        <v>13.25047</v>
      </c>
      <c r="G47" s="40">
        <v>0.94629525999999997</v>
      </c>
      <c r="H47" s="40">
        <v>11.338317999999999</v>
      </c>
      <c r="I47" s="40">
        <v>27.385245999999999</v>
      </c>
      <c r="J47" s="40">
        <v>16.793704999999999</v>
      </c>
      <c r="K47" s="47">
        <v>12.834334</v>
      </c>
      <c r="L47" s="47">
        <v>12.093508</v>
      </c>
      <c r="M47" s="47">
        <v>1.7749547999999999</v>
      </c>
      <c r="N47" s="47">
        <v>11.089753999999999</v>
      </c>
    </row>
    <row r="48" spans="1:14" x14ac:dyDescent="0.35">
      <c r="A48" s="2">
        <v>43293</v>
      </c>
      <c r="B48" s="40">
        <v>9.7714540000000003</v>
      </c>
      <c r="C48" s="40">
        <v>10.444140000000001</v>
      </c>
      <c r="D48" s="40">
        <v>8.7059610000000003</v>
      </c>
      <c r="E48" s="40">
        <v>1.6412377</v>
      </c>
      <c r="F48" s="40">
        <v>8.0114839999999994</v>
      </c>
      <c r="G48" s="40">
        <v>-1.2161314000000001</v>
      </c>
      <c r="H48" s="40">
        <v>9.3085880000000003</v>
      </c>
      <c r="I48" s="40">
        <v>28.580331999999999</v>
      </c>
      <c r="J48" s="40">
        <v>16.626239999999999</v>
      </c>
      <c r="K48" s="47">
        <v>9.8190670000000004</v>
      </c>
      <c r="L48" s="47">
        <v>7.8001259999999997</v>
      </c>
      <c r="M48" s="47">
        <v>-6.6645919999999998</v>
      </c>
      <c r="N48" s="47">
        <v>5.0615670000000001</v>
      </c>
    </row>
    <row r="49" spans="1:14" x14ac:dyDescent="0.35">
      <c r="A49" s="2">
        <v>43322</v>
      </c>
      <c r="B49" s="40">
        <v>4.5278549999999997</v>
      </c>
      <c r="C49" s="40">
        <v>5.8793544999999998</v>
      </c>
      <c r="D49" s="40">
        <v>8.1340679999999992</v>
      </c>
      <c r="E49" s="40">
        <v>1.0410666</v>
      </c>
      <c r="F49" s="40">
        <v>7.7351929999999998</v>
      </c>
      <c r="G49" s="40">
        <v>2.3272037999999999</v>
      </c>
      <c r="H49" s="40">
        <v>5.3990125999999998</v>
      </c>
      <c r="I49" s="40">
        <v>29.037141999999999</v>
      </c>
      <c r="J49" s="40">
        <v>18.329657000000001</v>
      </c>
      <c r="K49" s="47">
        <v>6.2048435</v>
      </c>
      <c r="L49" s="47">
        <v>3.1421779999999999</v>
      </c>
      <c r="M49" s="47">
        <v>-2.9561579999999998</v>
      </c>
      <c r="N49" s="47">
        <v>-3.4802138999999999</v>
      </c>
    </row>
    <row r="50" spans="1:14" x14ac:dyDescent="0.35">
      <c r="A50" s="2">
        <v>43355</v>
      </c>
      <c r="B50" s="40">
        <v>4.2501806999999996</v>
      </c>
      <c r="C50" s="40">
        <v>-1.2621343</v>
      </c>
      <c r="D50" s="40">
        <v>1.8699527</v>
      </c>
      <c r="E50" s="40">
        <v>-5.5678130000000001</v>
      </c>
      <c r="F50" s="40">
        <v>4.7081947</v>
      </c>
      <c r="G50" s="40">
        <v>1.48108</v>
      </c>
      <c r="H50" s="40">
        <v>-8.478165E-2</v>
      </c>
      <c r="I50" s="40">
        <v>25.877274</v>
      </c>
      <c r="J50" s="40">
        <v>17.781030000000001</v>
      </c>
      <c r="K50" s="47">
        <v>2.63381</v>
      </c>
      <c r="L50" s="47">
        <v>-2.0460486000000002</v>
      </c>
      <c r="M50" s="47">
        <v>-5.4433403</v>
      </c>
      <c r="N50" s="47">
        <v>-6.8612932999999998</v>
      </c>
    </row>
    <row r="51" spans="1:14" x14ac:dyDescent="0.35">
      <c r="A51" s="2">
        <v>43385</v>
      </c>
      <c r="B51" s="40">
        <v>-0.22950171999999999</v>
      </c>
      <c r="C51" s="40">
        <v>-4.9508150000000004</v>
      </c>
      <c r="D51" s="40">
        <v>-4.5971812999999999</v>
      </c>
      <c r="E51" s="40">
        <v>-12.615430999999999</v>
      </c>
      <c r="F51" s="40">
        <v>1.5479326</v>
      </c>
      <c r="G51" s="40">
        <v>-5.6500196000000003</v>
      </c>
      <c r="H51" s="40">
        <v>-4.3303669999999999</v>
      </c>
      <c r="I51" s="40">
        <v>18.874310999999999</v>
      </c>
      <c r="J51" s="40">
        <v>10.342873000000001</v>
      </c>
      <c r="K51" s="47">
        <v>-4.0437640000000004</v>
      </c>
      <c r="L51" s="47">
        <v>-8.8325739999999993</v>
      </c>
      <c r="M51" s="47">
        <v>-11.000280999999999</v>
      </c>
      <c r="N51" s="47">
        <v>-13.808846000000001</v>
      </c>
    </row>
    <row r="52" spans="1:14" x14ac:dyDescent="0.35">
      <c r="A52" s="2">
        <v>43416</v>
      </c>
      <c r="B52" s="40">
        <v>8.4576720000000005</v>
      </c>
      <c r="C52" s="40">
        <v>-5.0469637000000001</v>
      </c>
      <c r="D52" s="40">
        <v>-7.6988459999999996</v>
      </c>
      <c r="E52" s="40">
        <v>-16.299910000000001</v>
      </c>
      <c r="F52" s="40">
        <v>-6.6644189999999996</v>
      </c>
      <c r="G52" s="40">
        <v>-1.4846206</v>
      </c>
      <c r="H52" s="40">
        <v>-4.2692779999999999</v>
      </c>
      <c r="I52" s="40">
        <v>9.0637319999999999</v>
      </c>
      <c r="J52" s="40">
        <v>7.5343966</v>
      </c>
      <c r="K52" s="47">
        <v>-6.3920199999999996</v>
      </c>
      <c r="L52" s="47">
        <v>-7.8650770000000003</v>
      </c>
      <c r="M52" s="47">
        <v>-11.8752365</v>
      </c>
      <c r="N52" s="47">
        <v>-16.243289999999998</v>
      </c>
    </row>
    <row r="53" spans="1:14" x14ac:dyDescent="0.35">
      <c r="A53" s="2">
        <v>43446</v>
      </c>
      <c r="B53" s="40">
        <v>5.1632166000000002</v>
      </c>
      <c r="C53" s="40">
        <v>-6.6529036000000001</v>
      </c>
      <c r="D53" s="40">
        <v>-10.081416000000001</v>
      </c>
      <c r="E53" s="40">
        <v>-19.246334000000001</v>
      </c>
      <c r="F53" s="40">
        <v>-9.0074780000000008</v>
      </c>
      <c r="G53" s="40">
        <v>-3.8917481999999999</v>
      </c>
      <c r="H53" s="40">
        <v>-9.6466180000000001</v>
      </c>
      <c r="I53" s="40">
        <v>6.8271994999999999</v>
      </c>
      <c r="J53" s="40">
        <v>1.3179301999999999</v>
      </c>
      <c r="K53" s="47">
        <v>-9.8518910000000002</v>
      </c>
      <c r="L53" s="47">
        <v>-10.658322999999999</v>
      </c>
      <c r="M53" s="47">
        <v>-11.176247</v>
      </c>
      <c r="N53" s="47">
        <v>-16.024840000000001</v>
      </c>
    </row>
    <row r="54" spans="1:14" x14ac:dyDescent="0.35">
      <c r="A54" s="2">
        <v>43476</v>
      </c>
      <c r="B54" s="40">
        <v>3.4255146999999999</v>
      </c>
      <c r="C54" s="40">
        <v>-9.088654</v>
      </c>
      <c r="D54" s="40">
        <v>-12.168371</v>
      </c>
      <c r="E54" s="40">
        <v>-21.506298000000001</v>
      </c>
      <c r="F54" s="40">
        <v>-15.164638</v>
      </c>
      <c r="G54" s="40">
        <v>-7.009506</v>
      </c>
      <c r="H54" s="40">
        <v>-12.547672</v>
      </c>
      <c r="I54" s="40">
        <v>-0.75089335000000001</v>
      </c>
      <c r="J54" s="40">
        <v>-4.4139265999999999</v>
      </c>
      <c r="K54" s="47">
        <v>-14.339071000000001</v>
      </c>
      <c r="L54" s="47">
        <v>-14.714802000000001</v>
      </c>
      <c r="M54" s="47">
        <v>-14.310140000000001</v>
      </c>
      <c r="N54" s="47">
        <v>-18.651522</v>
      </c>
    </row>
    <row r="55" spans="1:14" x14ac:dyDescent="0.35">
      <c r="A55" s="2">
        <v>43508</v>
      </c>
      <c r="B55" s="40">
        <v>8.4930059999999994</v>
      </c>
      <c r="C55" s="40">
        <v>-1.3665080000000001</v>
      </c>
      <c r="D55" s="40">
        <v>-0.46643614999999999</v>
      </c>
      <c r="E55" s="40">
        <v>-17.036110000000001</v>
      </c>
      <c r="F55" s="40">
        <v>-9.4147149999999993</v>
      </c>
      <c r="G55" s="40">
        <v>-2.5198399999999999</v>
      </c>
      <c r="H55" s="40">
        <v>-4.2547584000000001</v>
      </c>
      <c r="I55" s="40">
        <v>8.4856029999999993</v>
      </c>
      <c r="J55" s="40">
        <v>5.2767754</v>
      </c>
      <c r="K55" s="47">
        <v>-7.4407759999999996</v>
      </c>
      <c r="L55" s="47">
        <v>-6.2427225000000002</v>
      </c>
      <c r="M55" s="47">
        <v>-7.9732419999999999</v>
      </c>
      <c r="N55" s="47">
        <v>-15.273512</v>
      </c>
    </row>
    <row r="56" spans="1:14" x14ac:dyDescent="0.35">
      <c r="A56" s="2">
        <v>43536</v>
      </c>
      <c r="B56" s="40">
        <v>4.3022036999999997</v>
      </c>
      <c r="C56" s="40">
        <v>-3.1530857000000001</v>
      </c>
      <c r="D56" s="40">
        <v>1.3836025999999999</v>
      </c>
      <c r="E56" s="40">
        <v>-15.773904999999999</v>
      </c>
      <c r="F56" s="40">
        <v>-9.5155899999999995</v>
      </c>
      <c r="G56" s="40">
        <v>0.26272535000000002</v>
      </c>
      <c r="H56" s="40">
        <v>-2.8815507999999999</v>
      </c>
      <c r="I56" s="40">
        <v>1.7877460000000001</v>
      </c>
      <c r="J56" s="40">
        <v>2.2671459999999999</v>
      </c>
      <c r="K56" s="47">
        <v>-6.2551139999999998</v>
      </c>
      <c r="L56" s="47">
        <v>-8.058268</v>
      </c>
      <c r="M56" s="47">
        <v>-9.6478219999999997</v>
      </c>
      <c r="N56" s="47">
        <v>-13.791079</v>
      </c>
    </row>
    <row r="57" spans="1:14" x14ac:dyDescent="0.35">
      <c r="A57" s="2">
        <v>43567</v>
      </c>
      <c r="B57" s="40">
        <v>6.5919280000000002</v>
      </c>
      <c r="C57" s="40">
        <v>3.4304380000000001</v>
      </c>
      <c r="D57" s="40">
        <v>4.2378305999999997</v>
      </c>
      <c r="E57" s="40">
        <v>-11.886101999999999</v>
      </c>
      <c r="F57" s="40">
        <v>-7.1532669999999996</v>
      </c>
      <c r="G57" s="40">
        <v>6.2368034999999997</v>
      </c>
      <c r="H57" s="40">
        <v>-2.0499348999999998</v>
      </c>
      <c r="I57" s="40">
        <v>15.559519</v>
      </c>
      <c r="J57" s="40">
        <v>11.240339000000001</v>
      </c>
      <c r="K57" s="47">
        <v>-2.9061913000000001</v>
      </c>
      <c r="L57" s="47">
        <v>-3.0400455000000002</v>
      </c>
      <c r="M57" s="47">
        <v>2.6551485000000001</v>
      </c>
      <c r="N57" s="47">
        <v>-11.217366999999999</v>
      </c>
    </row>
    <row r="58" spans="1:14" x14ac:dyDescent="0.35">
      <c r="A58" s="2">
        <v>43595</v>
      </c>
      <c r="B58" s="40">
        <v>11.012769</v>
      </c>
      <c r="C58" s="40">
        <v>0.47593117000000001</v>
      </c>
      <c r="D58" s="40">
        <v>-1.2591003999999999</v>
      </c>
      <c r="E58" s="40">
        <v>-12.577545000000001</v>
      </c>
      <c r="F58" s="40">
        <v>-9.7071830000000006</v>
      </c>
      <c r="G58" s="40">
        <v>6.6246390000000002</v>
      </c>
      <c r="H58" s="40">
        <v>-5.9817552999999997</v>
      </c>
      <c r="I58" s="40">
        <v>10.017609999999999</v>
      </c>
      <c r="J58" s="40">
        <v>7.9778314000000004</v>
      </c>
      <c r="K58" s="47">
        <v>-6.3528180000000001</v>
      </c>
      <c r="L58" s="47">
        <v>-1.9816041</v>
      </c>
      <c r="M58" s="47">
        <v>-6.7075253000000004</v>
      </c>
      <c r="N58" s="47">
        <v>-14.768988</v>
      </c>
    </row>
    <row r="59" spans="1:14" x14ac:dyDescent="0.35">
      <c r="A59" s="2">
        <v>43628</v>
      </c>
      <c r="B59" s="40">
        <v>5.4536939999999996</v>
      </c>
      <c r="C59" s="40">
        <v>4.2122244999999996</v>
      </c>
      <c r="D59" s="40">
        <v>-1.0863364</v>
      </c>
      <c r="E59" s="40">
        <v>-11.591488</v>
      </c>
      <c r="F59" s="40">
        <v>-9.2363890000000008</v>
      </c>
      <c r="G59" s="40">
        <v>13.097262000000001</v>
      </c>
      <c r="H59" s="40">
        <v>-5.8823824</v>
      </c>
      <c r="I59" s="40">
        <v>4.6059729999999997</v>
      </c>
      <c r="J59" s="40">
        <v>5.4126380000000003</v>
      </c>
      <c r="K59" s="47">
        <v>-3.5268128000000001</v>
      </c>
      <c r="L59" s="47">
        <v>-1.7813265</v>
      </c>
      <c r="M59" s="47">
        <v>-3.9733290000000001</v>
      </c>
      <c r="N59" s="47">
        <v>-7.3236046000000004</v>
      </c>
    </row>
    <row r="60" spans="1:14" x14ac:dyDescent="0.35">
      <c r="A60" s="2">
        <v>43658</v>
      </c>
      <c r="B60" s="40">
        <v>16.444016000000001</v>
      </c>
      <c r="C60" s="40">
        <v>4.5932649999999997</v>
      </c>
      <c r="D60" s="40">
        <v>2.3510456</v>
      </c>
      <c r="E60" s="40">
        <v>-7.0489287000000003</v>
      </c>
      <c r="F60" s="40">
        <v>-1.7686605</v>
      </c>
      <c r="G60" s="40">
        <v>13.750064999999999</v>
      </c>
      <c r="H60" s="40">
        <v>-3.4241378</v>
      </c>
      <c r="I60" s="40">
        <v>8.7868209999999998</v>
      </c>
      <c r="J60" s="40">
        <v>9.7578639999999996</v>
      </c>
      <c r="K60" s="47">
        <v>0.93997717000000003</v>
      </c>
      <c r="L60" s="47">
        <v>2.8215408000000002</v>
      </c>
      <c r="M60" s="47">
        <v>3.4644960999999999</v>
      </c>
      <c r="N60" s="47">
        <v>2.6831865000000001</v>
      </c>
    </row>
    <row r="61" spans="1:14" x14ac:dyDescent="0.35">
      <c r="A61" s="2">
        <v>43689</v>
      </c>
      <c r="B61" s="40">
        <v>17.436181999999999</v>
      </c>
      <c r="C61" s="40">
        <v>0.51227809999999996</v>
      </c>
      <c r="D61" s="40">
        <v>-0.50330160000000002</v>
      </c>
      <c r="E61" s="40">
        <v>-10.084581</v>
      </c>
      <c r="F61" s="40">
        <v>-6.1617135999999997</v>
      </c>
      <c r="G61" s="40">
        <v>11.801636</v>
      </c>
      <c r="H61" s="40">
        <v>-7.8105209999999996</v>
      </c>
      <c r="I61" s="40">
        <v>3.0180929999999999</v>
      </c>
      <c r="J61" s="40">
        <v>3.7577033000000002</v>
      </c>
      <c r="K61" s="47">
        <v>-1.7194986000000001</v>
      </c>
      <c r="L61" s="47">
        <v>0.53982735000000004</v>
      </c>
      <c r="M61" s="47">
        <v>-6.5855980000000001</v>
      </c>
      <c r="N61" s="47">
        <v>-2.3330867</v>
      </c>
    </row>
    <row r="62" spans="1:14" x14ac:dyDescent="0.35">
      <c r="A62" s="2">
        <v>43720</v>
      </c>
      <c r="B62" s="40">
        <v>16.588878999999999</v>
      </c>
      <c r="C62" s="40">
        <v>8.88598</v>
      </c>
      <c r="D62" s="40">
        <v>4.0051103000000001</v>
      </c>
      <c r="E62" s="40">
        <v>-4.376131</v>
      </c>
      <c r="F62" s="40">
        <v>0.22842883999999999</v>
      </c>
      <c r="G62" s="40">
        <v>12.407959</v>
      </c>
      <c r="H62" s="40">
        <v>-0.97385049999999995</v>
      </c>
      <c r="I62" s="40">
        <v>6.7620753999999996</v>
      </c>
      <c r="J62" s="40">
        <v>6.2822699999999996</v>
      </c>
      <c r="K62" s="47">
        <v>2.2788525000000002</v>
      </c>
      <c r="L62" s="47">
        <v>9.3761559999999999</v>
      </c>
      <c r="M62" s="47">
        <v>-0.98093750000000002</v>
      </c>
      <c r="N62" s="47">
        <v>4.5405864999999999</v>
      </c>
    </row>
    <row r="63" spans="1:14" x14ac:dyDescent="0.35">
      <c r="A63" s="2">
        <v>43749</v>
      </c>
      <c r="B63" s="40">
        <v>21.851085999999999</v>
      </c>
      <c r="C63" s="40">
        <v>14.5713215</v>
      </c>
      <c r="D63" s="40">
        <v>7.968235</v>
      </c>
      <c r="E63" s="40">
        <v>0.71099997000000004</v>
      </c>
      <c r="F63" s="40">
        <v>2.6787399999999999</v>
      </c>
      <c r="G63" s="40">
        <v>17.872084000000001</v>
      </c>
      <c r="H63" s="40">
        <v>2.8260350000000001</v>
      </c>
      <c r="I63" s="40">
        <v>13.697253999999999</v>
      </c>
      <c r="J63" s="40">
        <v>11.035895</v>
      </c>
      <c r="K63" s="47">
        <v>7.2640419999999999</v>
      </c>
      <c r="L63" s="47">
        <v>15.723062000000001</v>
      </c>
      <c r="M63" s="47">
        <v>1.0428548</v>
      </c>
      <c r="N63" s="47">
        <v>12.832737</v>
      </c>
    </row>
    <row r="64" spans="1:14" x14ac:dyDescent="0.35">
      <c r="A64" s="2">
        <v>43781</v>
      </c>
      <c r="B64" s="40">
        <v>16.142499999999998</v>
      </c>
      <c r="C64" s="40">
        <v>15.039277</v>
      </c>
      <c r="D64" s="40">
        <v>14.015174</v>
      </c>
      <c r="E64" s="40">
        <v>11.401892</v>
      </c>
      <c r="F64" s="40">
        <v>12.093508</v>
      </c>
      <c r="G64" s="40">
        <v>19.903718999999999</v>
      </c>
      <c r="H64" s="40">
        <v>7.6767683</v>
      </c>
      <c r="I64" s="40">
        <v>22.259640000000001</v>
      </c>
      <c r="J64" s="40">
        <v>15.632987</v>
      </c>
      <c r="K64" s="47">
        <v>16.135597000000001</v>
      </c>
      <c r="L64" s="47">
        <v>19.425630000000002</v>
      </c>
      <c r="M64" s="47">
        <v>13.688803</v>
      </c>
      <c r="N64" s="47">
        <v>24.762547000000001</v>
      </c>
    </row>
    <row r="65" spans="1:14" x14ac:dyDescent="0.35">
      <c r="A65" s="2">
        <v>43811</v>
      </c>
      <c r="B65" s="40">
        <v>24.14434</v>
      </c>
      <c r="C65" s="40">
        <v>18.916976999999999</v>
      </c>
      <c r="D65" s="40">
        <v>18.235230000000001</v>
      </c>
      <c r="E65" s="40">
        <v>15.854882999999999</v>
      </c>
      <c r="F65" s="40">
        <v>14.636111</v>
      </c>
      <c r="G65" s="40">
        <v>22.87743</v>
      </c>
      <c r="H65" s="40">
        <v>13.899862000000001</v>
      </c>
      <c r="I65" s="40">
        <v>26.246093999999999</v>
      </c>
      <c r="J65" s="40">
        <v>21.853947000000002</v>
      </c>
      <c r="K65" s="47">
        <v>19.747686000000002</v>
      </c>
      <c r="L65" s="47">
        <v>23.938953000000001</v>
      </c>
      <c r="M65" s="47">
        <v>18.414200000000001</v>
      </c>
      <c r="N65" s="47">
        <v>21.724499000000002</v>
      </c>
    </row>
    <row r="66" spans="1:14" x14ac:dyDescent="0.35">
      <c r="A66" s="2">
        <v>43840</v>
      </c>
      <c r="B66" s="40">
        <v>25.2195</v>
      </c>
      <c r="C66" s="40">
        <v>17.679082999999999</v>
      </c>
      <c r="D66" s="40">
        <v>19.079934999999999</v>
      </c>
      <c r="E66" s="40">
        <v>15.860701000000001</v>
      </c>
      <c r="F66" s="40">
        <v>13.680649000000001</v>
      </c>
      <c r="G66" s="40">
        <v>25.441265000000001</v>
      </c>
      <c r="H66" s="40">
        <v>14.845991</v>
      </c>
      <c r="I66" s="40">
        <v>36.549602999999998</v>
      </c>
      <c r="J66" s="40">
        <v>28.195381000000001</v>
      </c>
      <c r="K66" s="47">
        <v>22.237814</v>
      </c>
      <c r="L66" s="47">
        <v>27.431560000000001</v>
      </c>
      <c r="M66" s="47">
        <v>15.675902000000001</v>
      </c>
      <c r="N66" s="47">
        <v>20.115936000000001</v>
      </c>
    </row>
    <row r="67" spans="1:14" x14ac:dyDescent="0.35">
      <c r="A67" s="2">
        <v>43873</v>
      </c>
      <c r="B67" s="40">
        <v>22.227156000000001</v>
      </c>
      <c r="C67" s="40">
        <v>14.973556500000001</v>
      </c>
      <c r="D67" s="40">
        <v>15.884601999999999</v>
      </c>
      <c r="E67" s="40">
        <v>15.758694</v>
      </c>
      <c r="F67" s="40">
        <v>12.942373</v>
      </c>
      <c r="G67" s="40">
        <v>28.555606999999998</v>
      </c>
      <c r="H67" s="40">
        <v>9.4271419999999999</v>
      </c>
      <c r="I67" s="40">
        <v>38.216124999999998</v>
      </c>
      <c r="J67" s="40">
        <v>25.430070000000001</v>
      </c>
      <c r="K67" s="47">
        <v>18.865227000000001</v>
      </c>
      <c r="L67" s="47">
        <v>23.216533999999999</v>
      </c>
      <c r="M67" s="47">
        <v>20.352315999999998</v>
      </c>
      <c r="N67" s="47">
        <v>21.032737999999998</v>
      </c>
    </row>
    <row r="68" spans="1:14" x14ac:dyDescent="0.35">
      <c r="A68" s="2">
        <v>43902</v>
      </c>
      <c r="B68" s="40">
        <v>-6.2168302999999998</v>
      </c>
      <c r="C68" s="40">
        <v>-26.150469999999999</v>
      </c>
      <c r="D68" s="40">
        <v>-25.061798</v>
      </c>
      <c r="E68" s="40">
        <v>-23.276312000000001</v>
      </c>
      <c r="F68" s="40">
        <v>-15.383607</v>
      </c>
      <c r="G68" s="40">
        <v>-5.3046106999999996</v>
      </c>
      <c r="H68" s="40">
        <v>-26.038128</v>
      </c>
      <c r="I68" s="40">
        <v>1.7581819999999999</v>
      </c>
      <c r="J68" s="40">
        <v>-9.5480619999999998</v>
      </c>
      <c r="K68" s="47">
        <v>-22.651862999999999</v>
      </c>
      <c r="L68" s="47">
        <v>-12.916446000000001</v>
      </c>
      <c r="M68" s="47">
        <v>-15.848679000000001</v>
      </c>
      <c r="N68" s="47">
        <v>-27.685870000000001</v>
      </c>
    </row>
    <row r="69" spans="1:14" x14ac:dyDescent="0.35">
      <c r="A69" s="2">
        <v>43930</v>
      </c>
      <c r="B69" s="40">
        <v>-5.511469</v>
      </c>
      <c r="C69" s="40">
        <v>-19.717137999999998</v>
      </c>
      <c r="D69" s="40">
        <v>-16.062646999999998</v>
      </c>
      <c r="E69" s="40">
        <v>-14.388919</v>
      </c>
      <c r="F69" s="40">
        <v>-6.3684820000000002</v>
      </c>
      <c r="G69" s="40">
        <v>3.6839724</v>
      </c>
      <c r="H69" s="40">
        <v>-22.542137</v>
      </c>
      <c r="I69" s="40">
        <v>9.8089220000000008</v>
      </c>
      <c r="J69" s="40">
        <v>-1.1659801000000001</v>
      </c>
      <c r="K69" s="47">
        <v>-16.645605</v>
      </c>
      <c r="L69" s="47">
        <v>-7.4298023999999998</v>
      </c>
      <c r="M69" s="47">
        <v>-12.200265999999999</v>
      </c>
      <c r="N69" s="47">
        <v>-20.528275000000001</v>
      </c>
    </row>
    <row r="70" spans="1:14" x14ac:dyDescent="0.35">
      <c r="A70" s="2">
        <v>43963</v>
      </c>
      <c r="B70" s="40">
        <v>-0.80509185999999999</v>
      </c>
      <c r="C70" s="40">
        <v>-20.655369</v>
      </c>
      <c r="D70" s="40">
        <v>-11.741519</v>
      </c>
      <c r="E70" s="40">
        <v>-16.400814</v>
      </c>
      <c r="F70" s="40">
        <v>-1.5194356</v>
      </c>
      <c r="G70" s="40">
        <v>5.709994</v>
      </c>
      <c r="H70" s="40">
        <v>-21.380638000000001</v>
      </c>
      <c r="I70" s="40">
        <v>21.090305000000001</v>
      </c>
      <c r="J70" s="40">
        <v>1.5638350999999999</v>
      </c>
      <c r="K70" s="47">
        <v>-18.596129999999999</v>
      </c>
      <c r="L70" s="47">
        <v>-5.4193376999999998</v>
      </c>
      <c r="M70" s="47">
        <v>-6.8770290000000003</v>
      </c>
      <c r="N70" s="47">
        <v>-21.440155000000001</v>
      </c>
    </row>
    <row r="71" spans="1:14" x14ac:dyDescent="0.35">
      <c r="A71" s="2">
        <v>43994</v>
      </c>
      <c r="B71" s="40">
        <v>7.6381563999999997</v>
      </c>
      <c r="C71" s="40">
        <v>-10.586506</v>
      </c>
      <c r="D71" s="40">
        <v>-6.2170266999999999</v>
      </c>
      <c r="E71" s="40">
        <v>-1.2363374</v>
      </c>
      <c r="F71" s="40">
        <v>5.7610273000000003</v>
      </c>
      <c r="G71" s="40">
        <v>5.4131270000000002</v>
      </c>
      <c r="H71" s="40">
        <v>-16.306287999999999</v>
      </c>
      <c r="I71" s="40">
        <v>30.467583000000001</v>
      </c>
      <c r="J71" s="40">
        <v>7.6696634000000001</v>
      </c>
      <c r="K71" s="47">
        <v>-8.3927449999999997</v>
      </c>
      <c r="L71" s="47">
        <v>5.3045989999999996</v>
      </c>
      <c r="M71" s="47">
        <v>2.8613925</v>
      </c>
      <c r="N71" s="47">
        <v>-8.7382849999999994</v>
      </c>
    </row>
    <row r="72" spans="1:14" x14ac:dyDescent="0.35">
      <c r="A72" s="2">
        <v>44022</v>
      </c>
      <c r="B72" s="40">
        <v>8.9002850000000002</v>
      </c>
      <c r="C72" s="40">
        <v>-9.6920970000000004</v>
      </c>
      <c r="D72" s="40">
        <v>-7.5025854000000001</v>
      </c>
      <c r="E72" s="40">
        <v>2.2453189999999998</v>
      </c>
      <c r="F72" s="40">
        <v>3.5203695000000002</v>
      </c>
      <c r="G72" s="40">
        <v>9.8785640000000008</v>
      </c>
      <c r="H72" s="40">
        <v>-16.590617999999999</v>
      </c>
      <c r="I72" s="40">
        <v>38.187862000000003</v>
      </c>
      <c r="J72" s="40">
        <v>8.5103399999999993</v>
      </c>
      <c r="K72" s="47">
        <v>-7.9635619999999996</v>
      </c>
      <c r="L72" s="47">
        <v>11.679733000000001</v>
      </c>
      <c r="M72" s="47">
        <v>7.8163147000000004</v>
      </c>
      <c r="N72" s="47">
        <v>-10.991358999999999</v>
      </c>
    </row>
    <row r="73" spans="1:14" x14ac:dyDescent="0.35">
      <c r="A73" s="2">
        <v>44055</v>
      </c>
      <c r="B73" s="40">
        <v>11.638487</v>
      </c>
      <c r="C73" s="40">
        <v>1.423645</v>
      </c>
      <c r="D73" s="40">
        <v>4.1151643</v>
      </c>
      <c r="E73" s="40">
        <v>16.620778999999999</v>
      </c>
      <c r="F73" s="40">
        <v>11.360574</v>
      </c>
      <c r="G73" s="40">
        <v>13.865888999999999</v>
      </c>
      <c r="H73" s="40">
        <v>-5.2454710000000002</v>
      </c>
      <c r="I73" s="40">
        <v>48.656370000000003</v>
      </c>
      <c r="J73" s="40">
        <v>19.510781999999999</v>
      </c>
      <c r="K73" s="47">
        <v>3.0559539999999998</v>
      </c>
      <c r="L73" s="47">
        <v>20.387781</v>
      </c>
      <c r="M73" s="47">
        <v>29.083179999999999</v>
      </c>
      <c r="N73" s="47">
        <v>4.2275786000000002</v>
      </c>
    </row>
    <row r="74" spans="1:14" x14ac:dyDescent="0.35">
      <c r="A74" s="2">
        <v>44085</v>
      </c>
      <c r="B74" s="40">
        <v>11.142932999999999</v>
      </c>
      <c r="C74" s="40">
        <v>-6.8860054000000002</v>
      </c>
      <c r="D74" s="40">
        <v>-0.98357797000000002</v>
      </c>
      <c r="E74" s="40">
        <v>12.430584</v>
      </c>
      <c r="F74" s="40">
        <v>6.9489717000000004</v>
      </c>
      <c r="G74" s="40">
        <v>13.111186</v>
      </c>
      <c r="H74" s="40">
        <v>-14.285147</v>
      </c>
      <c r="I74" s="40">
        <v>41.675792999999999</v>
      </c>
      <c r="J74" s="40">
        <v>13.514161</v>
      </c>
      <c r="K74" s="47">
        <v>-1.7392038999999999</v>
      </c>
      <c r="L74" s="47">
        <v>12.407864</v>
      </c>
      <c r="M74" s="47">
        <v>20.548701999999999</v>
      </c>
      <c r="N74" s="47">
        <v>-5.0237299999999996</v>
      </c>
    </row>
    <row r="75" spans="1:14" x14ac:dyDescent="0.35">
      <c r="A75" s="2">
        <v>44116</v>
      </c>
      <c r="B75" s="40">
        <v>21.118438999999999</v>
      </c>
      <c r="C75" s="40">
        <v>-2.0055174999999998</v>
      </c>
      <c r="D75" s="40">
        <v>2.8209209999999998</v>
      </c>
      <c r="E75" s="40">
        <v>12.594854</v>
      </c>
      <c r="F75" s="40">
        <v>6.4071536</v>
      </c>
      <c r="G75" s="40">
        <v>15.616274000000001</v>
      </c>
      <c r="H75" s="40">
        <v>-13.61767</v>
      </c>
      <c r="I75" s="40">
        <v>55.268191999999999</v>
      </c>
      <c r="J75" s="40">
        <v>21.289919999999999</v>
      </c>
      <c r="K75" s="47">
        <v>-2.6895880000000001</v>
      </c>
      <c r="L75" s="47">
        <v>18.387115000000001</v>
      </c>
      <c r="M75" s="47">
        <v>26.32959</v>
      </c>
      <c r="N75" s="47">
        <v>-7.0647000000000002</v>
      </c>
    </row>
    <row r="76" spans="1:14" x14ac:dyDescent="0.35">
      <c r="A76" s="2">
        <v>44147</v>
      </c>
      <c r="B76" s="40">
        <v>25.225221999999999</v>
      </c>
      <c r="C76" s="40">
        <v>-0.79030394999999998</v>
      </c>
      <c r="D76" s="40">
        <v>-0.45937896</v>
      </c>
      <c r="E76" s="40">
        <v>2.928245</v>
      </c>
      <c r="F76" s="40">
        <v>6.3913583999999997</v>
      </c>
      <c r="G76" s="40">
        <v>11.509287</v>
      </c>
      <c r="H76" s="40">
        <v>-11.824465</v>
      </c>
      <c r="I76" s="40">
        <v>44.168506999999998</v>
      </c>
      <c r="J76" s="40">
        <v>16.554403000000001</v>
      </c>
      <c r="K76" s="47">
        <v>-0.75456500000000004</v>
      </c>
      <c r="L76" s="47">
        <v>17.139016999999999</v>
      </c>
      <c r="M76" s="47">
        <v>20.010674000000002</v>
      </c>
      <c r="N76" s="47">
        <v>-8.7371234999999992</v>
      </c>
    </row>
    <row r="77" spans="1:14" x14ac:dyDescent="0.35">
      <c r="A77" s="2">
        <v>44176</v>
      </c>
      <c r="B77" s="40">
        <v>22.654093</v>
      </c>
      <c r="C77" s="40">
        <v>8.0612899999999996</v>
      </c>
      <c r="D77" s="40">
        <v>8.7195990000000005</v>
      </c>
      <c r="E77" s="40">
        <v>7.3667290000000003</v>
      </c>
      <c r="F77" s="40">
        <v>11.33436</v>
      </c>
      <c r="G77" s="40">
        <v>12.938010999999999</v>
      </c>
      <c r="H77" s="40">
        <v>-8.0412330000000001</v>
      </c>
      <c r="I77" s="40">
        <v>48.359740000000002</v>
      </c>
      <c r="J77" s="40">
        <v>18.790268000000001</v>
      </c>
      <c r="K77" s="47">
        <v>5.1525353999999997</v>
      </c>
      <c r="L77" s="47">
        <v>22.198141</v>
      </c>
      <c r="M77" s="47">
        <v>23.47343</v>
      </c>
      <c r="N77" s="47">
        <v>1.8901587</v>
      </c>
    </row>
    <row r="78" spans="1:14" x14ac:dyDescent="0.35">
      <c r="A78" s="2">
        <v>44208</v>
      </c>
      <c r="B78" s="40">
        <v>21.568811</v>
      </c>
      <c r="C78" s="40">
        <v>10.047435999999999</v>
      </c>
      <c r="D78" s="40">
        <v>9.0523830000000007</v>
      </c>
      <c r="E78" s="40">
        <v>11.564196000000001</v>
      </c>
      <c r="F78" s="40">
        <v>17.314731999999999</v>
      </c>
      <c r="G78" s="40">
        <v>14.442539</v>
      </c>
      <c r="H78" s="40">
        <v>-5.7478785999999999</v>
      </c>
      <c r="I78" s="40">
        <v>44.741866999999999</v>
      </c>
      <c r="J78" s="40">
        <v>18.503893000000001</v>
      </c>
      <c r="K78" s="47">
        <v>5.9401989999999998</v>
      </c>
      <c r="L78" s="47">
        <v>27.433167999999998</v>
      </c>
      <c r="M78" s="47">
        <v>29.409313000000001</v>
      </c>
      <c r="N78" s="47">
        <v>2.8082251999999999</v>
      </c>
    </row>
    <row r="79" spans="1:14" x14ac:dyDescent="0.35">
      <c r="A79" s="2">
        <v>44239</v>
      </c>
      <c r="B79" s="40">
        <v>15.659534000000001</v>
      </c>
      <c r="C79" s="40">
        <v>11.241198000000001</v>
      </c>
      <c r="D79" s="40">
        <v>9.8549600000000002</v>
      </c>
      <c r="E79" s="40">
        <v>13.512062999999999</v>
      </c>
      <c r="F79" s="40">
        <v>21.875525</v>
      </c>
      <c r="G79" s="40">
        <v>9.7873450000000002</v>
      </c>
      <c r="H79" s="40">
        <v>-5.7464719999999998</v>
      </c>
      <c r="I79" s="40">
        <v>44.640957</v>
      </c>
      <c r="J79" s="40">
        <v>18.580127999999998</v>
      </c>
      <c r="K79" s="47">
        <v>6.1517239999999997</v>
      </c>
      <c r="L79" s="47">
        <v>33.864044</v>
      </c>
      <c r="M79" s="47">
        <v>26.515984</v>
      </c>
      <c r="N79" s="47">
        <v>4.3434499999999998</v>
      </c>
    </row>
    <row r="80" spans="1:14" x14ac:dyDescent="0.35">
      <c r="A80" s="2">
        <v>44267</v>
      </c>
      <c r="B80" s="40">
        <v>43.169083000000001</v>
      </c>
      <c r="C80" s="40">
        <v>70.166650000000004</v>
      </c>
      <c r="D80" s="40">
        <v>73.709045000000003</v>
      </c>
      <c r="E80" s="40">
        <v>67.862785000000002</v>
      </c>
      <c r="F80" s="40">
        <v>55.725501999999999</v>
      </c>
      <c r="G80" s="40">
        <v>40.04383</v>
      </c>
      <c r="H80" s="40">
        <v>42.030290000000001</v>
      </c>
      <c r="I80" s="40">
        <v>79.173599999999993</v>
      </c>
      <c r="J80" s="40">
        <v>61.847589999999997</v>
      </c>
      <c r="K80" s="47">
        <v>63.366936000000003</v>
      </c>
      <c r="L80" s="47">
        <v>82.087159999999997</v>
      </c>
      <c r="M80" s="47">
        <v>90.48357</v>
      </c>
      <c r="N80" s="47">
        <v>72.124626000000006</v>
      </c>
    </row>
    <row r="81" spans="1:14" x14ac:dyDescent="0.35">
      <c r="A81" s="2">
        <v>44298</v>
      </c>
      <c r="B81" s="40">
        <v>36.430584000000003</v>
      </c>
      <c r="C81" s="40">
        <v>56.561816999999998</v>
      </c>
      <c r="D81" s="40">
        <v>54.466760000000001</v>
      </c>
      <c r="E81" s="40">
        <v>53.473820000000003</v>
      </c>
      <c r="F81" s="40">
        <v>39.080204000000002</v>
      </c>
      <c r="G81" s="40">
        <v>28.836573000000001</v>
      </c>
      <c r="H81" s="40">
        <v>31.563807000000001</v>
      </c>
      <c r="I81" s="40">
        <v>68.66037</v>
      </c>
      <c r="J81" s="40">
        <v>50.352730000000001</v>
      </c>
      <c r="K81" s="47">
        <v>49.467148000000002</v>
      </c>
      <c r="L81" s="47">
        <v>74.099689999999995</v>
      </c>
      <c r="M81" s="47">
        <v>76.000010000000003</v>
      </c>
      <c r="N81" s="47">
        <v>50.025368</v>
      </c>
    </row>
    <row r="82" spans="1:14" x14ac:dyDescent="0.35">
      <c r="A82" s="2">
        <v>44328</v>
      </c>
      <c r="B82" s="40">
        <v>29.982758</v>
      </c>
      <c r="C82" s="40">
        <v>61.647342999999999</v>
      </c>
      <c r="D82" s="40">
        <v>53.384875999999998</v>
      </c>
      <c r="E82" s="40">
        <v>52.542079999999999</v>
      </c>
      <c r="F82" s="40">
        <v>26.966464999999999</v>
      </c>
      <c r="G82" s="40">
        <v>26.673221999999999</v>
      </c>
      <c r="H82" s="40">
        <v>37.579856999999997</v>
      </c>
      <c r="I82" s="40">
        <v>43.556533999999999</v>
      </c>
      <c r="J82" s="40">
        <v>43.702103000000001</v>
      </c>
      <c r="K82" s="47">
        <v>58.331657</v>
      </c>
      <c r="L82" s="47">
        <v>65.820335</v>
      </c>
      <c r="M82" s="47">
        <v>71.829260000000005</v>
      </c>
      <c r="N82" s="47">
        <v>58.206715000000003</v>
      </c>
    </row>
    <row r="83" spans="1:14" x14ac:dyDescent="0.35">
      <c r="A83" s="2">
        <v>44358</v>
      </c>
      <c r="B83" s="40">
        <v>21.244323999999999</v>
      </c>
      <c r="C83" s="40">
        <v>48.581195999999998</v>
      </c>
      <c r="D83" s="40">
        <v>54.187213999999997</v>
      </c>
      <c r="E83" s="40">
        <v>40.235183999999997</v>
      </c>
      <c r="F83" s="40">
        <v>27.318107999999999</v>
      </c>
      <c r="G83" s="40">
        <v>34.390841999999999</v>
      </c>
      <c r="H83" s="40">
        <v>37.132133000000003</v>
      </c>
      <c r="I83" s="40">
        <v>46.726643000000003</v>
      </c>
      <c r="J83" s="40">
        <v>43.426940000000002</v>
      </c>
      <c r="K83" s="47">
        <v>51.161754999999999</v>
      </c>
      <c r="L83" s="47">
        <v>62.910330000000002</v>
      </c>
      <c r="M83" s="47">
        <v>68.848274000000004</v>
      </c>
      <c r="N83" s="47">
        <v>49.774909999999998</v>
      </c>
    </row>
    <row r="84" spans="1:14" x14ac:dyDescent="0.35">
      <c r="A84" s="2">
        <v>44389</v>
      </c>
      <c r="B84" s="40">
        <v>10.0793</v>
      </c>
      <c r="C84" s="40">
        <v>35.852789999999999</v>
      </c>
      <c r="D84" s="40">
        <v>44.951675000000002</v>
      </c>
      <c r="E84" s="40">
        <v>28.964054000000001</v>
      </c>
      <c r="F84" s="40">
        <v>24.403403999999998</v>
      </c>
      <c r="G84" s="40">
        <v>25.769280999999999</v>
      </c>
      <c r="H84" s="40">
        <v>31.085574999999999</v>
      </c>
      <c r="I84" s="40">
        <v>38.074565999999997</v>
      </c>
      <c r="J84" s="40">
        <v>39.689743</v>
      </c>
      <c r="K84" s="47">
        <v>38.364325999999998</v>
      </c>
      <c r="L84" s="47">
        <v>44.32</v>
      </c>
      <c r="M84" s="47">
        <v>51.275207999999999</v>
      </c>
      <c r="N84" s="47">
        <v>33.447445000000002</v>
      </c>
    </row>
    <row r="85" spans="1:14" x14ac:dyDescent="0.35">
      <c r="A85" s="2">
        <v>44420</v>
      </c>
      <c r="B85" s="40">
        <v>7.5194596999999996</v>
      </c>
      <c r="C85" s="40">
        <v>29.371918000000001</v>
      </c>
      <c r="D85" s="40">
        <v>35.390450000000001</v>
      </c>
      <c r="E85" s="40">
        <v>20.338201999999999</v>
      </c>
      <c r="F85" s="40">
        <v>19.458663999999999</v>
      </c>
      <c r="G85" s="40">
        <v>23.26765</v>
      </c>
      <c r="H85" s="40">
        <v>25.857330000000001</v>
      </c>
      <c r="I85" s="40">
        <v>35.957610000000003</v>
      </c>
      <c r="J85" s="40">
        <v>33.88785</v>
      </c>
      <c r="K85" s="47">
        <v>34.599600000000002</v>
      </c>
      <c r="L85" s="47">
        <v>43.756495999999999</v>
      </c>
      <c r="M85" s="47">
        <v>40.070354000000002</v>
      </c>
      <c r="N85" s="47">
        <v>29.744994999999999</v>
      </c>
    </row>
    <row r="86" spans="1:14" x14ac:dyDescent="0.35">
      <c r="A86" s="2">
        <v>44449</v>
      </c>
      <c r="B86" s="40">
        <v>10.965764999999999</v>
      </c>
      <c r="C86" s="40">
        <v>32.238532999999997</v>
      </c>
      <c r="D86" s="40">
        <v>36.468220000000002</v>
      </c>
      <c r="E86" s="40">
        <v>17.926407000000001</v>
      </c>
      <c r="F86" s="40">
        <v>27.390718</v>
      </c>
      <c r="G86" s="40">
        <v>20.486640000000001</v>
      </c>
      <c r="H86" s="40">
        <v>30.877030000000001</v>
      </c>
      <c r="I86" s="40">
        <v>39.063583000000001</v>
      </c>
      <c r="J86" s="40">
        <v>35.41169</v>
      </c>
      <c r="K86" s="47">
        <v>34.803783000000003</v>
      </c>
      <c r="L86" s="47">
        <v>53.066372000000001</v>
      </c>
      <c r="M86" s="47">
        <v>38.947166000000003</v>
      </c>
      <c r="N86" s="47">
        <v>29.371489</v>
      </c>
    </row>
    <row r="87" spans="1:14" x14ac:dyDescent="0.35">
      <c r="A87" s="2">
        <v>44481</v>
      </c>
      <c r="B87" s="40">
        <v>1.1005521</v>
      </c>
      <c r="C87" s="40">
        <v>25.085808</v>
      </c>
      <c r="D87" s="40">
        <v>34.092486999999998</v>
      </c>
      <c r="E87" s="40">
        <v>10.125709000000001</v>
      </c>
      <c r="F87" s="40">
        <v>14.86814</v>
      </c>
      <c r="G87" s="40">
        <v>13.24625</v>
      </c>
      <c r="H87" s="40">
        <v>27.771616000000002</v>
      </c>
      <c r="I87" s="40">
        <v>21.906399</v>
      </c>
      <c r="J87" s="40">
        <v>24.78267</v>
      </c>
      <c r="K87" s="47">
        <v>29.703866999999999</v>
      </c>
      <c r="L87" s="47">
        <v>33.683439999999997</v>
      </c>
      <c r="M87" s="47">
        <v>26.297115000000002</v>
      </c>
      <c r="N87" s="47">
        <v>29.085277999999999</v>
      </c>
    </row>
    <row r="88" spans="1:14" x14ac:dyDescent="0.35">
      <c r="A88" s="2">
        <v>44512</v>
      </c>
      <c r="B88" s="40">
        <v>-2.6449262999999998</v>
      </c>
      <c r="C88" s="40">
        <v>21.668983000000001</v>
      </c>
      <c r="D88" s="40">
        <v>42.233530000000002</v>
      </c>
      <c r="E88" s="40">
        <v>19.154060000000001</v>
      </c>
      <c r="F88" s="40">
        <v>13.411784000000001</v>
      </c>
      <c r="G88" s="40">
        <v>22.994923</v>
      </c>
      <c r="H88" s="40">
        <v>23.624956000000001</v>
      </c>
      <c r="I88" s="40">
        <v>37.590800000000002</v>
      </c>
      <c r="J88" s="40">
        <v>34.169186000000003</v>
      </c>
      <c r="K88" s="47">
        <v>30.474340000000002</v>
      </c>
      <c r="L88" s="47">
        <v>41.180169999999997</v>
      </c>
      <c r="M88" s="47">
        <v>32.460680000000004</v>
      </c>
      <c r="N88" s="47">
        <v>29.993068999999998</v>
      </c>
    </row>
    <row r="89" spans="1:14" x14ac:dyDescent="0.35">
      <c r="A89" s="2">
        <v>44540</v>
      </c>
      <c r="B89" s="40">
        <v>-10.822701</v>
      </c>
      <c r="C89" s="40">
        <v>8.1683400000000006</v>
      </c>
      <c r="D89" s="40">
        <v>22.643148</v>
      </c>
      <c r="E89" s="40">
        <v>7.7617526000000003</v>
      </c>
      <c r="F89" s="40">
        <v>5.1548360000000004</v>
      </c>
      <c r="G89" s="40">
        <v>20.056056999999999</v>
      </c>
      <c r="H89" s="40">
        <v>14.490890500000001</v>
      </c>
      <c r="I89" s="40">
        <v>32.268810000000002</v>
      </c>
      <c r="J89" s="40">
        <v>30.182456999999999</v>
      </c>
      <c r="K89" s="47">
        <v>19.113613000000001</v>
      </c>
      <c r="L89" s="47">
        <v>23.570309999999999</v>
      </c>
      <c r="M89" s="47">
        <v>20.441675</v>
      </c>
      <c r="N89" s="47">
        <v>13.712776</v>
      </c>
    </row>
    <row r="90" spans="1:14" x14ac:dyDescent="0.35">
      <c r="A90" s="2">
        <v>44573</v>
      </c>
      <c r="B90" s="40">
        <v>-12.81063</v>
      </c>
      <c r="C90" s="40">
        <v>6.7999004999999997</v>
      </c>
      <c r="D90" s="40">
        <v>25.359022</v>
      </c>
      <c r="E90" s="40">
        <v>5.9297800000000001</v>
      </c>
      <c r="F90" s="40">
        <v>0.57741403999999996</v>
      </c>
      <c r="G90" s="40">
        <v>15.756798</v>
      </c>
      <c r="H90" s="40">
        <v>16.877483000000002</v>
      </c>
      <c r="I90" s="40">
        <v>23.986350999999999</v>
      </c>
      <c r="J90" s="40">
        <v>26.028739999999999</v>
      </c>
      <c r="K90" s="47">
        <v>21.268929</v>
      </c>
      <c r="L90" s="47">
        <v>17.615604000000001</v>
      </c>
      <c r="M90" s="47">
        <v>17.180655999999999</v>
      </c>
      <c r="N90" s="47">
        <v>15.831828</v>
      </c>
    </row>
    <row r="91" spans="1:14" x14ac:dyDescent="0.35">
      <c r="A91" s="2">
        <v>44603</v>
      </c>
      <c r="B91" s="40">
        <v>-17.338526000000002</v>
      </c>
      <c r="C91" s="40">
        <v>-0.93997120000000001</v>
      </c>
      <c r="D91" s="40">
        <v>20.722507</v>
      </c>
      <c r="E91" s="40">
        <v>-1.5378892</v>
      </c>
      <c r="F91" s="40">
        <v>-8.1916274999999992</v>
      </c>
      <c r="G91" s="40">
        <v>9.1832049999999992</v>
      </c>
      <c r="H91" s="40">
        <v>19.584667</v>
      </c>
      <c r="I91" s="40">
        <v>4.2302730000000004</v>
      </c>
      <c r="J91" s="40">
        <v>14.250398000000001</v>
      </c>
      <c r="K91" s="47">
        <v>14.217067</v>
      </c>
      <c r="L91" s="47">
        <v>8.0871579999999998E-2</v>
      </c>
      <c r="M91" s="47">
        <v>1.3579129999999999</v>
      </c>
      <c r="N91" s="47">
        <v>7.3375583000000004</v>
      </c>
    </row>
    <row r="92" spans="1:14" x14ac:dyDescent="0.35">
      <c r="A92" s="2">
        <v>44631</v>
      </c>
      <c r="B92" s="40">
        <v>-13.08403</v>
      </c>
      <c r="C92" s="40">
        <v>1.7098308</v>
      </c>
      <c r="D92" s="40">
        <v>14.490461</v>
      </c>
      <c r="E92" s="40">
        <v>-17.671728000000002</v>
      </c>
      <c r="F92" s="40">
        <v>-12.180096000000001</v>
      </c>
      <c r="G92" s="40">
        <v>4.0564774999999997</v>
      </c>
      <c r="H92" s="40">
        <v>3.9938807000000001</v>
      </c>
      <c r="I92" s="40">
        <v>2.491641</v>
      </c>
      <c r="J92" s="40">
        <v>8.1806549999999998</v>
      </c>
      <c r="K92" s="47">
        <v>-4.5960546000000004</v>
      </c>
      <c r="L92" s="47">
        <v>-14.104062000000001</v>
      </c>
      <c r="M92" s="47">
        <v>-15.792446999999999</v>
      </c>
      <c r="N92" s="47">
        <v>-12.605100999999999</v>
      </c>
    </row>
    <row r="93" spans="1:14" x14ac:dyDescent="0.35">
      <c r="A93" s="2">
        <v>44663</v>
      </c>
      <c r="B93" s="40">
        <v>-11.976129</v>
      </c>
      <c r="C93" s="40">
        <v>8.8894369999999991</v>
      </c>
      <c r="D93" s="40">
        <v>14.894569000000001</v>
      </c>
      <c r="E93" s="40">
        <v>-19.682079999999999</v>
      </c>
      <c r="F93" s="40">
        <v>-14.896178000000001</v>
      </c>
      <c r="G93" s="40">
        <v>9.244097</v>
      </c>
      <c r="H93" s="40">
        <v>9.8734380000000002</v>
      </c>
      <c r="I93" s="40">
        <v>1.3119578000000001</v>
      </c>
      <c r="J93" s="40">
        <v>7.8846809999999996</v>
      </c>
      <c r="K93" s="47">
        <v>-2.0541369999999999</v>
      </c>
      <c r="L93" s="47">
        <v>-14.860277999999999</v>
      </c>
      <c r="M93" s="47">
        <v>-12.834549000000001</v>
      </c>
      <c r="N93" s="47">
        <v>-6.7429839999999999</v>
      </c>
    </row>
    <row r="94" spans="1:14" x14ac:dyDescent="0.35">
      <c r="A94" s="2">
        <v>44693</v>
      </c>
      <c r="B94" s="40">
        <v>-25.972075</v>
      </c>
      <c r="C94" s="40">
        <v>-8.3385470000000002</v>
      </c>
      <c r="D94" s="40">
        <v>-1.8526673</v>
      </c>
      <c r="E94" s="40">
        <v>-25.109577000000002</v>
      </c>
      <c r="F94" s="40">
        <v>-13.918609</v>
      </c>
      <c r="G94" s="40">
        <v>-5.0673427999999996</v>
      </c>
      <c r="H94" s="40">
        <v>-4.1372957000000001</v>
      </c>
      <c r="I94" s="40">
        <v>-7.6796236000000002</v>
      </c>
      <c r="J94" s="40">
        <v>-1.9417882</v>
      </c>
      <c r="K94" s="47">
        <v>-12.05315</v>
      </c>
      <c r="L94" s="47">
        <v>-22.276741000000001</v>
      </c>
      <c r="M94" s="47">
        <v>-24.052244000000002</v>
      </c>
      <c r="N94" s="47">
        <v>-15.357965</v>
      </c>
    </row>
    <row r="95" spans="1:14" x14ac:dyDescent="0.35">
      <c r="A95" s="2">
        <v>44722</v>
      </c>
      <c r="B95" s="40">
        <v>-24.374669999999998</v>
      </c>
      <c r="C95" s="40">
        <v>-11.347616</v>
      </c>
      <c r="D95" s="40">
        <v>-2.3698807</v>
      </c>
      <c r="E95" s="40">
        <v>-27.290289999999999</v>
      </c>
      <c r="F95" s="40">
        <v>-18.492858999999999</v>
      </c>
      <c r="G95" s="40">
        <v>-15.384740000000001</v>
      </c>
      <c r="H95" s="40">
        <v>-3.6018848000000001</v>
      </c>
      <c r="I95" s="40">
        <v>-14.725161</v>
      </c>
      <c r="J95" s="40">
        <v>-6.7623195999999997</v>
      </c>
      <c r="K95" s="47">
        <v>-14.872372</v>
      </c>
      <c r="L95" s="47">
        <v>-25.249928000000001</v>
      </c>
      <c r="M95" s="47">
        <v>-26.689630000000001</v>
      </c>
      <c r="N95" s="47">
        <v>-21.457280000000001</v>
      </c>
    </row>
    <row r="96" spans="1:14" x14ac:dyDescent="0.35">
      <c r="A96" s="2">
        <v>44754</v>
      </c>
      <c r="B96" s="40">
        <v>-25.876719000000001</v>
      </c>
      <c r="C96" s="40">
        <v>-14.504141000000001</v>
      </c>
      <c r="D96" s="40">
        <v>-9.5937490000000007</v>
      </c>
      <c r="E96" s="40">
        <v>-35.165374999999997</v>
      </c>
      <c r="F96" s="40">
        <v>-20.96848</v>
      </c>
      <c r="G96" s="40">
        <v>-15.271414</v>
      </c>
      <c r="H96" s="40">
        <v>-8.0623039999999992</v>
      </c>
      <c r="I96" s="40">
        <v>-20.581543</v>
      </c>
      <c r="J96" s="40">
        <v>-11.627715999999999</v>
      </c>
      <c r="K96" s="47">
        <v>-18.933947</v>
      </c>
      <c r="L96" s="47">
        <v>-29.344439999999999</v>
      </c>
      <c r="M96" s="47">
        <v>-31.460238</v>
      </c>
      <c r="N96" s="47">
        <v>-26.033276000000001</v>
      </c>
    </row>
    <row r="97" spans="1:14" x14ac:dyDescent="0.35">
      <c r="A97" s="2">
        <v>44785</v>
      </c>
      <c r="B97" s="40">
        <v>-15.405637</v>
      </c>
      <c r="C97" s="40">
        <v>-5.8802547000000001</v>
      </c>
      <c r="D97" s="40">
        <v>-1.980567</v>
      </c>
      <c r="E97" s="40">
        <v>-28.266483000000001</v>
      </c>
      <c r="F97" s="40">
        <v>-14.726644500000001</v>
      </c>
      <c r="G97" s="40">
        <v>-11.146397</v>
      </c>
      <c r="H97" s="40">
        <v>-2.4426280999999999</v>
      </c>
      <c r="I97" s="40">
        <v>-9.6064570000000007</v>
      </c>
      <c r="J97" s="40">
        <v>-2.6786447</v>
      </c>
      <c r="K97" s="47">
        <v>-12.212217000000001</v>
      </c>
      <c r="L97" s="47">
        <v>-23.105484000000001</v>
      </c>
      <c r="M97" s="47">
        <v>-26.184887</v>
      </c>
      <c r="N97" s="47">
        <v>-21.155035000000002</v>
      </c>
    </row>
    <row r="98" spans="1:14" x14ac:dyDescent="0.35">
      <c r="A98" s="2">
        <v>44816</v>
      </c>
      <c r="B98" s="40">
        <v>-22.11082</v>
      </c>
      <c r="C98" s="40">
        <v>-6.3190039999999996</v>
      </c>
      <c r="D98" s="40">
        <v>-3.04752</v>
      </c>
      <c r="E98" s="40">
        <v>-30.486357000000002</v>
      </c>
      <c r="F98" s="40">
        <v>-25.393229999999999</v>
      </c>
      <c r="G98" s="40">
        <v>-13.020944999999999</v>
      </c>
      <c r="H98" s="40">
        <v>-4.7570467000000001</v>
      </c>
      <c r="I98" s="40">
        <v>-17.027979999999999</v>
      </c>
      <c r="J98" s="40">
        <v>-6.4235030000000002</v>
      </c>
      <c r="K98" s="47">
        <v>-15.455037000000001</v>
      </c>
      <c r="L98" s="47">
        <v>-31.541746</v>
      </c>
      <c r="M98" s="47">
        <v>-29.25431</v>
      </c>
      <c r="N98" s="47">
        <v>-20.869</v>
      </c>
    </row>
    <row r="99" spans="1:14" x14ac:dyDescent="0.35">
      <c r="A99" s="2">
        <v>44846</v>
      </c>
      <c r="B99" s="40">
        <v>-32.64808</v>
      </c>
      <c r="C99" s="40">
        <v>-18.127901000000001</v>
      </c>
      <c r="D99" s="40">
        <v>-17.954922</v>
      </c>
      <c r="E99" s="40">
        <v>-36.912567000000003</v>
      </c>
      <c r="F99" s="40">
        <v>-26.358080000000001</v>
      </c>
      <c r="G99" s="40">
        <v>-20.374065000000002</v>
      </c>
      <c r="H99" s="40">
        <v>-17.230765999999999</v>
      </c>
      <c r="I99" s="40">
        <v>-25.998491000000001</v>
      </c>
      <c r="J99" s="40">
        <v>-16.524159999999998</v>
      </c>
      <c r="K99" s="47">
        <v>-23.426998000000001</v>
      </c>
      <c r="L99" s="47">
        <v>-37.997672999999999</v>
      </c>
      <c r="M99" s="47">
        <v>-37.174624999999999</v>
      </c>
      <c r="N99" s="47">
        <v>-30.655563000000001</v>
      </c>
    </row>
    <row r="100" spans="1:14" x14ac:dyDescent="0.35">
      <c r="A100" s="2">
        <v>44876</v>
      </c>
      <c r="B100" s="40">
        <v>-24.119658000000001</v>
      </c>
      <c r="C100" s="40">
        <v>-5.5944976999999998</v>
      </c>
      <c r="D100" s="40">
        <v>-9.3813060000000004</v>
      </c>
      <c r="E100" s="40">
        <v>-24.239391000000001</v>
      </c>
      <c r="F100" s="40">
        <v>-18.624656999999999</v>
      </c>
      <c r="G100" s="40">
        <v>-12.918925</v>
      </c>
      <c r="H100" s="40">
        <v>-6.810397</v>
      </c>
      <c r="I100" s="40">
        <v>-25.818407000000001</v>
      </c>
      <c r="J100" s="40">
        <v>-12.768345999999999</v>
      </c>
      <c r="K100" s="47">
        <v>-12.714994000000001</v>
      </c>
      <c r="L100" s="47">
        <v>-26.896626000000001</v>
      </c>
      <c r="M100" s="47">
        <v>-25.260179999999998</v>
      </c>
      <c r="N100" s="47">
        <v>-15.555531</v>
      </c>
    </row>
    <row r="101" spans="1:14" x14ac:dyDescent="0.35">
      <c r="A101" s="2">
        <v>44907</v>
      </c>
      <c r="B101" s="40">
        <v>-14.131880000000001</v>
      </c>
      <c r="C101" s="40">
        <v>-1.5699208</v>
      </c>
      <c r="D101" s="40">
        <v>-8.7377660000000006</v>
      </c>
      <c r="E101" s="40">
        <v>-19.530159000000001</v>
      </c>
      <c r="F101" s="40">
        <v>-17.388165000000001</v>
      </c>
      <c r="G101" s="40">
        <v>-14.727461</v>
      </c>
      <c r="H101" s="40">
        <v>-0.2349019</v>
      </c>
      <c r="I101" s="40">
        <v>-27.803039999999999</v>
      </c>
      <c r="J101" s="40">
        <v>-13.965058000000001</v>
      </c>
      <c r="K101" s="47">
        <v>-8.2780070000000006</v>
      </c>
      <c r="L101" s="47">
        <v>-19.183015999999999</v>
      </c>
      <c r="M101" s="47">
        <v>-22.081434000000002</v>
      </c>
      <c r="N101" s="47">
        <v>-11.249388</v>
      </c>
    </row>
    <row r="102" spans="1:14" x14ac:dyDescent="0.35">
      <c r="A102" s="2">
        <v>44938</v>
      </c>
      <c r="B102" s="40">
        <v>-13.089264</v>
      </c>
      <c r="C102" s="40">
        <v>0.35226344999999998</v>
      </c>
      <c r="D102" s="40">
        <v>-9.8880590000000002</v>
      </c>
      <c r="E102" s="40">
        <v>-14.538109</v>
      </c>
      <c r="F102" s="40">
        <v>-15.855408000000001</v>
      </c>
      <c r="G102" s="40">
        <v>-12.2181</v>
      </c>
      <c r="H102" s="40">
        <v>-3.1058788000000002</v>
      </c>
      <c r="I102" s="40">
        <v>-27.42998</v>
      </c>
      <c r="J102" s="40">
        <v>-14.352226</v>
      </c>
      <c r="K102" s="47">
        <v>-5.8001575000000001</v>
      </c>
      <c r="L102" s="47">
        <v>-14.403915</v>
      </c>
      <c r="M102" s="47">
        <v>-20.975142999999999</v>
      </c>
      <c r="N102" s="47">
        <v>-8.1754265000000004</v>
      </c>
    </row>
    <row r="103" spans="1:14" x14ac:dyDescent="0.35">
      <c r="A103" s="2">
        <v>44967</v>
      </c>
      <c r="B103" s="40">
        <v>-4.3887080000000003</v>
      </c>
      <c r="C103" s="40">
        <v>6.3409209999999998</v>
      </c>
      <c r="D103" s="40">
        <v>-6.7945840000000004</v>
      </c>
      <c r="E103" s="40">
        <v>-11.199135</v>
      </c>
      <c r="F103" s="40">
        <v>-8.7794249999999998</v>
      </c>
      <c r="G103" s="40">
        <v>-7.6659439999999996</v>
      </c>
      <c r="H103" s="40">
        <v>-3.357774</v>
      </c>
      <c r="I103" s="40">
        <v>-15.771079</v>
      </c>
      <c r="J103" s="40">
        <v>-7.7097774000000001</v>
      </c>
      <c r="K103" s="47">
        <v>-2.3639559999999999</v>
      </c>
      <c r="L103" s="47">
        <v>-8.7666690000000003</v>
      </c>
      <c r="M103" s="47">
        <v>-13.809562</v>
      </c>
      <c r="N103" s="47">
        <v>-3.7998080000000001</v>
      </c>
    </row>
    <row r="104" spans="1:14" x14ac:dyDescent="0.35">
      <c r="A104" s="2">
        <v>44995</v>
      </c>
      <c r="B104" s="40">
        <v>-11.30147</v>
      </c>
      <c r="C104" s="40">
        <v>-5.0464989999999998</v>
      </c>
      <c r="D104" s="40">
        <v>-13.22946</v>
      </c>
      <c r="E104" s="40">
        <v>5.0114869999999998</v>
      </c>
      <c r="F104" s="40">
        <v>-3.4236789000000001</v>
      </c>
      <c r="G104" s="40">
        <v>-4.4069586000000003</v>
      </c>
      <c r="H104" s="40">
        <v>2.903378</v>
      </c>
      <c r="I104" s="40">
        <v>-12.2559185</v>
      </c>
      <c r="J104" s="40">
        <v>-7.8244866999999996</v>
      </c>
      <c r="K104" s="47">
        <v>13.574446</v>
      </c>
      <c r="L104" s="47">
        <v>3.4733295000000002</v>
      </c>
      <c r="M104" s="47">
        <v>-3.9682029999999999</v>
      </c>
      <c r="N104" s="47">
        <v>13.878655</v>
      </c>
    </row>
    <row r="105" spans="1:14" x14ac:dyDescent="0.35">
      <c r="A105" s="2">
        <v>45028</v>
      </c>
      <c r="B105" s="40">
        <v>-5.6408699999999996</v>
      </c>
      <c r="C105" s="40">
        <v>-6.7345560000000004</v>
      </c>
      <c r="D105" s="40">
        <v>-9.1234450000000002</v>
      </c>
      <c r="E105" s="40">
        <v>9.8340990000000001</v>
      </c>
      <c r="F105" s="40">
        <v>1.7987846999999999</v>
      </c>
      <c r="G105" s="40">
        <v>-3.2986759999999999</v>
      </c>
      <c r="H105" s="40">
        <v>2.6536702999999999</v>
      </c>
      <c r="I105" s="40">
        <v>-7.0744990000000003</v>
      </c>
      <c r="J105" s="40">
        <v>-5.3104519999999997</v>
      </c>
      <c r="K105" s="47">
        <v>18.16367</v>
      </c>
      <c r="L105" s="47">
        <v>7.0530056999999999</v>
      </c>
      <c r="M105" s="47">
        <v>-3.1150042999999998</v>
      </c>
      <c r="N105" s="47">
        <v>14.586496</v>
      </c>
    </row>
    <row r="106" spans="1:14" x14ac:dyDescent="0.35">
      <c r="A106" s="2">
        <v>45058</v>
      </c>
      <c r="B106" s="40">
        <v>10.867749999999999</v>
      </c>
      <c r="C106" s="40">
        <v>5.5680750000000003</v>
      </c>
      <c r="D106" s="40">
        <v>1.9789934</v>
      </c>
      <c r="E106" s="40">
        <v>18.534051999999999</v>
      </c>
      <c r="F106" s="40">
        <v>10.409665</v>
      </c>
      <c r="G106" s="40">
        <v>14.762676000000001</v>
      </c>
      <c r="H106" s="40">
        <v>12.356339999999999</v>
      </c>
      <c r="I106" s="40">
        <v>12.49094</v>
      </c>
      <c r="J106" s="40">
        <v>6.6970587000000004</v>
      </c>
      <c r="K106" s="47">
        <v>27.204704</v>
      </c>
      <c r="L106" s="47">
        <v>18.641317000000001</v>
      </c>
      <c r="M106" s="47">
        <v>11.43111</v>
      </c>
      <c r="N106" s="47">
        <v>24.116527999999999</v>
      </c>
    </row>
    <row r="107" spans="1:14" x14ac:dyDescent="0.35">
      <c r="A107" s="2">
        <v>45089</v>
      </c>
      <c r="B107" s="40">
        <v>5.8245779999999998</v>
      </c>
      <c r="C107" s="40">
        <v>4.1121483000000003</v>
      </c>
      <c r="D107" s="40">
        <v>-3.4835398</v>
      </c>
      <c r="E107" s="40">
        <v>16.481708999999999</v>
      </c>
      <c r="F107" s="40">
        <v>15.335178000000001</v>
      </c>
      <c r="G107" s="40">
        <v>13.655222</v>
      </c>
      <c r="H107" s="40">
        <v>7.2541237000000001</v>
      </c>
      <c r="I107" s="40">
        <v>25.761234000000002</v>
      </c>
      <c r="J107" s="40">
        <v>13.187360999999999</v>
      </c>
      <c r="K107" s="47">
        <v>21.945167999999999</v>
      </c>
      <c r="L107" s="47">
        <v>17.991268000000002</v>
      </c>
      <c r="M107" s="47">
        <v>6.6632986000000001</v>
      </c>
      <c r="N107" s="47">
        <v>25.402487000000001</v>
      </c>
    </row>
    <row r="108" spans="1:14" x14ac:dyDescent="0.35">
      <c r="A108" s="2">
        <v>45119</v>
      </c>
      <c r="B108" s="40">
        <v>13.736485999999999</v>
      </c>
      <c r="C108" s="40">
        <v>13.698124999999999</v>
      </c>
      <c r="D108" s="40">
        <v>8.5099699999999991</v>
      </c>
      <c r="E108" s="40">
        <v>35.429966</v>
      </c>
      <c r="F108" s="40">
        <v>18.522537</v>
      </c>
      <c r="G108" s="40">
        <v>15.642727000000001</v>
      </c>
      <c r="H108" s="40">
        <v>15.066791</v>
      </c>
      <c r="I108" s="40">
        <v>31.178235999999998</v>
      </c>
      <c r="J108" s="40">
        <v>19.047892000000001</v>
      </c>
      <c r="K108" s="47">
        <v>37.357500000000002</v>
      </c>
      <c r="L108" s="47">
        <v>32.793736000000003</v>
      </c>
      <c r="M108" s="47">
        <v>18.488894999999999</v>
      </c>
      <c r="N108" s="47">
        <v>47.381770000000003</v>
      </c>
    </row>
    <row r="109" spans="1:14" x14ac:dyDescent="0.35">
      <c r="A109" s="2">
        <v>45149</v>
      </c>
      <c r="B109" s="40">
        <v>-3.9346158999999998</v>
      </c>
      <c r="C109" s="40">
        <v>0.22882222999999999</v>
      </c>
      <c r="D109" s="40">
        <v>-0.17054676999999999</v>
      </c>
      <c r="E109" s="40">
        <v>20.431746</v>
      </c>
      <c r="F109" s="40">
        <v>10.038399999999999</v>
      </c>
      <c r="G109" s="40">
        <v>8.5724944999999995</v>
      </c>
      <c r="H109" s="40">
        <v>8.1256029999999999</v>
      </c>
      <c r="I109" s="40">
        <v>13.81681</v>
      </c>
      <c r="J109" s="40">
        <v>7.8582882999999999</v>
      </c>
      <c r="K109" s="47">
        <v>20.992172</v>
      </c>
      <c r="L109" s="47">
        <v>14.380062000000001</v>
      </c>
      <c r="M109" s="47">
        <v>0.98692179999999996</v>
      </c>
      <c r="N109" s="47">
        <v>31.808674</v>
      </c>
    </row>
    <row r="110" spans="1:14" x14ac:dyDescent="0.35">
      <c r="A110" s="2">
        <v>45181</v>
      </c>
      <c r="B110" s="40">
        <v>-7.0425152999999998</v>
      </c>
      <c r="C110" s="40">
        <v>1.0768175</v>
      </c>
      <c r="D110" s="40">
        <v>-0.12193321999999999</v>
      </c>
      <c r="E110" s="40">
        <v>21.329939</v>
      </c>
      <c r="F110" s="40">
        <v>18.457996000000001</v>
      </c>
      <c r="G110" s="40">
        <v>9.7251049999999992</v>
      </c>
      <c r="H110" s="40">
        <v>11.141181</v>
      </c>
      <c r="I110" s="40">
        <v>20.825886000000001</v>
      </c>
      <c r="J110" s="40">
        <v>10.309659999999999</v>
      </c>
      <c r="K110" s="47">
        <v>22.447227000000002</v>
      </c>
      <c r="L110" s="47">
        <v>13.136339</v>
      </c>
      <c r="M110" s="47">
        <v>3.8026689999999999</v>
      </c>
      <c r="N110" s="47">
        <v>33.980392000000002</v>
      </c>
    </row>
    <row r="111" spans="1:14" x14ac:dyDescent="0.35">
      <c r="A111" s="2">
        <v>45211</v>
      </c>
      <c r="B111" s="40">
        <v>10.197854</v>
      </c>
      <c r="C111" s="40">
        <v>12.251317999999999</v>
      </c>
      <c r="D111" s="40">
        <v>12.142670000000001</v>
      </c>
      <c r="E111" s="40">
        <v>35.859775999999997</v>
      </c>
      <c r="F111" s="40">
        <v>24.930119000000001</v>
      </c>
      <c r="G111" s="40">
        <v>21.857357</v>
      </c>
      <c r="H111" s="40">
        <v>26.787970999999999</v>
      </c>
      <c r="I111" s="40">
        <v>41.798748000000003</v>
      </c>
      <c r="J111" s="40">
        <v>23.557424999999999</v>
      </c>
      <c r="K111" s="47">
        <v>33.491959999999999</v>
      </c>
      <c r="L111" s="47">
        <v>30.245995000000001</v>
      </c>
      <c r="M111" s="47">
        <v>26.92088</v>
      </c>
      <c r="N111" s="47">
        <v>47.943150000000003</v>
      </c>
    </row>
    <row r="112" spans="1:14" x14ac:dyDescent="0.35">
      <c r="A112" s="2">
        <v>45240</v>
      </c>
      <c r="B112" s="40">
        <v>-1.2876570000000001</v>
      </c>
      <c r="C112" s="40">
        <v>-0.62798259999999995</v>
      </c>
      <c r="D112" s="40">
        <v>-1.6509354000000001</v>
      </c>
      <c r="E112" s="40">
        <v>12.240290999999999</v>
      </c>
      <c r="F112" s="40">
        <v>13.295436</v>
      </c>
      <c r="G112" s="40">
        <v>4.7749160000000002</v>
      </c>
      <c r="H112" s="40">
        <v>7.8094599999999996</v>
      </c>
      <c r="I112" s="40">
        <v>34.736072999999998</v>
      </c>
      <c r="J112" s="40">
        <v>13.409720999999999</v>
      </c>
      <c r="K112" s="47">
        <v>13.845646</v>
      </c>
      <c r="L112" s="47">
        <v>11.475682000000001</v>
      </c>
      <c r="M112" s="47">
        <v>0.26730300000000001</v>
      </c>
      <c r="N112" s="47">
        <v>21.054659999999998</v>
      </c>
    </row>
    <row r="113" spans="1:14" x14ac:dyDescent="0.35">
      <c r="A113" s="2">
        <v>45272</v>
      </c>
      <c r="B113" s="40">
        <v>-4.6658397000000003</v>
      </c>
      <c r="C113" s="40">
        <v>2.2231101999999998</v>
      </c>
      <c r="D113" s="40">
        <v>5.2272676999999996</v>
      </c>
      <c r="E113" s="40">
        <v>18.264531999999999</v>
      </c>
      <c r="F113" s="40">
        <v>15.178704</v>
      </c>
      <c r="G113" s="40">
        <v>10.888731</v>
      </c>
      <c r="H113" s="40">
        <v>7.0131062999999996</v>
      </c>
      <c r="I113" s="40">
        <v>40.550579999999997</v>
      </c>
      <c r="J113" s="40">
        <v>18.180311</v>
      </c>
      <c r="K113" s="47">
        <v>16.711748</v>
      </c>
      <c r="L113" s="47">
        <v>12.938297</v>
      </c>
      <c r="M113" s="47">
        <v>11.930382</v>
      </c>
      <c r="N113" s="47">
        <v>25.838398000000002</v>
      </c>
    </row>
    <row r="114" spans="1:14" x14ac:dyDescent="0.35">
      <c r="A114" s="2">
        <v>45303</v>
      </c>
      <c r="B114" s="40">
        <v>-0.21501780000000001</v>
      </c>
      <c r="C114" s="40">
        <v>3.4658074000000001</v>
      </c>
      <c r="D114" s="40">
        <v>7.1401477</v>
      </c>
      <c r="E114" s="40">
        <v>8.116377</v>
      </c>
      <c r="F114" s="40">
        <v>20.010470999999999</v>
      </c>
      <c r="G114" s="40">
        <v>10.134708</v>
      </c>
      <c r="H114" s="40">
        <v>5.5459259999999997</v>
      </c>
      <c r="I114" s="40">
        <v>47.780642999999998</v>
      </c>
      <c r="J114" s="40">
        <v>21.921026000000001</v>
      </c>
      <c r="K114" s="47">
        <v>9.0046289999999996</v>
      </c>
      <c r="L114" s="47">
        <v>6.6300153999999996</v>
      </c>
      <c r="M114" s="47">
        <v>9.4204310000000007</v>
      </c>
      <c r="N114" s="47">
        <v>18.622185000000002</v>
      </c>
    </row>
    <row r="115" spans="1:14" x14ac:dyDescent="0.35">
      <c r="A115" s="2">
        <v>45334</v>
      </c>
      <c r="B115" s="40">
        <v>-7.9795957</v>
      </c>
      <c r="C115" s="40">
        <v>1.6661524999999999</v>
      </c>
      <c r="D115" s="40">
        <v>5.1591395999999996</v>
      </c>
      <c r="E115" s="40">
        <v>8.5603829999999999</v>
      </c>
      <c r="F115" s="40">
        <v>17.676186000000001</v>
      </c>
      <c r="G115" s="40">
        <v>7.3422074000000004</v>
      </c>
      <c r="H115" s="40">
        <v>3.7417292999999998</v>
      </c>
      <c r="I115" s="40">
        <v>46.259425999999998</v>
      </c>
      <c r="J115" s="40">
        <v>24.65682</v>
      </c>
      <c r="K115" s="47">
        <v>9.6843605000000004</v>
      </c>
      <c r="L115" s="47">
        <v>15.528143</v>
      </c>
      <c r="M115" s="47">
        <v>11.414253</v>
      </c>
      <c r="N115" s="47">
        <v>16.765975999999998</v>
      </c>
    </row>
    <row r="116" spans="1:14" x14ac:dyDescent="0.35">
      <c r="A116" s="2">
        <v>45363</v>
      </c>
      <c r="B116" s="40">
        <v>-1.1014520999999999</v>
      </c>
      <c r="C116" s="40">
        <v>14.084614</v>
      </c>
      <c r="D116" s="40">
        <v>17.808686999999999</v>
      </c>
      <c r="E116" s="40">
        <v>18.258058999999999</v>
      </c>
      <c r="F116" s="40">
        <v>25.867165</v>
      </c>
      <c r="G116" s="40">
        <v>16.275288</v>
      </c>
      <c r="H116" s="40">
        <v>11.127530999999999</v>
      </c>
      <c r="I116" s="40">
        <v>54.814373000000003</v>
      </c>
      <c r="J116" s="40">
        <v>35.962176999999997</v>
      </c>
      <c r="K116" s="47">
        <v>17.748272</v>
      </c>
      <c r="L116" s="47">
        <v>25.759388000000001</v>
      </c>
      <c r="M116" s="47">
        <v>26.443172000000001</v>
      </c>
      <c r="N116" s="47">
        <v>29.717874999999999</v>
      </c>
    </row>
    <row r="117" spans="1:14" x14ac:dyDescent="0.35">
      <c r="A117" s="2">
        <v>45394</v>
      </c>
      <c r="B117" s="40">
        <v>-7.3499974999999997</v>
      </c>
      <c r="C117" s="40">
        <v>6.3023210000000001</v>
      </c>
      <c r="D117" s="40">
        <v>8.5860970000000005</v>
      </c>
      <c r="E117" s="40">
        <v>7.8496100000000002</v>
      </c>
      <c r="F117" s="40">
        <v>21.453094</v>
      </c>
      <c r="G117" s="40">
        <v>-0.29313563999999998</v>
      </c>
      <c r="H117" s="40">
        <v>5.162668</v>
      </c>
      <c r="I117" s="40">
        <v>40.936374999999998</v>
      </c>
      <c r="J117" s="40">
        <v>27.016698999999999</v>
      </c>
      <c r="K117" s="47">
        <v>4.9145219999999998</v>
      </c>
      <c r="L117" s="47">
        <v>16.752863000000001</v>
      </c>
      <c r="M117" s="47">
        <v>10.763062</v>
      </c>
      <c r="N117" s="47">
        <v>18.468368999999999</v>
      </c>
    </row>
    <row r="118" spans="1:14" x14ac:dyDescent="0.35">
      <c r="A118" s="2">
        <v>45422</v>
      </c>
      <c r="B118" s="40">
        <v>-8.6578429999999997</v>
      </c>
      <c r="C118" s="40">
        <v>9.5379470000000008</v>
      </c>
      <c r="D118" s="40">
        <v>10.58414</v>
      </c>
      <c r="E118" s="40">
        <v>13.198757000000001</v>
      </c>
      <c r="F118" s="40">
        <v>16.160381000000001</v>
      </c>
      <c r="G118" s="40">
        <v>1.3360023000000001</v>
      </c>
      <c r="H118" s="40">
        <v>12.204254000000001</v>
      </c>
      <c r="I118" s="40">
        <v>36.864863999999997</v>
      </c>
      <c r="J118" s="40">
        <v>27.994955000000001</v>
      </c>
      <c r="K118" s="47">
        <v>10.930788</v>
      </c>
      <c r="L118" s="47">
        <v>23.071515999999999</v>
      </c>
      <c r="M118" s="47">
        <v>15.536189</v>
      </c>
      <c r="N118" s="47">
        <v>25.381983000000002</v>
      </c>
    </row>
    <row r="119" spans="1:14" x14ac:dyDescent="0.35">
      <c r="A119" s="2">
        <v>45455</v>
      </c>
      <c r="B119" s="40">
        <v>-3.0070543000000002E-2</v>
      </c>
      <c r="C119" s="40">
        <v>13.08676</v>
      </c>
      <c r="D119" s="40">
        <v>11.288952999999999</v>
      </c>
      <c r="E119" s="40">
        <v>14.161180999999999</v>
      </c>
      <c r="F119" s="40">
        <v>11.599231</v>
      </c>
      <c r="G119" s="40">
        <v>9.5116499999999995</v>
      </c>
      <c r="H119" s="40">
        <v>15.286851</v>
      </c>
      <c r="I119" s="40">
        <v>32.404803999999999</v>
      </c>
      <c r="J119" s="40">
        <v>26.612746999999999</v>
      </c>
      <c r="K119" s="47">
        <v>10.381508</v>
      </c>
      <c r="L119" s="47">
        <v>25.276733</v>
      </c>
      <c r="M119" s="47">
        <v>23.578775</v>
      </c>
      <c r="N119" s="47">
        <v>26.798974999999999</v>
      </c>
    </row>
    <row r="120" spans="1:14" x14ac:dyDescent="0.35">
      <c r="A120" s="2">
        <v>45485</v>
      </c>
      <c r="B120" s="40">
        <v>-3.5843609999999999</v>
      </c>
      <c r="C120" s="40">
        <v>16.81025</v>
      </c>
      <c r="D120" s="40">
        <v>13.069891999999999</v>
      </c>
      <c r="E120" s="40">
        <v>13.297689</v>
      </c>
      <c r="F120" s="40">
        <v>17.184757000000001</v>
      </c>
      <c r="G120" s="40">
        <v>9.0196129999999997</v>
      </c>
      <c r="H120" s="40">
        <v>15.848637</v>
      </c>
      <c r="I120" s="40">
        <v>33.638120000000001</v>
      </c>
      <c r="J120" s="40">
        <v>27.318455</v>
      </c>
      <c r="K120" s="47">
        <v>4.3623567000000003</v>
      </c>
      <c r="L120" s="47">
        <v>21.645510000000002</v>
      </c>
      <c r="M120" s="47">
        <v>19.577753000000001</v>
      </c>
      <c r="N120" s="47">
        <v>20.18919</v>
      </c>
    </row>
    <row r="121" spans="1:14" x14ac:dyDescent="0.35">
      <c r="A121" s="2">
        <v>45516</v>
      </c>
      <c r="B121" s="40">
        <v>1.0123491</v>
      </c>
      <c r="C121" s="40">
        <v>13.401818</v>
      </c>
      <c r="D121" s="40">
        <v>10.927163999999999</v>
      </c>
      <c r="E121" s="40">
        <v>9.7262745000000006</v>
      </c>
      <c r="F121" s="40">
        <v>9.4258310000000005</v>
      </c>
      <c r="G121" s="40">
        <v>8.7066409999999994</v>
      </c>
      <c r="H121" s="40">
        <v>13.965881</v>
      </c>
      <c r="I121" s="40">
        <v>24.096309999999999</v>
      </c>
      <c r="J121" s="40">
        <v>21.344111999999999</v>
      </c>
      <c r="K121" s="47">
        <v>0.94212293999999996</v>
      </c>
      <c r="L121" s="47">
        <v>13.476668999999999</v>
      </c>
      <c r="M121" s="47">
        <v>18.676054000000001</v>
      </c>
      <c r="N121" s="47">
        <v>15.887713</v>
      </c>
    </row>
    <row r="122" spans="1:14" x14ac:dyDescent="0.35">
      <c r="A122" s="2">
        <v>45547</v>
      </c>
      <c r="B122">
        <v>17.307556000000002</v>
      </c>
      <c r="C122">
        <v>23.203564</v>
      </c>
      <c r="D122">
        <v>19.890345</v>
      </c>
      <c r="E122">
        <v>21.000516999999999</v>
      </c>
      <c r="F122">
        <v>15.186310000000001</v>
      </c>
      <c r="G122">
        <v>15.407954999999999</v>
      </c>
      <c r="H122">
        <v>19.881367000000001</v>
      </c>
      <c r="I122">
        <v>27.814793000000002</v>
      </c>
      <c r="J122">
        <v>27.122402000000001</v>
      </c>
      <c r="K122" s="47">
        <v>9.0000389999999992</v>
      </c>
      <c r="L122" s="47">
        <v>26.500595000000001</v>
      </c>
      <c r="M122" s="47">
        <v>29.888570000000001</v>
      </c>
      <c r="N122" s="47">
        <v>25.478601000000001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-32.64808</v>
      </c>
      <c r="C126" s="40" cm="1">
        <f t="array" ref="C126">MIN(_xlfn._xlws.FILTER(C2:C122, ISNUMBER(C2:C122)))</f>
        <v>-26.150469999999999</v>
      </c>
      <c r="D126" s="40" cm="1">
        <f t="array" ref="D126">MIN(_xlfn._xlws.FILTER(D2:D122, ISNUMBER(D2:D122)))</f>
        <v>-25.861834999999999</v>
      </c>
      <c r="E126" s="40" cm="1">
        <f t="array" ref="E126">MIN(_xlfn._xlws.FILTER(E2:E122, ISNUMBER(E2:E122)))</f>
        <v>-36.912567000000003</v>
      </c>
      <c r="F126" s="40" cm="1">
        <f t="array" ref="F126">MIN(_xlfn._xlws.FILTER(F2:F122, ISNUMBER(F2:F122)))</f>
        <v>-26.358080000000001</v>
      </c>
      <c r="G126" s="40" cm="1">
        <f t="array" ref="G126">MIN(_xlfn._xlws.FILTER(G2:G122, ISNUMBER(G2:G122)))</f>
        <v>-20.374065000000002</v>
      </c>
      <c r="H126" s="40" cm="1">
        <f t="array" ref="H126">MIN(_xlfn._xlws.FILTER(H2:H122, ISNUMBER(H2:H122)))</f>
        <v>-26.038128</v>
      </c>
      <c r="I126" s="40" cm="1">
        <f t="array" ref="I126">MIN(_xlfn._xlws.FILTER(I2:I122, ISNUMBER(I2:I122)))</f>
        <v>-27.803039999999999</v>
      </c>
      <c r="J126" s="40" cm="1">
        <f t="array" ref="J126">MIN(_xlfn._xlws.FILTER(J2:J122, ISNUMBER(J2:J122)))</f>
        <v>-16.524159999999998</v>
      </c>
      <c r="K126" s="40" cm="1">
        <f t="array" ref="K126">MIN(_xlfn._xlws.FILTER(K2:K122, ISNUMBER(K2:K122)))</f>
        <v>-23.426998000000001</v>
      </c>
      <c r="L126" s="40" cm="1">
        <f t="array" ref="L126">MIN(_xlfn._xlws.FILTER(L2:L122, ISNUMBER(L2:L122)))</f>
        <v>-37.997672999999999</v>
      </c>
      <c r="M126" s="40" cm="1">
        <f t="array" ref="M126">MIN(_xlfn._xlws.FILTER(M2:M122, ISNUMBER(M2:M122)))</f>
        <v>-37.174624999999999</v>
      </c>
      <c r="N126" s="40" cm="1">
        <f t="array" ref="N126">MIN(_xlfn._xlws.FILTER(N2:N122, ISNUMBER(N2:N122)))</f>
        <v>-30.655563000000001</v>
      </c>
    </row>
    <row r="127" spans="1:14" x14ac:dyDescent="0.35">
      <c r="A127" s="2" t="s">
        <v>393</v>
      </c>
      <c r="B127" s="42" cm="1">
        <f t="array" ref="B127">MAX(_xlfn._xlws.FILTER(B1:B122, ISNUMBER(B1:B122)))</f>
        <v>52.503407000000003</v>
      </c>
      <c r="C127" s="42" cm="1">
        <f t="array" ref="C127">MAX(_xlfn._xlws.FILTER(C1:C122, ISNUMBER(C1:C122)))</f>
        <v>70.166650000000004</v>
      </c>
      <c r="D127" s="42" cm="1">
        <f t="array" ref="D127">MAX(_xlfn._xlws.FILTER(D1:D122, ISNUMBER(D1:D122)))</f>
        <v>73.709045000000003</v>
      </c>
      <c r="E127" s="42" cm="1">
        <f t="array" ref="E127">MAX(_xlfn._xlws.FILTER(E1:E122, ISNUMBER(E1:E122)))</f>
        <v>67.862785000000002</v>
      </c>
      <c r="F127" s="42" cm="1">
        <f t="array" ref="F127">MAX(_xlfn._xlws.FILTER(F1:F122, ISNUMBER(F1:F122)))</f>
        <v>55.725501999999999</v>
      </c>
      <c r="G127" s="42" cm="1">
        <f t="array" ref="G127">MAX(_xlfn._xlws.FILTER(G1:G122, ISNUMBER(G1:G122)))</f>
        <v>40.04383</v>
      </c>
      <c r="H127" s="42" cm="1">
        <f t="array" ref="H127">MAX(_xlfn._xlws.FILTER(H1:H122, ISNUMBER(H1:H122)))</f>
        <v>42.030290000000001</v>
      </c>
      <c r="I127" s="42" cm="1">
        <f t="array" ref="I127">MAX(_xlfn._xlws.FILTER(I1:I122, ISNUMBER(I1:I122)))</f>
        <v>79.173599999999993</v>
      </c>
      <c r="J127" s="42" cm="1">
        <f t="array" ref="J127">MAX(_xlfn._xlws.FILTER(J1:J122, ISNUMBER(J1:J122)))</f>
        <v>61.847589999999997</v>
      </c>
      <c r="K127" s="42" cm="1">
        <f t="array" ref="K127">MAX(_xlfn._xlws.FILTER(K1:K122, ISNUMBER(K1:K122)))</f>
        <v>63.366936000000003</v>
      </c>
      <c r="L127" s="42" cm="1">
        <f t="array" ref="L127">MAX(_xlfn._xlws.FILTER(L1:L122, ISNUMBER(L1:L122)))</f>
        <v>82.087159999999997</v>
      </c>
      <c r="M127" s="42" cm="1">
        <f t="array" ref="M127">MAX(_xlfn._xlws.FILTER(M1:M122, ISNUMBER(M1:M122)))</f>
        <v>90.48357</v>
      </c>
      <c r="N127" s="42" cm="1">
        <f t="array" ref="N127">MAX(_xlfn._xlws.FILTER(N1:N122, ISNUMBER(N1:N122)))</f>
        <v>72.124626000000006</v>
      </c>
    </row>
    <row r="128" spans="1:14" x14ac:dyDescent="0.35">
      <c r="A128" s="2" t="s">
        <v>394</v>
      </c>
      <c r="B128" s="40" cm="1">
        <f t="array" ref="B128">MEDIAN(_xlfn._xlws.FILTER(B1:B122, ISNUMBER(B1:B122)))</f>
        <v>6.5919280000000002</v>
      </c>
      <c r="C128" s="40" cm="1">
        <f t="array" ref="C128">MEDIAN(_xlfn._xlws.FILTER(C1:C122, ISNUMBER(C1:C122)))</f>
        <v>4.1121483000000003</v>
      </c>
      <c r="D128" s="40" cm="1">
        <f t="array" ref="D128">MEDIAN(_xlfn._xlws.FILTER(D1:D122, ISNUMBER(D1:D122)))</f>
        <v>4.2378305999999997</v>
      </c>
      <c r="E128" s="40" cm="1">
        <f t="array" ref="E128">MEDIAN(_xlfn._xlws.FILTER(E1:E122, ISNUMBER(E1:E122)))</f>
        <v>3.7411332000000002</v>
      </c>
      <c r="F128" s="40" cm="1">
        <f t="array" ref="F128">MEDIAN(_xlfn._xlws.FILTER(F1:F122, ISNUMBER(F1:F122)))</f>
        <v>7.5065017000000003</v>
      </c>
      <c r="G128" s="40" cm="1">
        <f t="array" ref="G128">MEDIAN(_xlfn._xlws.FILTER(G1:G122, ISNUMBER(G1:G122)))</f>
        <v>6.6246390000000002</v>
      </c>
      <c r="H128" s="40" cm="1">
        <f t="array" ref="H128">MEDIAN(_xlfn._xlws.FILTER(H1:H122, ISNUMBER(H1:H122)))</f>
        <v>0.28275250000000002</v>
      </c>
      <c r="I128" s="40" cm="1">
        <f t="array" ref="I128">MEDIAN(_xlfn._xlws.FILTER(I1:I122, ISNUMBER(I1:I122)))</f>
        <v>22.259640000000001</v>
      </c>
      <c r="J128" s="40" cm="1">
        <f t="array" ref="J128">MEDIAN(_xlfn._xlws.FILTER(J1:J122, ISNUMBER(J1:J122)))</f>
        <v>14.250398000000001</v>
      </c>
      <c r="K128" s="40" cm="1">
        <f t="array" ref="K128">MEDIAN(_xlfn._xlws.FILTER(K1:K122, ISNUMBER(K1:K122)))</f>
        <v>4.3623567000000003</v>
      </c>
      <c r="L128" s="40" cm="1">
        <f t="array" ref="L128">MEDIAN(_xlfn._xlws.FILTER(L1:L122, ISNUMBER(L1:L122)))</f>
        <v>8.651662</v>
      </c>
      <c r="M128" s="40" cm="1">
        <f t="array" ref="M128">MEDIAN(_xlfn._xlws.FILTER(M1:M122, ISNUMBER(M1:M122)))</f>
        <v>1.7749547999999999</v>
      </c>
      <c r="N128" s="40" cm="1">
        <f t="array" ref="N128">MEDIAN(_xlfn._xlws.FILTER(N1:N122, ISNUMBER(N1:N122)))</f>
        <v>3.100276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17</v>
      </c>
      <c r="C130">
        <f>COUNTIF(C2:C122, "&lt;"&amp;Assumption!$F$50)</f>
        <v>18</v>
      </c>
      <c r="D130">
        <f>COUNTIF(D2:D122, "&lt;"&amp;Assumption!$F$50)</f>
        <v>19</v>
      </c>
      <c r="E130">
        <f>COUNTIF(E2:E122, "&lt;"&amp;Assumption!$F$50)</f>
        <v>32</v>
      </c>
      <c r="F130">
        <f>COUNTIF(F2:F122, "&lt;"&amp;Assumption!$F$50)</f>
        <v>14</v>
      </c>
      <c r="G130">
        <f>COUNTIF(G2:G122, "&lt;"&amp;Assumption!$F$50)</f>
        <v>13</v>
      </c>
      <c r="H130">
        <f>COUNTIF(H2:H122, "&lt;"&amp;Assumption!$F$50)</f>
        <v>18</v>
      </c>
      <c r="I130">
        <f>COUNTIF(I2:I122, "&lt;"&amp;Assumption!$F$50)</f>
        <v>9</v>
      </c>
      <c r="J130">
        <f>COUNTIF(J2:J122, "&lt;"&amp;Assumption!$F$50)</f>
        <v>5</v>
      </c>
      <c r="K130">
        <f>COUNTIF(K2:K122, "&lt;"&amp;Assumption!$F$50)</f>
        <v>14</v>
      </c>
      <c r="L130">
        <f>COUNTIF(L2:L122, "&lt;"&amp;Assumption!$F$50)</f>
        <v>15</v>
      </c>
      <c r="M130">
        <f>COUNTIF(M2:M122, "&lt;"&amp;Assumption!$F$50)</f>
        <v>24</v>
      </c>
      <c r="N130">
        <f>COUNTIF(N2:N122, "&lt;"&amp;Assumption!$F$50)</f>
        <v>35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0.14049586776859505</v>
      </c>
      <c r="C133" s="9">
        <f t="shared" si="2"/>
        <v>0.1487603305785124</v>
      </c>
      <c r="D133" s="9">
        <f t="shared" si="2"/>
        <v>0.15702479338842976</v>
      </c>
      <c r="E133" s="9">
        <f t="shared" si="2"/>
        <v>0.26446280991735538</v>
      </c>
      <c r="F133" s="9">
        <f t="shared" si="2"/>
        <v>0.11570247933884298</v>
      </c>
      <c r="G133" s="9">
        <f t="shared" si="2"/>
        <v>0.10743801652892562</v>
      </c>
      <c r="H133" s="9">
        <f t="shared" si="2"/>
        <v>0.1487603305785124</v>
      </c>
      <c r="I133" s="9">
        <f t="shared" si="2"/>
        <v>7.43801652892562E-2</v>
      </c>
      <c r="J133" s="9">
        <f t="shared" si="2"/>
        <v>4.1322314049586778E-2</v>
      </c>
      <c r="K133" s="9">
        <f t="shared" ref="K133:N133" si="3">K130/K131</f>
        <v>0.11570247933884298</v>
      </c>
      <c r="L133" s="9">
        <f t="shared" si="3"/>
        <v>0.12396694214876033</v>
      </c>
      <c r="M133" s="9">
        <f t="shared" si="3"/>
        <v>0.19834710743801653</v>
      </c>
      <c r="N133" s="9">
        <f t="shared" si="3"/>
        <v>0.28925619834710742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0.29499999999999998</v>
      </c>
      <c r="C136" s="40" cm="1">
        <f t="array" ref="C136">_xlfn.PERCENTRANK.EXC(_xlfn._xlws.FILTER(C2:C122, ISNUMBER(C2:C122)),C120)</f>
        <v>0.83599999999999997</v>
      </c>
      <c r="D136" s="40" cm="1">
        <f t="array" ref="D136">_xlfn.PERCENTRANK.EXC(_xlfn._xlws.FILTER(D2:D122, ISNUMBER(D2:D122)),D120)</f>
        <v>0.73699999999999999</v>
      </c>
      <c r="E136" s="40" cm="1">
        <f t="array" ref="E136">_xlfn.PERCENTRANK.EXC(_xlfn._xlws.FILTER(E2:E122, ISNUMBER(E2:E122)),E120)</f>
        <v>0.68</v>
      </c>
      <c r="F136" s="40" cm="1">
        <f t="array" ref="F136">_xlfn.PERCENTRANK.EXC(_xlfn._xlws.FILTER(F2:F122, ISNUMBER(F2:F122)),F120)</f>
        <v>0.77</v>
      </c>
      <c r="G136" s="40" cm="1">
        <f t="array" ref="G136">_xlfn.PERCENTRANK.EXC(_xlfn._xlws.FILTER(G2:G122, ISNUMBER(G2:G122)),G120)</f>
        <v>0.53200000000000003</v>
      </c>
      <c r="H136" s="40" cm="1">
        <f t="array" ref="H136">_xlfn.PERCENTRANK.EXC(_xlfn._xlws.FILTER(H2:H122, ISNUMBER(H2:H122)),H120)</f>
        <v>0.85199999999999998</v>
      </c>
      <c r="I136" s="40" cm="1">
        <f t="array" ref="I136">_xlfn.PERCENTRANK.EXC(_xlfn._xlws.FILTER(I2:I122, ISNUMBER(I2:I122)),I120)</f>
        <v>0.754</v>
      </c>
      <c r="J136" s="40" cm="1">
        <f t="array" ref="J136">_xlfn.PERCENTRANK.EXC(_xlfn._xlws.FILTER(J2:J122, ISNUMBER(J2:J122)),J120)</f>
        <v>0.88500000000000001</v>
      </c>
      <c r="K136" s="40" cm="1">
        <f t="array" ref="K136">_xlfn.PERCENTRANK.EXC(_xlfn._xlws.FILTER(K2:K122, ISNUMBER(K2:K122)),K120)</f>
        <v>0.5</v>
      </c>
      <c r="L136" s="40" cm="1">
        <f t="array" ref="L136">_xlfn.PERCENTRANK.EXC(_xlfn._xlws.FILTER(L2:L122, ISNUMBER(L2:L122)),L120)</f>
        <v>0.71299999999999997</v>
      </c>
      <c r="M136" s="40" cm="1">
        <f t="array" ref="M136">_xlfn.PERCENTRANK.EXC(_xlfn._xlws.FILTER(M2:M122, ISNUMBER(M2:M122)),M120)</f>
        <v>0.73699999999999999</v>
      </c>
      <c r="N136" s="40" cm="1">
        <f t="array" ref="N136">_xlfn.PERCENTRANK.EXC(_xlfn._xlws.FILTER(N2:N122, ISNUMBER(N2:N122)),N120)</f>
        <v>0.68799999999999994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0.36799999999999999</v>
      </c>
      <c r="C137" s="40" cm="1">
        <f t="array" ref="C137">_xlfn.PERCENTRANK.EXC(_xlfn._xlws.FILTER(C2:C122, ISNUMBER(C2:C122)),C121)</f>
        <v>0.73699999999999999</v>
      </c>
      <c r="D137" s="40" cm="1">
        <f t="array" ref="D137">_xlfn.PERCENTRANK.EXC(_xlfn._xlws.FILTER(D2:D122, ISNUMBER(D2:D122)),D121)</f>
        <v>0.70399999999999996</v>
      </c>
      <c r="E137" s="40" cm="1">
        <f t="array" ref="E137">_xlfn.PERCENTRANK.EXC(_xlfn._xlws.FILTER(E2:E122, ISNUMBER(E2:E122)),E121)</f>
        <v>0.59</v>
      </c>
      <c r="F137" s="40" cm="1">
        <f t="array" ref="F137">_xlfn.PERCENTRANK.EXC(_xlfn._xlws.FILTER(F2:F122, ISNUMBER(F2:F122)),F121)</f>
        <v>0.52400000000000002</v>
      </c>
      <c r="G137" s="40" cm="1">
        <f t="array" ref="G137">_xlfn.PERCENTRANK.EXC(_xlfn._xlws.FILTER(G2:G122, ISNUMBER(G2:G122)),G121)</f>
        <v>0.52400000000000002</v>
      </c>
      <c r="H137" s="40" cm="1">
        <f t="array" ref="H137">_xlfn.PERCENTRANK.EXC(_xlfn._xlws.FILTER(H2:H122, ISNUMBER(H2:H122)),H121)</f>
        <v>0.78600000000000003</v>
      </c>
      <c r="I137" s="40" cm="1">
        <f t="array" ref="I137">_xlfn.PERCENTRANK.EXC(_xlfn._xlws.FILTER(I2:I122, ISNUMBER(I2:I122)),I121)</f>
        <v>0.54900000000000004</v>
      </c>
      <c r="J137" s="40" cm="1">
        <f t="array" ref="J137">_xlfn.PERCENTRANK.EXC(_xlfn._xlws.FILTER(J2:J122, ISNUMBER(J2:J122)),J121)</f>
        <v>0.76200000000000001</v>
      </c>
      <c r="K137" s="40" cm="1">
        <f t="array" ref="K137">_xlfn.PERCENTRANK.EXC(_xlfn._xlws.FILTER(K2:K122, ISNUMBER(K2:K122)),K121)</f>
        <v>0.45</v>
      </c>
      <c r="L137" s="40" cm="1">
        <f t="array" ref="L137">_xlfn.PERCENTRANK.EXC(_xlfn._xlws.FILTER(L2:L122, ISNUMBER(L2:L122)),L121)</f>
        <v>0.59</v>
      </c>
      <c r="M137" s="40" cm="1">
        <f t="array" ref="M137">_xlfn.PERCENTRANK.EXC(_xlfn._xlws.FILTER(M2:M122, ISNUMBER(M2:M122)),M121)</f>
        <v>0.72099999999999997</v>
      </c>
      <c r="N137" s="40" cm="1">
        <f t="array" ref="N137">_xlfn.PERCENTRANK.EXC(_xlfn._xlws.FILTER(N2:N122, ISNUMBER(N2:N122)),N121)</f>
        <v>0.63900000000000001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0.79500000000000004</v>
      </c>
      <c r="C138" s="40" cm="1">
        <f t="array" ref="C138">_xlfn.PERCENTRANK.EXC(_xlfn._xlws.FILTER(C2:C122, ISNUMBER(C2:C122)),C122)</f>
        <v>0.90900000000000003</v>
      </c>
      <c r="D138" s="40" cm="1">
        <f t="array" ref="D138">_xlfn.PERCENTRANK.EXC(_xlfn._xlws.FILTER(D2:D122, ISNUMBER(D2:D122)),D122)</f>
        <v>0.86799999999999999</v>
      </c>
      <c r="E138" s="40" cm="1">
        <f t="array" ref="E138">_xlfn.PERCENTRANK.EXC(_xlfn._xlws.FILTER(E2:E122, ISNUMBER(E2:E122)),E122)</f>
        <v>0.84399999999999997</v>
      </c>
      <c r="F138" s="40" cm="1">
        <f t="array" ref="F138">_xlfn.PERCENTRANK.EXC(_xlfn._xlws.FILTER(F2:F122, ISNUMBER(F2:F122)),F122)</f>
        <v>0.72899999999999998</v>
      </c>
      <c r="G138" s="40" cm="1">
        <f t="array" ref="G138">_xlfn.PERCENTRANK.EXC(_xlfn._xlws.FILTER(G2:G122, ISNUMBER(G2:G122)),G122)</f>
        <v>0.76200000000000001</v>
      </c>
      <c r="H138" s="40" cm="1">
        <f t="array" ref="H138">_xlfn.PERCENTRANK.EXC(_xlfn._xlws.FILTER(H2:H122, ISNUMBER(H2:H122)),H122)</f>
        <v>0.89300000000000002</v>
      </c>
      <c r="I138" s="40" cm="1">
        <f t="array" ref="I138">_xlfn.PERCENTRANK.EXC(_xlfn._xlws.FILTER(I2:I122, ISNUMBER(I2:I122)),I122)</f>
        <v>0.64700000000000002</v>
      </c>
      <c r="J138" s="40" cm="1">
        <f t="array" ref="J138">_xlfn.PERCENTRANK.EXC(_xlfn._xlws.FILTER(J2:J122, ISNUMBER(J2:J122)),J122)</f>
        <v>0.877</v>
      </c>
      <c r="K138" s="40" cm="1">
        <f t="array" ref="K138">_xlfn.PERCENTRANK.EXC(_xlfn._xlws.FILTER(K2:K122, ISNUMBER(K2:K122)),K122)</f>
        <v>0.58099999999999996</v>
      </c>
      <c r="L138" s="40" cm="1">
        <f t="array" ref="L138">_xlfn.PERCENTRANK.EXC(_xlfn._xlws.FILTER(L2:L122, ISNUMBER(L2:L122)),L122)</f>
        <v>0.81899999999999995</v>
      </c>
      <c r="M138" s="40" cm="1">
        <f t="array" ref="M138">_xlfn.PERCENTRANK.EXC(_xlfn._xlws.FILTER(M2:M122, ISNUMBER(M2:M122)),M122)</f>
        <v>0.90900000000000003</v>
      </c>
      <c r="N138" s="40" cm="1">
        <f t="array" ref="N138">_xlfn.PERCENTRANK.EXC(_xlfn._xlws.FILTER(N2:N122, ISNUMBER(N2:N122)),N122)</f>
        <v>0.77800000000000002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0.48600000000000004</v>
      </c>
      <c r="C140" s="40">
        <f t="shared" si="4"/>
        <v>0.82733333333333337</v>
      </c>
      <c r="D140" s="40">
        <f t="shared" si="4"/>
        <v>0.76966666666666661</v>
      </c>
      <c r="E140" s="40">
        <f t="shared" si="4"/>
        <v>0.70466666666666666</v>
      </c>
      <c r="F140" s="40">
        <f t="shared" si="4"/>
        <v>0.67433333333333334</v>
      </c>
      <c r="G140" s="40">
        <f t="shared" si="4"/>
        <v>0.60599999999999998</v>
      </c>
      <c r="H140" s="40">
        <f t="shared" si="4"/>
        <v>0.84366666666666656</v>
      </c>
      <c r="I140" s="40">
        <f t="shared" si="4"/>
        <v>0.65</v>
      </c>
      <c r="J140" s="40">
        <f t="shared" si="4"/>
        <v>0.84133333333333338</v>
      </c>
      <c r="K140" s="40">
        <f t="shared" ref="K140:N140" si="5">AVERAGE(K136:K138)</f>
        <v>0.51033333333333331</v>
      </c>
      <c r="L140" s="40">
        <f t="shared" si="5"/>
        <v>0.70733333333333326</v>
      </c>
      <c r="M140" s="40">
        <f t="shared" si="5"/>
        <v>0.78900000000000003</v>
      </c>
      <c r="N140" s="40">
        <f t="shared" si="5"/>
        <v>0.70166666666666666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1.3179969844239301</v>
      </c>
      <c r="D17">
        <v>2.0739392179922902</v>
      </c>
      <c r="E17">
        <v>2.0881582961298202</v>
      </c>
      <c r="F17">
        <v>4.0763823276408404</v>
      </c>
      <c r="G17">
        <v>2.2808425238276202</v>
      </c>
      <c r="H17">
        <v>2.5348223379569501</v>
      </c>
      <c r="I17">
        <v>9.3523184782613296</v>
      </c>
      <c r="J17">
        <v>17.7294354415451</v>
      </c>
      <c r="K17">
        <v>2.1963017780099499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1.26256164128892</v>
      </c>
      <c r="D18">
        <v>1.9578408739872699</v>
      </c>
      <c r="E18">
        <v>1.98003612030208</v>
      </c>
      <c r="F18">
        <v>3.67687830587368</v>
      </c>
      <c r="G18">
        <v>2.3686407868237098</v>
      </c>
      <c r="H18">
        <v>2.0350756238413701</v>
      </c>
      <c r="I18">
        <v>10.426078296822199</v>
      </c>
      <c r="J18">
        <v>16.661770328992599</v>
      </c>
      <c r="K18">
        <v>1.85069172426398</v>
      </c>
      <c r="L18">
        <v>2.0089294605542301</v>
      </c>
      <c r="M18">
        <v>2.2131087379995402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4.6151696484054998</v>
      </c>
      <c r="G19">
        <v>2.66234515884581</v>
      </c>
      <c r="H19">
        <v>2.7142722434063198</v>
      </c>
      <c r="I19">
        <v>13.6402697448185</v>
      </c>
      <c r="J19">
        <v>22.2767073851685</v>
      </c>
      <c r="K19">
        <v>2.4601991998458601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4.4608954004815304</v>
      </c>
      <c r="G20">
        <v>2.5838872063229701</v>
      </c>
      <c r="H20">
        <v>3.12760121442787</v>
      </c>
      <c r="I20">
        <v>12.750313440204099</v>
      </c>
      <c r="J20">
        <v>22.968710461533099</v>
      </c>
      <c r="K20">
        <v>2.8018892592996298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1.47895581929429</v>
      </c>
      <c r="D21">
        <v>2.6830121629805901</v>
      </c>
      <c r="E21">
        <v>2.6563834912307702</v>
      </c>
      <c r="F21">
        <v>4.5667318566591204</v>
      </c>
      <c r="G21">
        <v>2.8647085842717601</v>
      </c>
      <c r="H21">
        <v>3.0026988691271801</v>
      </c>
      <c r="I21">
        <v>16.324300082232199</v>
      </c>
      <c r="J21">
        <v>24.344986761993699</v>
      </c>
      <c r="K21">
        <v>2.9197664511706698</v>
      </c>
      <c r="L21">
        <v>2.9566812259382398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1.1174820218081027E-2</v>
      </c>
      <c r="D25" s="48" cm="1">
        <f t="array" ref="D25">(D21/INDEX(D2:D21,MATCH(TRUE,INDEX(ISNUMBER(D2:D21),0),0)))^(1/D23)-1</f>
        <v>4.091721115481306E-2</v>
      </c>
      <c r="E25" s="48" cm="1">
        <f t="array" ref="E25">(E21/INDEX(E2:E21,MATCH(TRUE,INDEX(ISNUMBER(E2:E21),0),0)))^(1/E23)-1</f>
        <v>2.8283515901657452E-2</v>
      </c>
      <c r="F25" s="48" cm="1">
        <f t="array" ref="F25">(F21/INDEX(F2:F21,MATCH(TRUE,INDEX(ISNUMBER(F2:F21),0),0)))^(1/F23)-1</f>
        <v>2.4111181364210088E-2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3.7109465036002653E-3</v>
      </c>
      <c r="I25" s="48" cm="1">
        <f t="array" ref="I25">(I21/INDEX(I2:I21,MATCH(TRUE,INDEX(ISNUMBER(I2:I21),0),0)))^(1/I23)-1</f>
        <v>0.12988959921025178</v>
      </c>
      <c r="J25" s="48" cm="1">
        <f t="array" ref="J25">(J21/INDEX(J2:J21,MATCH(TRUE,INDEX(ISNUMBER(J2:J21),0),0)))^(1/J23)-1</f>
        <v>5.9884631603759342E-2</v>
      </c>
      <c r="K25" s="48" cm="1">
        <f t="array" ref="K25">(K21/INDEX(K2:K21,MATCH(TRUE,INDEX(ISNUMBER(K2:K21),0),0)))^(1/K23)-1</f>
        <v>1.8516989400983785E-2</v>
      </c>
      <c r="L25" s="48" cm="1">
        <f t="array" ref="L25">(L21/INDEX(L2:L21,MATCH(TRUE,INDEX(ISNUMBER(L2:L21),0),0)))^(1/L23)-1</f>
        <v>3.4820198321761975E-2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1.6261485</v>
      </c>
      <c r="E3" cm="1">
        <f t="array" ref="E3">_xll.FDSB(B3,"FG_PRICE_CHANGE(0,-1AY)")</f>
        <v>-4.0816306999999998</v>
      </c>
      <c r="F3" cm="1">
        <f t="array" ref="F3">_xll.FDSB(B3,"FG_PRICE_CHANGE(0,-1AM)")</f>
        <v>-1.9920348999999999</v>
      </c>
      <c r="G3" cm="1">
        <f t="array" ref="G3">_xll.FDSB(B3,"FG_PRICE_CHANGE(0,-3AM)")</f>
        <v>1.0732651</v>
      </c>
      <c r="H3" cm="1">
        <f t="array" ref="H3">_xll.FDSB(B3,"FG_PRICE_CHANGE(0,-6AM)")</f>
        <v>-1.6266108000000001E-2</v>
      </c>
      <c r="I3" cm="1">
        <f t="array" ref="I3">_xll.FDS(B3,"STD(FG_PRICE_CHANGE(0,-1AY,AM))")</f>
        <v>2.25829387855996</v>
      </c>
      <c r="J3" cm="1">
        <f t="array" ref="J3">_xll.FDS(B3,"STD(FG_PRICE_CHANGE(0,-3AY,M))")*SQRT(12)</f>
        <v>12.457306393257632</v>
      </c>
      <c r="L3">
        <f>(1-(_xlfn.PERCENTRANK.EXC($F$3:$F$15,F3)))*100</f>
        <v>78.600000000000009</v>
      </c>
      <c r="M3">
        <f>(1-(_xlfn.PERCENTRANK.EXC($G$3:$G$15,G3)))*100</f>
        <v>7.1999999999999957</v>
      </c>
      <c r="N3">
        <f>(1-(_xlfn.PERCENTRANK.EXC($H$3:$H$15,H3)))*100</f>
        <v>42.900000000000006</v>
      </c>
      <c r="O3">
        <f>SUMPRODUCT($L$1:$N$1,L3:N3)</f>
        <v>35.760000000000005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21.46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1.4944333000000001</v>
      </c>
      <c r="E4" cm="1">
        <f t="array" ref="E4">_xll.FDSB(B4,"FG_PRICE_CHANGE(0,-1AY)")</f>
        <v>-4.1096870000000001</v>
      </c>
      <c r="F4" cm="1">
        <f t="array" ref="F4">_xll.FDSB(B4,"FG_PRICE_CHANGE(0,-1AM)")</f>
        <v>-1.3524592</v>
      </c>
      <c r="G4" cm="1">
        <f t="array" ref="G4">_xll.FDSB(B4,"FG_PRICE_CHANGE(0,-3AM)")</f>
        <v>1.4948845000000001E-2</v>
      </c>
      <c r="H4" cm="1">
        <f t="array" ref="H4">_xll.FDSB(B4,"FG_PRICE_CHANGE(0,-6AM)")</f>
        <v>-1.3748765000000001</v>
      </c>
      <c r="I4" cm="1">
        <f t="array" ref="I4">_xll.FDS(B4,"STD(FG_PRICE_CHANGE(0,-1AY,AM))")</f>
        <v>1.99666617956448</v>
      </c>
      <c r="J4" cm="1">
        <f t="array" ref="J4">_xll.FDS(B4,"STD(FG_PRICE_CHANGE(0,-3AY,M))")*SQRT(12)</f>
        <v>10.876380138395533</v>
      </c>
      <c r="L4">
        <f t="shared" ref="L4:L15" si="1">(1-(_xlfn.PERCENTRANK.EXC($F$3:$F$15,F4)))*100</f>
        <v>50</v>
      </c>
      <c r="M4">
        <f t="shared" ref="M4:M15" si="2">(1-(_xlfn.PERCENTRANK.EXC($G$3:$G$15,G4)))*100</f>
        <v>21.499999999999996</v>
      </c>
      <c r="N4">
        <f t="shared" ref="N4:N15" si="3">(1-(_xlfn.PERCENTRANK.EXC($H$3:$H$15,H4)))*100</f>
        <v>64.3</v>
      </c>
      <c r="O4">
        <f t="shared" ref="O4:O11" si="4">SUMPRODUCT($L$1:$N$1,L4:N4)</f>
        <v>44.32</v>
      </c>
      <c r="P4">
        <f t="shared" ref="P4:P15" si="5">100- (_xlfn.PERCENTRANK.EXC($J$3:$J$15,J4)*100)</f>
        <v>21.5</v>
      </c>
      <c r="Q4">
        <f>VLOOKUP(A4,CAD!$A$3:$J$15, 10, FALSE)</f>
        <v>42.8</v>
      </c>
      <c r="S4">
        <f t="shared" si="0"/>
        <v>37.17</v>
      </c>
      <c r="U4" cm="1">
        <f t="array" ref="U4">_xlfn.PERCENTRANK.EXC(_xlfn._xlws.FILTER(S$3:S$15, ISNUMBER(S$3:S$15)),S4)*100</f>
        <v>21.4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1.35965</v>
      </c>
      <c r="E5" cm="1">
        <f t="array" ref="E5">_xll.FDSB(B5,"FG_PRICE_CHANGE(0,-1AY)")</f>
        <v>0.27287006000000003</v>
      </c>
      <c r="F5" cm="1">
        <f t="array" ref="F5">_xll.FDSB(B5,"FG_PRICE_CHANGE(0,-1AM)")</f>
        <v>-1.0047733999999999</v>
      </c>
      <c r="G5" cm="1">
        <f t="array" ref="G5">_xll.FDSB(B5,"FG_PRICE_CHANGE(0,-3AM)")</f>
        <v>-0.69386362999999995</v>
      </c>
      <c r="H5" cm="1">
        <f t="array" ref="H5">_xll.FDSB(B5,"FG_PRICE_CHANGE(0,-6AM)")</f>
        <v>0.7260084</v>
      </c>
      <c r="I5" cm="1">
        <f t="array" ref="I5">_xll.FDS(B5,"STD(FG_PRICE_CHANGE(0,-1AY,AM))")</f>
        <v>1.11995583725504</v>
      </c>
      <c r="J5" cm="1">
        <f t="array" ref="J5">_xll.FDS(B5,"STD(FG_PRICE_CHANGE(0,-3AY,M))")*SQRT(12)</f>
        <v>6.3538666609267711</v>
      </c>
      <c r="L5">
        <f t="shared" si="1"/>
        <v>42.900000000000006</v>
      </c>
      <c r="M5">
        <f t="shared" si="2"/>
        <v>50</v>
      </c>
      <c r="N5">
        <f t="shared" si="3"/>
        <v>14.3</v>
      </c>
      <c r="O5">
        <f t="shared" si="4"/>
        <v>34.300000000000004</v>
      </c>
      <c r="P5">
        <f t="shared" si="5"/>
        <v>71.5</v>
      </c>
      <c r="Q5">
        <f>VLOOKUP(A5,CAD!$A$3:$J$15, 10, FALSE)</f>
        <v>35.699999999999996</v>
      </c>
      <c r="S5">
        <f t="shared" si="0"/>
        <v>45.74</v>
      </c>
      <c r="U5" cm="1">
        <f t="array" ref="U5">_xlfn.PERCENTRANK.EXC(_xlfn._xlws.FILTER(S$3:S$15, ISNUMBER(S$3:S$15)),S5)*100</f>
        <v>28.499999999999996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0.90579710000000002</v>
      </c>
      <c r="E6" cm="1">
        <f t="array" ref="E6">_xll.FDSB(B6,"FG_PRICE_CHANGE(0,-1AY)")</f>
        <v>-2.9574215000000001</v>
      </c>
      <c r="F6" cm="1">
        <f t="array" ref="F6">_xll.FDSB(B6,"FG_PRICE_CHANGE(0,-1AM)")</f>
        <v>-0.98278520000000003</v>
      </c>
      <c r="G6" cm="1">
        <f t="array" ref="G6">_xll.FDSB(B6,"FG_PRICE_CHANGE(0,-3AM)")</f>
        <v>-1.7436624000000001</v>
      </c>
      <c r="H6" cm="1">
        <f t="array" ref="H6">_xll.FDSB(B6,"FG_PRICE_CHANGE(0,-6AM)")</f>
        <v>-1.1050701000000001</v>
      </c>
      <c r="I6" cm="1">
        <f t="array" ref="I6">_xll.FDS(B6,"STD(FG_PRICE_CHANGE(0,-1AY,AM))")</f>
        <v>1.55826270915507</v>
      </c>
      <c r="J6" cm="1">
        <f t="array" ref="J6">_xll.FDS(B6,"STD(FG_PRICE_CHANGE(0,-3AY,M))")*SQRT(12)</f>
        <v>7.5659731665849046</v>
      </c>
      <c r="L6">
        <f t="shared" si="1"/>
        <v>35.799999999999997</v>
      </c>
      <c r="M6">
        <f t="shared" si="2"/>
        <v>64.3</v>
      </c>
      <c r="N6">
        <f t="shared" si="3"/>
        <v>57.2</v>
      </c>
      <c r="O6">
        <f t="shared" si="4"/>
        <v>55.76</v>
      </c>
      <c r="P6">
        <f t="shared" si="5"/>
        <v>64.300000000000011</v>
      </c>
      <c r="Q6">
        <f>VLOOKUP(A6,CAD!$A$3:$J$15, 10, FALSE)</f>
        <v>78.5</v>
      </c>
      <c r="S6">
        <f t="shared" si="0"/>
        <v>62.870000000000005</v>
      </c>
      <c r="U6" cm="1">
        <f t="array" ref="U6">_xlfn.PERCENTRANK.EXC(_xlfn._xlws.FILTER(S$3:S$15, ISNUMBER(S$3:S$15)),S6)*100</f>
        <v>71.399999999999991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142.52000000000001</v>
      </c>
      <c r="E7" cm="1">
        <f t="array" ref="E7">_xll.FDSB(B7,"FG_PRICE_CHANGE(0,-1AY)")</f>
        <v>-3.1892060999999998</v>
      </c>
      <c r="F7" cm="1">
        <f t="array" ref="F7">_xll.FDSB(B7,"FG_PRICE_CHANGE(0,-1AM)")</f>
        <v>-3.6310731999999999</v>
      </c>
      <c r="G7" cm="1">
        <f t="array" ref="G7">_xll.FDSB(B7,"FG_PRICE_CHANGE(0,-3AM)")</f>
        <v>-8.5208049999999993</v>
      </c>
      <c r="H7" cm="1">
        <f t="array" ref="H7">_xll.FDSB(B7,"FG_PRICE_CHANGE(0,-6AM)")</f>
        <v>-3.5038471000000002</v>
      </c>
      <c r="I7" cm="1">
        <f t="array" ref="I7">_xll.FDS(B7,"STD(FG_PRICE_CHANGE(0,-1AY,AM))")</f>
        <v>2.9480856764210599</v>
      </c>
      <c r="J7" cm="1">
        <f t="array" ref="J7">_xll.FDS(B7,"STD(FG_PRICE_CHANGE(0,-3AY,M))")*SQRT(12)</f>
        <v>11.613084664213639</v>
      </c>
      <c r="L7">
        <f t="shared" si="1"/>
        <v>92.9</v>
      </c>
      <c r="M7">
        <f t="shared" si="2"/>
        <v>92.9</v>
      </c>
      <c r="N7">
        <f t="shared" si="3"/>
        <v>92.9</v>
      </c>
      <c r="O7">
        <f t="shared" si="4"/>
        <v>92.9</v>
      </c>
      <c r="P7">
        <f t="shared" si="5"/>
        <v>14.299999999999997</v>
      </c>
      <c r="Q7">
        <f>VLOOKUP(A7,CAD!$A$3:$J$15, 10, FALSE)</f>
        <v>64.2</v>
      </c>
      <c r="S7">
        <f t="shared" si="0"/>
        <v>63.580000000000005</v>
      </c>
      <c r="U7" cm="1">
        <f t="array" ref="U7">_xlfn.PERCENTRANK.EXC(_xlfn._xlws.FILTER(S$3:S$15, ISNUMBER(S$3:S$15)),S7)*100</f>
        <v>78.5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0.85394999999999999</v>
      </c>
      <c r="E8" cm="1">
        <f t="array" ref="E8">_xll.FDSB(B8,"FG_PRICE_CHANGE(0,-1AY)")</f>
        <v>-4.3461204000000002</v>
      </c>
      <c r="F8" cm="1">
        <f t="array" ref="F8">_xll.FDSB(B8,"FG_PRICE_CHANGE(0,-1AM)")</f>
        <v>-1.6469895999999999</v>
      </c>
      <c r="G8" cm="1">
        <f t="array" ref="G8">_xll.FDSB(B8,"FG_PRICE_CHANGE(0,-3AM)")</f>
        <v>-4.1474875999999998</v>
      </c>
      <c r="H8" cm="1">
        <f t="array" ref="H8">_xll.FDSB(B8,"FG_PRICE_CHANGE(0,-6AM)")</f>
        <v>-2.7668655000000002</v>
      </c>
      <c r="I8" cm="1">
        <f t="array" ref="I8">_xll.FDS(B8,"STD(FG_PRICE_CHANGE(0,-1AY,AM))")</f>
        <v>2.2461720311447602</v>
      </c>
      <c r="J8" cm="1">
        <f t="array" ref="J8">_xll.FDS(B8,"STD(FG_PRICE_CHANGE(0,-3AY,M))")*SQRT(12)</f>
        <v>8.592097405449751</v>
      </c>
      <c r="L8">
        <f t="shared" si="1"/>
        <v>64.3</v>
      </c>
      <c r="M8">
        <f t="shared" si="2"/>
        <v>85.8</v>
      </c>
      <c r="N8">
        <f t="shared" si="3"/>
        <v>85.8</v>
      </c>
      <c r="O8">
        <f t="shared" si="4"/>
        <v>81.5</v>
      </c>
      <c r="P8">
        <f t="shared" si="5"/>
        <v>42.900000000000006</v>
      </c>
      <c r="Q8">
        <f>VLOOKUP(A8,CAD!$A$3:$J$15, 10, FALSE)</f>
        <v>85.7</v>
      </c>
      <c r="S8">
        <f t="shared" si="0"/>
        <v>70.760000000000005</v>
      </c>
      <c r="U8" cm="1">
        <f t="array" ref="U8">_xlfn.PERCENTRANK.EXC(_xlfn._xlws.FILTER(S$3:S$15, ISNUMBER(S$3:S$15)),S8)*100</f>
        <v>92.800000000000011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0.76449674000000001</v>
      </c>
      <c r="E9" cm="1">
        <f t="array" ref="E9">_xll.FDSB(B9,"FG_PRICE_CHANGE(0,-1AY)")</f>
        <v>-4.6978416000000003</v>
      </c>
      <c r="F9" cm="1">
        <f t="array" ref="F9">_xll.FDSB(B9,"FG_PRICE_CHANGE(0,-1AM)")</f>
        <v>-2.2476256000000001</v>
      </c>
      <c r="G9" cm="1">
        <f t="array" ref="G9">_xll.FDSB(B9,"FG_PRICE_CHANGE(0,-3AM)")</f>
        <v>-1.8347979000000001</v>
      </c>
      <c r="H9" cm="1">
        <f t="array" ref="H9">_xll.FDSB(B9,"FG_PRICE_CHANGE(0,-6AM)")</f>
        <v>-2.2629142</v>
      </c>
      <c r="I9" cm="1">
        <f t="array" ref="I9">_xll.FDS(B9,"STD(FG_PRICE_CHANGE(0,-1AY,AM))")</f>
        <v>1.9473280663999899</v>
      </c>
      <c r="J9" cm="1">
        <f t="array" ref="J9">_xll.FDS(B9,"STD(FG_PRICE_CHANGE(0,-3AY,M))")*SQRT(12)</f>
        <v>8.2682267127209244</v>
      </c>
      <c r="L9">
        <f t="shared" si="1"/>
        <v>85.8</v>
      </c>
      <c r="M9">
        <f t="shared" si="2"/>
        <v>71.500000000000014</v>
      </c>
      <c r="N9">
        <f t="shared" si="3"/>
        <v>71.500000000000014</v>
      </c>
      <c r="O9">
        <f>SUMPRODUCT($L$1:$N$1,L9:N9)</f>
        <v>74.360000000000014</v>
      </c>
      <c r="P9">
        <f t="shared" si="5"/>
        <v>50</v>
      </c>
      <c r="Q9">
        <f>VLOOKUP(A9,CAD!$A$3:$J$15, 10, FALSE)</f>
        <v>28.499999999999996</v>
      </c>
      <c r="S9">
        <f t="shared" si="0"/>
        <v>57.88000000000001</v>
      </c>
      <c r="U9" cm="1">
        <f t="array" ref="U9">_xlfn.PERCENTRANK.EXC(_xlfn._xlws.FILTER(S$3:S$15, ISNUMBER(S$3:S$15)),S9)*100</f>
        <v>57.099999999999994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21.499999999999996</v>
      </c>
      <c r="M10">
        <f t="shared" si="2"/>
        <v>42.900000000000006</v>
      </c>
      <c r="N10">
        <f t="shared" si="3"/>
        <v>35.799999999999997</v>
      </c>
      <c r="O10">
        <f t="shared" si="4"/>
        <v>35.78</v>
      </c>
      <c r="P10">
        <f t="shared" si="5"/>
        <v>92.9</v>
      </c>
      <c r="Q10">
        <f>VLOOKUP(A10,CAD!$A$3:$J$15, 10, FALSE)</f>
        <v>14.2</v>
      </c>
      <c r="S10">
        <f t="shared" si="0"/>
        <v>48.600000000000009</v>
      </c>
      <c r="U10" cm="1">
        <f t="array" ref="U10">_xlfn.PERCENTRANK.EXC(_xlfn._xlws.FILTER(S$3:S$15, ISNUMBER(S$3:S$15)),S10)*100</f>
        <v>35.699999999999996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21.499999999999996</v>
      </c>
      <c r="M11">
        <f t="shared" si="2"/>
        <v>42.900000000000006</v>
      </c>
      <c r="N11">
        <f t="shared" si="3"/>
        <v>35.799999999999997</v>
      </c>
      <c r="O11">
        <f t="shared" si="4"/>
        <v>35.78</v>
      </c>
      <c r="P11">
        <f t="shared" si="5"/>
        <v>92.9</v>
      </c>
      <c r="Q11">
        <f>VLOOKUP(A11,CAD!$A$3:$J$15, 10, FALSE)</f>
        <v>14.2</v>
      </c>
      <c r="S11">
        <f t="shared" si="0"/>
        <v>48.600000000000009</v>
      </c>
      <c r="U11" cm="1">
        <f t="array" ref="U11">_xlfn.PERCENTRANK.EXC(_xlfn._xlws.FILTER(S$3:S$15, ISNUMBER(S$3:S$15)),S11)*100</f>
        <v>35.699999999999996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0.85394999999999999</v>
      </c>
      <c r="E12" cm="1">
        <f t="array" ref="E12">_xll.FDSB(B12,"FG_PRICE_CHANGE(0,-1AY)")</f>
        <v>-4.3461204000000002</v>
      </c>
      <c r="F12" cm="1">
        <f t="array" ref="F12">_xll.FDSB(B12,"FG_PRICE_CHANGE(0,-1AM)")</f>
        <v>-1.6469895999999999</v>
      </c>
      <c r="G12" cm="1">
        <f t="array" ref="G12">_xll.FDSB(B12,"FG_PRICE_CHANGE(0,-3AM)")</f>
        <v>-4.1474875999999998</v>
      </c>
      <c r="H12" cm="1">
        <f t="array" ref="H12">_xll.FDSB(B12,"FG_PRICE_CHANGE(0,-6AM)")</f>
        <v>-2.7668655000000002</v>
      </c>
      <c r="I12" cm="1">
        <f t="array" ref="I12">_xll.FDS(B12,"STD(FG_PRICE_CHANGE(0,-1AY,AM))")</f>
        <v>2.2461720311447602</v>
      </c>
      <c r="J12" cm="1">
        <f t="array" ref="J12">_xll.FDS(B12,"STD(FG_PRICE_CHANGE(0,-3AY,M))")*SQRT(12)</f>
        <v>8.592097405449751</v>
      </c>
      <c r="L12">
        <f t="shared" si="1"/>
        <v>64.3</v>
      </c>
      <c r="M12">
        <f t="shared" si="2"/>
        <v>85.8</v>
      </c>
      <c r="N12">
        <f t="shared" si="3"/>
        <v>85.8</v>
      </c>
      <c r="O12">
        <f t="shared" ref="O12:O15" si="6">SUMPRODUCT($L$1:$N$1,L12:N12)</f>
        <v>81.5</v>
      </c>
      <c r="P12">
        <f t="shared" si="5"/>
        <v>42.900000000000006</v>
      </c>
      <c r="Q12">
        <f>VLOOKUP(A12,CAD!$A$3:$J$15, 10, FALSE)</f>
        <v>50</v>
      </c>
      <c r="S12">
        <f t="shared" ref="S12:S15" si="7">SUMPRODUCT($O$1:$Q$1,O12:Q12)</f>
        <v>63.620000000000005</v>
      </c>
      <c r="U12" cm="1">
        <f t="array" ref="U12">_xlfn.PERCENTRANK.EXC(_xlfn._xlws.FILTER(S$3:S$15, ISNUMBER(S$3:S$15)),S12)*100</f>
        <v>85.7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21.499999999999996</v>
      </c>
      <c r="M13" s="183">
        <f t="shared" si="2"/>
        <v>42.900000000000006</v>
      </c>
      <c r="N13" s="183">
        <f t="shared" si="3"/>
        <v>35.799999999999997</v>
      </c>
      <c r="O13" s="183">
        <f t="shared" si="6"/>
        <v>35.78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60.03</v>
      </c>
      <c r="U13" s="183" cm="1">
        <f t="array" ref="U13">_xlfn.PERCENTRANK.EXC(_xlfn._xlws.FILTER(S$3:S$15, ISNUMBER(S$3:S$15)),S13)*100</f>
        <v>64.2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10.31475</v>
      </c>
      <c r="E14" cm="1">
        <f t="array" ref="E14">_xll.FDSB(B14,"FG_PRICE_CHANGE(0,-1AY)")</f>
        <v>-7.2535569999999998</v>
      </c>
      <c r="F14" cm="1">
        <f t="array" ref="F14">_xll.FDSB(B14,"FG_PRICE_CHANGE(0,-1AM)")</f>
        <v>-1.9216835000000001</v>
      </c>
      <c r="G14" cm="1">
        <f t="array" ref="G14">_xll.FDSB(B14,"FG_PRICE_CHANGE(0,-3AM)")</f>
        <v>0.12035369999999999</v>
      </c>
      <c r="H14" cm="1">
        <f t="array" ref="H14">_xll.FDSB(B14,"FG_PRICE_CHANGE(0,-6AM)")</f>
        <v>0.73490140000000004</v>
      </c>
      <c r="I14" cm="1">
        <f t="array" ref="I14">_xll.FDS(B14,"STD(FG_PRICE_CHANGE(0,-1AY,AM))")</f>
        <v>3.0859786655883599</v>
      </c>
      <c r="J14" cm="1">
        <f t="array" ref="J14">_xll.FDS(B14,"STD(FG_PRICE_CHANGE(0,-3AY,M))")*SQRT(12)</f>
        <v>10.701514741002116</v>
      </c>
      <c r="L14">
        <f t="shared" si="1"/>
        <v>71.500000000000014</v>
      </c>
      <c r="M14">
        <f t="shared" si="2"/>
        <v>14.3</v>
      </c>
      <c r="N14">
        <f t="shared" si="3"/>
        <v>7.1999999999999957</v>
      </c>
      <c r="O14">
        <f t="shared" si="6"/>
        <v>22.900000000000002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34.31</v>
      </c>
      <c r="U14" cm="1">
        <f t="array" ref="U14">_xlfn.PERCENTRANK.EXC(_xlfn._xlws.FILTER(S$3:S$15, ISNUMBER(S$3:S$15)),S14)*100</f>
        <v>14.2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1753.8678</v>
      </c>
      <c r="E15" cm="1">
        <f t="array" ref="E15">_xll.FDSB(B15,"FG_PRICE_CHANGE(0,-1AY)")</f>
        <v>-2.9574275000000001</v>
      </c>
      <c r="F15" cm="1">
        <f t="array" ref="F15">_xll.FDSB(B15,"FG_PRICE_CHANGE(0,-1AM)")</f>
        <v>-0.98278520000000003</v>
      </c>
      <c r="G15" cm="1">
        <f t="array" ref="G15">_xll.FDSB(B15,"FG_PRICE_CHANGE(0,-3AM)")</f>
        <v>-1.7436564000000001</v>
      </c>
      <c r="H15" cm="1">
        <f t="array" ref="H15">_xll.FDSB(B15,"FG_PRICE_CHANGE(0,-6AM)")</f>
        <v>-1.1050701000000001</v>
      </c>
      <c r="I15" cm="1">
        <f t="array" ref="I15">_xll.FDS(B15,"STD(FG_PRICE_CHANGE(0,-1AY,AM))")</f>
        <v>1.55826251384123</v>
      </c>
      <c r="J15" cm="1">
        <f t="array" ref="J15">_xll.FDS(B15,"STD(FG_PRICE_CHANGE(0,-3AY,M))")*SQRT(12)</f>
        <v>7.5659738856039853</v>
      </c>
      <c r="L15">
        <f t="shared" si="1"/>
        <v>35.799999999999997</v>
      </c>
      <c r="M15">
        <f t="shared" si="2"/>
        <v>57.2</v>
      </c>
      <c r="N15">
        <f t="shared" si="3"/>
        <v>57.2</v>
      </c>
      <c r="O15">
        <f t="shared" si="6"/>
        <v>52.92</v>
      </c>
      <c r="P15">
        <f t="shared" si="5"/>
        <v>57.2</v>
      </c>
      <c r="Q15">
        <f>VLOOKUP(A15,CAD!$A$3:$J$15, 10, FALSE)</f>
        <v>57.099999999999994</v>
      </c>
      <c r="S15">
        <f t="shared" si="7"/>
        <v>55.040000000000006</v>
      </c>
      <c r="U15" cm="1">
        <f t="array" ref="U15">_xlfn.PERCENTRANK.EXC(_xlfn._xlws.FILTER(S$3:S$15, ISNUMBER(S$3:S$15)),S15)*100</f>
        <v>50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0.252467670960909</v>
      </c>
      <c r="H4" cm="1">
        <f t="array" ref="H4">IFERROR(_xll.FDS($F4,"EE_ACTUAL_ANNUAL(MED,+1)"),0)</f>
        <v>-0.7</v>
      </c>
      <c r="J4" cm="1">
        <f t="array" ref="J4">_xlfn.PERCENTRANK.EXC(_xlfn._xlws.FILTER(H$3:H$15, ISNUMBER(H$3:H$15)),H4)*100</f>
        <v>42.8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-1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5.8821421318584202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3.6065819629985301</v>
      </c>
      <c r="H7" cm="1">
        <f t="array" ref="H7">IFERROR(_xll.FDS($F7,"EE_ACTUAL_ANNUAL(MED,+1)"),0)</f>
        <v>3.9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6.9062257160550304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-2.7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-1.0196499952942999</v>
      </c>
      <c r="H12" cm="1">
        <f t="array" ref="H12">IFERROR(_xll.FDS($F12,"EE_ACTUAL_ANNUAL(MED,+1)"),0)</f>
        <v>-0.4</v>
      </c>
      <c r="J12" cm="1">
        <f t="array" ref="J12">_xlfn.PERCENTRANK.EXC(_xlfn._xlws.FILTER(H$3:H$15, ISNUMBER(H$3:H$15)),H12)*100</f>
        <v>50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9.8540850199698795</v>
      </c>
      <c r="H13" cm="1">
        <f t="array" ref="H13">IFERROR(_xll.FDS($F13,"EE_ACTUAL_ANNUAL(MED,+1)"),0)</f>
        <v>9.75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6.54758763985883</v>
      </c>
      <c r="H14" cm="1">
        <f t="array" ref="H14">IFERROR(_xll.FDS($F14,"EE_ACTUAL_ANNUAL(MED,+1)"),0)</f>
        <v>6.15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0.464182828189248</v>
      </c>
      <c r="H15" cm="1">
        <f t="array" ref="H15">IFERROR(_xll.FDS($F15,"EE_ACTUAL_ANNUAL(MED,+1)"),0)</f>
        <v>1.1000000000000001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11.7272452683733</v>
      </c>
      <c r="D17">
        <v>11.978678386383701</v>
      </c>
      <c r="E17">
        <v>10.4475672102116</v>
      </c>
      <c r="F17">
        <v>8.35596279152373</v>
      </c>
      <c r="G17">
        <v>14.538819869127099</v>
      </c>
      <c r="H17">
        <v>12.8709323534995</v>
      </c>
      <c r="I17">
        <v>25.011729179905998</v>
      </c>
      <c r="J17">
        <v>18.2929292712369</v>
      </c>
      <c r="K17">
        <v>10.912694761834301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11.0508592022587</v>
      </c>
      <c r="D18">
        <v>11.192208682288101</v>
      </c>
      <c r="E18">
        <v>9.7147154363071309</v>
      </c>
      <c r="F18">
        <v>7.4376799838965404</v>
      </c>
      <c r="G18">
        <v>14.667779515581</v>
      </c>
      <c r="H18">
        <v>11.2074687408189</v>
      </c>
      <c r="I18">
        <v>24.5344428387709</v>
      </c>
      <c r="J18">
        <v>17.2298191407891</v>
      </c>
      <c r="K18">
        <v>8.9416385512878804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9.2202208516536697</v>
      </c>
      <c r="G19">
        <v>16.3837417700753</v>
      </c>
      <c r="H19">
        <v>13.922769951646799</v>
      </c>
      <c r="I19">
        <v>26.6372021629589</v>
      </c>
      <c r="J19">
        <v>20.686290275763401</v>
      </c>
      <c r="K19">
        <v>12.252853582726299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14.658060585061</v>
      </c>
      <c r="D20">
        <v>14.002940310619</v>
      </c>
      <c r="E20">
        <v>11.818711551142201</v>
      </c>
      <c r="F20">
        <v>9.2254455713673291</v>
      </c>
      <c r="G20">
        <v>16.690651733527702</v>
      </c>
      <c r="H20">
        <v>15.8587443966116</v>
      </c>
      <c r="I20">
        <v>24.048321552738301</v>
      </c>
      <c r="J20">
        <v>20.598310588067601</v>
      </c>
      <c r="K20">
        <v>13.152530190194099</v>
      </c>
      <c r="L20">
        <v>12.015889153241799</v>
      </c>
      <c r="M20">
        <v>14.6915673510105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13.226394097123199</v>
      </c>
      <c r="D21">
        <v>13.1491479008301</v>
      </c>
      <c r="E21">
        <v>11.93889064433</v>
      </c>
      <c r="F21">
        <v>9.2997687113842105</v>
      </c>
      <c r="G21">
        <v>19.302463641340701</v>
      </c>
      <c r="H21">
        <v>14.7207876109821</v>
      </c>
      <c r="I21">
        <v>25.304063208905301</v>
      </c>
      <c r="J21">
        <v>20.344034080875101</v>
      </c>
      <c r="K21">
        <v>13.229989317507099</v>
      </c>
      <c r="L21">
        <v>12.750726724682799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8.9416385512878804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11.983677793053701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14.442959457883401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13.226394097123199</v>
      </c>
      <c r="D25" s="8">
        <f t="shared" si="2"/>
        <v>13.1491479008301</v>
      </c>
      <c r="E25" s="8">
        <f t="shared" si="2"/>
        <v>11.93889064433</v>
      </c>
      <c r="F25" s="8">
        <f t="shared" si="2"/>
        <v>9.2997687113842105</v>
      </c>
      <c r="G25" s="8">
        <f t="shared" si="2"/>
        <v>19.302463641340701</v>
      </c>
      <c r="H25" s="8">
        <f t="shared" si="2"/>
        <v>14.7207876109821</v>
      </c>
      <c r="I25" s="8">
        <f t="shared" si="2"/>
        <v>25.304063208905301</v>
      </c>
      <c r="J25" s="8">
        <f t="shared" si="2"/>
        <v>20.344034080875101</v>
      </c>
      <c r="K25" s="8">
        <f t="shared" si="2"/>
        <v>13.229989317507099</v>
      </c>
      <c r="L25" s="8">
        <f t="shared" si="2"/>
        <v>12.750726724682799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45517</v>
      </c>
      <c r="M1" s="116"/>
    </row>
    <row r="2" spans="1:20" ht="15" thickBot="1" x14ac:dyDescent="0.4">
      <c r="K2" s="12" t="s">
        <v>772</v>
      </c>
      <c r="L2" s="187">
        <f ca="1">EDATE(TODAY(), -4)</f>
        <v>45425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08/2024</v>
      </c>
      <c r="O3" t="str" cm="1">
        <f t="array" aca="1" ref="O3" ca="1">_xll.FDSRC("-","DUMMY","ECON_DATE("&amp;$L$2&amp;",,, 'MM/YYYY')")</f>
        <v>05/2024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45.810715000000002</v>
      </c>
      <c r="N4" cm="1">
        <f t="array" aca="1" ref="N4" ca="1">_xll.FDSRC("-","DUMMY","ECON_EXPR_DATA('FDS_ECON["&amp;H4&amp;"]',"&amp;$N$3&amp;",,Q)")</f>
        <v>45.525333000000003</v>
      </c>
      <c r="O4" cm="1">
        <f t="array" aca="1" ref="O4" ca="1">_xll.FDSRC("-","DUMMY","ECON_EXPR_DATA('FDS_ECON["&amp;H4&amp;"]',"&amp;$O$3&amp;",,Q)")</f>
        <v>47.698093</v>
      </c>
      <c r="P4">
        <f t="shared" ref="P4:P12" ca="1" si="0">IFERROR(N4-O4,$M$20)</f>
        <v>-2.1727599999999967</v>
      </c>
      <c r="Q4" cm="1">
        <f t="array" ref="Q4">_xlfn.PERCENTRANK.EXC(_xlfn._xlws.FILTER(M$4:M$16, ISNUMBER(M$4:M$16)),M4)*100</f>
        <v>21.4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18.519999999999996</v>
      </c>
      <c r="T4" cm="1">
        <f t="array" aca="1" ref="T4" ca="1">_xlfn.PERCENTRANK.EXC(_xlfn._xlws.FILTER(S$4:S$16, ISNUMBER(S$4:S$16)),S4)*100</f>
        <v>7.1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48.495564000000002</v>
      </c>
      <c r="N5" cm="1">
        <f t="array" aca="1" ref="N5" ca="1">_xll.FDSRC("-","DUMMY","ECON_EXPR_DATA('FDS_ECON["&amp;H5&amp;"]',"&amp;$N$3&amp;",,Q)")</f>
        <v>48.811332999999998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0.41586299999999454</v>
      </c>
      <c r="Q5" cm="1">
        <f t="array" ref="Q5">_xlfn.PERCENTRANK.EXC(_xlfn._xlws.FILTER(M$4:M$16, ISNUMBER(M$4:M$16)),M5)*100</f>
        <v>57.099999999999994</v>
      </c>
      <c r="R5" cm="1">
        <f t="array" aca="1" ref="R5" ca="1">_xlfn.PERCENTRANK.EXC(_xlfn._xlws.FILTER(P$4:P$16, ISNUMBER(P$4:P$16)),P5)*100</f>
        <v>57.099999999999994</v>
      </c>
      <c r="S5">
        <f ca="1">Q5*Assumption!$E$27 + R5*Assumption!$F$27</f>
        <v>57.099999999999994</v>
      </c>
      <c r="T5" cm="1">
        <f t="array" aca="1" ref="T5" ca="1">_xlfn.PERCENTRANK.EXC(_xlfn._xlws.FILTER(S$4:S$16, ISNUMBER(S$4:S$16)),S5)*100</f>
        <v>64.2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49.450510000000001</v>
      </c>
      <c r="N6" cm="1">
        <f t="array" aca="1" ref="N6" ca="1">_xll.FDSRC("-","DUMMY","ECON_EXPR_DATA('FDS_ECON["&amp;H6&amp;"]',"&amp;$N$3&amp;",,Q)")</f>
        <v>49.331885999999997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3.0975999999995452E-2</v>
      </c>
      <c r="Q6" cm="1">
        <f t="array" ref="Q6">_xlfn.PERCENTRANK.EXC(_xlfn._xlws.FILTER(M$4:M$16, ISNUMBER(M$4:M$16)),M6)*100</f>
        <v>78.5</v>
      </c>
      <c r="R6" cm="1">
        <f t="array" aca="1" ref="R6" ca="1">_xlfn.PERCENTRANK.EXC(_xlfn._xlws.FILTER(P$4:P$16, ISNUMBER(P$4:P$16)),P6)*100</f>
        <v>42.8</v>
      </c>
      <c r="S6">
        <f ca="1">Q6*Assumption!$E$27 + R6*Assumption!$F$27</f>
        <v>64.22</v>
      </c>
      <c r="T6" cm="1">
        <f t="array" aca="1" ref="T6" ca="1">_xlfn.PERCENTRANK.EXC(_xlfn._xlws.FILTER(S$4:S$16, ISNUMBER(S$4:S$16)),S6)*100</f>
        <v>78.5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42.40119</v>
      </c>
      <c r="N7" cm="1">
        <f t="array" aca="1" ref="N7" ca="1">_xll.FDSRC("-","DUMMY","ECON_EXPR_DATA('FDS_ECON["&amp;H7&amp;"]',"&amp;$N$3&amp;",,Q)")</f>
        <v>43.781999999999996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0.46290399999999465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64.2</v>
      </c>
      <c r="S7">
        <f ca="1">Q7*Assumption!$E$27 + R7*Assumption!$F$27</f>
        <v>29.940000000000005</v>
      </c>
      <c r="T7" cm="1">
        <f t="array" aca="1" ref="T7" ca="1">_xlfn.PERCENTRANK.EXC(_xlfn._xlws.FILTER(S$4:S$16, ISNUMBER(S$4:S$16)),S7)*100</f>
        <v>21.4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49.845306000000001</v>
      </c>
      <c r="N8" cm="1">
        <f t="array" aca="1" ref="N8" ca="1">_xll.FDSRC("-","DUMMY","ECON_EXPR_DATA('FDS_ECON["&amp;H8&amp;"]',"&amp;$N$3&amp;",,Q)")</f>
        <v>49.991356000000003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2.182499</v>
      </c>
      <c r="Q8" cm="1">
        <f t="array" ref="Q8">_xlfn.PERCENTRANK.EXC(_xlfn._xlws.FILTER(M$4:M$16, ISNUMBER(M$4:M$16)),M8)*100</f>
        <v>85.7</v>
      </c>
      <c r="R8" cm="1">
        <f t="array" aca="1" ref="R8" ca="1">_xlfn.PERCENTRANK.EXC(_xlfn._xlws.FILTER(P$4:P$16, ISNUMBER(P$4:P$16)),P8)*100</f>
        <v>92.800000000000011</v>
      </c>
      <c r="S8">
        <f ca="1">Q8*Assumption!$E$27 + R8*Assumption!$F$27</f>
        <v>88.54</v>
      </c>
      <c r="T8" cm="1">
        <f t="array" aca="1" ref="T8" ca="1">_xlfn.PERCENTRANK.EXC(_xlfn._xlws.FILTER(S$4:S$16, ISNUMBER(S$4:S$16)),S8)*100</f>
        <v>92.800000000000011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49.01182</v>
      </c>
      <c r="N9" cm="1">
        <f t="array" aca="1" ref="N9" ca="1">_xll.FDSRC("-","DUMMY","ECON_EXPR_DATA('FDS_ECON["&amp;H9&amp;"]',"&amp;$N$3&amp;",,Q)")</f>
        <v>43.896877000000003</v>
      </c>
      <c r="O9" cm="1">
        <f t="array" aca="1" ref="O9" ca="1">_xll.FDSRC("-","DUMMY","ECON_EXPR_DATA('FDS_ECON["&amp;H9&amp;"]',"&amp;$O$3&amp;",,Q)")</f>
        <v>44.08605</v>
      </c>
      <c r="P9">
        <f t="shared" ca="1" si="0"/>
        <v>-0.1891729999999967</v>
      </c>
      <c r="Q9" cm="1">
        <f t="array" ref="Q9">_xlfn.PERCENTRANK.EXC(_xlfn._xlws.FILTER(M$4:M$16, ISNUMBER(M$4:M$16)),M9)*100</f>
        <v>64.2</v>
      </c>
      <c r="R9" cm="1">
        <f t="array" aca="1" ref="R9" ca="1">_xlfn.PERCENTRANK.EXC(_xlfn._xlws.FILTER(P$4:P$16, ISNUMBER(P$4:P$16)),P9)*100</f>
        <v>35.699999999999996</v>
      </c>
      <c r="S9">
        <f ca="1">Q9*Assumption!$E$27 + R9*Assumption!$F$27</f>
        <v>52.800000000000004</v>
      </c>
      <c r="T9" cm="1">
        <f t="array" aca="1" ref="T9" ca="1">_xlfn.PERCENTRANK.EXC(_xlfn._xlws.FILTER(S$4:S$16, ISNUMBER(S$4:S$16)),S9)*100</f>
        <v>57.099999999999994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52.516356999999999</v>
      </c>
      <c r="N10" cm="1">
        <f t="array" aca="1" ref="N10" ca="1">_xll.FDSRC("-","DUMMY","ECON_EXPR_DATA('FDS_ECON["&amp;H10&amp;"]',"&amp;$N$3&amp;",,Q)")</f>
        <v>50.395269999999996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2.1473099999999974</v>
      </c>
      <c r="Q10" cm="1">
        <f t="array" ref="Q10">_xlfn.PERCENTRANK.EXC(_xlfn._xlws.FILTER(M$4:M$16, ISNUMBER(M$4:M$16)),M10)*100</f>
        <v>92.800000000000011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87.080000000000013</v>
      </c>
      <c r="T10" cm="1">
        <f t="array" aca="1" ref="T10" ca="1">_xlfn.PERCENTRANK.EXC(_xlfn._xlws.FILTER(S$4:S$16, ISNUMBER(S$4:S$16)),S10)*100</f>
        <v>85.7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47.898150000000001</v>
      </c>
      <c r="N11" cm="1">
        <f t="array" aca="1" ref="N11" ca="1">_xll.FDSRC("-","DUMMY","ECON_EXPR_DATA('FDS_ECON["&amp;H11&amp;"]',"&amp;$N$3&amp;",,Q)")</f>
        <v>50.939391999999998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-0.64329500000000195</v>
      </c>
      <c r="Q11" cm="1">
        <f t="array" ref="Q11">_xlfn.PERCENTRANK.EXC(_xlfn._xlws.FILTER(M$4:M$16, ISNUMBER(M$4:M$16)),M11)*100</f>
        <v>35.699999999999996</v>
      </c>
      <c r="R11" cm="1">
        <f t="array" aca="1" ref="R11" ca="1">_xlfn.PERCENTRANK.EXC(_xlfn._xlws.FILTER(P$4:P$16, ISNUMBER(P$4:P$16)),P11)*100</f>
        <v>21.4</v>
      </c>
      <c r="S11">
        <f ca="1">Q11*Assumption!$E$27 + R11*Assumption!$F$27</f>
        <v>29.979999999999997</v>
      </c>
      <c r="T11" cm="1">
        <f t="array" aca="1" ref="T11" ca="1">_xlfn.PERCENTRANK.EXC(_xlfn._xlws.FILTER(S$4:S$16, ISNUMBER(S$4:S$16)),S11)*100</f>
        <v>28.499999999999996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47.898150000000001</v>
      </c>
      <c r="N12" cm="1">
        <f t="array" aca="1" ref="N12" ca="1">_xll.FDSRC("-","DUMMY","ECON_EXPR_DATA('FDS_ECON["&amp;H12&amp;"]',"&amp;$N$3&amp;",,Q)")</f>
        <v>50.939391999999998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-0.64329500000000195</v>
      </c>
      <c r="Q12" cm="1">
        <f t="array" ref="Q12">_xlfn.PERCENTRANK.EXC(_xlfn._xlws.FILTER(M$4:M$16, ISNUMBER(M$4:M$16)),M12)*100</f>
        <v>35.699999999999996</v>
      </c>
      <c r="R12" cm="1">
        <f t="array" aca="1" ref="R12" ca="1">_xlfn.PERCENTRANK.EXC(_xlfn._xlws.FILTER(P$4:P$16, ISNUMBER(P$4:P$16)),P12)*100</f>
        <v>21.4</v>
      </c>
      <c r="S12">
        <f ca="1">Q12*Assumption!$E$27 + R12*Assumption!$F$27</f>
        <v>29.979999999999997</v>
      </c>
      <c r="T12" cm="1">
        <f t="array" aca="1" ref="T12" ca="1">_xlfn.PERCENTRANK.EXC(_xlfn._xlws.FILTER(S$4:S$16, ISNUMBER(S$4:S$16)),S12)*100</f>
        <v>28.499999999999996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43.869770000000003</v>
      </c>
      <c r="N13" cm="1">
        <f t="array" aca="1" ref="N13" ca="1">_xll.FDSRC("-","DUMMY","ECON_EXPR_DATA('FDS_ECON["&amp;H13&amp;"]',"&amp;$N$3&amp;",,Q)")</f>
        <v>45.684513000000003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0.18576000000000192</v>
      </c>
      <c r="Q13" cm="1">
        <f t="array" ref="Q13">_xlfn.PERCENTRANK.EXC(_xlfn._xlws.FILTER(M$4:M$16, ISNUMBER(M$4:M$16)),M13)*100</f>
        <v>14.2</v>
      </c>
      <c r="R13" cm="1">
        <f t="array" aca="1" ref="R13" ca="1">_xlfn.PERCENTRANK.EXC(_xlfn._xlws.FILTER(P$4:P$16, ISNUMBER(P$4:P$16)),P13)*100</f>
        <v>50</v>
      </c>
      <c r="S13">
        <f ca="1">Q13*Assumption!$E$27 + R13*Assumption!$F$27</f>
        <v>28.52</v>
      </c>
      <c r="T13" cm="1">
        <f t="array" aca="1" ref="T13" ca="1">_xlfn.PERCENTRANK.EXC(_xlfn._xlws.FILTER(S$4:S$16, ISNUMBER(S$4:S$16)),S13)*100</f>
        <v>14.2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47.72757</v>
      </c>
      <c r="N14" cm="1">
        <f t="array" aca="1" ref="N14" ca="1">_xll.FDSRC("-","DUMMY","ECON_EXPR_DATA('FDS_ECON["&amp;H14&amp;"]',"&amp;$N$3&amp;",,Q)")</f>
        <v>51.493879999999997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2.1680059999999983</v>
      </c>
      <c r="Q14" cm="1">
        <f t="array" ref="Q14">_xlfn.PERCENTRANK.EXC(_xlfn._xlws.FILTER(M$4:M$16, ISNUMBER(M$4:M$16)),M14)*100</f>
        <v>28.499999999999996</v>
      </c>
      <c r="R14" cm="1">
        <f t="array" aca="1" ref="R14" ca="1">_xlfn.PERCENTRANK.EXC(_xlfn._xlws.FILTER(P$4:P$16, ISNUMBER(P$4:P$16)),P14)*100</f>
        <v>85.7</v>
      </c>
      <c r="S14">
        <f ca="1">Q14*Assumption!$E$27 + R14*Assumption!$F$27</f>
        <v>51.379999999999995</v>
      </c>
      <c r="T14" cm="1">
        <f t="array" aca="1" ref="T14" ca="1">_xlfn.PERCENTRANK.EXC(_xlfn._xlws.FILTER(S$4:S$16, ISNUMBER(S$4:S$16)),S14)*100</f>
        <v>50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48.332496999999996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0.48312599999999861</v>
      </c>
      <c r="Q15" cm="1">
        <f t="array" ref="Q15">_xlfn.PERCENTRANK.EXC(_xlfn._xlws.FILTER(M$4:M$16, ISNUMBER(M$4:M$16)),M15)*100</f>
        <v>50</v>
      </c>
      <c r="R15" cm="1">
        <f t="array" aca="1" ref="R15" ca="1">_xlfn.PERCENTRANK.EXC(_xlfn._xlws.FILTER(P$4:P$16, ISNUMBER(P$4:P$16)),P15)*100</f>
        <v>71.399999999999991</v>
      </c>
      <c r="S15">
        <f ca="1">Q15*Assumption!$E$27 + R15*Assumption!$F$27</f>
        <v>58.56</v>
      </c>
      <c r="T15" cm="1">
        <f t="array" aca="1" ref="T15" ca="1">_xlfn.PERCENTRANK.EXC(_xlfn._xlws.FILTER(S$4:S$16, ISNUMBER(S$4:S$16)),S15)*100</f>
        <v>71.399999999999991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49.41836</v>
      </c>
      <c r="N16" cm="1">
        <f t="array" aca="1" ref="N16" ca="1">_xll.FDSRC("-","DUMMY","ECON_EXPR_DATA('FDS_ECON["&amp;H16&amp;"]',"&amp;$N$3&amp;",,Q)")</f>
        <v>46.215786000000001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-2.9923670000000016</v>
      </c>
      <c r="Q16" cm="1">
        <f t="array" ref="Q16">_xlfn.PERCENTRANK.EXC(_xlfn._xlws.FILTER(M$4:M$16, ISNUMBER(M$4:M$16)),M16)*100</f>
        <v>71.399999999999991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45.679999999999993</v>
      </c>
      <c r="T16" cm="1">
        <f t="array" aca="1" ref="T16" ca="1">_xlfn.PERCENTRANK.EXC(_xlfn._xlws.FILTER(S$4:S$16, ISNUMBER(S$4:S$16)),S16)*100</f>
        <v>42.8</v>
      </c>
    </row>
    <row r="18" spans="8:13" x14ac:dyDescent="0.35">
      <c r="K18" t="str" cm="1">
        <f t="array" aca="1" ref="K18" ca="1">_xll.FDSRC("-","DUMMY","ECON_DATE("&amp;$L$1&amp;",,, 'MM/YYYY')")</f>
        <v>08/2024</v>
      </c>
      <c r="L18" t="str" cm="1">
        <f t="array" aca="1" ref="L18" ca="1">_xll.FDSRC("-","DUMMY","ECON_DATE("&amp;$L$2&amp;",,, 'MM/YYYY')")</f>
        <v>05/2024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48.332496999999996</v>
      </c>
      <c r="K19" cm="1">
        <f t="array" aca="1" ref="K19" ca="1">_xll.FDSRC("-","DUMMY","ECON_EXPR_DATA('FDS_ECON["&amp;H19&amp;"]',"&amp;$K$18&amp;",,Q)")</f>
        <v>49.418605999999997</v>
      </c>
      <c r="L19" cm="1">
        <f t="array" aca="1" ref="L19" ca="1">_xll.FDSRC("-","DUMMY","ECON_EXPR_DATA('FDS_ECON["&amp;H19&amp;"]',"&amp;$L$18&amp;",,Q)")</f>
        <v>49.135413999999997</v>
      </c>
      <c r="M19">
        <f ca="1">K19-L19</f>
        <v>0.28319199999999967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50.789436000000002</v>
      </c>
      <c r="K20" cm="1">
        <f t="array" aca="1" ref="K20" ca="1">_xll.FDSRC("-","DUMMY","ECON_EXPR_DATA('FDS_ECON["&amp;H20&amp;"]',"&amp;$K$18&amp;",,Q)")</f>
        <v>52.001809999999999</v>
      </c>
      <c r="L20" cm="1">
        <f t="array" aca="1" ref="L20" ca="1">_xll.FDSRC("-","DUMMY","ECON_EXPR_DATA('FDS_ECON["&amp;H20&amp;"]',"&amp;$L$18&amp;",,Q)")</f>
        <v>51.518684</v>
      </c>
      <c r="M20">
        <f ca="1">K20-L20</f>
        <v>0.48312599999999861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90.341999999999999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99393.66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1417.12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1750377.6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2646.2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2893755.8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915.70500000000004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2288816.2999999998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14973.7875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6658570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1302.2850000000001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2279770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3204.4090000000001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3334609.5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280856.07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57906610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551727.95878900005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57906610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639.43600000000004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3127526.3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306.8125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1084368.6000000001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297.40199999999999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1040260.56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459.93675000000002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874033.3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345890.3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6225592"><![CDATA[{"EWI^FREF_MARKET_VALUE_COMPANY(0,,,USD,,0,,\"LEGACY\")":459.93675,"FC0000IT^FMA_MCAP(0,,,USD,\"PORTAGG\")":874033.3,"EWD^FREF_MARKET_VALUE_COMPANY(0,,,USD,,0,,\"LEGACY\")":297.402,"FC0000SE^FMA_MCAP(0,,,USD,\"PORTAGG\")":1040260.56,"EWN^FREF_MARKET_VALUE_COMPANY(0,,,USD,,0,,\"LEGACY\")":306.8125,"EWQ^FREF_MARKET_VALUE_COMPANY(0,,,USD,,0,,\"LEGACY\")":639.436,"FC0000FR^FMA_MCAP(0,,,USD,\"PORTAGG\")":3127526.3,"FC0000US^FMA_MCAP(0,,,USD,\"PORTAGG\")":57906610.0,"EWU^FREF_MARKET_VALUE_COMPANY(0,,,USD,,0,,\"LEGACY\")":3204.409,"FC0000GB^FMA_MCAP(0,,,USD,\"PORTAGG\")":3334609.5,"FC0000CH^FMA_MCAP(0,,,USD,\"PORTAGG\")":2279770.0,"FC0000JP^FMA_MCAP(0,,,USD,\"PORTAGG\")":6658570.0,"FC0000DE^FMA_MCAP(0,,,USD,\"PORTAGG\")":2288816.3,"EWC^FREF_MARKET_VALUE_COMPANY(0,,,USD,,0,,\"LEGACY\")":2646.2,"FC0000CA^FMA_MCAP(0,,,USD,\"PORTAGG\")":2893755.8,"FC0000AU^FMA_MCAP(0,,,USD,\"PORTAGG\")":1750377.6,"FC0000NZ^FMA_MCAP(0,,,USD,\"PORTAGG\")":99393.66,"CC_ZA^FG_COMPANY_NAME":"South Africa","FC0000ZA^FG_MCAP_IDX(0,,,USD)":345890.3,"FC0000NL^FMA_MCAP(0,,,USD,\"PORTAGG\")":1084368.6,"SPY^FREF_MARKET_VALUE_COMPANY(0,,,USD,,0,,\"LEGACY\")":551727.958789,"QQQ^FREF_MARKET_VALUE_COMPANY(0,,,USD,,0,,\"LEGACY\")":280856.07,"EWL^FREF_MARKET_VALUE_COMPANY(0,,,USD,,0,,\"LEGACY\")":1302.285,"EWJ^FREF_MARKET_VALUE_COMPANY(0,,,USD,,0,,\"LEGACY\")":14973.7875,"EWG^FREF_MARKET_VALUE_COMPANY(0,,,USD,,0,,\"LEGACY\")":915.705,"EWA^FREF_MARKET_VALUE_COMPANY(0,,,USD,,0,,\"LEGACY\")":1417.12,"ENZL^FREF_MARKET_VALUE_COMPANY(0,,,USD,,0,,\"LEGACY\")":90.342,"NQG00809^FG_COMPANY_NAME":"Nasdaq South Africa","NQG00809^FMA_MCAP(0,,,USD,\"PORTAGG\")":null,"DUMMY^ECON_EXPR_DATA('FDS_ECON[NTCPMIMFGSA@IT]',,,M)":49.41836,"DUMMY^ECON_EXPR_DATA('FDS_ECON[NTCPMIMFGSA@NL]',,,M)":47.72757,"DUMMY^ECON_EXPR_DATA('FDS_ECON[NTCPMIMFGSA@FR]',,,M)":43.86977,"DUMMY^ECON_EXPR_DATA('FDS_ECON[NTCPMIMFGMESA@US]',,,M)":47.89815,"DUMMY^ECON_EXPR_DATA('FDS_ECON[NTCPMIMFGSA@GB]',,,M)":52.516357,"DUMMY^ECON_EXPR_DATA('FDS_ECON[NTCPMIMFGSA@JP]',,,M)":49.845306,"DUMMY^ECON_EXPR_DATA('FDS_ECON[NTCPMIMFGSA@DE]',,,M)":42.40119,"DUMMY^ECON_EXPR_DATA('FDS_ECON[NTCPMIMFGSA@NZ]',,,M)":45.810715,"DUMMY^ECON_EXPR_DATA('FDS_ECON[]',,,M)":null,"DUMMY^ECON_EXPR_DATA('FDS_ECON[NTCPMIMFGSA@CA]',,,M)":49.45051,"DUMMY^ECON_EXPR_DATA('FDS_ECON[NTCPMIMFGSA@AU]',,,M)":48.495564,"DUMMY^ECON_EXPR_DATA('FDS_ECON[NTCPMIMFGSA@CH]',,,M)":49.01182,"CAGDPY@FR^EE_ACTUAL_ANNUAL(MED,+1)":-0.4,"CAGDPY@AU^EE_ACTUAL_ANNUAL(MED,+1)":-0.7,"USDITL^FG_PRICE_CHANGE(0,-3AM)":-1.7436564,"USDANG^FG_PRICE_CHANGE(0,-3AM)":0.0,"USDUSD^FG_PRICE_CHANGE(0,-3AM)":0.0,"USDGBP^FG_PRICE_CHANGE(0,-3AM)":-1.8347979,"USDJPY^FG_PRICE_CHANGE(0,-3AM)":-8.520805,"USDCAD^FG_PRICE_CHANGE(0,-3AM)":-0.69386363,"USDNZD^FG_PRICE_CHANGE(0,-3AM)":1.0732651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698442393,1.26256164128892,1.41909398824033,1.56850336770513,1.47895581929429],"ENZL^JULIAN(P_PRICE_RETURNS_PR('52W',2,-10AY,0,AM).DATES)":[41894,41922,41955,41985,42016,42047,42075,42104,42136,42167,42195,42228,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],"EWD^FMA_DIV_YLD(NTMA,-10AY,0,AM,\"PORTAGG\",\"MEANR\")":[4.22047377924378,4.53040002480111,4.19819588640361,4.18745699090756,4.13724942099793,3.72477282716542,3.67334431484523,3.6075712904039,3.88645653280926,3.92024969248168,3.96182290230141,4.07805833876327,4.33107058101237,4.31574337878365,4.23568802437656,4.4659113915458,4.57702006982417,4.66418460022768,4.24082423501161,4.38915850118934,4.48425173741385,4.55788981641595,4.40832906004003,4.22174436836216,4.25155421865266,4.16354137918121,4.10678132346761,3.87384485767402,3.931404257112,3.66795642893299,3.63027584186662,3.65229057670178,3.51828255882125,3.58028210180865,3.51359392063559,3.77350324160059,3.70101111811625,3.55182355804785,3.60234192890126,3.65868474691442,3.64644225551985,3.97698810221484,3.83153138734752,4.13007168478453,3.97680499455087,4.07593742822617,4.18712777923718,4.10030847819855,4.11606900386637,4.31993114086404,4.42613831300216,4.4971003522139,4.51309182651059,4.23483407527396,4.18580855679989,4.03031485292811,4.20659666126445,4.22318343592973,4.14495827589276,4.2803945115892,3.93659243485029,3.88490209260264,3.65236640886221,3.64955858731522,3.58278924176226,3.39964614989922,4.76770399552049,3.61668053943421,3.29561303207264,3.12958103079513,2.98890258385145,2.95641985352314,2.97474236153536,2.97697660237284,3.04617824579445,3.06531591665767,2.98769215887338,2.98512129371177,2.77384250084342,2.72741742365033,2.86594915925807,2.67979345871395,2.65314973214854,2.69280301151738,2.75867244469713,2.89683552981251,2.93556474760966,2.92537469820634,2.89560281033096,2.91111913172772,3.21557112211881,3.14945653505557,3.47812262782818,3.3929252975751,3.63039671306085,3.47544812426449,3.57527607106675,3.83969325975738,3.52731068899338,3.60851086471416,3.46834928960148,3.56694476812716,3.64822333509868,3.67411462162996,3.73407463472136,3.7056137695157,3.75086525429161,3.88842617300702,3.98464566825376,3.72066477313966,3.87324110349945,3.02176314980175,2.99345003143033,3.35276303482053,3.19761272058603,3.29871089887232,3.16917448826821,3.16359219763809,3.1292480206935,3.38934039856414,3.32839029759744],"EWQ^FMA_PE(NTMA,-10AY,0,AM,\"PORTAGG\",\"MEANR\")":[13.776792837184,12.6193460181865,13.0852422709903,13.2450955020514,13.7079629384556,15.7430654306756,16.4267501690371,17.1212684363433,16.09496531906,15.7148232250822,15.5027022901504,15.2113949729265,14.1123860445249,14.5945106381064,15.0756672995633,14.2868704415095,13.8221231281231,13.0724355785714,14.6751205161635,14.2557910518409,14.0915097892498,13.8916468252149,13.8673397930237,14.2110563818159,13.9303290244743,13.8014606197571,13.6999609196774,14.3857803755352,14.5477665077397,14.2086830911331,14.5204791092236,14.8003146053822,15.4449960293393,14.8914729263262,14.8274625720239,14.3750450674355,14.8438680799434,15.1862023446581,15.0117688428659,15.144044317451,15.2610205624904,14.1944945798249,14.5591005098801,14.4902900230995,14.8437202251711,14.3730511753383,14.1059799801173,13.8598306658398,13.5533466425216,12.7696063528263,12.6787642073779,12.3582706551114,12.2246420766778,12.954647237781,13.4823089533519,13.9819519930681,13.4933522370889,13.5564650855013,14.0005031426578,13.4487526576705,14.1849629017277,14.2343234845945,14.8014680162896,14.6996651062188,15.0038248654485,15.2080867489639,10.7382580593566,14.4953808252735,16.5453721539926,18.3040622451667,19.1863514319623,20.2102931330098,19.2777437405012,18.4782932091825,18.8850988731278,18.4865577489383,18.0208938816828,17.8882272866616,18.4737201713702,18.1721076268246,17.5987155256892,17.9998873308971,17.3288238738025,16.9181508175104,16.2151452016945,15.4466970370615,15.9289541684515,15.559884894217,15.7812419280513,14.6471776917678,13.0059242740146,13.1697422491422,11.9482918248181,11.7533156630742,11.2073443372309,11.8461464058905,11.4641119481586,10.3175675360882,11.8890530219922,12.0897659021161,12.8359047599979,13.1176727997754,13.1493148770238,13.4723357614199,13.3737795158875,13.0945219601239,13.1848940892546,13.0867206214164,12.7781576607048,12.4203177927997,12.4378146205061,13.334961845079,13.3291052998858,13.8704469090485,14.5643887758477,14.3342166619021,14.7600939161905,14.0802793938603,13.8541538216959,13.1567220927205,13.4139585576845],"QQQ^FMA_PE(LTMA,-10AY,0,AM,\"PORTAGG\",\"MEANR\")":[19.3997030773728,18.6598352652074,19.9037732197815,19.935976692912,19.7256470202996,20.2683212237754,20.6235341795887,20.5165934784295,20.2432758693473,20.0988882694733,19.8486398494081,20.2458255886095,19.5311811452464,19.6007720757282,20.1198605515279,19.8636286828396,19.1509032108895,17.6074768266086,18.2664480602178,18.4121598689638,18.3333562859762,18.5419207711197,18.9831259432409,19.5557290844995,19.5556798208762,19.8499278662289,19.5979289954878,20.1769325879118,20.9669482741248,21.5272966967445,21.7012824691961,21.5599847226711,21.8417708303109,21.8177241190798,21.8925040810924,21.9412261552739,22.3359646491074,22.5758182780539,22.9601709104262,23.2622132237177,24.7973158807691,23.1273165269037,24.1722883407378,23.5412732805218,23.3662295775586,23.35800471617,23.3881739971275,23.1162351815135,23.0349120404372,22.112471239717,20.627299612097,20.1006254025656,19.5479829189366,20.6482394900357,20.9286364218858,21.2375851783933,21.2836194710615,21.2209282791961,22.0715741859169,21.5438053093104,22.3371845204157,22.3590161576084,23.4840874178868,24.4502462880664,26.0678813223975,27.1601546119277,23.1370823456735,23.9586368896781,25.6051616517403,26.8460781185914,28.9351544271776,29.2513967020237,29.7589489228371,32.6077481226096,31.7266960516072,33.7056635089895,35.027076060022,35.5964685891478,32.7438575680101,32.8414624589574,31.2975406486317,31.5580104265829,32.0815177087622,31.2938526312203,31.4491933071948,30.0434794060172,31.9140198180801,31.8912181184863,30.9778342467794,26.9185130951948,26.3272997591243,26.3705176147053,25.079915426233,24.588492282494,24.1881402220116,26.4409387053547,25.2495060636683,22.2965740084761,23.9368884272263,23.4009212762096,23.7431487185462,25.6388270130311,25.1199688138252,25.5276849558779,25.7374304712057,26.8877005071696,27.5176311803193,26.3307465808963,26.5870707246092,26.6365400105076,26.9993362777411,28.3897271957085,29.064032181344,30.2743114279689,30.2346121552168,29.6936012352713,29.45197930337,29.8153954446018,30.5921310834746,29.4145550434988,30.0300620704689],"DDR3512M-FDS^FG_PRICE(0)":0.88513285,"PASP-FDS^FG_PRICE(0)":1038.0,"PLATI-FDS^FG_PRICE(0)":970.0,"W-FDS^FG_PRICE(0)":5.63,"COPP-FDS^FG_PRICE(0)":4.133,"FC0000US^FG_PRICE(0)":418.26642,"DUMMY^ECON_EXPR_DATA('FDS_ECON[NTCPMIMFGSA@EME]',,,M)":50.789436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5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TRYAU10Y-FDS^PCTCHG(FG_YIELD(0,,,,\"YTM\"),FG_YIELD(-3AM,,,,\"YTM\"))":-9.955594,"TRYUS10Y-FDS^FG_YIELD(0,,,,\"YTM\")":3.6801,"CAGDPY@FR^EE_ACTUAL_ANNUAL(MED,0)":-1.0196499952943,"CAGDPY@AU^EE_ACTUAL_ANNUAL(MED,0)":0.252467670960909,"USDITL^FG_PRICE_CHANGE(0,-1AM)":-0.9827852,"USDANG^FG_PRICE_CHANGE(0,-1AM)":0.0,"USDUSD^FG_PRICE_CHANGE(0,-1AM)":0.0,"USDGBP^FG_PRICE_CHANGE(0,-1AM)":-2.2476256,"USDJPY^FG_PRICE_CHANGE(0,-1AM)":-3.6310732,"USDCAD^FG_PRICE_CHANGE(0,-1AM)":-1.0047734,"USDNZD^FG_PRICE_CHANGE(0,-1AM)":-1.9920349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4.663217,-10.891092,-2.4999976,-2.136755,-5.680895,11.81041,0.34745932,4.5013905,2.4519563,0.58214664,0.12573004,2.2875786,-4.920125,1.0752678,-6.648934,-2.2079825,-5.0307155,-14.846158,14.272809,-6.6403093,1.7781496,-3.0782104,-2.8008997,2.452314,1.5070915,-5.1528397,1.7035007,6.7903996,4.559195,-3.1505764,4.267001,1.7017841,11.155378,0.71685314,4.0304065,2.8909802,5.3486824,-0.41773915,-0.6776333,1.2995481,6.6789865,-3.415966,1.9092321,2.3955703,0.599885,-9.093624,-1.6147137,-4.8663497,1.0086536,-7.845938,-3.4829736,1.5637517,1.7176628,2.2012591,3.692305,5.4525256,-3.7988067,-0.76782703,9.008503,-9.513813,8.117509,-0.53628683,6.7217827,-0.9094,1.5176892,1.8206358,-38.04636,14.9118185,-4.0930214,15.276432,5.722296,6.554079,-3.1698108,-0.97427964,4.8012614,8.97485,3.9876223,3.3411264,2.1985173,0.1581788,1.1370778,6.5615654,-3.530103,3.597784,-4.1258516,-0.49535632,5.538261,-3.9504588,5.128467,-4.8563776,-16.433239,7.113588,-8.205843,-1.3812721,-8.907366,10.430241,-3.7780344,-12.801641,28.330208,1.096487,8.769691,2.1592498,-2.1136105,6.275308,-0.5714297,-0.35949945,7.0584416,-2.054584,-1.3775826,-3.7142873,2.7035952,7.447839,2.5322914,0.5606413,8.744133,-2.9411793,6.1717987,-0.12629628,1.4776945,-5.5599747,6.7844152],"EWN^FMA_DIV_YLD(NTMA,-10AY,0,AM,\"PORTAGG\",\"MEANR\")":[3.00312785407198,3.17750860434438,3.11265008626119,3.13475473373686,3.10070572410501,2.8603404081536,2.64143861506072,2.58310347872124,2.7599681596706,2.92179443853623,2.92066189862663,3.18903040992024,3.50502890783083,3.46991563357757,3.19385453837317,3.3703178124924,3.27337067794761,3.66522513263701,3.3070368016115,3.33234746038775,3.43532174834213,3.2714917012433,3.26779035218487,3.13896510352899,3.18708703047773,3.12098890096049,3.18868506839284,3.04403707526347,2.97646852379385,2.915858114188,2.77039631952978,2.7645296590856,2.69470200247365,2.73753685398506,2.79232169604881,2.81879214633753,2.83210030077632,2.76534938663991,2.80115736908361,2.79914794470208,2.78955391180591,2.97816411789652,2.90135209492975,2.92593191053559,2.90794126440471,2.85705349145781,2.94021251169297,2.90400840329892,3.04654298404911,3.2226147030557,3.19849236072067,3.31395859262253,3.38437527772502,3.16989858451049,3.12371366538926,3.00134530181539,3.05710668139763,3.07067303198309,2.97536640737763,3.04242716557088,2.84248335380082,2.74741717089089,2.6494804446671,2.63406977773318,2.57652895081943,2.46469521562619,3.59432557623309,2.8833964806587,2.62508285172994,2.46502180877839,2.32345436308004,2.31295720121855,2.32122518056387,2.24816251178465,2.17647998881153,2.07826912388842,1.93600140554369,1.88278995619088,2.02377356840099,1.93114208536902,2.02838941157688,1.97589729034351,2.00449503521331,1.94470650467976,1.85198660892642,2.00280767487208,1.84147942389919,1.9770197803366,1.99052132191354,2.21584445906126,2.45050247290314,2.31880106223624,2.62538371980925,2.64469720276448,3.39575704087884,3.05380147167044,3.58561806944198,3.15784853614649,2.70869262830335,2.65391192482003,2.58804034127895,2.58519450278685,2.72543759070081,2.68890372831905,2.72305297187372,2.66699678868496,2.68332676893054,2.77621023414872,2.97958147728874,2.97738989344383,2.91257420792312,2.70069256072766,2.71901916775392,2.4646258682737,2.57131152291583,2.55738585334748,2.46556235600193,2.40479507464273,2.4191161463125,2.68040235595808,2.72228052945157],"SPY^FMA_PE(NTMA,-10AY,0,AM,\"PORTAGG\",\"MEANR\")":[15.1731429771878,14.5264828399597,15.6196484140194,15.4666051675582,15.9095842018008,16.7929687323697,16.5767374271982,16.7506179803448,16.5642757270826,16.3842740921224,16.1845842710819,16.2698603794146,15.2817631966567,15.7719445727845,16.0356197974607,15.7300489831403,15.2450405364849,15.5099438140132,15.5167363536305,16.5004635460184,16.5226770167304,16.5332547025517,16.8932691544244,16.9893615444774,16.6684771740755,16.3931889780052,16.5261030604819,17.0431158997284,16.9693150629432,17.3573135161618,17.6868555093764,17.319071096623,17.4302331447348,17.5550705014321,17.5190294566355,17.3716829759511,17.6219646663144,17.896785882642,17.9158166017304,18.2711211638359,18.4026634406931,16.6494511726626,17.2615191403784,16.3850676446733,16.4505081458464,16.6261259356018,16.5390900467434,16.5026574691152,16.6705729037183,15.8733227670383,15.5671543514989,15.1323582874375,15.0726387797725,15.979271943754,16.2085136485114,16.841229554086,16.5132645539269,16.3792558661516,17.1438587499148,16.3891378539189,16.9902047781107,16.7891810968266,17.4525612713349,17.829272743414,18.3089397539753,18.9471970465163,14.0418827254156,17.9658547613027,20.4520738647603,21.4402587736892,22.179891411099,22.4277101305653,21.6520384631013,22.3963974846051,21.5977918200548,21.8321034160416,22.4793483756823,22.2725246286934,21.9021086686823,22.4622747812119,20.7823501582454,21.3215030266224,21.6603045267598,21.1045411572069,20.8570526641782,20.2107453590095,21.3661311270889,21.1865411811044,21.0367624771408,19.4146286138574,18.1868429010758,18.7800717575615,16.604391569728,16.2978509359112,15.9411024734056,18.0699305331708,17.266979589973,15.1553905884601,17.3034950480324,17.2636359525239,17.3098902217422,18.0459977739363,16.9568781585445,18.0057128988967,17.9384952379052,18.6590911877741,19.2074557391077,18.9013298443915,18.598503494875,18.0586941705692,18.2565964896457,18.9905301462547,19.5596880898921,20.3520432636785,20.6979968370817,20.4010192960723,20.4832904687466,20.9337386371061,21.5273600946567,20.2933112002545,20.8026400513372],"EWU^FMA_PE(LTMA,-10AY,0,AM,\"PORTAGG\",\"MEANR\")":[14.1692022582628,13.4268495849335,13.9016167922814,13.2758443481195,13.4782820905794,14.5536728659222,15.1304908895601,15.4653415263547,15.656279432937,15.6456275393428,15.5822147632225,15.6526827554755,15.018967059324,15.6773109327592,15.5104481596813,15.0845130535522,14.8368467695053,14.4445419127267,15.6255820413721,15.8407457097645,15.8197839089008,15.8931277075778,16.4431657592888,16.9476907494451,16.7419786464733,16.935032274888,16.3174182826211,16.7973395760525,17.3271355811524,17.3356477048108,17.2791303258414,17.0436874761808,16.8844672209117,16.6411283143756,16.4552980332095,16.1329607142966,16.0265984708564,15.8896332573397,15.4004427733942,15.2949289490906,15.7490795361722,14.3816839102992,13.9773696162546,13.9808312404518,14.1292551417902,13.9592884680552,13.8354280568466,13.7790666178708,13.3744718352892,12.9027782632447,12.7361646666544,12.2978014589346,12.3033933231619,12.6835985026177,12.9200315920448,13.0231609895238,12.8687263753885,12.9793225410664,13.1114992902484,12.7498794081305,13.0552690018258,13.1203268399254,13.4375279374297,13.5325084821036,14.2044635586025,14.1045469755012,11.9344491417988,12.7906900408919,13.9754085653835,14.8369731496743,15.2114451784786,16.5908358053833,16.7738543324574,17.2464994472128,18.3504921106523,19.2846700799747,20.1972765143361,19.5026367307804,18.6633672789291,18.0333049672653,17.4712824831692,16.9539767159684,16.1536878300973,15.2215644475667,14.4050657471326,13.8387941000857,13.2937801097009,12.518250410842,12.7044391341609,12.8897101201569,12.4077864211837,12.2479891115716,11.6732357247095,11.478751117953,10.9560403578464,10.8233922469671,10.3862932162802,9.2977963508931,9.68732007620547,9.79858163835895,10.0947423718209,10.1168517553844,10.232138501839,10.3824336684333,10.348923397729,10.3028279442141,10.3655349048676,10.5418415791191,10.5496602639969,10.6524702896835,10.3964296310995,10.9107356539575,11.2607118245469,11.1702125795455,11.4792202631692,11.5492999328299,11.7596562991035,11.6972108019189,11.8392083661738,11.8320675465669,11.949486913586],"WL-FDS^MAX(FG_PRICE(0,-5AY))":763.4,"NI-FDS^MAX(FG_PRICE(0,-5AY))":48241.0,"CPALM-FDS^MAX(FG_PRICE(0,-5AY))":8163.0,"BRENT-FDS^MAX(FG_PRICE(0,-5AY))":140.85,"TIOS-FDS^MAX(FG_PRICE(0,-5AY))":219.77,"FC0000GB^FG_PRICE(0)":132.04237,"FC0000CA^FG_PRICE(0)":309.02307,"EWD^FG_PRICE_MAVG(0,,,,200)":39.559174,"QQQ^FG_PRICE_MAVG(0,,,,200)":442.8597,"EWG^FG_PRICE_MAVG(0,,,,200)":30.61135,"EWI^FG_COMPANY_NAME":"iShares MSCI Italy ETF","ENZL^FG_COMPANY_NAME":"iShares MSCI New Zealand ETF","FXI^P_PRICE(0)/P_PRICE_HIGH_PR(0,,,,,,\"PRICE\",\"INTRA\",\"52W\")":0.87064,"EWJ^FG_TOTAL_RETURNC(0,-12AM)":15.18631,"URTH^PERCENT_CHANGE(FMA_EPS(+1,0,,,,\"PORTAGG\",\"MEAN\"),FMA_EPS(+1,-1AM,,,,\"PORTAGG\",\"MEAN\"))":0.711826351093961,"VGK^FG_TOTAL_RETURNC(0,-1AM)":4.2405963,"EWD^FG_TOTAL_RETURNC(0,-6AM)":0.45639277,"EWQ^P_PRICE(0)/P_PRICE_LOW_PR(0,,,,,,\"PRICE\",\"INTRA\",\"52W\")-1":0.1583482,"SPY^FMA_PCT_ABOVE_MAVG(200,0,,,,\"PORTAGG\")":67.4650698602794,"EWU^PERCENT_CHANGE(FMA_EPS(+1,0,,,,\"PORTAGG\",\"MEAN\"),FMA_EPS(+1,-3AM,,,,\"PORTAGG\",\"MEAN\"))":1.67680281008081,"EWJ^FG_TOTAL_RETURNC(0,-3AM)":2.7197003,"EWC^P_PRICE(0)/P_PRICE_HIGH_PR(0,,,,,,\"PRICE\",\"INTRA\",\"52W\")":0.99727726,"ENZL^FG_TOTAL_RETURNC(0,-12AM)":17.307556,"EWJ^FMA_COS_DOWN(\"EPS\",\"1M\",+1,0,,,\"PORTAGG\",\"MEANR\")":79.0,"EWD^FMA_COS_UP(\"EPS\",\"1M\",+1,0,,,\"PORTAGG\",\"MEANR\")":13.0,"EWL^SIZE(FG_CONSTITUENTS)":48,"ENZL^FMA_COS_DOWN(\"EPS\",\"1M\",+1,0,,,\"PORTAGG\",\"MEANR\")":14.0,"EWD^FMA_RBICS_REV_CURRENT(30, LOC, \"PORTAGG\")":27.3013128847697,"SPY^FG_ROE(0)":18.6064914173556,"TRYCH10Y-FDS^FG_YIELD_NAME":"Treasury - Switzerland Benchmark Bond 10Y","EWC^FG_COMPANY_NAME":"iShares MSCI Canada ETF","REFFFUND-FDS^FG_YIELD(NOW,,,0)":5.5,"REFEUREFI-FDS^PROPER_NAME(0,,,\"SECURITY\",\"NAME\")":"Eurozone Main Refinancing Operations Minimum Bid Rate","TRYFR10Y-FDS^PCTCHG(FG_YIELD(0,,,,\"YTM\"),FG_YIELD(-3AM,,,,\"YTM\"))":-9.532895,"DUMMY^ECON_EXPR_DATA('FDS_ECON[PMIDMMANHE]',,,M)":48.332497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507267246828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EWJ^FG_TOTAL_RETURNC(0,-1AM)":6.8766117,"ENZL^P_PRICE(0)/P_PRICE_LOW_PR(0,,,,,,\"PRICE\",\"INTRA\",\"52W\")-1":0.22324824,"EWN^SIZE(FG_CONSTITUENTS)":54,"EWL^FMA_COS_DOWN(\"EPS\",\"1M\",+1,0,,,\"PORTAGG\",\"MEANR\")":17.0,"EWN^FMA_RBICS_REV_CURRENT(30, LOC, \"PORTAGG\")":25.7118752752457,"REFCATARG-FDS^(SUBARRAY(NOT_NA(NO_REPEAT_F(FG_YIELD(NOW,-10AY,D))),0,1)-SUBARRAY(NOT_NA(NO_REPEAT_F(FG_YIELD(NOW,-10AY,D))),1,1))*100":-25.0,"TRYFR10Y-FDS^PCTCHG(FG_YIELD(0,,,,\"YTM\"),FG_YIELD(-1AM,,,,\"YTM\"))":-4.270346,"TRYAU10Y-FDS^PCTCHG(FG_YIELD(0,,,,\"YTM\"),FG_YIELD(-1AM,,,,\"YTM\"))":-4.8406982,"VWO^FG_PE_NTM(0,,,90,0)":12.8760659329158,"CAGDPY@US^EE_ACTUAL_ANNUAL(MED,+1)":-3.3,"CAGDPY@NZ^EE_ACTUAL_ANNUAL(MED,+1)":-6.0,"USDITL^FG_PRICE_CHANGE(0,-1AY)":-2.9574275,"USDANG^FG_PRICE_CHANGE(0,-1AY)":0.0,"USDUSD^FG_PRICE_CHANGE(0,-1AY)":0.0,"USDGBP^FG_PRICE_CHANGE(0,-1AY)":-4.6978416,"USDJPY^FG_PRICE_CHANGE(0,-1AY)":-3.1892061,"USDCAD^FG_PRICE_CHANGE(0,-1AY)":0.27287006,"USDNZD^FG_PRICE_CHANGE(0,-1AY)":-4.0816307,"EWA^JULIAN(FMA_EPS(NTMA,-20AY,0,CY,,\"PORTAGG\",\"MEANR\").DATES)":[38352,38716,39080,39447,39813,40178,40543,40907,41274,41639,42004,42369,42734,43098,43465,43830,44196,44561,44925,45289],"EWD^FG_TOTAL_RETURNC(-10AY,0,AM)":[-1.0995626,-8.173073,6.871724,-1.5003085,-4.087901,8.488417,-0.06018877,1.1442423,0.44656992,2.4303436,-3.1611443,-1.9795895,-1.9564569,0.096559525,-5.2411613,-4.0040674,-2.953887,-3.6456406,11.350739,1.8008828,-3.5714269,-1.3845623,0.091171265,5.286181,0.8310318,-3.0219793,-2.584982,4.616499,1.511395,4.450536,0.8521795,1.949954,7.7462435,0.53254366,4.9197435,-3.040737,4.6153903,1.8099546,-2.9722214,-1.7749727,5.740452,-5.8463216,1.9219398,-4.467654,3.8870335,-2.133876,-3.7805676,1.1695862,1.5735388,-4.173255,-3.9260924,-0.99588037,1.1009336,2.0254016,0.067293644,8.540678,-4.9256444,0.0325799,3.6721826,-8.657587,7.6677322,-2.4728,8.384048,3.1191468,-0.18595457,5.0322175,-30.032135,11.106467,2.7809143,10.493601,7.7500343,10.289585,-0.8100569,3.6046267,2.9627562,4.329455,6.382358,2.6839137,5.344224,2.658403,0.3452778,6.0257435,-1.1415482,2.1205068,-2.0764768,-5.3747654,7.987571,-4.848975,3.1886697,-11.72027,-12.004889,6.3350916,-12.568593,2.5562763,-7.7661095,9.980499,-6.1483917,-15.968502,27.886057,-0.3516972,4.653728,-1.243645,-4.092729,6.923318,0.5581856,-1.8318057,2.4597168,-6.0430527,-3.7591755,2.7464032,-2.168101,14.875531,2.30695,0.555861,8.844423,-6.3361526,5.4737926,4.422128,-0.8575499,-6.7515554,5.333674],"EWQ^FMA_DIV_YLD(NTMA,-10AY,0,AM,\"PORTAGG\",\"MEANR\")":[3.50817932606881,3.84671942820626,3.73713609066592,3.77124410594999,3.67562993505587,3.25187307444282,3.21554665266487,3.08495761012866,3.30053587342464,3.36378958681836,3.37716442667806,3.40657269552942,3.69712942805825,3.57047945609306,3.47058642656305,3.66685130327929,3.84082465942285,4.12483905729615,3.69147797520485,3.7986726591424,3.82463123617742,3.8509698530239,3.82090328841754,3.68360356948952,3.72358023073718,3.75778056404581,3.73859146001,3.5387040179799,3.45849972865598,3.50448723331954,3.42744830382001,3.37190774816346,3.19646113125766,3.30198921855182,3.3342010417223,3.4446711197802,3.34671642669553,3.28700524840938,3.30597966187697,3.25307539287489,3.21265992845555,3.46909182736184,3.38138698199235,3.39395127968895,3.28066449848566,3.37396203539055,3.40644160833055,3.44521810088229,3.50580561180642,3.70639423314567,3.74318186667869,3.85816836640888,3.95068378533836,3.77924553435824,3.63591596145839,3.50679918678585,3.63304435327109,3.61637374742313,3.51843577642951,3.69826571995411,3.49823343867402,3.50057090184332,3.36643562091642,3.39623182816314,3.32675013242292,3.28289635987785,4.84535720626195,3.94993821612547,3.54421512180013,3.22256064864005,3.12451491025047,3.06032275393545,3.11559174796869,3.16798879216298,2.97496098557187,2.94145702309614,2.91700108436414,2.88381846305704,2.73708960247207,2.72409903208832,2.73225864163017,2.64147299461166,2.69040551199979,2.67242870713431,2.77627050920935,2.88408941383437,2.72720680937191,2.78874024063502,2.72580017048786,2.89374270676289,3.29189980599823,3.14099989103399,3.35355790177961,3.36946351000683,3.48482696867274,3.2512609089505,3.4013622570992,3.74994655553142,3.32068595617545,3.28786262279719,3.14548400652223,3.16508093427082,3.20051752210829,3.1473196230092,3.18713001083233,3.27042668748221,3.26546554177466,3.29898210763951,3.36167124631019,3.44013168988767,3.45950405143627,3.24235500544792,3.26229900217334,3.19005537314368,3.07799626952876,3.14091590595406,3.05459863147502,3.22245767499745,3.28272034177928,3.50793844595866,3.44374367452276],"QQQ^FMA_PE(NTMA,-10AY,0,AM,\"PORTAGG\",\"MEANR\")":[17.6767686852003,16.5901439608725,17.8356594877788,17.5899395414054,17.12760254503,17.7626483795537,17.6685816640068,17.9983431695291,17.7525574736928,17.7599237226918,17.511051871763,18.3533009925595,17.422084545231,17.617025040301,18.3925553609009,18.1011851659073,17.3979472270112,16.2335874734538,17.4343936503334,17.8714901936926,17.4419256613037,17.7249180260534,18.2340660786796,18.8250707244361,18.3919586557227,18.3712188041531,17.9364907802065,18.1880385892038,18.6428925628385,19.7525406103705,20.1288580166441,19.8496763890549,20.7111332124772,20.4989676923022,20.4491971719826,20.349037668167,20.6177269820164,20.5761369398485,20.8736426741464,20.8324734069565,21.7719607257055,19.9771137811959,21.5449372054049,19.9151595063162,20.196240228418,20.6678367430782,20.956323860369,20.58621890021,20.5614607078786,19.5348109136791,18.465513980037,18.2857328311672,18.1372047182048,19.3923158012671,19.9027407391305,20.9504580309277,20.7155399203374,20.2161520478187,21.4580699954962,20.2277449432511,20.9620440293094,20.6079454499341,21.5542023870618,22.0791500617472,23.2526547216953,24.3364007840814,18.3721308610352,22.2789833699196,26.1143009651383,27.4277932952868,30.0704993187267,29.2876721931874,28.6459694418547,30.7039948623061,28.9526525899032,29.619207802102,29.8833080611858,30.3313842003127,27.7459489998933,29.3585799247656,25.8401811773124,27.4005085349207,28.8109539933739,27.9218907595728,28.2556537422961,26.7515501001156,29.3974665091845,29.199178940869,28.3017722627643,25.0762051333927,23.0478844114453,23.9818078799461,20.7326836108296,20.3747039327933,20.3473105707824,24.1950768630731,22.5630029100752,19.2529600887615,22.0148633340982,21.7269715691655,21.8500863325932,23.7898835229777,22.6207215314719,24.3322915205669,24.5935295496149,26.5040485767594,26.8379162595029,24.4427155398554,24.1964325479757,23.7843038549578,23.9914235753631,24.6960736351894,24.9767530722014,26.2366237341727,26.3102558072744,25.2563186286123,25.222439124791,26.3927468875039,27.6800186958681,25.2496622823584,25.8375847254087],"EWL^FMA_PE(LTMA,-10AY,0,AM,\"PORTAGG\",\"MEANR\")":[17.3949110072358,16.6282282876558,17.4143168369637,17.1279019254896,17.2741648562158,17.2700216140338,17.9654680890922,18.2018605615944,17.9885032694303,17.9499873531111,17.9707290652863,17.8511177729862,17.304875112429,17.443146787909,17.4612735469831,17.009780886121,16.4361305248846,16.1151152552656,16.6658410291933,16.6843608949393,16.8302747800967,16.9699568280293,17.2925536345532,17.9483342957115,17.9353091666986,17.8491407711956,17.6093166174343,17.7841235069721,18.5729560813297,18.6964860850329,19.6418627422661,19.4402022766467,19.5670433299075,19.3880636736199,19.4244777153497,19.1066122872748,19.3141445466973,19.7207518695868,20.0782577995439,20.4716358034388,21.0736052692754,20.2723454575394,21.0624047691273,20.5199642599644,20.2243768769774,19.5777072568675,19.3098565109536,19.0094286970982,18.647598180001,17.6443748157601,17.7889778255479,17.2735801805693,16.970166277382,17.6452265053085,18.2756673829993,18.2895294226761,18.096693669386,18.3016759037476,18.2455741632582,18.2044453815778,18.5279238423698,18.4238054997665,18.8476536944368,19.1572095958364,19.6126700682027,20.1104260743133,17.4746596787248,18.1273033007994,18.819535257284,19.083678442177,19.87898308013,20.4465430622286,20.8774630508209,21.1300886546515,21.1831855744421,21.0825476094379,22.0698092689508,21.2469123004081,20.4640769373124,20.5982114813932,20.3706128883438,20.8677443041449,21.0625202985884,21.1447811060864,20.8101064904038,20.1883406035836,21.0671234391185,21.0987971381865,21.0964557099025,18.6843066457989,18.3477996915388,18.664032978915,18.0861087079255,17.7423271552821,17.7535241426586,18.3716163503941,18.1396569284819,16.8135167608492,19.7506849150101,20.2924311915906,21.3657667978177,21.1586703077434,20.5237710255832,20.3818637210357,20.1950110571782,19.4708013837131,19.1492539595248,18.9493671581674,18.5999507116914,18.391730866755,17.6171861317345,18.30271783991,18.4608332754021,18.8133119304086,19.2368447147272,18.9398595806981,18.883949310772,18.944237462106,19.0087168529522,18.5415189509522,18.575779442376],"WL-FDS^FG_PRICE(0)/MAX(FG_PRICE(0,-1AY))":0.707492795389049,"NI-FDS^FG_PRICE(0)/MAX(FG_PRICE(0,-1AY))":0.746180963572268,"CPALM-FDS^FG_PRICE(0)/MAX(FG_PRICE(0,-1AY))":0.877920943437432,"BRENT-FDS^FG_PRICE(0)/MAX(FG_PRICE(0,-1AY))":0.870614479821537,"TIOS-FDS^FG_PRICE(0)/MAX(FG_PRICE(0,-1AY))":0.645532741398446,"EWD^FG_PRICE_MAVG(0,,,,60)":40.319168,"QQQ^FG_PRICE_MAVG(0,,,,60)":472.5055,"EWG^FG_PRICE_MAVG(0,,,,60)":31.1725,"EWD^FG_COMPANY_NAME":"iShares MSCI Sweden ETF","FXI^FG_TOTAL_RETURNC(0,-6AM)":5.0177693,"EWJ^P_PRICE(0)/P_PRICE_LOW_PR(0,,,,,,\"PRICE\",\"INTRA\",\"52W\")-1":0.22814679,"URTH^FMA_PCT_ABOVE_MAVG(200,0,,,,\"PORTAGG\")":61.0953058321479,"VGK^PERCENT_CHANGE(FMA_EPS(+1,0,,,,\"PORTAGG\",\"MEAN\"),FMA_EPS(+1,-3AM,,,,\"PORTAGG\",\"MEAN\"))":-2.96610938651039,"EWD^FG_TOTAL_RETURNC(0,-3AM)":-2.6202917,"EWQ^P_PRICE(0)/P_PRICE_HIGH_PR(0,,,,,,\"PRICE\",\"INTRA\",\"52W\")":0.9152583,"QQQ^FG_TOTAL_RETURNC(0,-12AM)":27.814793,"EWU^PERCENT_CHANGE(FMA_EPS(+1,0,,,,\"PORTAGG\",\"MEAN\"),FMA_EPS(+1,-1AM,,,,\"PORTAGG\",\"MEAN\"))":1.9643195299943,"EWC^FG_TOTAL_RETURNC(0,-6AM)":7.8332186,"EWJ^FMA_COS_UP(\"EPS\",\"1M\",+1,0,,,\"PORTAGG\",\"MEANR\")":106.0,"ENZL^FMA_COS_UP(\"EPS\",\"1M\",+1,0,,,\"PORTAGG\",\"MEANR\")":8.0,"QQQ^FG_ROE(0)":22.4762302222851,"TRYJP10Y-FDS^FG_YIELD_NAME":"Japan Benchmark Bond - 10 Year","EWA^FG_COMPANY_NAME":"iShares MSCI Australia ETF","REFFFUND-FDS^PROPER_NAME(0,,,\"SECURITY\",\"NAME\")":"US Federal Funds Target Rate","TRYUS10Y-FDS^FG_YIELD_NAME":"US Benchmark Bond - 10 Year","CC_SE^IMF_IFS_RCPI_Q(0)":3.39215,"EWI^JULIAN(FMA_DIV_YLD(NTMA,NOW,NOW,M,\"PORTAGG\",\"MEANR\").DATES)":45534,"EWQ^FMA_EVAL_EBITDA(NTMA,0,,,\"PORTAGG\",\"MEANR\")":8.9655680830536,"QQQ^FMA_DIV_YLD(NTMA,NOW,NOW,M,\"PORTAGG\",\"MEANR\")":0.835811934474651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26947618343,8.94163855128788,12.2528535827263,13.1525301901941,13.2299893175071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EWQ^FG_TOTAL_RETURNC(0,-6AM)":-3.4468174,"QQQ^P_PRICE(0)/P_PRICE_LOW_PR(0,,,,,,\"PRICE\",\"INTRA\",\"52W\")-1":0.38226962,"EWU^FMA_PCT_ABOVE_MAVG(200,0,,,,\"PORTAGG\")":62.8205128205128,"EWC^FG_TOTAL_RETURNC(0,-3AM)":8.865536,"ENZL^P_PRICE(0)/P_PRICE_HIGH_PR(0,,,,,,\"PRICE\",\"INTRA\",\"52W\")":0.99821,"URTH^SIZE(FG_CONSTITUENTS)":1412,"EWN^FMA_COS_DOWN(\"EPS\",\"1M\",+1,0,,,\"PORTAGG\",\"MEANR\")":18.0,"EWQ^FMA_RBICS_REV_CURRENT(30, LOC, \"PORTAGG\")":11.5988441524133,"EWU^FG_ROE(0)":13.9488350102174,"TRYDE10Y-FDS^FG_YIELD_NAME":"Germany Benchmark Bond - 10 Year","REFFFUND-FDS^(SUBARRAY(NOT_NA(NO_REPEAT_F(FG_YIELD(NOW,-10AY,D))),0,1)-SUBARRAY(NOT_NA(NO_REPEAT_F(FG_YIELD(NOW,-10AY,D))),1,1))*100":25.0,"REFCATARG-FDS^FG_YIELD(NOW,,,0)":4.25,"TRYUS10Y-FDS^PCTCHG(FG_YIELD(0,,,,\"YTM\"),FG_YIELD(-3AM,,,,\"YTM\"))":-15.003351,"TRYNZ10Y-FDS^PCTCHG(FG_YIELD(0,,,,\"YTM\"),FG_YIELD(-3AM,,,,\"YTM\"))":-12.296191,"TRYGB10Y-FDS^FG_YIELD(0,,,,\"YTM\")":3.772,"CC_NL^IMF_IFS_RCPI_Q(0)":2.888117,"VWO^FG_PE(0)":15.1582445076425,"EWD^FMA_EVAL_EBIT(LTMA,NOW,NOW,M,\"PORTAGG\",\"MEANR\")":16.3772212878241,"EWQ^FG_FCF_YIELD_NTM(0)":6.03649168179803,"QQQ^FMA_PE(NTMA,0,,,\"PORTAGG\",\"MEANR\")":25.8375847254087,"EWL^JULIAN(FMA_DIV_YLD(NTMA,NOW,NOW,M,\"PORTAGG\",\"MEANR\").DATES)":45534,"EWC^FMA_EVAL_EBITDA(NTMA,0,,,\"PORTAGG\",\"MEANR\")":9.66326410014247,"ENZL^FMA_DIV_YLD(NTMA,NOW,NOW,M,\"PORTAGG\",\"MEANR\")":2.51392724535129,"CAGDPY@US^EE_ACTUAL_ANNUAL(MED,0)":-3.31108668288718,"CAGDPY@NZ^EE_ACTUAL_ANNUAL(MED,0)":-6.9,"USDITL^FG_PRICE(0)":1753.8678,"USDANG^FG_PRICE(0)":1.79,"USDUSD^FG_PRICE(0)":1.0,"USDGBP^FG_PRICE(0)":0.76449674,"USDJPY^FG_PRICE(0)":142.52,"USDCAD^FG_PRICE(0)":1.35965,"USDNZD^FG_PRICE(0)":1.6261485,"EWI^P_PRICE_RETURNS_PR('52W',2,-10AY,0,AM)":[19.685268,-3.4401894,-5.481571,-3.3575594,-17.456203,-9.637302,-13.727164,-11.398989,-9.693909,-11.595768,-6.457293,3.862691,-6.054282,7.0231915,2.4690032,-0.07815957,3.100276,-21.479733,-9.896982,-20.116758,-20.642126,-24.54905,-25.765282,-25.645733,-20.619524,-25.510836,-20.764833,-11.378611,-2.429694,10.771108,6.208098,10.302055,20.464611,25.181507,33.97946,35.031963,39.64534,46.616936,42.66759,35.82214,38.575745,38.196026,35.071014,35.992443,24.101437,11.089754,5.061567,-3.4802139,-6.8612933,-13.808846,-16.24329,-16.02484,-18.651522,-15.273512,-13.791079,-11.217367,-14.768988,-7.3236046,2.6831865,-2.3330867,4.5405865,12.832737,24.762547,21.724499,20.115936,21.032738,-27.68587,-20.528275,-21.440155,-8.738285,-10.991359,4.2275786,-5.02373,-7.0647,-8.7371235,1.8901587,2.8082252,4.34345,72.124626,50.025368,58.206715,49.77491,33.447445,29.744995,29.371489,29.085278,29.993069,13.712776,15.831828,7.3375583,-12.605101,-6.742984,-15.357965,-21.45728,-26.033276,-21.155035,-20.869,-30.655563,-15.555531,-11.249388,-8.1754265,-3.799808,13.878655,14.586496,24.116528,25.402487,47.38177,31.808674,33.980392,47.94315,21.05466,25.838398,18.622185,16.765976,29.717875,18.468369,25.381983,26.798975,20.18919,15.887713,25.478601],"EWN^FG_TOTAL_RETURNC(-10AY,0,AM)":[3.7489414,-7.47056,4.519522,0.25188923,-2.5169075,7.0277095,1.3290405,3.457868,1.8440247,-0.56582093,0.83248615,-0.4187286,-7.683486,0.99378824,0.86101294,-4.146343,-2.2012055,-5.235606,11.924494,0.94611645,-1.0289371,-0.68965554,-1.9188285,5.53174,0.6501436,-1.0496557,-2.9783726,1.2615561,2.9711008,2.2058845,6.5547585,0.73143244,7.8756332,1.0355592,1.6409755,3.368497,2.962482,1.5664935,-1.573813,1.4070988,4.1496515,-4.019487,3.48984,0.18393993,-1.7441869,0.3737092,-2.2520661,-0.967741,-2.3452818,-5.4703116,-0.5292833,-1.6672611,-1.7295837,6.7502737,1.4858365,5.6520224,-0.5478561,0.45366287,2.3287416,-3.1653762,6.237495,-0.69074035,3.3828735,2.0489216,1.5241861,2.7267337,-28.274668,10.860813,2.9390454,11.843491,7.8927636,4.9955964,-1.4273643,5.252695,2.292955,5.7225823,6.6083074,7.9108,-2.4363756,5.997777,-1.9562483,7.422006,-2.2316039,4.5856476,3.8537145,-7.099581,8.029342,-6.979811,0.9422302,-9.235734,-14.419013,3.997922,-10.496759,3.1881213,-7.4753523,13.820648,-7.5402975,-15.860521,26.169788,3.8145661,6.9114327,-0.12007356,-4.376054,5.783248,-0.8081794,2.6227474,4.132235,-2.8798103,-7.681531,-3.1360686,4.7258496,8.451759,0.9397626,8.214771,4.092455,-1.7926276,5.0611973,3.9632916,1.1138916,-9.401709,2.9140472],"SPY^FMA_DIV_YLD(NTMA,-10AY,0,AM,\"PORTAGG\",\"MEANR\")":[2.11026912673755,2.21104821185827,2.09075354796271,2.14980447837433,2.13869881295086,2.11394642110482,2.1792172873699,2.14719230192098,2.16371706264299,2.17634430099422,2.19483531868702,2.21586351850872,2.3678583434001,2.30776583612397,2.30716212843026,2.34103294675335,2.44748115799663,2.45182025901469,2.47519773454617,2.29179874134034,2.29270141173246,2.27710953304458,2.22642425893745,2.20341664155043,2.23147815257003,2.25180162340357,2.23891481056996,2.16580231416045,2.16467061265386,2.14117898857405,2.10103240225839,2.13588496407134,2.10952993394301,2.08860423283758,2.10191059392973,2.11521825969821,2.07835454887847,2.04054722668306,2.03271670486126,1.96378796215051,1.89000774206863,2.01240240424149,1.94522787616471,2.0488368940152,2.02027602670771,1.98861697701164,2.00374442189684,1.99644665563204,1.96916360947253,2.06684288990431,2.10305662589143,2.18092014239758,2.24375147571903,2.13760270737702,2.10778704671663,2.04142467108021,2.07114797213146,2.08857067393243,2.00642321888572,2.10484737378252,2.02785242598777,2.06478356400677,1.99747981052368,1.96045585268067,1.91795070978507,1.86887240275904,2.55958609559482,2.22380561850496,2.11427913510441,1.98159846003012,1.87128165780308,1.76186399359929,1.78685498430077,1.69154396688908,1.69580926231056,1.64069499218345,1.56291864946184,1.52505351622723,1.53153744413699,1.47040509139965,1.50414554929569,1.45106590677813,1.42298298548786,1.41252004569992,1.42267113959173,1.46612948154277,1.36993187501747,1.37014220770875,1.36897910589167,1.48784281155434,1.57145630323683,1.49702745337367,1.68639428468756,1.71228908093691,1.76155268039653,1.58633922001457,1.66552289348829,1.91876015115759,1.73184263188151,1.73661011733322,1.74631178942823,1.71166532352468,1.82223430425372,1.72535176256364,1.7105730220071,1.63679045469853,1.59128338694326,1.6061421336018,1.61395132277138,1.66811277482576,1.64750706208204,1.5744749105555,1.54185945646614,1.49027898028537,1.45265747669307,1.47071243150415,1.46180855431216,1.41852713775484,1.37199730944022,1.44773701210976,1.39919024358435],"EWU^FMA_PE(NTMA,-10AY,0,AM,\"PORTAGG\",\"MEANR\")":[13.37645788891,12.5069967406504,13.3486489517283,13.2067531288074,13.7524242389865,15.3881769689533,15.2358567743918,16.0803042769955,16.0739675751224,15.5874338361336,15.2118083680274,15.1809486166444,14.325634596936,15.2028371861573,14.9543970825695,14.5504639555129,14.5523097084922,14.8392059698641,16.020247807802,16.1932520291571,15.6610200127315,15.456618916032,16.0900054760544,16.325565105227,15.5922053837391,15.3779326882363,14.3743852810301,14.305727504765,14.4632205552585,14.5121104342617,14.3415333034341,14.4813968248881,14.6808018038584,14.6401584811315,14.5963812283746,14.4243020492942,14.6634790568996,14.6486338153323,14.3707702445482,14.4528516554168,14.8397820257274,13.4757211455157,13.548602869012,13.6041217226968,13.9891439125936,13.5347316598189,13.2482475180132,13.0323955034441,12.4414386351018,11.8366036319624,11.7737906446806,11.5953486758009,11.8642334111706,12.3141526061127,12.3790351158894,12.7885761071576,12.2672687034365,12.4877309749518,12.6404910718425,11.9607002690616,12.3390765496593,12.4392501460001,12.8579614767507,12.9469988924339,13.4549886209923,13.5115875792684,9.88988218396876,13.2253745610825,15.2884656092934,15.9019814225927,15.6119715922575,16.1000166081714,15.0329871236299,14.5033075047294,14.7879587638364,14.7994631566262,14.6323682106485,14.0836389003849,14.0751557248093,13.4205635977041,13.2956089622426,13.2186602423752,12.6928184886668,12.3602481211815,11.97631497568,12.1097680691049,12.1230139523591,11.9373582331542,12.4566206496888,12.4026246604778,11.3002413464471,11.1884921875061,9.97058712333547,9.98848076507012,9.50519256150523,9.81800309733504,9.5160725152981,8.47624047052894,9.39165873373761,9.87156297734155,10.3188104747015,10.5513876867065,10.3258797280825,10.756159507491,10.5060933341202,10.2667962348804,10.3308316650995,10.503761804625,10.4185844594378,10.4636997772411,10.0702362031538,10.6216800502507,10.99522377176,10.9975757091969,11.3746496069381,11.5020286718484,11.9263728731664,11.5736784599033,11.6437916629445,11.4065490061456,11.4678114289282],"EWJ^FMA_PE(LTMA,-10AY,0,AM,\"PORTAGG\",\"MEANR\")":[15.2585615979241,14.6983497259631,15.7806870866173,15.6711940372779,15.5504263974017,16.033551018592,16.91362197979,16.9086024667639,16.9547534433503,17.0182069184101,16.4777221502367,16.8120193082556,15.4554872071275,15.5880454226371,16.1700696790666,15.7344265555179,14.1819792229515,12.4005548182792,13.8980621957561,13.681268206476,13.8565568844956,14.0301570735055,13.9404361415422,14.1438707735123,14.2446210423669,14.3313330096841,14.726368354767,16.4263200702425,16.5659264195316,16.3935407048128,15.9556360058039,15.5595368109379,15.6974544801761,15.6212617794517,15.4927756149809,15.1952121941301,14.8754447931939,15.0726035368918,15.8660551661815,16.2800464973369,16.8554473808461,15.1717716991523,14.4072745592186,14.2188042994663,14.3065771505919,14.1856956631048,13.7980334891535,13.6898952277831,13.3666387269653,13.2519175787343,12.9102475167703,12.397421764359,11.7916340124008,12.3234527856519,12.6982337245186,12.7270650621839,12.6222250240842,12.8028054881361,12.984453844246,12.7387632340106,13.415417612203,13.5026269659587,14.5012945310176,15.0420053067885,15.4591429465003,15.3698424422892,13.6647208421841,13.8930910407238,14.5275200181186,16.3158556841572,17.1207512934763,17.9644732897018,19.5299368785126,20.5131115327894,21.9551209363971,22.739673119976,24.0143915698157,23.7084450640221,21.5990058542517,21.1573287700919,20.4543748655871,20.1234426331366,19.6218697771215,18.9983619145586,18.8259602857946,17.6527445692553,17.596461284879,16.4120524148387,16.2583226341771,15.4151713767806,14.5183502123671,14.4070161615382,14.0826596729906,14.2264656952337,13.815030030148,14.0405895797242,13.819537731662,13.0364865743402,13.5402187802915,13.3486233159582,12.933575777471,13.5554160303936,13.6807169779577,13.6664510488033,13.8766417709118,14.3572982162341,14.3807772316134,14.6602819335812,15.0162606799461,14.9581945437806,14.9993647668234,15.1072443930945,16.2141336461038,16.4754761879229,16.9558437578279,16.9481088159063,16.7404789074668,16.7065718873846,17.0142202371443,15.3533592803259,15.4541053568565],"WL-FDS^FG_PRICE_CHANGE(0,-1AY)":-27.6490288010717,"NI-FDS^FG_PRICE_CHANGE(0,-1AY)":-19.9445284921836,"CPALM-FDS^FG_PRICE_CHANGE(0,-1AY)":11.7287381878822,"BRENT-FDS^FG_PRICE_CHANGE(0,-1AY)":-8.90185676392573,"TIOS-FDS^FG_PRICE_CHANGE(0,-1AY)":-22.6626776364996,"EWD^FG_PRICE_MAVG(0,,,,30)":40.271,"QQQ^FG_PRICE_MAVG(0,,,,30)":463.30234,"EWG^FG_PRICE_MAVG(0,,,,30)":31.366333,"EWN^FG_COMPANY_NAME":"iShares MSCI Netherlands ETF","FXI^FG_TOTAL_RETURNC(0,-3AM)":-2.6505113,"EWJ^P_PRICE(0)/P_PRICE_HIGH_PR(0,,,,,,\"PRICE\",\"INTRA\",\"52W\")":0.9713101,"VWO^FG_TOTAL_RETURNC(0,-12AM)":12.947249,"VGK^PERCENT_CHANGE(FMA_EPS(+1,0,,,,\"PORTAGG\",\"MEAN\"),FMA_EPS(+1,-1AM,,,,\"PORTAGG\",\"MEAN\"))":0.0,"EWD^FG_TOTAL_RETURNC(0,-1AM)":5.333674,"EWJ^PERCENT_CHANGE(FMA_EPS(+1,0,,,,\"PORTAGG\",\"MEAN\"),FMA_EPS(+1,-3AM,,,,\"PORTAGG\",\"MEAN\"))":10.3040607911509,"EWL^FMA_COS_UP(\"EPS\",\"1M\",+1,0,,,\"PORTAGG\",\"MEANR\")":22.0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712369,17.2298191407891,20.6862902757634,20.5983105880676,20.3440340808751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4469,9.791837,10.764477,11.358896],"EWG^FMA_PE(LTMA,-10AY,0,AM,\"PORTAGG\",\"MEANR\")":[14.2773260602564,13.2688778334265,13.5939231315464,14.0426136947858,14.251580552375,15.7957515677636,16.5312286552213,16.646122667963,16.0881986755216,15.6856312016131,15.5554574828692,15.0095911423568,14.1879545370979,13.992744660434,14.4146974562052,13.7111668565447,12.9965822050883,11.8821369605081,12.7194321345345,12.7216211949147,12.7551512718095,12.7200029920131,12.8448698818435,13.4364864067603,13.3946109368856,13.6075275758515,13.7021570143689,14.3590453066796,14.816711860513,14.9245788584118,14.9697675917959,14.8985708442522,14.9118486583776,14.745432868083,14.6381881106309,14.1397285354081,14.3636582529686,14.7837394969687,15.2540062124712,15.5337715128091,15.5807821514817,14.2671018544576,14.2336592675672,14.1371805125748,14.2223580899837,14.1552611907917,14.0071855814734,13.9825843129578,13.7847650506879,13.2492303707181,12.9534765965213,12.5866024007065,12.4286019601991,12.8477459237421,13.1969140037699,13.2891373410779,13.2771545266368,13.2161538125201,13.4989856607263,13.2913698066135,14.0330645860251,14.2074658759574,15.1716269213499,15.317523325301,15.7657294752993,16.307074298846,13.4387715074747,14.2755371533434,15.3057878479101,16.8837185007981,18.4257868504757,19.6545533879011,20.4414630495581,20.8450619760732,20.4398517867522,20.7392148199832,22.1945565175051,21.4635791605094,20.2176521756913,19.9357637950771,19.0417450098304,18.7485671370333,18.2046245856322,17.3461713330244,16.620089408538,15.753382835584,15.379874329784,14.3821211134293,14.1670143666298,13.3543936908569,12.3681779584845,12.348254391682,12.029546308332,11.8684936581831,11.3538213520287,11.3225522616112,11.0345378400764,9.98229991010848,11.0081201475376,10.7677684125842,11.3881543733778,11.5528098847402,11.3525927837404,11.3947374043214,11.3301790308254,11.2793304158746,11.2492552967919,11.1961324924858,11.2037004618084,11.0635684703198,10.9770353651854,11.9335002476134,11.8863677276348,12.1079313147068,12.5525351367718,12.5076787066869,12.6228355646793,12.5815506167052,12.6830983552805,12.3027269894823,12.7825377157353]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0.95881224,-6.553382,1.5779734,1.7658949,-10.394203,-3.1435847,-5.384302,-2.75082,-5.0233364,-2.5297105,-1.910758,-1.7952859,-2.4409533,6.121218,-5.9066057,-10.114515,-7.214141,-17.59193,-7.5143695,-7.5866404,-11.283302,-14.314735,-11.7189045,-5.1750603,-2.4790823,-5.5173755,-4.1375694,5.8535695,10.724104,20.621014,12.297869,8.870232,21.64818,24.013054,29.995655,19.425034,24.207592,30.396248,28.246271,21.943092,27.023363,14.501249,15.71579,8.431649,5.013907,1.7749548,-6.664592,-2.956158,-5.4433403,-11.000281,-11.8752365,-11.176247,-14.31014,-7.973242,-9.647822,2.6551485,-6.7075253,-3.973329,3.4644961,-6.585598,-0.9809375,1.0428548,13.688803,18.4142,15.675902,20.352316,-15.848679,-12.200266,-6.877029,2.8613925,7.8163147,29.08318,20.548702,26.32959,20.010674,23.47343,29.409313,26.515984,90.48357,76.00001,71.82926,68.848274,51.275208,40.070354,38.947166,26.297115,32.46068,20.441675,17.180656,1.357913,-15.792447,-12.834549,-24.052244,-26.68963,-31.460238,-26.184887,-29.25431,-37.174625,-25.26018,-22.081434,-20.975143,-13.809562,-3.968203,-3.1150043,11.43111,6.6632986,18.488895,0.9869218,3.802669,26.92088,0.267303,11.930382,9.420431,11.414253,26.443172,10.763062,15.536189,23.578775,19.577753,18.676054,29.88857],"EWQ^FG_TOTAL_RETURNC(-10AY,0,AM)":[2.8026938,-10.79607,2.2819877,-1.8725157,-1.7332375,9.003746,-2.3709357,4.778683,1.1214972,-0.29574633,-0.41967034,1.3252616,-6.7638216,2.7254462,-2.1849394,-3.9888322,-3.8480997,-5.1170883,11.106038,-0.9872496,0.78936815,-1.3602614,-0.9367049,4.759836,0.53697824,-2.5061667,-0.46354532,3.5562992,3.067398,-0.756371,3.4897685,2.1705508,9.901357,0.48326254,1.7638564,0.44642687,4.5128226,1.8972874,-1.2841105,1.658535,5.2132845,-4.910034,2.629888,0.8749962,1.734829,-1.9792974,-0.9555757,-2.5936604,0.723207,-4.7323704,-3.6998987,-2.0989,-1.3653338,4.145074,3.9445639,4.4786334,-1.9960701,1.1018395,3.6302686,-5.1600275,4.820931,-0.32851696,4.515493,0.94606876,1.8409133,0.12296438,-32.361065,10.71266,-2.665025,13.774228,4.081762,6.2298536,-0.9100139,-0.4421711,6.5937877,6.185901,3.346336,0.32286644,4.0959716,1.2928605,3.107655,6.4504385,-2.7862966,3.3394694,-1.7048299,-3.2876015,7.2269797,-2.6210785,4.7421336,-6.03621,-12.981802,4.490936,-7.4183106,2.45862,-6.90096,11.9080305,-5.335784,-12.406868,21.708572,2.765119,7.571709,0.44138432,-0.8239448,7.5879216,-0.33461452,-1.7777443,4.8655868,-1.9994855,-3.6358893,-4.505974,1.620233,7.60839,0.46815872,1.0677099,6.467402,-4.1384277,6.033826,-2.866155,-0.8527696,-5.2112284,4.056585],"QQQ^FMA_DIV_YLD(NTMA,-10AY,0,AM,\"PORTAGG\",\"MEANR\")":[1.21899396306363,1.29897661037713,1.21822821608657,1.2343405232945,1.22596657624615,1.23403197111489,1.27083337846728,1.25309261202606,1.25825185646956,1.25645393428369,1.26815330981798,1.28024209317249,1.34946956388827,1.33483083633475,1.29155331468339,1.31058183502697,1.33804416852863,1.4698693982285,1.36792810606793,1.33281108795883,1.39453816544792,1.3621594770997,1.31971192222101,1.27553203786919,1.29385701303607,1.27709772925944,1.30955856276947,1.29314047494324,1.25807005435985,1.24020759724841,1.21495280909675,1.2252211505906,1.17332644505465,1.17904692622709,1.19010033836101,1.18881283492331,1.16001606366972,1.14710580284425,1.11365373427376,1.10935392752133,1.04544876277119,1.10773807712018,1.02878619863448,1.11386375699734,1.08179633413312,1.05056269023441,1.03293612849679,1.07776980813142,1.07783370174814,1.1354286671093,1.20758958898926,1.23595496971316,1.26893623605216,1.20631062821891,1.16417257131128,1.10470758827079,1.11979029855516,1.14779486586865,1.07872667720576,1.13913035055152,1.08851354142631,1.10539224017157,1.06348706559016,1.06667356645282,1.02233115220235,0.960313061083968,1.27775740432837,1.12674411293749,1.00215527330954,0.939960939946684,0.840603771608303,0.818695954921048,0.825129871932508,0.760163758628863,0.783202020406656,0.753044143938726,0.764429525432075,0.721027807351708,0.775199109702953,0.728399522800811,0.777857942606338,0.729243327547427,0.690346880427962,0.700765678344131,0.687638197330207,0.730998646931167,0.665440057311057,0.665819306009752,0.687149068711593,0.778889563083036,0.845466162863649,0.809750128607112,0.949619592832571,0.965087861417859,0.981501021524938,0.853200769331401,0.915941498797502,1.09098927836286,1.00380449265737,1.00982087647298,0.994123103681616,0.937086733776982,0.98080138200022,0.907637921225325,0.859842344835312,0.782431530449594,0.758950755444272,0.898413034779317,0.886595150733459,0.919229637210953,0.904436821950736,0.872398073670968,0.91481627894268,0.884311958671674,0.876076912716018,0.924926619135548,0.938086298778862,0.879254450409023,0.815270534693165,0.877159372856122,0.842058888563491],"EWL^FMA_PE(NTMA,-10AY,0,AM,\"PORTAGG\",\"MEANR\")":[16.1418752325687,15.1180215919904,15.9675671488306,15.6489850724165,15.8078266032767,16.9141694830038,17.4685134402076,18.2873658413189,17.5018314072712,17.3256641821199,17.3141890608346,17.182790475618,16.4383634756011,16.5435675800874,16.7864367864413,16.3629039781085,16.0861117394715,15.6779693546216,16.6850509645926,16.4562304726909,16.6178465654059,16.6654060352742,16.9383435332725,17.6160580413198,17.2254627620828,16.8186819442138,16.4589581239384,16.504078565895,17.1233488385457,17.3800024830095,17.6390374546385,17.4413067628497,18.0923990885338,17.7404621099658,17.9044214793585,17.4298361216625,17.7047504416999,17.96105941646,17.6132197782747,17.6176998546961,17.8993111783041,16.5140208893717,16.5367672208639,16.0690673027321,16.3319589528541,15.7548611046597,15.9093533284476,16.0272555606498,15.9571678344212,15.1319977221845,15.5983233753669,15.3177656080605,15.2151961802266,15.7195178193023,16.2433409705371,16.7920948899664,16.4548542669117,17.0480029716211,16.9318110130903,16.8737924681681,17.2730973137816,17.0625929798254,17.3889625616597,17.5083847853927,17.7647889301834,18.4211085908958,14.0232727291886,17.201386624659,18.704259928054,18.7766596875593,19.627224632589,19.7122072361945,19.5541471928664,19.2426396854832,18.9784874389282,18.4091986008489,19.0648595587587,19.000922289717,18.53647495722,19.3310239147787,18.7515331576727,19.8934381358954,19.9882543846682,19.958160155469,19.2911374042742,18.3842061646219,19.4462035681926,19.3398855423122,19.1992758342534,18.345573487205,17.2783782289093,18.512966004394,16.6925068223789,15.9733284461668,16.1573524224666,16.9119963160218,16.4142104307239,14.8035628288511,16.9796219447775,16.6843077957394,17.2033111614036,17.0338052116019,16.6508081957951,17.3345336648398,17.5272074274308,16.5094503737963,16.4395330737577,16.5933964586186,16.3645957163428,16.2150502837155,15.7195907330994,16.6508172933317,17.0212809056715,17.2119905508277,17.8616551759794,17.0192926872848,17.1567655727191,17.4305317745313,17.5650473680404,16.8995176113042,17.0296891122169]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79906,24.5344428387709,26.6372021629589,24.0483215527383,25.3040632089053],"TRYMY10Y-FDS^FG_YIELD(-10AY,0,Y,,\"YTM\")":[4.131911,4.345605,4.195897,3.902544,4.235642,3.300551,2.804181,3.573893,4.131847,3.727505],"TRYAU10Y-FDS^FG_YIELD(-10AY,0,Y,,\"YTM\")":[2.81,2.88,2.76,2.63,2.315,1.375,0.972,1.671,4.051,3.955],"USDSEK^STD(FG_PRICE_CHANGE(0,-3AY,M))":3.08926120822716,"EWQ^FG_COMPANY_NAME":"iShares MSCI France ETF"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09323534995,11.2074687408189,13.9227699516468,15.8587443966116,14.7207876109821],"TRYMX10Y-FDS^FG_YIELD(-10AY,0,Y,,\"YTM\")":[5.8237,6.2537,7.5651,7.6401,8.7069,6.8373,5.552,7.558,9.0223,8.95],"TRYPE10Y-FDS^FG_YIELD(-10AY,0,Y,,\"YTM\")":[5.681629,7.426917,6.415413,5.167133,5.645114,4.243226,3.535983,5.889906,7.923381,6.6087],"CAGDPY@GB^EE_ACTUAL_ANNUAL(MED,+1)":-2.7,"CC_GB^FG_COMPANY_NAME":"United Kingdom","USDSEK^STD(FG_PRICE_CHANGE(0,-1AY,AM))":3.08597866558836,"USDCHF^STD(FG_PRICE_CHANGE(0,-1AY,AM))":2.24617203114476,"USDUSD^STD(FG_PRICE_CHANGE(0,-1AY,AM))":0.0,"USDEUR^STD(FG_PRICE_CHANGE(0,-1AY,AM))":1.55826270915507,"USDAUD^STD(FG_PRICE_CHANGE(0,-1AY,AM))":1.99666617956448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EWQ^P_PRICE_RETURNS_PR('52W',2,-10AY,0,AM)":[7.7589035,-8.188361,-6.230074,-6.2788067,-11.656117,-4.1132393,-8.915872,-5.641806,-7.4058056,-7.9854546,-4.019189,2.5951624,-6.918204,7.152164,2.4725318,-1.6541004,-1.8953085,-14.604235,-2.125913,-8.163988,-8.465612,-10.406274,-9.913081,-6.85944,0.43387413,-4.681033,-4.5268774,4.6189904,12.14348,16.234982,12.591446,12.741291,22.933805,25.231373,28.645302,23.501469,28.226376,34.01792,31.355953,30.477322,33.193897,27.619303,26.558949,24.95414,16.838657,12.834334,9.819067,6.2048435,2.63381,-4.043764,-6.39202,-9.851891,-14.339071,-7.440776,-6.255114,-2.9061913,-6.352818,-3.5268128,0.93997717,-1.7194986,2.2788525,7.264042,16.135597,19.747686,22.237814,18.865227,-22.651863,-16.645605,-18.59613,-8.392745,-7.963562,3.055954,-1.7392039,-2.689588,-0.754565,5.1525354,5.940199,6.151724,63.366936,49.467148,58.331657,51.161755,38.364326,34.5996,34.803783,29.703867,30.47434,19.113613,21.268929,14.217067,-4.5960546,-2.054137,-12.05315,-14.872372,-18.933947,-12.212217,-15.455037,-23.426998,-12.714994,-8.278007,-5.8001575,-2.363956,13.574446,18.16367,27.204704,21.945168,37.3575,20.992172,22.447227,33.49196,13.845646,16.711748,9.004629,9.6843605,17.748272,4.914522,10.930788,10.381508,4.3623567,0.94212294,9.000039],"QQQ^FG_TOTAL_RETURNC(-10AY,0,AM)":[4.2548776,-4.840553,8.49216,0.20495653,-0.724113,4.382074,-0.1886785,2.0758748,0.02783537,0.89998245,-0.7825434,2.6660442,-4.478824,1.4052987,4.916191,-1.1156738,-4.441774,-7.125264,8.6411,3.1403303,-3.3056378,2.8803468,2.6162148,5.121529,-0.74231625,1.1898756,-1.3796568,2.7288437,3.4837365,3.780353,3.148067,-0.15027523,5.866182,0.4545331,1.3326287,0.995028,2.8993607,1.2817979,3.9994478,1.3079166,5.8716297,-3.4166276,9.573865,-6.664485,4.469514,3.7589908,2.283299,0.5906582,1.1411428,-4.352832,-4.5835257,-0.76955557,-2.356267,6.3476205,2.8088212,5.963695,-0.4466474,-1.4378369,6.3713074,-4.743445,4.8169136,-0.89769363,5.45758,2.466011,6.000662,7.2517514,-24.309557,13.51645,10.584486,6.194854,12.101019,2.9889703,-0.5186379,9.061729,-2.081281,4.66367,4.1876435,7.1769834,-6.238675,6.8557262,-5.875188,7.684052,6.329155,1.4099598,2.465105,-5.0574303,10.516882,0.8386135,-2.5527,-10.401445,-6.5291286,4.7689795,-14.228905,-0.7934034,-0.71421266,15.424132,-5.947524,-15.322131,9.632217,-0.8265078,-2.049166,7.4001193,-3.7203968,8.654714,3.8301826,10.9097595,3.5624027,-1.7649293,1.7884493,-0.6238222,2.286923,5.3595543,2.9895306,6.2945604,1.9111514,-1.0854065,0.864768,7.25919,4.527056,-8.778948,4.8384905],"EWL^FMA_DIV_YLD(NTMA,-10AY,0,AM,\"PORTAGG\",\"MEANR\")":[3.29357269738732,3.50999395957838,3.28955450223122,3.32257632241545,3.28635793550876,3.28869995940211,3.17044294718046,3.02364388819327,3.13402348694593,3.17743579390929,3.18474821005041,3.18919002669835,3.35073926683314,3.334532049772,3.279466819463,3.38242276260618,3.46849055958857,3.6480781466079,3.46838611723425,3.55387830337354,3.55919111606839,3.54851094591252,3.51319819226843,3.41297798451788,3.47148231885146,3.55191292147116,3.63136955205799,3.6224367614526,3.48736228200301,3.41928802360108,3.34952494544337,3.4163551183181,3.28749648857413,3.37035632731451,3.26360874998221,3.33824926094887,3.27253346536179,3.22930414163066,3.28859251217393,3.23156242484099,3.16540207840941,3.41171047822755,3.40327834787093,3.48703784501948,3.42151360552011,3.53465505281458,3.48526300917734,3.42229033877822,3.42298323347385,3.63205222229507,3.53681652209222,3.57406652958682,3.53945959907157,3.43471872983324,3.37560940648263,3.27446593401154,3.34472369712065,3.23878090552858,3.26441827039413,3.26104749117227,3.17531665666314,3.21834761065463,3.13694667669542,3.10353845323133,3.03730209591308,2.93949209764196,3.89817707998636,3.40426873881295,3.23840019287633,3.17601842030721,3.0151502831315,2.92223152946556,2.89918818250058,2.90919364702241,2.89220062255283,2.91314693195398,2.8076706302203,2.80591910359979,2.85211612839531,2.75358214541574,2.79978336635796,2.6223880357757,2.60051607436453,2.55948076390396,2.63048266198272,2.7448620211098,2.56947660468959,2.58037771128618,2.59118106889758,2.74675653096951,2.9374052576004,2.75552927221923,3.01704548026965,3.12948282029368,3.13119801902118,3.06429911257959,3.14146851435475,3.4664133994123,3.09084637929833,3.14152334497321,3.07005186181735,3.09347390411903,3.24720786632931,3.12314197085657,3.06762147093331,3.16881014624157,3.20086312065791,3.21438809099203,3.29531005514057,3.34635735844811,3.49294969427173,3.31207276736258,3.27644494083802,3.37707589084005,3.21960264237729,3.3569118581579,3.27276741205932,3.17712202486185,3.14606420573512,3.2411424046748,3.19891368442206],"EWG^FMA_PE(NTMA,-10AY,0,AM,\"PORTAGG\",\"MEANR\")":[12.7640312246931,11.6096709554332,12.1570662450545,12.6140545513023,12.8380595956234,14.2381060003773,15.2974277836292,15.90603691566,14.3424563835108,13.7275961497461,13.7483321944471,13.1895348879273,12.2720804956214,12.4424743129648,13.4076054902511,12.9023751221756,12.3571624724247,11.3732567940769,12.5412986546212,12.434345122498,12.3728635915657,12.1514418532897,12.2908143615781,13.1512439580967,12.7809986131182,12.8523535172004,12.8149234703325,13.3684400085148,13.6521187237802,13.6297623685621,13.8574938465021,13.8551641580916,14.0443225095291,13.7331495934456,13.6034699366304,12.9152603873323,13.3741874532377,13.8052366540094,13.9711759856291,14.0449247283964,14.0563175615472,13.0049951129841,13.1506348513813,13.0395912049667,13.4341788607517,13.2950072443598,12.9399195371661,12.8581373553285,12.49374279486,11.8801994813437,11.595567225711,11.3462789431022,11.3205128750578,11.7252422186818,12.1443843444536,12.6627812798449,12.5783091446634,12.3942279973395,12.8080491134829,12.3265067591933,13.1065438748543,13.1175008100439,13.9404446690038,14.0866331180923,14.3552463604081,14.5872054217011,9.88400238449958,13.5012910233363,15.3680815976263,17.3288670006862,18.3088966874919,18.2780227561019,17.7496713341572,17.047609236403,16.0125769527074,15.7093616352893,16.1856666965332,15.8623852203609,15.8912871550136,16.1346897357383,14.7163268117849,15.0185377861553,14.7917183333753,14.3939473892796,14.027002608384,13.4267799285698,13.8013981351481,13.2990535981244,13.4197705137938,12.8248312926141,11.0770534048936,11.3233544919676,10.6205830617991,10.4900520455481,9.83537011771045,10.3435591734168,10.0375515104043,9.00030534260339,10.7045980218153,10.6594291502862,11.4017312797765,11.6378126646984,11.4717174656139,11.3721306958332,11.0469310197081,10.860435403345,10.7347667098842,10.6329892237215,10.5586356518809,10.3132531325809,10.2562202091249,11.2403623659486,11.1117438093792,11.594247413869,12.2127037335875,11.9633744823997,12.2298676344571,12.0028673870074,12.0832177812169,11.3571663512927,11.9514489729844],"EWA^FMA_PE(LTMA,-10AY,0,AM,\"PORTAGG\",\"MEANR\")":[15.2487152257446,14.5620837773082,15.136215117403,14.1659501262923,14.8401334024556,15.5755879554662,16.1744322410386,16.3754703964034,16.2278065536212,15.9774469485795,15.8603446039008,15.7698913112468,15.2345937139231,15.6623604195213,15.3160400721795,15.1460539267285,14.8181427924261,14.5687737263046,15.1551611205159,15.09983833373,15.6535108973289,15.7523770220437,15.9878021234661,16.609676108332,16.0872997894956,16.8958320270915,16.9991673123515,17.5128082160809,18.0538019435176,17.7663985794786,17.486200019872,17.3610581461155,17.1268254270935,16.7547858197257,16.674351975152,16.6679885377975,16.6213520560459,16.4809055200265,16.8909540358367,16.6554081499574,16.7844566738707,16.0855950501654,16.5128456623047,16.2685253110546,16.3708513830814,16.1564894944532,16.3279218180506,16.3409066884196,16.0301555317657,15.414780971712,15.5030560514526,14.7663811297647,14.9955251256875,15.6980843806899,15.8697096477177,15.8579386987641,15.8579948762101,16.0936253395944,16.2652980835206,16.2766615094056,16.6606790419859,16.8178855295161,17.5321612662565,17.6195992512161,18.3003286942208,18.6977679069197,16.3710006787113,16.7400888471021,17.3834256634094,18.298234693611,18.5377595060374,19.596484617357,19.2094293074221,19.9831125409857,21.2222427035535,22.5284612472882,23.3100508322941,22.9374277053511,21.652438995315,21.2421451385653,20.8238633595929,20.5733404179039,19.6150047634779,19.27790349889,18.7883007690196,18.5668297821943,18.4226841181175,17.8301644748902,17.7734625553985,16.1147456219337,15.6568677057312,15.6849094902744,14.9690741438486,14.6351382967239,14.0061192809912,14.6190928832466,14.2569365901982,13.2384113330108,14.1967677114663,14.1819103384296,14.3951624337304,14.6603986014135,14.2048637400215,14.3514546397836,14.3444266458699,14.413139750309,14.6275892259261,15.0102017999146,15.0470350097595,14.7651711818121,14.8443256761663,15.4778892395094,16.2672466509926,16.4140406122555,16.6122230499967,16.6264193404382,16.6778123438373,16.7707884786433,17.1494644923341,17.0396097339323,17.4869998219664],"WL-FDS^FG_PRICE_CHANGE(0,-1AM)":3.98536773199847,"NI-FDS^FG_PRICE_CHANGE(0,-1AM)":-0.345260514752044,"CPALM-FDS^FG_PRICE_CHANGE(0,-1AM)":4.96083550913837,"BRENT-FDS^FG_PRICE_CHANGE(0,-1AM)":0.0,"TIOS-FDS^FG_PRICE_CHANGE(0,-1AM)":-7.55935233932651,"FC0000CH^FG_PRICE(0)":345.68753,"FC0000AU^FG_PRICE(0)":375.98138,"SPY^FG_COMPANY_NAME":"SPDR S&P 500 ETF Trust"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TRYIN10Y-FDS^FG_YIELD(-10AY,0,Y,,\"YTM\")":[7.86,7.89,6.63,7.35,7.35,6.55,5.9,6.45,7.33,7.19],"TRYGR10Y-FDS^FG_YIELD(-10AY,0,Y,,\"YTM\")":[9.61,8.24,7.15,4.14,4.37,1.45,0.618,1.315,4.585,3.099],"CAGDPY@GB^EE_ACTUAL_ANNUAL(MED,0)":-3.3,"CC_CH^FG_COMPANY_NAME":"Switzerland","USDUSD^FG_PRICE_CHANGE(0,-6AM)":0.0,"USDSEK^FG_PRICE_CHANGE(0,-6AM)":0.7349014,"USDCHF^FG_PRICE_CHANGE(0,-6AM)":-2.7668655,"QQQ^FG_COMPANY_NAME":"Invesco QQQ Trust Series I"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152373,7.43767998389654,9.22022085165367,9.22544557136733,9.29976871138421],"TRYQA10Y-FDS^FG_YIELD(-10AY,0,Y,,\"YTM\")":[null,null,null,null,null,null,null,null,null,null],"TRYCH10Y-FDS^FG_YIELD(-10AY,0,Y,,\"YTM\")":[0.314,null,-0.12,-0.09,-0.176,-0.434,-0.49,-0.111,1.617,0.703],"EWN^FG_PRICE(0)":49.09,"EWU^FG_PRICE(0)":36.79,"EWC^FG_PRICE(0)":40.4,"EWU^FG_COMPANY_NAME":"iShares MSCI United Kingdom ETF","SPY^FG_TOTAL_RETURNC(0,-12AM)":27.122402,"EWL^FG_TOTAL_RETURNC(0,-3AM)":4.139471,"EWG^P_PRICE(0)/P_PRICE_HIGH_PR(0,,,,,,\"PRICE\",\"INTRA\",\"52W\")":0.9811436,"CAGDPY@CH^EE_ACTUAL_ANNUAL(MED,+1)":8.0,"CC_JP^FG_COMPANY_NAME":"Japan","USDSEK^FG_PRICE_CHANGE(0,-3AM)":0.1203537,"USDCHF^FG_PRICE_CHANGE(0,-3AM)":-4.1474876,"USDEUR^FG_PRICE_CHANGE(0,-3AM)":-1.7436624,"USDAUD^FG_PRICE_CHANGE(0,-3AM)":0.014948845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630177800995,1.85069172426398,2.46019919984586,2.80188925929963,2.91976645117067],"QQQ^P_PRICE_RETURNS_PR('52W',2,-10AY,0,AM)":[29.483116,21.90807,25.963343,22.62621,18.103241,20.964622,18.129206,28.021503,23.51426,19.454002,14.942705,17.067242,6.71314,14.30031,10.532892,7.8887105,4.9914956,-6.583029,2.348566,2.7413964,-0.68250895,0.58237314,4.735756,7.2407603,11.435699,11.198974,3.5098672,8.589983,17.59634,33.212326,26.94229,20.780432,32.236908,29.118896,27.503777,22.58234,26.993048,27.108395,34.09926,32.187305,35.237564,25.859081,33.699738,24.977135,23.60481,27.385246,28.580332,29.037142,25.877274,18.874311,9.063732,6.8271995,-0.75089335,8.485603,1.787746,15.559519,10.01761,4.605973,8.786821,3.018093,6.7620754,13.697254,22.25964,26.246094,36.549603,38.216125,1.758182,9.808922,21.090305,30.467583,38.187862,48.65637,41.675793,55.268192,44.168507,48.35974,44.741867,44.640957,79.1736,68.66037,43.556534,46.726643,38.074566,35.95761,39.063583,21.906399,37.5908,32.26881,23.986351,4.230273,2.491641,1.3119578,-7.6796236,-14.725161,-20.581543,-9.606457,-17.02798,-25.998491,-25.818407,-27.80304,-27.42998,-15.771079,-12.2559185,-7.074499,12.49094,25.761234,31.178236,13.81681,20.825886,41.798748,34.736073,40.55058,47.780643,46.259426,54.814373,40.936375,36.864864,32.404804,33.63812,24.09631,27.814793],"EWL^FG_TOTAL_RETURNC(-10AY,0,AM)":[1.9283772,-8.078074,5.651748,-0.89672804,-1.7160654,4.126978,-1.3109744,6.30213,2.0052314,-0.62677264,-0.19480586,-1.9999981,-4.6518564,0.28328896,-2.950412,-1.3260007,-2.9498518,-4.8632264,5.7152987,1.3095975,0.23201704,-0.066137314,0.48794746,3.8877606,0.032544136,-3.1229615,-2.014774,-0.68540573,4.965377,1.4144778,2.238083,2.030456,6.3432813,0.23391247,2.5254369,-1.1915147,2.7941227,1.0300398,-3.2851875,2.2547483,4.6105385,-3.996712,0.25663376,-2.275312,0.40744543,-1.7970979,0.32918453,2.6236415,1.6749859,-6.069362,0.9846091,-0.24374723,0.27489662,1.58391,3.1184435,3.5475492,0.36506653,4.5886993,0.90829134,0.86580515,2.2264004,-1.8367887,3.07405,2.2302866,2.4606824,4.010892,-24.041891,13.694763,2.0396948,4.2949796,5.8374286,3.8796306,1.1491537,0.7337332,-0.5874038,2.88347,4.4883013,-0.21997094,-3.1084657,4.596138,0.32629967,9.617508,-0.02014041,1.8134117,-2.2560835,-4.2316256,7.9704046,0.33288002,0.8391857,-5.844778,-7.173693,9.189547,-12.81687,-2.3745835,0.19450188,6.7702055,-4.318184,-12.32779,17.339479999999998,-1.1313796,3.8066387,-0.26996136,-3.3386052,9.05484,3.4667253,-3.3166647,1.9466281,-0.23600459,-2.838707,-2.6339054,-2.09139,7.8244686,3.1007767,-2.7986646,4.7056317,-6.484711,5.2007914,4.440403,1.4885783,-0.5224049,3.1508803],"EWG^FMA_DIV_YLD(NTMA,-10AY,0,AM,\"PORTAGG\",\"MEANR\")":[3.12056939103687,3.44366313081434,3.35514851608057,3.25471664018052,3.20075412290203,2.89301565369886,2.69978004973322,2.60633719784107,2.88918063977312,3.01079436468088,2.99985936476937,3.12805273769316,3.37282846320245,3.30291475040648,3.00596579368355,3.14603142088753,3.27180130624402,3.66381175684841,3.33529131160523,3.36822221312747,3.37291004548807,3.4186106729556,3.38692117990219,3.14439179500874,3.22950613744613,3.15511965368567,3.17717326560003,3.03888678766142,2.97034234684559,2.97462062373004,2.95471489324386,2.93138950945844,2.87009759506073,2.9352132266606,2.9713153129585,3.13089452200739,3.04623131165303,2.95234341850959,2.92047883043325,2.89152022832613,2.8856312831675,3.15711985329324,3.1338583202328,3.19024137189514,3.09773286075758,3.12952456817118,3.22459982078822,3.25195249270802,3.35171880434331,3.54638743823307,3.65173122836701,3.80102920715561,3.82866141842785,3.7330560410591,3.61833336310376,3.47734890093575,3.50930678667879,3.5669456967906,3.48411784281128,3.61313744232257,3.38635899486683,3.37765149597833,3.12546103615644,3.10218278295896,3.05129721228659,2.99354214544229,4.47217782289457,3.58605127018635,3.33853099025199,2.98053909761156,2.85308277595171,2.79067933816852,2.79508690718946,2.7832577514764,2.86404234432325,2.82475335742733,2.71262104033939,2.72719660767588,2.75622450019717,2.69827494539399,2.84728270906474,2.77464175476478,2.78049017835988,2.81980756835974,2.87354650222325,3.00076710814313,2.93907158194582,3.05881481150264,3.04492314702925,3.20265534385878,3.68999096418112,3.62609949108835,3.89030610529343,3.91619842455651,4.18199262616591,3.91826729961644,4.0173575378529,4.47281905157479,3.80626273294324,3.76083163475118,3.5407362868142,3.48208167722459,3.53772356850636,3.52931596509768,3.58322180204801,3.61210486795675,3.66444988495483,3.72068936754222,3.76050153975418,3.8586185369938,3.88352137955856,3.54248951316506,3.59782287993812,3.51775870416046,3.29216557325324,3.35546372313263,3.28456189540082,3.34378900008713,3.33496576447237,3.55466943367072,3.39266638101108],"EWA^FMA_PE(NTMA,-10AY,0,AM,\"PORTAGG\",\"MEANR\")":[14.5786822689824,13.6405203794069,14.3962158365271,13.8352476645141,14.64791689133,15.6592435782353,16.0085147287108,16.5830151988825,15.9335752240639,15.2840573795958,15.1095200696876,14.9714585996165,14.3028006920765,15.0273728852878,14.7750249841819,14.7746093515713,14.6468304387669,14.5938031739194,16.1166036707772,15.3391071384497,16.5094724984519,16.2466950378194,16.2083284063373,16.8040362042355,15.6861262609662,16.3118851379562,15.9164664958631,15.867868480497,16.0664512816996,15.8687074156165,15.8277049015119,15.9602261679019,15.6329438891962,15.1662563586897,15.3160926188513,15.5353954973803,15.6890193841223,15.6131606097489,16.131743422553,15.9055782976178,15.9867360248566,15.111972452571,15.5024560124711,14.9019446492876,15.5073397881885,15.1246205674159,15.5932783343739,15.6011103556455,15.2218208147648,14.4148796462855,14.6559846940415,14.0388812994747,14.4239379752127,15.0729683064486,15.2230717235729,15.3265918464317,15.3891090344512,15.9086635169961,16.129652036632,15.9783761228823,16.4950832764934,16.5104808010076,17.2031009315397,17.1511639357105,17.697331403597,18.1358270600836,13.6271110895491,15.7640648566904,17.3044076109992,18.8959418188059,18.816503994584,19.6387830053441,18.4732198250566,18.8284496123094,19.1132990679104,19.2541317687007,19.2641639436761,19.0516314575525,18.0587420896494,17.9541517204804,17.8124749751315,18.1272075786617,17.0711859555201,17.1983809084772,17.0164735625138,17.2253780552835,17.5305935160984,17.2270474759571,17.5480506238445,15.9710431822148,15.4753693276565,15.7492598229857,13.8078783842937,13.4533685306735,12.7441850154037,14.1165804759574,13.8585344193819,12.7474426664545,14.2695304008116,14.2775849691744,14.4504125998902,14.8224426982472,14.1321606836372,14.6887211393044,14.5721761784515,14.6177671775945,14.912848639578,15.4037629438541,15.3481911145053,14.8058081889544,14.7527074569694,15.4319988448747,16.1767249468596,16.3271568408615,16.5739151463617,16.5524983148834,16.6287835251922,16.7510098030898,17.3584090466647,17.0229650555738,17.6907421167543],"ENZL^JULIAN(FMA_DIV_YLD(LTMA,-10AY,0,AM,\"PORTAGG\",\"MEANR\").DATES)":[41894,41922,41955,41985,42016,42047,42075,42104,42136,42167,42195,42228,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6],"WL-FDS^FG_PRICE(0)":540.1,"NI-FDS^FG_PRICE(0)":15875.0,"CPALM-FDS^FG_PRICE(0)":4020.0,"BRENT-FDS^FG_PRICE(0)":85.86,"TIOS-FDS^FG_PRICE(0)":93.06,"EWJ^PERCENT_CHANGE(FMA_EPS(+1,0,,,,\"PORTAGG\",\"MEAN\"),FMA_EPS(+1,-1AM,,,,\"PORTAGG\",\"MEAN\"))":1.54321458427339,"VWO^FG_TOTAL_RETURNC(0,-1AM)":1.1888385,"EWI^FG_TOTAL_RETURNC(0,-6AM)":5.324638,"EWN^P_PRICE(0)/P_PRICE_LOW_PR(0,,,,,,\"PRICE\",\"INTRA\",\"52W\")-1":0.35271418,"EWQ^FMA_PCT_ABOVE_MAVG(200,0,,,,\"PORTAGG\")":47.5409836065574,"QQQ^PERCENT_CHANGE(FMA_EPS(+1,0,,,,\"PORTAGG\",\"MEAN\"),FMA_EPS(+1,-3AM,,,,\"PORTAGG\",\"MEAN\"))":-4.43644044602911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3889064433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C_DE^FG_COMPANY_NAME":"Germany","COPP-FDS^MAX(FG_PRICE(0,-5AY))":5.119,"CAGDPY@CH^EE_ACTUAL_ANNUAL(MED,0)":6.90622571605503,"USDSEK^FG_PRICE_CHANGE(0,-1AM)":-1.9216835,"USDCHF^FG_PRICE_CHANGE(0,-1AM)":-1.6469896,"USDEUR^FG_PRICE_CHANGE(0,-1AM)":-0.9827852,"USDAUD^FG_PRICE_CHANGE(0,-1AM)":-1.3524592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5,22.9687104615331,24.3449867619937],"EWU^P_PRICE_RETURNS_PR('52W',2,-10AY,0,AM)":[8.541322,0.6505251,0.14212132,-4.859805,-9.751987,-2.4921417,-5.8703003,-3.382969,-3.891033,-5.941921,-7.693529,-5.1899195,-12.090075,-1.0287046,-8.362854,-8.3966255,-10.667503,-19.211079,-9.371752,-11.586076,-16.375244,-15.454971,-12.224388,-10.489904,-1.8989623,-9.274244,-8.015739,0.2827525,7.7469707,14.896059,6.9957137,6.899655,12.077737,13.0921,11.934126,9.899402,12.812889,20.16244,18.155396,17.747105,23.670244,13.469851,15.230775,15.696753,12.961149,11.338318,9.308588,5.3990126,-0.08478165,-4.330367,-4.269278,-9.646618,-12.547672,-4.2547584,-2.8815508,-2.0499349,-5.9817553,-5.8823824,-3.4241378,-7.810521,-0.9738505,2.826035,7.6767683,13.899862,14.845991,9.427142,-26.038128,-22.542137,-21.380638,-16.306288,-16.590618,-5.245471,-14.285147,-13.61767,-11.824465,-8.041233,-5.7478786,-5.746472,42.03029,31.563807,37.579857,37.132133,31.085575,25.85733,30.87703,27.771616,23.624956,14.4908905,16.877483,19.584667,3.9938807,9.873438,-4.1372957,-3.6018848,-8.062304,-2.4426281,-4.7570467,-17.230766,-6.810397,-0.2349019,-3.1058788,-3.357774,2.903378,2.6536703,12.35634,7.2541237,15.066791,8.125603,11.141181,26.787971,7.80946,7.0131063,5.545926,3.7417293,11.127531,5.162668,12.204254,15.286851,15.848637,13.965881,19.881367],"EWJ^FG_TOTAL_RETURNC(-10AY,0,AM)":[-0.33812523,-6.5309525,5.8983684,-2.6563883,-1.8022716,6.311989,5.7676077,3.76904,-0.11591315,0.27079582,-1.8219769,1.2638211,-8.4243355,3.2367945,2.392733,-3.2232046,-3.884852,-9.162307,10.758888,-0.08672476,1.4756918,-0.34217238,3.129506,3.4395933,0.8110285,-0.5631566,0.12136698,2.525258,0.81402063,1.6017437,-0.07785559,-0.5843401,2.6057959,3.60893,-0.6356418,0.93336105,2.2008538,2.5696754,4.234302,1.4048696,6.6352963,-5.1055727,0.7638693,-0.74159503,1.7433167,-1.0280609,-5.2322626,0.8241296,-0.81739426,-0.52603483,-4.1953144,-1.1407554,-0.89369416,1.646483,0.6516576,1.8497944,-1.7980397,0.24043322,2.564919,-3.6848783,5.9366703,1.6723037,4.829395,1.1016488,-0.56654215,-0.18481016,-24.591822,12.455357,3.5133004,7.651007,0.17329454,3.8358092,1.070261,1.8275023,4.813826,5.536878,5.034697,3.6956549,-3.6477983,0.43514967,-5.5025935,6.0455203,-0.36295056,-0.29141307,6.4006925,-6.9907904,3.4849405,-2.354455,0.6762266,-5.9273424,-8.474046,-1.3836741,-4.417115,0.26462078,-3.248775,7.583475,-6.9086432,-8.19363,12.720549,0.56425333,2.5441408,2.8126717,-2.3055732,2.2719264,3.6679864,4.737544,-0.5749881,-1.4136553,1.5316963,-3.1776607,0.2320528,4.266572,6.8458796,0.81288815,4.494548,-1.3146698,-1.6072989,1.3997436,4.401231,-7.9411745,6.8766117],"EWC^FMA_DIV_YLD(NTMA,-10AY,0,AM,\"PORTAGG\",\"MEANR\")":[2.75966064471016,3.03806498908146,2.92094222220129,3.12805441277927,3.02689698795827,2.85044732707925,2.94071419321953,2.82223793524456,2.88477505659302,2.95679757740146,3.04958986768268,3.09741540644277,3.25702790268895,3.1555999290923,3.36910430218134,3.4645427904955,3.5493502970217,3.45973871518972,3.13247927740252,3.13372514058337,3.10000158584522,3.06615960829041,2.99857484681861,2.94639855111516,2.97570796790519,2.95623101965284,2.96792492493677,2.83964009401737,2.82610963098224,2.79808431904578,2.90463250433504,2.91467882654973,2.95319853189571,2.99892797441407,3.0506407774752,3.07048197542642,3.08506246800203,2.96468376358089,2.91112632064467,2.90837106858369,2.89618561555678,3.15269301483399,3.12863450242762,3.21710613872896,3.08208078040371,3.05751302606067,3.02867918989392,3.08437433543814,3.17749368484799,3.33450563755827,3.40014395851649,3.48598230477185,3.4558842174348,3.32262525725071,3.2655129129495,3.19934838128118,3.27174218037938,3.34973268889086,3.30692696175914,3.414924054952,3.33166387892037,3.36744233887423,3.2619463238923,3.26848811591857,3.23733811628138,3.19588402100022,4.65579113689524,4.06022600286676,3.75002209756341,3.60569962418801,3.51201113177813,3.32781465605543,3.40981523896615,3.36135508717773,3.34994395079517,3.11411761245382,3.02524076474673,2.93004478567325,2.84287861092634,2.76446526168107,2.77046870981719,2.57534671046452,2.70723978714671,2.69182153397342,2.74572303100371,2.78158851109531,2.66321960477882,2.83914609760133,2.75127126790697,2.76645078205049,2.8501377418735,2.86361718777684,3.25631521737739,3.18696515705101,3.47098214236896,3.25785974228348,3.34858875248496,3.69326146530109,3.32398466028586,3.37414517269948,3.38342420417505,3.26745664865501,3.41794893296589,3.27691008443556,3.2614318114768,3.31381658780957,3.25506989034106,3.42131501979747,3.50203446060112,3.64650717629948,3.59877422021845,3.48179208307702,3.35326932319967,3.31344557393914,3.15969039114029,3.13166810879019,3.05828426318072,3.32774074459964,3.24559924482645,3.28372373484009,3.15601459672076],"ENZL^FMA_PE(NTMA,-10AY,0,AM,\"PORTAGG\",\"MEANR\")":[17.1659816472428,17.079922742083,18.142883485267,18.0288878184422,18.5336500691986,18.9410156078402,19.1358357841957,18.4018745260032,18.2525529130887,18.2507511166599,17.8056121259202,17.846609866253,17.3210124041124,17.1709261727267,18.0111607131379,18.0727813724927,17.6054367220539,16.7380149465432,18.153055509205,18.3617903494346,19.2463761868347,19.3258585251587,19.5612250136405,20.3174118407016,20.4086499233611,19.469758131787,18.2548768664489,18.4606993837231,18.9903546810757,19.171644371051,18.9561938524949,19.1824923938978,19.6615443414974,19.3049160093701,19.3690421430789,19.8077907127297,19.9159172733529,20.0044463773052,20.02579298852,20.6381313257853,20.4087889258835,19.1525456109406,20.5032806984209,20.0897368699717,20.5529675364946,21.2396297840569,21.1372366810404,21.2686264981258,21.5287911840958,20.3722606214412,20.5941325599389,19.9484283144303,20.3463813494912,21.2285439035236,21.6944631044808,22.1372194626763,22.8659273154711,23.0182093797567,24.3683662054496,24.6351604642155,26.0384452397784,25.2651989769261,24.9048001586434,25.6089909455357,25.78077041741,26.9322327062607,23.5732251090404,26.4067438196473,30.8005755327593,29.9774854899252,31.4972709052866,31.7279134633059,32.1004820471733,33.2754902096089,33.0836386887494,33.229776290467,34.0969450264375,31.9788038876862,32.2025418379061,31.9745891745728,32.7782304274346,33.1492931193202,34.4739262316381,33.5162678471319,34.6885777250705,33.6218733340719,33.0293827518222,32.437050414225,31.5743173922095,30.002821874121,28.6664040408046,28.1434979654517,27.6579097829057,26.025025820899,25.8644867340662,26.4242316214815,27.0524929088064,23.4995834769057,23.5166884132962,23.0771193417577,23.4334289760436,24.4308318321944,23.1128691838479,23.4486129184642,23.5461593745766,20.5386141066995,20.9204790172017,20.5081165159715,20.2173507224736,19.9147813918784,20.0927422706748,21.6587796998886,22.9520355266951,21.9077753259783,24.7430603020988,24.9411611073298,25.1440976663788,24.0138315581614,24.9002022201437,25.3620868207182,24.080723711179],"DDR3512M-FDS^MAX(FG_PRICE(0,-5AY))":3.3053632,"PASP-FDS^MAX(FG_PRICE(0,-5AY))":3158.12,"PLATI-FDS^MAX(FG_PRICE(0,-5AY))":1272.59,"W-FDS^MAX(FG_PRICE(0,-5AY))":14.2525,"EWL^FG_COMPANY_NAME":"iShares MSCI Switzerland ETF"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9,13.1491479008301],"TIPSCL10Y-FDS^FG_YIELD(-10AY,0,Y,,\"YTM\")":[null,null,null,null,null,null,null,null,null,null],"CAGDPY@IT^EE_ACTUAL_ANNUAL(MED,+1)":1.1,"CAGDPY@JP^EE_ACTUAL_ANNUAL(MED,+1)":3.9,"CC_CA^FG_COMPANY_NAME":"Canada","USDSEK^FG_PRICE_CHANGE(0,-1AY)":-7.253557,"USDCHF^FG_PRICE_CHANGE(0,-1AY)":-4.3461204,"USDEUR^FG_PRICE_CHANGE(0,-1AY)":-2.9574215,"USDAUD^FG_PRICE_CHANGE(0,-1AY)":-4.109687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EWL^P_PRICE_RETURNS_PR('52W',2,-10AY,0,AM)":[11.946392,1.9650459,3.6117196,4.6156883,-2.4404526,1.0504127,-2.9344618,2.5365233,2.2981524,1.6569734,2.6904225,4.425502,-2.5500536,6.5695643,-2.1073282,-3.969562,-3.7549138,-12.0646,-4.804039,-10.227907,-11.788458,-11.972207,-10.683948,-5.3179083,-0.6662309,-4.0402293,-4.046088,-2.4861217,5.466926,12.506151,10.660601,9.501958,16.178417,16.527248,18.889952,13.0772,16.198885,21.1802,18.835281,23.150015,22.733711,16.184986,13.933229,9.125161,3.8845658,0.94629526,-1.2161314,2.3272038,1.48108,-5.6500196,-1.4846206,-3.8917482,-7.009506,-2.51984,0.26272535,6.2368035,6.624639,13.097262,13.750065,11.801636,12.407959,17.872084,19.903719,22.87743,25.441265,28.555607,-5.3046107,3.6839724,5.709994,5.413127,9.878564,13.865889,13.111186,15.616274,11.509287,12.938011,14.442539,9.787345,40.04383,28.836573,26.673222,34.390842,25.769281,23.26765,20.48664,13.24625,22.994923,20.056057,15.756798,9.183205,4.0564775,9.244097,-5.0673428,-15.38474,-15.271414,-11.146397,-13.020945,-20.374065,-12.918925,-14.727461,-12.2181,-7.665944,-4.4069586,-3.298676,14.762676,13.655222,15.642727,8.5724945,9.725105,21.857357,4.774916,10.888731,10.134708,7.3422074,16.275288,-0.29313564,1.3360023,9.51165,9.019613,8.706641,15.407955],"EWG^FG_TOTAL_RETURNC(-10AY,0,AM)":[2.4769902,-11.187845,4.004669,3.3270955,-2.6410997,8.5098505,0.23972988,4.3730736,-2.3240566,-2.1447718,0.65538883,-2.4575949,-6.032652,-0.90634227,0.26676655,-2.0144403,-3.5298645,-7.0365906,8.607268,1.274395,0.707829,-1.79618,-0.5838752,8.562064,-0.9433985,-1.7904758,-1.1249065,2.4323344,3.405869,1.1856198,2.7096272,1.2477756,7.535219,1.899147,1.0629892,-1.4586747,5.3289533,2.5609016,-0.30450225,1.0079384,4.6177983,-5.7084856,1.2292504,-0.42501092,1.0670781,-2.5037766,-3.2259464,-2.6850104,-0.9084761,-5.093378,-4.508048,-2.5477707,0.4229188,0.91882944,2.769351,4.171276,0.42523146,-1.5525758,1.7464519,-5.8631897,5.382538,-0.43779016,6.046164,1.3476133,1.4660716,-0.20161271,-31.885523,13.890266,0.08679628,16.305292,5.7145,6.9850326,0.9660244,0.32992363,-3.058207,4.81683,6.339252,1.5408278,0.72836876,4.127753,-0.52083135,5.367148,-1.3475537,-0.1707375,-1.7103851,-5.684453,4.8892975,-4.1923227,3.4269214,-5.7893157,-15.394365,1.3103724,-7.243162,1.9830704,-11.759967,10.451853,-4.7520695,-14.403468,25.84896,1.8525958,9.843147,0.0,-1.6924798,5.567765,0.10409355,0.21730661,2.594173,-2.6324928,-3.2017112,-4.152882,0.99693537,10.478365,0.41761398,0.410676,7.089293,-3.7237406,6.3801646,-0.17626882,1.8181801,-5.7017508,6.744194],"EWA^FMA_DIV_YLD(NTMA,-10AY,0,AM,\"PORTAGG\",\"MEANR\")":[4.8052723800259,5.16716047928794,4.90071254128583,5.14562330070198,4.96822011743213,4.73605108357419,4.64051823191847,4.54105170690197,4.73007998441137,4.90949735949374,4.96635628879482,5.09118542193882,5.44583403731053,5.19728990830332,5.33945108055285,5.40701911427671,5.53075056602282,5.3109486475608,4.7275102218109,4.94151181975332,4.57261980798458,4.60917488292773,4.58716124769702,4.45046731935085,4.73146280004429,4.51030135442244,4.59867088536719,4.5320550131676,4.44190146325057,4.5227661126483,4.53558253191133,4.47018728395385,4.56118458433826,4.69485326570209,4.65896063645161,4.63807191236003,4.5570739503456,4.5604887493831,4.41404577305548,4.48513368942666,4.45728095530157,4.71806666673382,4.61840564066427,4.78655770718386,4.6041341656191,4.73448029842474,4.56187817804355,4.59308548319681,4.76134567106713,5.02426204733035,5.0444618881968,5.32110918524447,5.19983738357043,4.95645048850453,4.96350505610623,4.89112712028865,4.84504176839794,4.69506027248969,4.61857063885436,4.66775438142834,4.4905628568815,4.48307177315998,4.32703119925419,4.3187426300878,4.18574384544493,4.10424807515213,5.4633689332184,4.62239148243582,3.83247131733039,3.46658433815307,3.48245516335955,3.3217216892086,3.6144418922956,3.54048158110186,3.51767888086705,3.53310169428924,3.53470353336891,3.61076405538812,3.89382340309368,3.90772510207592,3.93344962037871,3.88196959121136,4.0647656107549,4.02126326674754,4.08612980110216,4.0644144069564,3.95580794086459,3.96358462700685,3.85472269839083,4.26377505867421,4.37534609430772,4.32927167686112,4.86416435258711,4.93217703429246,5.21265888840394,4.72951926897852,4.77030531157437,5.14849642384547,4.62663860244679,4.51263051094644,4.44424277491219,4.33437063611905,4.58719711770496,4.41598211536019,4.44080452883409,4.40891294249852,4.30329187149987,4.17803667462047,4.19397613287674,4.34133491954589,4.40617627294354,4.23062215737454,4.04808637053868,4.00220991913237,3.97383810139298,3.96370939967249,3.98163848789144,3.94241329451133,3.82830752398542,3.87282002720732,3.74892477832477],"ENZL^JULIAN(FMA_DIV_YLD(NTMA,-10AY,0,AM,\"PORTAGG\",\"MEANR\").DATES)":[41894,41922,41955,41985,42016,42047,42075,42104,42136,42167,42195,42228,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6],"DDR3512M-FDS^FG_PRICE(0)/MAX(FG_PRICE(0,-1AY))":0.851089278846154,"PASP-FDS^FG_PRICE(0)/MAX(FG_PRICE(0,-1AY))":0.795402298850575,"PLATI-FDS^FG_PRICE(0)/MAX(FG_PRICE(0,-1AY))":0.907390084190833,"W-FDS^FG_PRICE(0)/MAX(FG_PRICE(0,-1AY))":0.803998571938593,"COPP-FDS^FG_PRICE(0)/MAX(FG_PRICE(0,-1AY))":0.807384254737253,"FC0000JP^FG_PRICE(0)":180.03012,"FC0000NZ^FG_PRICE(0)":418.41873,"EWQ^FG_PRICE_MAVG(0,,,,60)":38.645,"EWL^FG_PRICE_MAVG(0,,,,60)":50.091667,"EWA^FG_PRICE_MAVG(0,,,,60)":24.915333,"EWJ^FG_COMPANY_NAME":"iShares MSCI Japan ETF","SPY^P_PRICE(0)/P_PRICE_HIGH_PR(0,,,,,,\"PRICE\",\"INTRA\",\"52W\")":0.9892598,"URTH^FG_TOTAL_RETURNC(0,-12AM)":24.423456,"VWO^PERCENT_CHANGE(FMA_EPS(+1,0,,,,\"PORTAGG\",\"MEAN\"),FMA_EPS(+1,-1AM,,,,\"PORTAGG\",\"MEAN\"))":0.0,"EWI^FG_TOTAL_RETURNC(0,-1AM)":6.7844152,"EWN^FG_TOTAL_RETURNC(0,-6AM)":1.1281133,"SPY^P_PRICE(0)/P_PRICE_LOW_PR(0,,,,,,\"PRICE\",\"INTRA\",\"52W\")-1":0.36626685,"QQQ^FMA_PCT_ABOVE_MAVG(200,0,,,,\"PORTAGG\")":56.8627450980392,"EWL^PERCENT_CHANGE(FMA_EPS(+1,0,,,,\"PORTAGG\",\"MEAN\"),FMA_EPS(+1,-3AM,,,,\"PORTAGG\",\"MEAN\"))":5.04914467793071,"EWG^FG_TOTAL_RETURNC(0,-3AM)":2.488041,"EWA^P_PRICE(0)/P_PRICE_HIGH_PR(0,,,,,,\"PRICE\",\"INTRA\",\"52W\")":0.9961759,"FXI^SIZE(FG_CONSTITUENTS)":52,"VGK^FMA_COS_DOWN(\"EPS\",\"1M\",+1,0,,,\"PORTAGG\",\"MEANR\")":600.0,"SPY^FMA_COS_UP(\"EPS\",\"1M\",+1,0,,,\"PORTAGG\",\"MEANR\")":167.0,"EWC^SIZE(FG_CONSTITUENTS)":86,"EWC^FMA_RBICS_REV_CURRENT(30, LOC, \"PORTAGG\")":40.9197765683472,"TRYIT10Y-FDS^FG_YIELD_NAME":"Italy Benchmark Bond - 10 Year","REFEUREFI-FDS^(SUBARRAY(NOT_NA(NO_REPEAT_F(FG_YIELD(NOW,-10AY,D))),0,1)-SUBARRAY(NOT_NA(NO_REPEAT_F(FG_YIELD(NOW,-10AY,D))),1,1))*100":-25.0,"REFCHMPR-FDS^FG_YIELD(NOW,,,0)":1.25,"REFNZOCR-FDS^PROPER_NAME(0,,,\"SECURITY\",\"NAME\")":"New Zealand Official Cash Rate","TRYCH10Y-FDS^PCTCHG(FG_YIELD(0,,,,\"YTM\"),FG_YIELD(-1AM,,,,\"YTM\"))":6.7796674,"TRYSE10Y-FDS^FG_YIELD_NAME":"Sweden Benchmark Bond - 10 Year","CC_DE^IMF_IFS_RCPI_Q(0)":2.2863681,"VGK^FG_PE(0)":14.4368140650878,"EWN^FMA_EVAL_EBIT(LTMA,NOW,NOW,M,\"PORTAGG\",\"MEANR\")":21.3360478224799,"SPY^FG_FCF_YIELD_NTM(0)":4.11062745234044,"EWU^FMA_PE(NTMA,0,,,\"PORTAGG\",\"MEANR\")":11.4678114289282,"EWJ^JULIAN(FMA_DIV_YLD(NTMA,NOW,NOW,M,\"PORTAGG\",\"MEANR\").DATES)":45534,"EWA^FMA_EVAL_EBITDA(NTMA,0,,,\"PORTAGG\",\"MEANR\")":8.69481648333513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2683733,11.0508592022587,12.8471719199911,14.658060585061,13.2263940971232],"TRYFR10Y-FDS^FG_YIELD(-10AY,0,Y,,\"YTM\")":[0.837,0.9989,0.682,0.785,0.71,0.118,-0.344,0.201,3.07,2.534],"DDR3512M-FDS^FG_PRICE_CHANGE(0,-1AY)":-8.44661622677214,"PLATI-FDS^FG_PRICE_CHANGE(0,-1AY)":6.9459757442117,"W-FDS^FG_PRICE_CHANGE(0,-1AY)":0.490852298081212,"COPP-FDS^FG_PRICE_CHANGE(0,-1AY)":10.1545842217484,"SPY^FG_TOTAL_RETURNC(0,-6AM)":8.876276,"URTH^P_PRICE(0)/P_PRICE_LOW_PR(0,,,,,,\"PRICE\",\"INTRA\",\"52W\")-1":0.3283348,"EWI^PERCENT_CHANGE(FMA_EPS(+1,0,,,,\"PORTAGG\",\"MEAN\"),FMA_EPS(+1,-3AM,,,,\"PORTAGG\",\"MEAN\"))":-0.964657554670715,"EWN^FG_TOTAL_RETURNC(0,-3AM)":-5.7230654,"EWU^FG_TOTAL_RETURNC(0,-12AM)":19.881367,"EWL^PERCENT_CHANGE(FMA_EPS(+1,0,,,,\"PORTAGG\",\"MEAN\"),FMA_EPS(+1,-1AM,,,,\"PORTAGG\",\"MEAN\"))":2.16283701720098,"EWG^FG_TOTAL_RETURNC(0,-1AM)":6.744194,"CAGDPY@IT^EE_ACTUAL_ANNUAL(MED,0)":0.464182828189248,"CAGDPY@JP^EE_ACTUAL_ANNUAL(MED,0)":3.60658196299853,"CC_AU^FG_COMPANY_NAME":"Australia","USDSEK^FG_PRICE(0)":10.31475,"USDCHF^FG_PRICE(0)":0.85395,"USDEUR^FG_PRICE(0)":0.9057971,"USDAUD^FG_PRICE(0)":1.4944333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2233795695,2.03507562384137,2.71427224340632,3.12760121442787,3.00269886912718],"EWJ^P_PRICE_RETURNS_PR('52W',2,-10AY,0,AM)":[3.6258698,-6.229651,-0.11214018,-3.0926704,-7.0230904,3.56071,11.172831,20.896996,17.39949,11.516476,7.3720574,9.556234,0.32684803,11.187208,7.5065017,5.855489,4.613769,-10.613335,-4.3235006,-9.873181,-8.437061,-9.066952,-4.4071674,-2.353239,7.49439,3.5377145,0.2713561,7.254565,12.498045,24.394835,16.550123,12.952232,14.210153,18.73821,14.403212,11.090732,13.170314,16.73584,21.703386,20.203209,27.14405,18.75055,19.750881,19.561445,18.85146,13.25047,8.011484,7.735193,4.7081947,1.5479326,-6.664419,-9.007478,-15.164638,-9.414715,-9.51559,-7.153267,-9.707183,-9.236389,-1.7686605,-6.1617136,0.22842884,2.67874,12.093508,14.636111,13.680649,12.942373,-15.383607,-6.368482,-1.5194356,5.7610273,3.5203695,11.360574,6.9489717,6.4071536,6.3913584,11.33436,17.314732,21.875525,55.725502,39.080204,26.966465,27.318108,24.403404,19.458664,27.390718,14.86814,13.411784,5.154836,0.57741404,-8.1916275,-12.180096,-14.896178,-13.918609,-18.492859,-20.96848,-14.7266445,-25.39323,-26.35808,-18.624657,-17.388165,-15.855408,-8.779425,-3.4236789,1.7987847,10.409665,15.335178,18.522537,10.0384,18.457996,24.930119,13.295436,15.178704,20.010471,17.676186,25.867165,21.453094,16.160381,11.599231,17.184757,9.425831,15.18631],"EWC^FG_TOTAL_RETURNC(-10AY,0,AM)":[0.81453323,-9.384709,3.737998,-9.421492,0.6409168,2.867639,-4.2530355,5.4497957,2.088499,-4.438281,-4.7878685,-2.1889448,-7.9701543,5.375433,-7.77328,-5.31168,-6.865162,2.976787,14.600682,3.8050532,0.5354166,2.6218772,0.8745909,2.6326299,-1.1270881,-0.6682396,-1.6620517,8.651913,0.9991765,2.1851897,-3.8419724,1.9600391,-3.4750402,1.8000722,3.5179615,-0.29315352,4.740906,2.385962,0.47978163,-0.4092753,4.437089,-7.6386633,0.6832123,0.035715103,3.6058545,-0.034457445,0.9676814,-0.963521,-1.181376,-4.1139245,-2.7869463,-2.9800117,1.674366,5.015552,2.5546074,2.851987,-1.7901003,0.07147789,4.476452,-3.7254214,3.2963157,-0.97121,3.1873941,0.6109953,2.5998235,1.9993305,-33.68181,13.990152,4.364741,6.3354015,2.973199,8.441555,-1.7964065,2.8694391,-0.10460615,9.703314,3.0877829,2.7500033,4.866171,1.3631105,3.6337614,5.06016,-1.5071392,1.2885928,-1.2986958,1.3694882,5.960262,-4.9250007,4.836917,-1.321137,-0.82389116,2.2845268,-11.472082,4.644692,-8.915263,9.818184,-2.3730695,-14.2170725,15.4530525,-2.9395044,3.5155177,2.276659,-7.382369,6.5713406,-0.6565809,-0.9606242,2.403283,0.0572443,-1.372999,-3.6832988,0.24089813,4.8963547,5.397284,0.38557053,3.7585735,-1.7715454,2.7994514,-1.9079089,4.0420413,-1.8388987,6.596303],"ENZL^FMA_DIV_YLD(NTMA,-10AY,0,AM,\"PORTAGG\",\"MEANR\")":[4.56760556350107,4.60804294886135,4.44726817483779,4.47531369672272,4.40284963339975,4.30601834758133,4.29267218856306,4.43109586472914,4.47223037780544,4.46107606351032,4.71045703063957,4.69502343243487,5.14860233606005,5.20850973188456,4.88684304900005,4.80690185897919,4.90983205464711,5.05120432421511,4.69045024862221,4.61672498369749,4.48549057192232,4.36495976201959,4.27770230838793,4.13615234542724,4.26681103433599,4.48369565407618,4.75551146868518,4.62348877877991,4.5015770305972,4.50667709990805,4.56289658551886,4.550892533423,4.44974736439804,4.47594398979288,4.4475421017775,4.37462018184818,4.3847806494862,4.37238878805497,4.46071557559729,4.27555678287588,4.30555839122596,4.5977476628842,4.1948813010747,4.27848442865659,4.16891396826759,4.01933371929654,4.05457918190824,4.06509938421979,3.9848955490065,4.23112928737054,4.14936834162477,4.17441943406638,4.10424526837896,3.98705156457139,3.89986382840883,3.79097998423093,3.69133867957838,3.67092945699918,3.44144533023379,3.39857423906301,3.33458656048434,3.33908241893286,3.32866260511739,3.25556752722758,3.16115836461661,3.04727520827914,3.47633092787194,2.99315351601391,2.58137087281201,2.6142356262672,2.48601791303435,2.44390168230238,2.42285264645463,2.34637373279039,2.35923867168173,2.37329087515197,2.42048675643222,2.56823550301363,2.57817915797637,2.59987425902028,2.62942852830092,2.68127948986522,2.59874842604368,2.6933440347369,2.60295707730707,2.67564705610433,2.71152542771103,2.78182117206002,2.82017300530858,2.97607356038104,3.08455783962233,3.14954726005763,3.23860683477553,3.27040182027887,3.32846065687921,3.2048321336856,3.17390749579165,3.47911466514727,3.38689405810595,3.44721626246884,3.4157124523237,3.27312822269978,3.43694008882196,3.3942374214906,3.48642904628921,3.51150450988459,3.43053900630784,3.44218672125393,3.40507741442331,3.43322246839631,3.46446847410753,3.10918978830993,2.97030149297866,3.03213586412648,2.76051506195331,2.78314335737249,2.77853433719391,2.7526797354723,2.67900510118979,2.5984917170075,3.0429923615919],"EWI^FMA_PE(LTMA,-10AY,0,AM,\"PORTAGG\",\"MEANR\")":[17.9588402743147,16.6057970202461,17.0497823565489,17.8569320977873,18.145668128085,39.4375843819872,44.1598915574283,41.630709008208,38.5258913081094,35.4727126625504,32.8268562504785,30.0877153022506,26.8197849684988,24.4304438357318,22.1156792135926,19.3443437809919,17.0090122757267,14.7026285261242,15.491198863705,15.1190252630908,15.3828150919912,14.7941789169836,14.5983418565232,15.1614797734865,14.8975683147053,14.6117228744671,14.4928546227796,15.7647993085375,27.3549622120049,20.2113008032908,83.6936885776985,75.8916397331102,69.1389552954863,61.6870985296556,54.8639068610429,47.6640328840124,40.4558055748982,33.6205648236313,27.0356986220154,20.0388752601152,15.9424340507552,14.3772008673266,14.2010089783465,14.1213239909393,14.1342325651946,13.4983591715412,13.2321599017403,12.9147783640993,12.5655055093839,11.640564339924,11.3321784103395,10.8998516523308,10.9245469207095,10.9486229733168,11.2697878197399,11.3506178726661,11.1527200179335,10.9589629421055,11.3631178857439,10.7974583334349,11.3561803451447,11.4178771454536,12.0976202050131,11.9948077848914,12.3495105864705,12.7752759118172,10.6900217009669,11.3594125527211,13.5451658828073,15.4533738878511,16.8457097275075,18.0343473394863,18.2445832226643,19.0091128470403,20.4068148384947,22.2710727259828,23.5972877473712,20.6366449810922,20.1309793845693,19.5398673927478,18.7648728270957,18.4783752081425,17.7173262719517,16.4056902845391,15.2641800257466,14.4105743689572,13.9049102710615,12.3618843121288,12.2211027050104,11.7749939214889,10.4997690057126,10.5149577521559,10.2009030983678,9.67727762348045,9.23115471628848,8.7859305006206,8.58479848119316,7.82641132104336,8.46508007121735,7.6938365046538,8.03384889008507,8.26053351230494,8.29206594207187,8.37580660175537,8.3060522317684,8.48036586542472,8.64102256399601,8.24483947741719,8.37882835592286,8.2604851715077,8.11106250986128,8.78801964414581,8.98914691491619,9.17207334492601,9.40372262761023,9.42047152760325,9.55563810039548,9.56929173012144,9.70439267233953,9.47753333031207,9.87653486987042],"PASP-FDS^FG_PRICE_CHANGE(0,-1AY)":-15.265306122449,"EWQ^FG_PRICE_MAVG(0,,,,30)":38.684666,"EWL^FG_PRICE_MAVG(0,,,,30)":51.018665,"EWA^FG_PRICE_MAVG(0,,,,30)":25.044666,"EWG^FG_COMPANY_NAME":"iShares MSCI Germany ETF","VWO^FMA_PCT_ABOVE_MAVG(200,0,,,,\"PORTAGG\")":40.8780903665814,"EWA^FG_TOTAL_RETURNC(0,-6AM)":8.798063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7,7.7689690341127,6.57910753918315],"TRYCN10Y-FDS^FG_YIELD(-10AY,0,Y,,\"YTM\")":[3.653331,2.901145,3.070911,3.93859,3.259862,3.197311,3.1948,2.7893,2.855,2.574],"CAGDPY@SE^EE_ACTUAL_ANNUAL(MED,+1)":6.15,"CAGDPY@DE^EE_ACTUAL_ANNUAL(MED,+1)":6.5,"CC_NZ^FG_COMPANY_NAME":"New Zealand","EWA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EWN^FMA_PE(LTMA,-10AY,0,AM,\"PORTAGG\",\"MEANR\")":[16.7564180225009,16.0456651431926,17.1558375414558,17.1197986578401,17.5136337162818,19.095484791478,20.1120151515302,20.0273441554243,19.4827803136781,19.0927020763043,18.9438543334915,18.3945565548545,17.0888624814137,16.8981346395172,17.9384590021409,16.9058584507065,15.956659249713,14.7508105727415,16.4239900373995,16.2924778512114,16.1175381140963,16.0153692848959,15.9478551132285,16.2220108363401,15.9352403070152,15.847630626085,15.4974932696237,15.8959445533617,16.2774724281561,16.2040904439717,16.5042094847727,16.5542429267398,16.7432103059388,16.6575334104452,16.614404403559,16.5481185923892,16.7681714535786,17.2127929774786,17.3375302328991,17.4089002294915,17.5270297534334,16.5223372614298,16.6854261742871,16.6269264496647,16.5893750068721,16.7202489712322,16.5996310897592,16.6306357218737,16.223868098514,15.4917908262192,15.5598861541142,15.0188679320847,14.670371538714,15.7134923818341,16.1145124394729,16.2517276393038,16.1789465118486,16.2811031031191,16.4380431753788,16.18186660264,17.0974550280567,17.2091382149649,17.9324071526719,18.3516213207211,18.7244527003207,20.0462289402394,16.6833494981426,17.2963780635682,18.0271779621544,19.0325354546946,20.0651374562863,21.0020811792412,21.5243174272252,22.9072207848989,24.7269578962231,25.9801910504561,27.8356267004395,29.8989610822043,28.7582831676733,28.4321918203504,27.2709759265322,27.073149352726,26.4254716222118,26.1604899444187,25.6665756104468,23.807244223704,24.556316459495,22.6955153336399,22.031740665047,20.0096138945917,18.162327039589,18.3933001637903,17.8586927417412,18.2945889099334,18.2011324867461,19.7354951321007,18.9396422332645,16.666170923801,18.4667032012753,18.5493852361754,19.2115326990923,20.7077625373196,20.4921738468403,20.1618168399044,19.6042671688917,19.3436657816157,19.2013963439921,18.3333591197029,17.3085657274208,16.659136062436,16.1277450085766,16.6906687717654,16.4201031830859,18.0193342628678,18.4866907009853,18.3041970449292,18.280058296438,18.5565278760727,18.6225141344279,17.3249190971302,17.3189183619764],"PASP-FDS^FG_PRICE_CHANGE(0,-3AM)":11.134903640257,"COPP-FDS^FG_PRICE_CHANGE(0,-3AM)":-9.78937029357198,"CAGDPY@SE^EE_ACTUAL_ANNUAL(MED,0)":6.54758763985883,"CAGDPY@DE^EE_ACTUAL_ANNUAL(MED,0)":5.88214213185842,"USDITL^STD(FG_PRICE_CHANGE(0,-3AY,M))":2.18410852976757,"USDANG^STD(FG_PRICE_CHANGE(0,-3AY,M))":0.0594600681310969,"USDUSD^STD(FG_PRICE_CHANGE(0,-3AY,M))":0.0,"USDGBP^STD(FG_PRICE_CHANGE(0,-3AY,M))":2.38683145915514,"USDJPY^STD(FG_PRICE_CHANGE(0,-3AY,M))":3.35240877850283,"USDCAD^STD(FG_PRICE_CHANGE(0,-3AY,M))":1.83420331354053,"USDNZD^STD(FG_PRICE_CHANGE(0,-3AY,M))":3.59611459976247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2764084,3.67687830587368,4.6151696484055,4.46089540048153,4.56673185665912],"EWC^P_PRICE_RETURNS_PR('52W',2,-10AY,0,AM)":[17.075657,4.855728,5.940211,-1.0899127,-3.1036973,-0.53322315,-6.743622,-3.016603,-3.8670003,-10.070783,-17.612808,-18.482136,-25.861835,-13.464123,-23.066568,-20.903772,-25.57413,-25.495165,-10.187304,-12.215179,-13.550652,-8.393568,-1.6425669,3.2059312,10.88003,4.5206547,9.381807,27.881409,38.679756,40.505028,17.835342,13.4152775,8.891022,8.019018,10.849607,7.314205,14.080834,17.588543,18.012608,10.129595,13.878298,2.9303074,7.774186,5.74013,13.323426,11.451721,8.705961,8.134068,1.8699527,-4.5971813,-7.698846,-10.081416,-12.168371,-0.46643615,1.3836026,4.2378306,-1.2591004,-1.0863364,2.3510456,-0.5033016,4.0051103,7.968235,14.015174,18.23523,19.079935,15.884602,-25.061798,-16.062647,-11.741519,-6.2170267,-7.5025854,4.1151643,-0.98357797,2.820921,-0.45937896,8.719599,9.052383,9.85496,73.709045,54.46676,53.384876,54.187214,44.951675,35.39045,36.46822,34.092487,42.23353,22.643148,25.359022,20.722507,14.490461,14.894569,-1.8526673,-2.3698807,-9.593749,-1.980567,-3.04752,-17.954922,-9.381306,-8.737766,-9.888059,-6.794584,-13.22946,-9.123445,1.9789934,-3.4835398,8.50997,-0.17054677,-0.12193322,12.14267,-1.6509354,5.2272677,7.1401477,5.1591396,17.808687,8.586097,10.58414,11.288953,13.069892,10.927164,19.890345],"ENZL^FG_TOTAL_RETURNC(-10AY,0,AM)":[0.2522707,-4.126835,7.5065613,-1.53808,2.8052568,-1.4877319,1.1527777,1.1085391,-3.823191,-3.6079943,-6.099987,-0.46403408,-7.0804176,7.306373,2.600813,2.9051542,-1.0214806,-1.5673935,12.1019125,6.4566135,0.9218812,3.8942337,6.4303637,2.355802,1.3551235,-7.597619,-5.7418466,3.9717317,1.6605139,2.361071,-3.4715712,1.8826962,2.1085024,4.756391,3.2889605,1.9222379,1.3502002,-0.23260713,-4.546422,4.007995,3.748691,-1.9295335,6.479907,0.58244467,-2.6956916,3.9400816,-2.6530385,-3.258407,1.4069438,-4.519659,3.7648678,0.84871054,2.2269845,2.681744,2.3668647,2.7905107,0.7368684,-0.6737292,7.492411,-2.4341106,0.67528486,-1.7700732,0.47420263,7.7968597,2.3994207,0.9257674,-21.455347,2.439022,6.915462,7.780695,7.777548,0.9241581,0.6392479,6.60944,3.8810015,5.084324,1.9755363,-3.9800882,-2.7735472,-2.3824453,1.8625617,-1.2899578,-0.3383875,-1.4227927,3.9363623,-2.9351413,0.032520294,-4.1686954,0.14550686,-7.960802,0.6538391,-0.68671703,-14.333767,0.84005594,-2.3178399,12.502802,-4.3019295,-16.066593,13.761461,7.432437,1.3614893,3.6605,-7.217699,3.8586378,0.65398216,-3.7469864,4.9853086,-5.8282557,-6.5605106,-0.4998803,-0.20552874,5.949652,6.093693,-4.4056473,-0.28260946,-2.7032852,1.4564157,3.036189,1.2526989,-1.3385296,8.513058],"EWI^FMA_PE(NTMA,-10AY,0,AM,\"PORTAGG\",\"MEANR\")":[14.0367275641081,12.5150407256355,12.3586105589576,12.2693076711912,11.8716904116106,14.4821421704867,15.629228580422,16.2389306829032,15.6287223435203,15.2023251459669,14.9774261091662,15.1409398668854,14.3746031426826,14.4670870855629,14.474785511289,13.8996972130561,13.4790861968652,11.8941230188023,13.7408450918804,12.6867120771472,13.429282607794,12.4906733518375,12.2301626157401,12.7699715220756,12.1876733737926,11.7213300910156,11.8434378398969,12.9291390483673,13.214521205419,13.0473965591938,13.2863042680179,13.1438468989513,13.8504926056749,13.2605271574341,13.5045242643339,13.1548267937409,13.4495004712976,13.5457272808636,13.4460005963658,13.5851692033839,13.6443184132609,12.5023651437377,12.7080849649624,12.7841820509208,12.9419183625077,11.6606599342921,11.3804020607727,11.0899770874372,10.8041694416101,9.87071874186469,9.69825352342091,9.44122526533859,9.69421551586197,10.1554032129652,10.4607714238714,10.9293200999984,10.3914402393696,10.0801789517643,10.9466900290377,9.98895340849906,10.8586667986044,10.8571929792904,11.5065029357165,11.3540428302752,11.6285504676505,11.8751312876275,7.31967898756858,10.5489472602225,14.9847732853393,17.0033739989701,17.324407478027,16.9500492252425,15.7376439361044,14.8741834881225,14.6838622722555,14.7921811915182,14.8309124818319,14.3642110167861,13.9810237556396,13.8369660577742,13.1950992990771,13.7436947531938,13.2513872767483,12.4247654648409,11.7191175863183,11.5909201019942,11.7934113909717,10.8563034542595,11.2084806882203,10.6758535162701,9.18218897849224,9.67766363292795,8.98541929056375,8.16454429223532,7.72850914320876,7.73687142592396,7.84874651494078,7.14791793160241,8.29033705698233,7.79806307390344,8.21595570564107,8.40013224155108,8.55951059201857,8.69207854044964,8.39269248312189,8.62997965276228,8.80203621407212,8.28216617494314,8.44336628332104,8.25323371299116,8.0912472326038,8.82744121644845,8.98289165285478,9.07024688139602,9.54114659078526,9.51388194092688,9.77203719387444,9.64259648494115,9.74565399596446,9.2539070595079,9.7839973881916],"DDR3512M-FDS^FG_PRICE_CHANGE(0,-3AM)":-7.31334059287313,"PLATI-FDS^FG_PRICE_CHANGE(0,-3AM)":-0.512820512820511,"W-FDS^FG_PRICE_CHANGE(0,-3AM)":-8.75202593192869,"CAGDPY@NL^EE_ACTUAL_ANNUAL(MED,+1)":9.75,"CAGDPY@CA^EE_ACTUAL_ANNUAL(MED,+1)":-1.0,"USDITL^STD(FG_PRICE_CHANGE(0,-1AY,AM))":1.55826251384123,"USDANG^STD(FG_PRICE_CHANGE(0,-1AY,AM))":0.0,"USDGBP^STD(FG_PRICE_CHANGE(0,-1AY,AM))":1.94732806639999,"USDJPY^STD(FG_PRICE_CHANGE(0,-1AY,AM))":2.94808567642106,"USDCAD^STD(FG_PRICE_CHANGE(0,-1AY,AM))":1.11995583725504,"USDNZD^STD(FG_PRICE_CHANGE(0,-1AY,AM))":2.25829387855996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638349123077],"TRYBR10Y-FDS^FG_YIELD(-10AY,0,Y,,\"YTM\")":[12.319731,15.989595,11.062725,9.887577,8.936093,6.883678,6.961219,10.970291,12.900059,10.455909],"USDCAD^FG_PRICE_CHANGE(0,-6AM)":0.7260084,"EWI^FMA_DIV_YLD(NTMA,-10AY,0,AM,\"PORTAGG\",\"MEANR\")":[3.51543329623409,3.97519122118323,4.07231008180053,4.13076116290824,4.23389118059733,3.65990931346818,3.39247668763227,3.08211052344215,3.20666472353069,3.30007642644915,3.27861299320685,3.18943447351644,3.41146122623376,3.59008141789234,3.68415770449227,3.86957175168544,4.12869025211825,4.81654836132896,4.17694949415063,4.60878747968323,4.54887219823259,4.78788731735719,4.78938776779692,4.68540837418352,4.8130956387016,4.96895881453445,4.78241754393465,4.50597102038746,4.36985540773232,4.44599975976405,4.06750207002043,4.00235959842993,3.76320828119867,3.79582867257263,3.75996607749691,3.83046937246452,3.723115917967,3.80606407368699,3.82206993493439,3.8300207272707,3.75590048320343,4.00276399452306,4.0054228403945,3.96218431158708,3.89538532686457,4.3707221700011,4.48336387654433,4.5769263603456,4.61790419625715,5.04516185646594,5.13026651797044,5.2568666184254,5.17574795645191,5.011119876537,4.80819950806536,4.60573267049852,4.86556204899233,5.00932565465268,4.63363573748548,5.10713519810032,4.72635876396044,4.7333996357681,4.49619706163934,4.52940791944614,4.42752191483507,4.42325751415785,7.34212659699748,5.87672825081317,4.98078191635195,4.3719146224742,4.31542851825517,3.85047525975233,4.02482703489546,4.0716618255418,4.0277476298578,3.9945362949049,3.92333552607568,3.91190722889868,4.04639910196407,4.08541316504462,4.21013289002527,4.03764201616479,4.15433219639851,4.24472954558524,4.50177636052082,4.47741200408592,4.30408854354832,4.6461787413316,4.560911335359,4.79913352155837,5.46323114399036,5.0679731405307,5.28530525906344,5.64574914330444,5.915282002532,5.55776897783925,5.51459038815229,6.28066308157621,5.40669456173364,5.77142842027173,5.43017022176163,5.43309386819878,5.36210540883119,5.33060637046063,5.50974108942095,5.40307808105231,5.26457182816449,5.53065548535623,5.4099950207821,5.52003348483433,5.65643669854102,5.45388805521752,5.41268848837576,5.47318841938903,5.18132629751986,5.27483298023567,5.18614223012314,5.29314123908845,5.26708343237519,5.63787232006655,5.44027124224909],"SPY^FMA_PE(LTMA,-10AY,0,AM,\"PORTAGG\",\"MEANR\")":[16.4536586232447,15.9764469536286,16.880876812209,16.6886501133442,17.0361446075098,17.4742464762175,17.5254957761373,17.5603626447011,17.5085517607022,17.4577741585105,17.3775374761632,17.4407635513867,16.7380542891142,17.0986317521107,17.1815658961477,16.8741555215366,16.2720666623329,16.2966838906097,16.18819342752,16.4452153070474,16.565182572191,16.7903390909585,17.1920818533968,17.5214305052838,17.5862125902495,17.6406812163262,17.9034217539695,18.7952576269203,19.0169123789478,19.1890335371885,19.4612423775783,19.24791597437,19.1845115873076,19.1746866965091,19.1292912496135,18.996217932583,19.1826118790856,19.5350303824306,19.5975181931334,20.1598923529103,20.9981464084675,19.524343103934,19.7787279056374,19.3366687033222,19.1192241658292,18.9773857127625,18.755461901603,18.5812645833458,18.5615136139314,17.8149109554598,17.2321746485027,16.5328643716776,16.0581802784709,16.8793397246482,17.095263692016,17.2579523709202,17.1933090638041,17.1893751378733,17.6891546593914,17.3417799200693,17.9086885839861,17.9258770966681,18.6786197149575,19.330408176207,20.0674133024894,20.5255162508056,17.3656094464968,18.2826226640688,19.5887050564981,20.652926904247,21.7846468900224,22.7653661737502,23.0686107015925,24.7525710972327,24.5573819824241,25.7995542760988,27.5289497585176,27.4302747377399,26.2151677041025,26.0494283541167,25.1246366320397,24.9985388861399,24.8785121920628,24.1112887898571,23.6659699678365,22.8659294863786,23.4119556680167,23.1564266491112,22.9560474502156,21.0611907711369,20.5004977588813,20.4963135576405,19.5915172454659,19.1923119571466,18.6772905874529,19.7058387488246,19.0245160661816,17.1278409089442,18.4569392223364,18.2087876580817,18.0683728904345,18.5840987559432,17.9533947638478,18.2340413002018,18.2948294557982,18.7574322302788,19.2959818121506,19.3618299674301,19.4844663410343,19.3305373726106,19.738079179629,20.8838486917807,21.819467235228,22.555521551683,22.7612755300645,22.5793239560714,22.5291351256521,22.7066652733803,23.1065627872006,22.4820781929646,22.9694399318465],"CAGDPY@NL^EE_ACTUAL_ANNUAL(MED,0)":9.85408501996988,"CAGDPY@CA^EE_ACTUAL_ANNUAL(MED,0)":-0.725414399026327,"USDITL^FG_PRICE_CHANGE(0,-6AM)":-1.1050701,"USDANG^FG_PRICE_CHANGE(0,-6AM)":0.0,"USDGBP^FG_PRICE_CHANGE(0,-6AM)":-2.2629142,"USDJPY^FG_PRICE_CHANGE(0,-6AM)":-3.5038471,"USDNZD^FG_PRICE_CHANGE(0,-6AM)":-0.016266108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301216298059],"ENZL^P_PRICE_RETURNS_PR('52W',2,-10AY,0,AM)":[13.207542,2.547872,8.0998535,10.927284,9.31431,7.7991366,2.087438,0.3360629,-4.6197295,-8.061039,-13.872492,-8.6890335,-16.481596,-5.275053,-9.59754,-5.984229,-9.034925,-9.108484,4.0916443,6.0579658,11.290539,16.518938,35.95921,39.81091,52.503407,31.321907,20.130657,21.8943,25.197243,28.007317,14.201117,7.2903275,8.551847,9.452641,6.2220335,5.658245,5.766952,14.1972065,13.542867,15.685844,18.062126,13.113392,24.77467,23.182285,16.628874,16.47184,9.771454,4.527855,4.2501807,-0.22950172,8.457672,5.1632166,3.4255147,8.493006,4.3022037,6.591928,11.012769,5.453694,16.444016,17.436182,16.588879,21.851086,16.1425,24.14434,25.2195,22.227156,-6.2168303,-5.511469,-0.80509186,7.6381564,8.900285,11.638487,11.142933,21.118439,25.225222,22.654093,21.568811,15.659534,43.169083,36.430584,29.982758,21.244324,10.0793,7.5194597,10.965765,1.1005521,-2.6449263,-10.822701,-12.81063,-17.338526,-13.08403,-11.976129,-25.972075,-24.37467,-25.876719,-15.405637,-22.11082,-32.64808,-24.119658,-14.13188,-13.089264,-4.388708,-11.30147,-5.64087,10.86775,5.824578,13.736486,-3.9346159,-7.0425153,10.197854,-1.287657,-4.6658397,-0.2150178,-7.9795957,-1.1014521,-7.3499975,-8.657843,-0.030070543,-3.584361,1.0123491,17.307556],"EWN^FMA_PE(NTMA,-10AY,0,AM,\"PORTAGG\",\"MEANR\")":[14.6202063653862,13.8188359071062,14.6438894162971,14.5120042300371,14.6903861867159,16.008823367584,17.4294878704045,17.7990555385529,16.7758548009656,16.3770760510902,16.4491634238409,15.9836360658662,14.559729005272,14.8238827880736,16.1055752226888,15.2061614074946,14.6294293318347,13.605002475377,15.303880693061,15.0280703071946,14.6630099888808,14.5259455610511,14.4551905393463,15.0113317918091,14.7320393156292,14.7857886660594,14.4101590514397,14.7740319140466,14.9003697276453,15.2732373653177,16.0658307955633,16.160748852129,16.5092772337628,16.0841315848414,15.8727463238334,15.70057747508,15.8453509768096,16.1583788074962,16.1161194546651,16.1729929407753,16.2257148449815,15.2976363756999,15.8087231357203,15.6969486170624,15.7079210668555,15.9890131124825,15.6255643212121,15.640740861733,14.8947857888953,14.0187873257544,14.2127863532919,13.7590425236824,13.4132960063511,14.6451398280642,14.866299315793,15.5421307089545,15.2539616935744,15.3515537653289,15.5320360973095,14.9925612112056,16.0744474466299,16.2028148063799,16.7325834476737,16.8634636853836,17.1620643650941,18.1926171854301,12.6305640376824,15.8300240785872,17.5443522652805,18.9755303928697,20.107883748229,20.2338890765866,19.5586880386938,20.1432128651367,20.7139645665142,20.2011656746262,21.038052321023,22.6498308645117,21.7226899216766,22.5824862224462,20.821562983864,21.6370786908485,21.2791911837937,21.7674157426149,21.7374728885425,20.0432834303222,21.6160294510135,20.2110599892131,20.0548571623274,18.4049098222676,16.6233333739332,17.591278717483,15.9490637555078,16.6065288125373,16.1034843440022,17.8869214966046,16.4407042395027,13.9302183565577,16.2938652611738,16.2608815661546,16.851536759977,16.8701209075877,16.1868115184524,16.2620286447722,15.5722570665231,15.7406240903231,15.9765225406378,15.2813647024946,14.1662198586387,13.7382912606755,14.0557297633516,14.9734640992671,14.7999346105204,16.3232387416835,16.2118855397198,15.9996862313687,16.1569948178594,16.8103997123106,16.7668655414297,14.72223079188,14.626002444629],"DDR3512M-FDS^FG_PRICE_MAVG(0,,,,30)":0.8902822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VN10Y-FDS^FG_YIELD(-10AY,0,Y,,\"YTM\")":[7.3,6.277413,7.1117578,5.6717234,4.738006,3.5404546,2.4877946,2.059403,4.687226,2.9473283],"TRYTW10Y-FDS^FG_YIELD(-10AY,0,Y,,\"YTM\")":[1.6015,1.015,1.2037,0.9478,0.8648,0.672,0.315,0.7413,1.2812,1.211],"USDAUD^FG_COMPANY_NAME":"Australian Dollar per U.S. Dollar","ENZL^FMA_PE(LTMA,-10AY,0,AM,\"PORTAGG\",\"MEANR\")":[17.9183637763083,17.8689048706871,18.7934164417871,18.9364000454241,19.4327979035542,19.8376090505273,20.4702096928887,20.2042178295739,20.0367656566959,19.9608641740254,19.6258591634084,19.4977992773451,19.0525039041733,18.7727895587049,19.4878897365831,19.4732059544712,19.1102874066375,18.4106846123147,19.3356460295648,19.296246255482,19.6250982279758,19.7688926499115,20.0009555832574,20.6738365589074,20.8885191776841,20.3906018694488,19.5124372077911,19.8337069881042,20.479648727554,20.5522290996097,19.7930368561237,19.8307410277796,20.0152583091748,19.9465900258188,20.048754713108,20.4946706374448,20.6839297423919,20.8560384112428,21.0391634695554,21.9697385784499,21.8488627491897,20.4416566600997,22.5842012850502,22.3692307508761,22.4615906030511,22.763142825407,22.8603669891934,23.0521914419907,23.4519023789087,22.730182309972,23.183155607757,22.7642833524654,23.2702327107766,24.0497561671714,24.1268161758069,24.0774912388268,24.2429538514557,24.3082622918612,25.0577862933579,25.4446244672047,28.6213638725646,28.7125919732495,29.2760237805156,31.4545155650677,32.3702856866614,33.3722319130418,30.4705740012022,30.7890893984906,32.2267222164408,32.0777544676088,33.2079643467989,33.7171597038223,33.7593155996043,35.2238984793145,35.9360501781814,37.1212536720626,38.0293665070126,34.9563876207825,34.4423549580636,34.395147431222,34.8738018150325,35.3670873351657,36.5591440332569,36.6800640714007,38.3842548037291,38.4731356878518,38.7604880513004,39.3060316456823,38.5364120154325,36.833960226324,35.072985904635,34.4916267149324,34.1933961014926,33.2953246492655,32.9836198485475,33.3462320873665,34.4050594782995,31.229129080694,31.2948009576031,29.2864364766364,29.44388982543,30.1105232049034,29.281977351299,28.7498664107492,28.2728400774899,26.3333434868708,25.780503693696,24.8749917649049,24.0957833109568,23.4705532256459,22.6825770307956,23.3829206559602,24.0566025420845,22.9755685086931,23.7875766660681,24.0945513504803,24.4441135638508,24.1977186535384,24.8692773963131,25.3457714698412,24.2574421930746],"FC0000GR^FG_PRICE(0)":9.580717,"EWJ^FG_PRICE_MAVG(0,,,,200)":67.7581,"URTH^FG_TOTAL_RETURNC(0,-1AM)":5.148387,"EWN^FG_TOTAL_RETURNC(0,-12AM)":26.500595,"EWU^FG_TOTAL_RETURNC(0,-6AM)":11.50558,"EWC^PERCENT_CHANGE(FMA_EPS(+1,0,,,,\"PORTAGG\",\"MEAN\"),FMA_EPS(+1,-1AM,,,,\"PORTAGG\",\"MEAN\"))":1.20543739761032,"VGK^SIZE(FG_CONSTITUENTS)":1287,"EWI^FG_ROE(0)":13.3872185656221,"TRYCA10Y-FDS^PCTCHG(FG_YIELD(0,,,,\"YTM\"),FG_YIELD(-3AM,,,,\"YTM\"))":-15.353386,"TRYNZ10Y-FDS^FG_YIELD(0,,,,\"YTM\")":4.1526,"SPY^FMA_PE(NTMA,0,,,\"PORTAGG\",\"MEANR\")":20.8026400513372,"EWJ^FMA_PE(LTM,0,,,\"PORTAGG\",\"MEANR\")":17.1091334421597,"ENZL^FMA_PE(LTM,0,,,\"PORTAGG\",\"MEANR\")":47.8607137811031,"COPP-FDS^FG_PRICE_CHANGE(0,-6AM)":5.29936305732484,"EWN^P_PRICE(0)/P_PRICE_HIGH_PR(0,,,,,,\"PRICE\",\"INTRA\",\"52W\")":0.92570245,"EWU^FG_TOTAL_RETURNC(0,-3AM)":3.9852977,"EWC^FMA_PCT_ABOVE_MAVG(200,0,,,,\"PORTAGG\")":67.4418604651163,"VGK^FMA_COS_UP(\"EPS\",\"1M\",+1,0,,,\"PORTAGG\",\"MEANR\")":427.0,"EWC^FMA_COS_UP(\"EPS\",\"1M\",+1,0,,,\"PORTAGG\",\"MEANR\")":24.0,"EWI^FG_FCF_YIELD_NTM(0)":5.4462495065519,"SPY^FMA_PE(LTM,0,,,\"PORTAGG\",\"MEANR\")":25.921398567894,"EWG^FMA_EVAL_EBIT(LTMA,NOW,NOW,M,\"PORTAGG\",\"MEANR\")":13.8664754850983,"ENZL^JULIAN(FMA_DIV_YLD(NTMA,NOW,NOW,M,\"PORTAGG\",\"MEANR\").DATES)":45534,"QQQ^FG_TOTAL_RETURNC(0,-3AM)":-0.03578663,"EWD^FMA_DIV_YLD(NTMA,NOW,NOW,M,\"PORTAGG\",\"MEANR\")":3.20494310472097,"TRYIT10Y-FDS^PCTCHG(FG_YIELD(0,,,,\"YTM\"),FG_YIELD(-3AM,,,,\"YTM\"))":-11.594206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DDR3512M-FDS^FG_PRICE_CHANGE(0,-6AM)":-8.085969398987,"EWJ^FG_PRICE_MAVG(0,,,,60)":68.96083,"URTH^PERCENT_CHANGE(FMA_EPS(+1,0,,,,\"PORTAGG\",\"MEAN\"),FMA_EPS(+1,-3AM,,,,\"PORTAGG\",\"MEAN\"))":1.0580574896692,"EWA^FG_TOTAL_RETURNC(0,-12AM)":23.203564,"EWA^SIZE(FG_CONSTITUENTS)":58,"EWD^FG_ROE(0)":17.0285471248289,"REFEUREFI-FDS^FG_YIELD(NOW,,,0)":4.25,"TRYCA10Y-FDS^PCTCHG(FG_YIELD(0,,,,\"YTM\"),FG_YIELD(-1AM,,,,\"YTM\"))":-5.4763923,"TRYNZ10Y-FDS^FG_YIELD_NAME":"New Zealand Benchmark Bond - 10 Year","EWI^FMA_DIV_YLD(NTMA,NOW,NOW,M,\"PORTAGG\",\"MEANR\")":5.27575321771592,"CC_US^IMF_IFS_RCPI_Q(0)":3.19889,"QQQ^FG_TOTAL_RETURNC(0,-1AM)":4.8384905,"UUP^P_PRICE(0)/P_PRICE_HIGH_PR(0,,,USD,,,\"PRICE\",\"INTRA\",\"52W\")":0.93552125,"EWQ^FG_ROE(0)":12.1316430264871,"REFAUCASH-FDS^(SUBARRAY(NOT_NA(NO_REPEAT_F(FG_YIELD(NOW,-10AY,D))),0,1)-SUBARRAY(NOT_NA(NO_REPEAT_F(FG_YIELD(NOW,-10AY,D))),1,1))*100":25.0,"EWI^FMA_PE(LTM,0,,,\"PORTAGG\",\"MEANR\")":11.14687822314,"EWJ^FG_TOTAL_RETURNC(0,-6AM)":1.1360645,"UUP^FG_TOTAL_RETURNC(0,-6AM)":1.4013648,"UUP^FG_TOTAL_RETURNC(0,-3AM)":-1.8434823,"EWG^FG_ROE(0)":10.7619619390197,"REFSEREPO-FDS^FG_YIELD(NOW,,,0)":3.5,"CC_GB^IMF_IFS_RCPI_Q(0)":2.8697004,"QQQ^FMA_PE(LTM,0,,,\"PORTAGG\",\"MEANR\")":34.9133044093764,"TRYSE10Y-FDS^FG_YIELD(0,,,,\"YTM\")":1.9,"CC_CH^IMF_IFS_RCPI_Q(0)":1.3619826,"EWG^FMA_PE(LTM,0,,,\"PORTAGG\",\"MEANR\")":15.1748580106392,"ENZL^FG_TOTAL_RETURNC(0,-3AM)":8.401728,"CC_AU^IMF_IFS_RCPI_Q(0)":3.81451,"SPY^FMA_EVAL_EBIT(LTMA,NOW,NOW,M,\"PORTAGG\",\"MEANR\")":21.049812134441,"ENZL^FMA_EVAL_EBITDA(NTMA,0,,,\"PORTAGG\",\"MEANR\")":12.926893295395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668122593824],"COPP-FDS^FG_PRICE_CHANGE(0,-1AM)":1.92355117139336,"EWJ^FG_PRICE_MAVG(0,,,,30)":68.74633,"VWO^P_PRICE(0)/P_PRICE_LOW_PR(0,,,,,,\"PRICE\",\"INTRA\",\"52W\")-1":0.18168461,"EWN^FG_TOTAL_RETURNC(0,-1AM)":2.9140472,"EWU^FG_TOTAL_RETURNC(0,-1AM)":3.6046267,"EWA^P_PRICE(0)/P_PRICE_LOW_PR(0,,,,,,\"PRICE\",\"INTRA\",\"52W\")-1":0.273216,"EWI^SIZE(FG_CONSTITUENTS)":26,"EWN^FG_ROE(0)":11.0136885219344,"REFCATARG-FDS^PROPER_NAME(0,,,\"SECURITY\",\"NAME\")":"Canada Target Rate","TRYNZ10Y-FDS^PCTCHG(FG_YIELD(0,,,,\"YTM\"),FG_YIELD(-1AM,,,,\"YTM\"))":-2.2917693,"CC_IT^IMF_IFS_RCPI_Q(0)":0.80847347,"SPY^JULIAN(FMA_DIV_YLD(NTMA,NOW,NOW,M,\"PORTAGG\",\"MEANR\").DATES)":45534,"EWG^FMA_EVAL_EBITDA(NTMA,0,,,\"PORTAGG\",\"MEANR\")":8.4864112150601,"EWJ^P_PRICE(0)/P_PRICE_HIGH_PR(0,,,USD,,,\"PRICE\",\"INTRA\",\"52W\")":0.9713101,"DDR3512M-FDS^FG_PRICE_CHANGE(0,-1AM)":-0.0628561095379787,"COPP-FDS^FG_PRICE_MAVG(0,,,,30)":4.0862665,"EWJ^FG_PRICE(0)":70.25,"VWO^P_PRICE(0)/P_PRICE_HIGH_PR(0,,,,,,\"PRICE\",\"INTRA\",\"52W\")":0.96796066,"EWN^PERCENT_CHANGE(FMA_EPS(+1,0,,,,\"PORTAGG\",\"MEAN\"),FMA_EPS(+1,-3AM,,,,\"PORTAGG\",\"MEAN\"))":2.20044717217294,"EWL^FG_TOTAL_RETURNC(0,-12AM)":15.407955,"EWI^FMA_COS_DOWN(\"EPS\",\"1M\",+1,0,,,\"PORTAGG\",\"MEANR\")":6.0,"EWA^FMA_COS_DOWN(\"EPS\",\"1M\",+1,0,,,\"PORTAGG\",\"MEANR\")":30.0,"CC_FR^IMF_IFS_RCPI_Q(0)":2.2093682,"EWI^FMA_PE(NTMA,0,,,\"PORTAGG\",\"MEANR\")":9.7839973881916,"QQQ^FMA_EVAL_EBIT(LTMA,NOW,NOW,M,\"PORTAGG\",\"MEANR\")":24.7793865679928,"EWG^FG_FCF_YIELD_NTM(0)":5.97551139463959,"REFNZOCR-FDS^(SUBARRAY(NOT_NA(NO_REPEAT_F(FG_YIELD(NOW,-10AY,D))),0,1)-SUBARRAY(NOT_NA(NO_REPEAT_F(FG_YIELD(NOW,-10AY,D))),1,1))*100":-25.0,"UUP^FG_TOTAL_RETURNC(0,-1AM)":-1.2250602,"CC_JP^IMF_IFS_RCPI_Q(0)":2.7266946,"TRYIT10Y-FDS^PCTCHG(FG_YIELD(0,,,,\"YTM\"),FG_YIELD(-1AM,,,,\"YTM\"))":-4.478025,"EWC^FG_FCF_YIELD_NTM(0)":4.99722636905986,"EWU^FG_FCF_YIELD_NTM(0)":6.32781857518291,"SPY^FG_TOTAL_RETURNC(0,-3AM)":3.6087275,"EWJ^FMA_EVAL_EBITDA(NTMA,0,,,\"PORTAGG\",\"MEANR\")":9.53945997924908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WL-FDS^FG_PRICE_CHANGE(0,-6AM)":-12.2787071625792,"TIOS-FDS^FG_PRICE_CHANGE(0,-6AM)":-17.7551922227132,"EWG^FG_PRICE(0)":32.13,"VWO^FG_TOTAL_RETURNC(0,-6AM)":5.310726,"EWL^P_PRICE(0)/P_PRICE_LOW_PR(0,,,,,,\"PRICE\",\"INTRA\",\"52W\")-1":0.22912157,"EWA^FG_TOTAL_RETURNC(0,-3AM)":6.76229,"EWA^FMA_COS_UP(\"EPS\",\"1M\",+1,0,,,\"PORTAGG\",\"MEANR\")":23.0,"EWG^JULIAN(FMA_DIV_YLD(NTMA,NOW,NOW,M,\"PORTAGG\",\"MEANR\").DATES)":45534,"GLD^FG_TOTAL_RETURNC(0,-6AM)":18.289207,"WL-FDS^FG_PRICE_CHANGE(0,-3AM)":-2.64960346070655,"TIOS-FDS^FG_PRICE_CHANGE(0,-3AM)":-12.5540311971434,"EWC^FG_PRICE_MAVG(0,,,,200)":37.40705,"VWO^FG_TOTAL_RETURNC(0,-3AM)":1.6974092,"EWN^PERCENT_CHANGE(FMA_EPS(+1,0,,,,\"PORTAGG\",\"MEAN\"),FMA_EPS(+1,-1AM,,,,\"PORTAGG\",\"MEAN\"))":0.566487561079756,"EWL^P_PRICE(0)/P_PRICE_HIGH_PR(0,,,,,,\"PRICE\",\"INTRA\",\"52W\")":0.9630398,"EWA^FG_TOTAL_RETURNC(0,-1AM)":7.4226737,"EWI^FMA_COS_UP(\"EPS\",\"1M\",+1,0,,,\"PORTAGG\",\"MEANR\")":11.0,"EWL^FG_ROE(0)":19.0513015463467,"REFAUCASH-FDS^FG_YIELD(NOW,,,0)":4.35,"EWD^FMA_EVAL_EBITDA(NTMA,0,,,\"PORTAGG\",\"MEANR\")":10.5987579478926,"QQQ^FMA_EVAL_EBITDA(NTMA,0,,,\"PORTAGG\",\"MEANR\")":16.3077691152194,"EWG^FMA_DIV_YLD(NTMA,NOW,NOW,M,\"PORTAGG\",\"MEANR\")":3.33287521874897,"EWN^P_PRICE_RETURNS_PR('52W',2,-10AY,0,AM)":[6.683719,-2.4849296,-1.7794967,0.66150427,-8.290947,0.20866394,0.5084038,3.0173182,4.5929074,3.0856729,7.196021,11.873174,-0.25199652,8.651662,4.848516,-1.7267227,0.5732894,-10.950476,-0.7315695,-4.027027,-6.7343655,-7.898712,-9.392202,-3.9779365,4.690194,2.5719643,-2.7945817,4.2340994,9.746742,17.984486,15.488922,12.446356,22.563326,24.692476,29.218138,26.312721,29.477167,32.900417,33.53286,35.018158,36.563503,28.245401,24.55659,23.8796,13.57752,12.093508,7.800126,3.142178,-2.0460486,-8.832574,-7.865077,-10.658323,-14.714802,-6.2427225,-8.058268,-3.0400455,-1.9816041,-1.7813265,2.8215408,0.53982735,9.376156,15.723062,19.42563,23.938953,27.43156,23.216534,-12.916446,-7.4298024,-5.4193377,5.304599,11.679733,20.387781,12.407864,18.387115,17.139017,22.198141,27.433168,33.864044,82.08716,74.09969,65.820335,62.91033,44.32,43.756496,53.066372,33.68344,41.18017,23.57031,17.615604,0.08087158,-14.104062,-14.860278,-22.276741,-25.249928,-29.34444,-23.105484,-31.541746,-37.997673,-26.896626,-19.183016,-14.403915,-8.766669,3.4733295,7.0530057,18.641317,17.991268,32.793736,14.380062,13.136339,30.245995,11.475682,12.938297,6.6300154,15.528143,25.759388,16.752863,23.071516,25.276733,21.64551,13.476669,26.500595],"TIOS-FDS^FG_PRICE_MAVG(0,,,,30)":98.07833,"FXI^FG_TOTAL_RETURNC(0,-12AM)":-3.0174673,"VWO^PERCENT_CHANGE(FMA_EPS(+1,0,,,,\"PORTAGG\",\"MEAN\"),FMA_EPS(+1,-3AM,,,,\"PORTAGG\",\"MEAN\"))":-1.44265145578191,"EWN^FMA_PCT_ABOVE_MAVG(200,0,,,,\"PORTAGG\")":48.1481481481481,"EWL^FG_TOTAL_RETURNC(0,-6AM)":7.0004344,"EWD^SIZE(FG_CONSTITUENTS)":47,"ENZL^SIZE(FG_CONSTITUENTS)":26,"EWJ^FG_ROE(0)":9.28027355270202,"REFSEREPO-FDS^(SUBARRAY(NOT_NA(NO_REPEAT_F(FG_YIELD(NOW,-10AY,D))),0,1)-SUBARRAY(NOT_NA(NO_REPEAT_F(FG_YIELD(NOW,-10AY,D))),1,1))*100":-25.0,"REFAUCASH-FDS^PROPER_NAME(0,,,\"SECURITY\",\"NAME\")":"Australia Target Cash Rate","TRYIT10Y-FDS^FG_YIELD(0,,,,\"YTM\")":3.477,"QQQ^FG_FCF_YIELD_NTM(0)":3.61888000641045,"EWG^FMA_PE(NTMA,0,,,\"PORTAGG\",\"MEANR\")":11.9514489729844,"EWD^FG_FCF_YIELD_NTM(0)":5.24954875476485,"REFNZOCR-FDS^FG_YIELD(NOW,,,0)":5.25,"GLD^P_PRICE(0)/P_PRICE_HIGH_PR(0,,,USD,,,\"PRICE\",\"INTRA\",\"52W\")":0.9994925,"EWD^FMA_PE(NTMA,0,,,\"PORTAGG\",\"MEANR\")":15.5776625268684,"GLD^FG_TOTAL_RETURNC(0,-3AM)":10.064268,"WL-FDS^FG_PRICE_MAVG(0,,,,30)":525.4867,"EWC^FG_PRICE_MAVG(0,,,,60)":38.467,"TRYNL10Y-FDS^FG_YIELD(0,,,,\"YTM\")":2.444,"QQQ^JULIAN(FMA_DIV_YLD(NTMA,NOW,NOW,M,\"PORTAGG\",\"MEANR\").DATES)":45534,"VGK^P_PRICE(0)/P_PRICE_HIGH_PR(0,,,USD,,,\"PRICE\",\"INTRA\",\"52W\")":0.9748277,"SPY^P_PRICE_RETURNS_PR('52W',2,-10AY,0,AM)":[20.180428,14.820421,17.49685,14.968145,12.200904,16.987514,12.742233,16.917372,12.800717,10.627996,7.747948,10.071087,0.15053749,7.9036713,2.4646282,0.87023973,-2.446717,-8.809787,1.2128592,0.15000105,0.4899621,1.7276287,5.867028,6.8541527,12.36825,8.345997,6.4347386,14.498925,19.488096,27.64542,21.680677,16.005278,18.09188,18.246937,15.831161,13.922405,17.935694,21.564411,21.38815,20.301033,25.065697,16.836119,19.45094,15.793657,16.15156,16.793705,16.62624,18.329657,17.78103,10.342873,7.5343966,1.3179302,-4.4139266,5.2767754,2.267146,11.240339,7.9778314,5.412638,9.757864,3.7577033,6.28227,11.035895,15.632987,21.853947,28.195381,25.43007,-9.548062,-1.1659801,1.5638351,7.6696634,8.51034,19.510782,13.514161,21.28992,16.554403,18.790268,18.503893,18.580128,61.84759,50.35273,43.702103,43.42694,39.689743,33.88785,35.41169,24.78267,34.169186,30.182457,26.02874,14.250398,8.180655,7.884681,-1.9417882,-6.7623196,-11.627716,-2.6786447,-6.423503,-16.52416,-12.768346,-13.965058,-14.352226,-7.7097774,-7.8244867,-5.310452,6.6970587,13.187361,19.047892,7.8582883,10.30966,23.557425,13.409721,18.180311,21.921026,24.65682,35.962177,27.016699,27.994955,26.612747,27.318455,21.344112,27.122402],"EWI^FG_PRICE_MAVG(0,,,,200)":36.1481,"EWC^FG_PRICE_MAVG(0,,,,30)":39.1,"FXI^P_PRICE(0)/P_PRICE_LOW_PR(0,,,,,,\"PRICE\",\"INTRA\",\"52W\")-1":0.23250234,"EWL^FG_TOTAL_RETURNC(0,-1AM)":3.1508803,"EWA^PERCENT_CHANGE(FMA_EPS(+1,0,,,,\"PORTAGG\",\"MEAN\"),FMA_EPS(+1,-3AM,,,,\"PORTAGG\",\"MEAN\"))":-0.329789374259602,"VGK^FG_TOTAL_RETURNC(0,-3AM)":0.86911917,"USDSEK^FG_COMPANY_NAME":"Swedish Krona per U.S. Dollar","PASP-FDS^FG_PRICE_CHANGE(0,-6AM)":0.776699029126204,"EWA^FG_PRICE_MAVG(0,,,,200)":24.24845,"FXI^FG_TOTAL_RETURNC(0,-1AM)":0.23391247,"VGK^FG_TOTAL_RETURNC(0,-12AM)":19.694769,"EWQ^FG_TOTAL_RETURNC(0,-12AM)":9.000039,"EWA^PERCENT_CHANGE(FMA_EPS(+1,0,,,,\"PORTAGG\",\"MEAN\"),FMA_EPS(+1,-1AM,,,,\"PORTAGG\",\"MEAN\"))":2.29829185099024,"EWD^FMA_COS_DOWN(\"EPS\",\"1M\",+1,0,,,\"PORTAGG\",\"MEANR\")":18.0,"EWC^FG_ROE(0)":10.9096492716596,"REFSEREPO-FDS^PROPER_NAME(0,,,\"SECURITY\",\"NAME\")":"Sweden Repo Rate","GLD^FG_TOTAL_RETURNC(0,-1AM)":3.4674525,"USO^FG_TOTAL_RETURNC(0,-3AM)":-8.015275,"EWG^P_PRICE_RETURNS_PR('52W',2,-10AY,0,AM)":[9.56502,-6.987423,-6.510359,-4.9626646,-11.585009,-3.9062917,-2.1289349,1.0252237,-4.059368,-6.6173973,-3.9497554,1.4474511,-7.2968063,3.7923217,0.062060356,-7.126766,-5.9769273,-19.447815,-11.941486,-15.314799,-12.686157,-13.44226,-13.453949,-3.6765754,1.5402794,0.63432455,-1.43677,3.7411332,11.199617,21.455013,18.521559,14.432192,22.19001,26.787912,28.888203,16.8625,24.39927,29.91103,30.579138,29.16745,30.681301,21.777557,20.022345,18.039381,11.965954,6.1458826,1.6412377,1.0410666,-5.567813,-12.615431,-16.29991,-19.246334,-21.506298,-17.03611,-15.773905,-11.886102,-12.577545,-11.591488,-7.0489287,-10.084581,-4.376131,0.71099997,11.401892,15.854883,15.860701,15.758694,-23.276312,-14.388919,-16.400814,-1.2363374,2.245319,16.620779,12.430584,12.594854,2.928245,7.366729,11.564196,13.512063,67.862785,53.47382,52.54208,40.235184,28.964054,20.338202,17.926407,10.125709,19.15406,7.7617526,5.92978,-1.5378892,-17.671728,-19.68208,-25.109577,-27.29029,-35.165375,-28.266483,-30.486357,-36.912567,-24.239391,-19.530159,-14.538109,-11.199135,5.011487,9.834099,18.534052,16.481709,35.429966,20.431746,21.329939,35.859776,12.240291,18.264532,8.116377,8.560383,18.258059,7.84961,13.198757,14.161181,13.297689,9.7262745,21.000517],"EWI^FG_PRICE_MAVG(0,,,,60)":37.100666,"FXI^PERCENT_CHANGE(FMA_EPS(+1,0,,,,\"PORTAGG\",\"MEAN\"),FMA_EPS(+1,-3AM,,,,\"PORTAGG\",\"MEAN\"))":7.70737299135659,"VGK^P_PRICE(0)/P_PRICE_LOW_PR(0,,,,,,\"PRICE\",\"INTRA\",\"52W\")-1":0.25899017,"EWQ^FG_TOTAL_RETURNC(0,-3AM)":-2.207166,"EWL^FMA_PCT_ABOVE_MAVG(200,0,,,,\"PORTAGG\")":54.3478260869565,"EWN^FMA_COS_UP(\"EPS\",\"1M\",+1,0,,,\"PORTAGG\",\"MEANR\")":15.0,"EWA^FG_ROE(0)":12.7476808987524,"TRYNL10Y-FDS^FG_YIELD_NAME":"Netherlands Benchmark Bond - 10 Year","EWQ^FMA_COS_UP(\"EPS\",\"1M\",+1,0,,,\"PORTAGG\",\"MEANR\")":19.0,"TRYSE10Y-FDS^PCTCHG(FG_YIELD(0,,,,\"YTM\"),FG_YIELD(-3AM,,,,\"YTM\"))":-15.216419,"USDCHF^STD(FG_PRICE_CHANGE(0,-3AY,M))":2.48032487496995,"PASP-FDS^FG_PRICE_CHANGE(0,-1AM)":9.95762711864407,"EWI^FG_PRICE_MAVG(0,,,,30)":37.212334,"EWA^FG_PRICE(0)":26.05,"FXI^PERCENT_CHANGE(FMA_EPS(+1,0,,,,\"PORTAGG\",\"MEAN\"),FMA_EPS(+1,-1AM,,,,\"PORTAGG\",\"MEAN\"))":3.63964395972137,"EWQ^FG_TOTAL_RETURNC(0,-1AM)":4.056585,"EWA^FMA_PCT_ABOVE_MAVG(200,0,,,,\"PORTAGG\")":63.7931034482759,"EWQ^SIZE(FG_CONSTITUENTS)":61,"ENZL^FG_ROE(0)":3.40949042952041,"CC_CA^IMF_IFS_RCPI_Q(0)":2.7411842,"EWD^FMA_PE(LTM,0,,,\"PORTAGG\",\"MEANR\")":13.8804435467092,"EWU^FMA_EVAL_EBIT(LTMA,NOW,NOW,M,\"PORTAGG\",\"MEANR\")":10.9308597149683,"EWC^FMA_EVAL_EBIT(LTMA,NOW,NOW,M,\"PORTAGG\",\"MEANR\")":16.1213683565626,"VGK^FG_TOTAL_RETURNC(0,-6AM)":4.8554063,"EWD^JULIAN(FMA_DIV_YLD(NTMA,NOW,NOW,M,\"PORTAGG\",\"MEANR\").DATES)":45534,"EWU^FMA_EVAL_EBITDA(NTMA,0,,,\"PORTAGG\",\"MEANR\")":7.53602074406162,"EWA^P_PRICE_RETURNS_PR('52W',2,-10AY,0,AM)":[7.3985577,-5.645293,-0.8078098,-1.6705453,-4.2773604,-2.8007925,-2.807939,-6.5098467,-9.211654,-13.217646,-16.6708,-19.598156,-25.985998,-10.717922,-22.19159,-15.239411,-18.954277,-21.604145,-7.325971,-14.208317,-10.148173,-6.8883896,2.0844698,9.00532,13.520515,10.429406,16.130245,22.172535,30.891954,35.59195,19.151974,22.036266,15.082312,15.4911995,12.178766,10.600698,21.754097,14.54885,18.655968,12.9992485,15.17694,7.686472,10.651398,4.202986,9.507608,10.351801,10.44414,5.8793545,-1.2621343,-4.950815,-5.0469637,-6.6529036,-9.088654,-1.366508,-3.1530857,3.430438,0.47593117,4.2122245,4.593265,0.5122781,8.88598,14.5713215,15.039277,18.916977,17.679083,14.9735565,-26.15047,-19.717138,-20.655369,-10.586506,-9.692097,1.423645,-6.8860054,-2.0055175,-0.79030395,8.06129,10.047436,11.241198,70.16665,56.561817,61.647343,48.581196,35.85279,29.371918,32.238533,25.085808,21.668983,8.16834,6.7999005,-0.9399712,1.7098308,8.889437,-8.338547,-11.347616,-14.504141,-5.8802547,-6.319004,-18.127901,-5.5944977,-1.5699208,0.35226345,6.340921,-5.046499,-6.734556,5.568075,4.1121483,13.698125,0.22882223,1.0768175,12.251318,-0.6279826,2.2231102,3.4658074,1.6661525,14.084614,6.302321,9.537947,13.08676,16.81025,13.401818,23.203564],"PASP-FDS^FG_PRICE_MAVG(0,,,,30)":952.63336,"EWI^FG_PRICE(0)":38.09,"ENZL^FG_PRICE_MAVG(0,,,,200)":46.25129,"FXI^FMA_PCT_ABOVE_MAVG(200,0,,,,\"PORTAGG\")":27.4509803921569,"VGK^P_PRICE(0)/P_PRICE_HIGH_PR(0,,,,,,\"PRICE\",\"INTRA\",\"52W\")":0.9748277,"EWQ^PERCENT_CHANGE(FMA_EPS(+1,0,,,,\"PORTAGG\",\"MEAN\"),FMA_EPS(+1,-3AM,,,,\"PORTAGG\",\"MEAN\"))":-0.097229838564926,"ENZL^FG_TOTAL_RETURNC(0,-6AM)":10.25635,"EWQ^FMA_COS_DOWN(\"EPS\",\"1M\",+1,0,,,\"PORTAGG\",\"MEANR\")":25.0,"USDCHF^FG_COMPANY_NAME":"Swiss Franc per U.S. Dollar","SPY^FG_TOTAL_RETURNC(-10AY,0,AM)":[2.8936148,-3.865999,7.043147,-1.505202,1.4304519,3.0940056,-0.8711457,1.8682599,-0.028562546,0.014281273,-0.7219672,0.6940484,-5.829978,2.9711843,1.6474724,-1.4450252,-3.490281,-3.6304653,8.642769,2.080059,0.31080246,1.6992688,2.8573632,1.6329408,-0.97043514,-0.7147014,1.268065,4.5421004,0.71502924,2.1983862,2.6694298,-1.110673,2.1151066,1.8327951,0.75598955,0.045084953,2.4291396,2.3401618,1.3548493,3.3670425,4.703951,-4.52649,4.9672127,-4.1384163,2.6021956999999998,2.2246718,0.6115198,1.3566256,2.1048188,-4.122865,-1.2248635,-2.6085079,-1.8592358,5.838287,1.9664288,4.272759,-0.7099509,0.100660324,4.758835,-4.184264,4.5891643,-1.206696,4.293239,2.6310682,3.2082558,3.595233,-26.468498,12.816513,3.0445695,6.118524,4.860413,6.2502027,-1.001662,5.926311,0.22132397,3.7060142,3.84686,3.661859,0.36164522,4.8039675,-1.5134633,4.6619415,3.3511639,1.837194,0.07414818,-2.3386002,7.7602506,0.74261427,0.41553974,-6.488049,-4.6292486,4.6579957,-10.483927,-0.6474018,-1.8800914,12.149787,-3.7766337,-12.880182,11.765205,0.110411644,-0.036346912,2.791214,-5.423486,6.1454654,0.8675456,5.3961396,3.2002807,-0.082957745,0.076293945,-2.4174273,1.6026378,5.331254,3.1277537,5.097759,3.1538248,-0.83824396,1.9555688,3.9397836,3.7754893,-4.771507,4.8418283],"NI-FDS^FG_PRICE_CHANGE(0,-6AM)":-12.4620898814447,"EWD^FG_PRICE(0)":40.88,"EWQ^PERCENT_CHANGE(FMA_EPS(+1,0,,,,\"PORTAGG\",\"MEAN\"),FMA_EPS(+1,-1AM,,,,\"PORTAGG\",\"MEAN\"))":1.23106721442903,"EWU^FG_TOTAL_RETURNC(-10AY,0,AM)":[-0.5461693,-8.287567,3.3206224,-6.269753,0.42608976,7.420087,-3.9319873,3.0420303,5.2603364,-2.4477363,-1.9565642,-0.16286969,-7.8303337,3.3038259,-4.3358145,-3.4075916,-5.0005198,-2.8533459,7.1721315,1.0834932,-0.44136047,-1.0132968,1.4186859,1.8099546,1.0158777,-4.4625998,-0.98683834,3.1561375,2.0704508,1.8234134,-0.5340874,3.0953884,4.381132,-0.11740923,0.38024187,0.14965534,3.4967184,1.7614841,-1.7026186,1.8187046,7.2049975,-6.575054,1.0095239,3.5122752,1.4344811,-1.0878503,-1.4497101,-2.9705703,-2.3550272,-2.5625527,-1.639849,-3.9006054,2.252996,3.7945747,2.4582386,4.398644,-2.7695894,-0.84848404,1.1242986,-7.377553,4.88621,0.9572387,3.223765,1.6533971,3.0686498,-1.0704756,-30.74842,8.463537,-0.5202055,5.551088,0.78076124,5.220735,-5.1805916,1.8083811,5.3665876,5.344343,6.311524,-1.0689974,4.354942,0.47066212,4.0287375,3.0023932,-1.6004741,1.0240912,-2.385211,0.3970623,1.9470572,-1.3428748,7.321763,-0.20272136,-8.589667,6.8888783,-9.236706,2.9022932,-5.5375633,7.19918,-4.7009945,-12.751675,14.884615,5.523932,4.2333364,0.0,-2.4714231,5.9233427,-0.65788627,-1.7705977,1.3433337,0.18496513,-1.5076995,-0.46859384,-2.5737584,5.0257683,2.8042555,-1.7093956,4.472041,0.23782253,7.206404,-0.21337867,1.837194,-1.443243,3.6046267],"NI-FDS^FG_PRICE_CHANGE(0,-3AM)":-9.4151212553495,"EWN^FG_PRICE_MAVG(0,,,,200)":48.10421,"ENZL^FG_PRICE_MAVG(0,,,,60)":46.95911,"ENZL^FG_TOTAL_RETURNC(0,-1AM)":8.513058,"SPY^SIZE(FG_CONSTITUENTS)":503,"CC_NZ^IMF_IFS_RCPI_Q(0)":3.330626,"EWU^FMA_DIV_YLD(NTMA,NOW,NOW,M,\"PORTAGG\",\"MEANR\")":3.81190124060279,"EWC^FMA_DIV_YLD(NTMA,NOW,NOW,M,\"PORTAGG\",\"MEANR\")":3.14359117249623,"TLT^P_PRICE(0)/P_PRICE_HIGH_PR(0,,,USD,,,\"PRICE\",\"INTRA\",\"52W\")":0.98918355,"EWN^FMA_PE(NTMA,0,,,\"PORTAGG\",\"MEANR\")":14.626002444629,"TRYCA10Y-FDS^FG_YIELD_NAME":"Canada Benchmark Bond - 10 Year","NI-FDS^FG_PRICE_MAVG(0,,,,30)":16147.0,"EWN^FG_PRICE_MAVG(0,,,,60)":49.726334,"ENZL^FG_PRICE_MAVG(0,,,,30)":48.036568,"ENZL^PERCENT_CHANGE(FMA_EPS(+1,0,,,,\"PORTAGG\",\"MEAN\"),FMA_EPS(+1,-3AM,,,,\"PORTAGG\",\"MEAN\"))":8.58224867719887,"SPY^FMA_COS_DOWN(\"EPS\",\"1M\",+1,0,,,\"PORTAGG\",\"MEANR\")":163.0,"TRYFR10Y-FDS^FG_YIELD_NAME":"France Benchmark Bond - 10 Year","TRYSE10Y-FDS^PCTCHG(FG_YIELD(0,,,,\"YTM\"),FG_YIELD(-1AM,,,,\"YTM\"))":-2.6140442,"EWN^FG_FCF_YIELD_NTM(0)":4.17383934829274,"EWU^FMA_PE(LTM,0,,,\"PORTAGG\",\"MEANR\")":13.8185790738134,"EWC^FMA_PE(NTMA,0,,,\"PORTAGG\",\"MEANR\")":14.5013359999113,"SPY^P_PRICE(0)/P_PRICE_HIGH_PR(0,,,USD,,,\"PRICE\",\"INTRA\",\"52W\")":0.9892598,"TLT^FG_TOTAL_RETURNC(0,-6AM)":7.6678157,"EWQ^FG_PRICE_MAVG(0,,,,200)":39.515076,"ENZL^FMA_PCT_ABOVE_MAVG(200,0,,,,\"PORTAGG\")":57.6923076923077,"EWA^FG_TOTAL_RETURNC(-10AY,0,AM)":[-1.2576222,-10.5364685,7.5927496,-10.866081,3.2958865,2.2931695,1.5824199,1.9039273,-2.080679,-4.9869895,-3.2330275,-3.6231875,-8.120304,6.764865,-6.234026,-1.4168978,-2.7192056,-1.0514021,16.706026,-2.9337347,2.5534153,-1.270324,5.802357,2.9107094,-4.314482,3.85772,-1.4471769,3.7689686,4.2237043,1.5334606,0.9153247,1.9954681,-3.2903492,-0.9195447,2.7678132,2.630365,4.1366935,-2.288431,2.3862123,-1.4674127,6.2322617,-5.069709,3.693819,-3.9484978,2.1000981,-0.6127,2.8538227,-1.8769085,-2.6245534,-5.9387803,2.2826552,-3.133905,2.892065,3.5625935,1.8155694,2.5809526,-0.6861925,2.9479623,3.2299042,-5.7054462,5.4877996,-1.5562475,3.2520413,0.13122559,1.8209934,1.1816263,-34.60208,9.986771,-0.48105717,16.012096,3.7552595,6.4187527,-3.5423636,4.0198445,4.5324445,8.397997,4.3305397,2.2791982,0.03979206,1.1933208,2.751565,4.690838,-3.3716202,1.3420224,-2.3836613,-0.6201565,1.677072,-3.1837344,2.5357485,-5.2462935,3.0431032,8.121419,-13.505316,1.3290763,-6.8811417,11.564302,-2.838707,-13.147408,16.207945,1.8421054,4.538107,1.4267683,-7.9437313,5.0786495,-2.0958066,-0.06839037,1.6926408,-2.5405169,-1.1235952,-3.5454571,0.7540107,6.969142,5.8089375,-0.33740997,3.3008933,-2.0893097,2.4267793,1.6154408,5.0409794,-5.384314,7.4226737],"EWN^FG_PRICE_MAVG(0,,,,30)":48.907,"ENZL^FG_PRICE(0)":50.19,"SPY^FG_TOTAL_RETURNC(0,-1AM)":4.8418283,"VGK^FMA_PCT_ABOVE_MAVG(200,0,,,,\"PORTAGG\")":63.370253164557,"ENZL^PERCENT_CHANGE(FMA_EPS(+1,0,,,,\"PORTAGG\",\"MEAN\"),FMA_EPS(+1,-1AM,,,,\"PORTAGG\",\"MEAN\"))":14.6786282752647,"QQQ^SIZE(FG_CONSTITUENTS)":102,"TRYNL10Y-FDS^PCTCHG(FG_YIELD(0,,,,\"YTM\"),FG_YIELD(-3AM,,,,\"YTM\"))":-14.605171,"VWO^FMA_EVAL_EBIT(LTMA,NOW,NOW,M,\"PORTAGG\",\"MEANR\")":14.4380003546905,"EWN^FMA_DIV_YLD(NTMA,NOW,NOW,M,\"PORTAGG\",\"MEANR\")":2.56456471418356,"EWC^FMA_PE(LTM,0,,,\"PORTAGG\",\"MEANR\")":18.1981284075963,"EWI^FG_TOTAL_RETURNC(0,-12AM)":25.478601,"EWU^JULIAN(FMA_DIV_YLD(NTMA,NOW,NOW,M,\"PORTAGG\",\"MEANR\").DATES)":45534,"EWC^JULIAN(FMA_DIV_YLD(NTMA,NOW,NOW,M,\"PORTAGG\",\"MEANR\").DATES)":45534,"PLATI-FDS^FG_PRICE_CHANGE(0,-6AM)":4.86486486486486,"VWO^FMA_EVAL_EBITDA(NTMA,0,,,\"PORTAGG\",\"MEANR\")":8.97828751386156,"TLT^FG_TOTAL_RETURNC(0,-3AM)":9.293806,"EWA^FMA_EVAL_EBIT(LTMA,NOW,NOW,M,\"PORTAGG\",\"MEANR\")":12.8697409778925,"ENZL^JULIAN(FG_TOTAL_RETURNC(-10AY,0,AM).DATES)":[41894,41922,41955,41985,42016,42047,42075,42104,42136,42167,42195,42228,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],"SPY^PERCENT_CHANGE(FMA_EPS(+1,0,,,,\"PORTAGG\",\"MEAN\"),FMA_EPS(+1,-3AM,,,,\"PORTAGG\",\"MEAN\"))":-0.843111062389374,"EWI^P_PRICE(0)/P_PRICE_LOW_PR(0,,,,,,\"PRICE\",\"INTRA\",\"52W\")-1":0.3127693,"EWJ^FMA_PCT_ABOVE_MAVG(200,0,,,,\"PORTAGG\")":50.251256281407,"FXI^FMA_COS_DOWN(\"EPS\",\"1M\",+1,0,,,\"PORTAGG\",\"MEANR\")":21.0,"QQQ^FMA_COS_DOWN(\"EPS\",\"1M\",+1,0,,,\"PORTAGG\",\"MEANR\")":26.0,"TRYNL10Y-FDS^PCTCHG(FG_YIELD(0,,,,\"YTM\"),FG_YIELD(-1AM,,,,\"YTM\"))":-3.7037077,"EWL^FMA_EVAL_EBIT(LTMA,NOW,NOW,M,\"PORTAGG\",\"MEANR\")":17.1057015885552,"TLT^FG_TOTAL_RETURNC(0,-1AM)":3.985536,"ENZL^FMA_PE(NTMA,0,,,\"PORTAGG\",\"MEANR\")":24.080723711179,"EWU^FMA_DIV_YLD(NTMA,-10AY,0,AM,\"PORTAGG\",\"MEANR\")":[3.92980686965837,4.24200475035231,4.0718576842402,4.29163473287798,4.22563401424052,4.00201203769952,4.03672012162017,3.89618276633237,3.8950972225602,4.01767392468039,4.1361340750538,4.14357519587328,4.48866255992631,4.2443844097229,4.35311712770625,4.47156315389068,4.55376510407403,4.65940023851053,4.37186829960877,4.32017169970141,4.39116873523232,4.38729510758901,4.16385862897716,4.06085857639101,4.20113268177793,4.25047207177295,4.44036754672159,4.36858885393571,4.23226149415959,4.2569869973864,4.3278016601037,4.32869499359501,4.25799264108268,4.27855053047219,4.30509952091583,4.36570533902133,4.3043397784272,4.2584832437934,4.34450700548192,4.30867082731101,4.137597051683,4.47837493007469,4.47386477834367,4.41913638977763,4.2620540999122,4.34006543532111,4.40538687623425,4.45522852636632,4.63604064562801,4.85521550953691,4.88812798399421,5.0810556045977,5.17625245358321,5.00679854840359,4.98612269589094,4.81619065104957,4.98737567884278,4.80319434965648,4.78297953537708,5.09702074096764,4.94814304097141,4.91700513563842,4.78375138732634,4.76311732250231,4.5751415440599,4.63012569041073,6.76969362567281,5.76954106621946,4.54337080839426,4.15143676028155,4.14671353568214,3.85941984419724,4.11042161433814,4.18831644244199,4.0316135511128,3.91369002132342,3.83767028986322,3.98490795425713,3.96184287709847,3.9820996065085,3.9146355107865,3.88337557890241,4.00168407158503,4.13412075776882,4.22521501543159,4.13206337357245,4.01891917699804,4.02122919390466,3.81916254979754,3.76214169445237,4.16608307017141,3.95751026803998,4.28400362156234,4.21898078252048,4.35435924222822,4.18287899962573,4.30828084277599,4.75193708090559,4.38093656749229,4.24872460077926,4.09244874406944,4.09535307383303,4.21483976992072,4.10850274611296,4.2731009809116,4.35943436190927,4.39764710518371,4.42687625577262,4.46745028059813,4.4361431438788,4.6163423421354,4.39629081242994,4.32363993244216,4.31928095994465,4.11062090113097,4.01772165065967,3.81852068823064,3.92291643814212,3.8829746486138,3.93383943244962,3.93899413338562],"PLATI-FDS^FG_PRICE_CHANGE(0,-1AM)":2.7542372881356,"EWQ^FG_PRICE(0)":38.99,"SPY^PERCENT_CHANGE(FMA_EPS(+1,0,,,,\"PORTAGG\",\"MEAN\"),FMA_EPS(+1,-1AM,,,,\"PORTAGG\",\"MEAN\"))":0.211495215127141,"EWI^P_PRICE(0)/P_PRICE_HIGH_PR(0,,,,,,\"PRICE\",\"INTRA\",\"52W\")":0.967488,"EWG^FG_TOTAL_RETURNC(0,-12AM)":21.000517,"QQQ^FMA_COS_UP(\"EPS\",\"1M\",+1,0,,,\"PORTAGG\",\"MEANR\")":37.0,"TRYUS10Y-FDS^PCTCHG(FG_YIELD(0,,,,\"YTM\"),FG_YIELD(-1AM,,,,\"YTM\"))":-5.7134085,"TRYGB10Y-FDS^FG_YIELD_NAME":"United Kingdom Benchmark Bond - 10 Year","VWO^FG_FCF_YIELD_NTM(0)":5.46191937147909,"EWN^FMA_PE(LTM,0,,,\"PORTAGG\",\"MEANR\")":20.9576838543151,"EWA^FG_FCF_YIELD_NTM(0)":4.83834883167389,"USO^P_PRICE(0)/P_PRICE_HIGH_PR(0,,,USD,,,\"PRICE\",\"INTRA\",\"52W\")":0.8379091,"EWU^FMA_COS_DOWN(\"EPS\",\"1M\",+1,0,,,\"PORTAGG\",\"MEANR\")":34.0,"EWI^FMA_RBICS_REV_CURRENT(30, LOC, \"PORTAGG\")":38.0511836286508,"TRYAU10Y-FDS^FG_YIELD_NAME":"Australia Benchmark Bond - 10 Year","TRYJP10Y-FDS^PCTCHG(FG_YIELD(0,,,,\"YTM\"),FG_YIELD(-1AM,,,,\"YTM\"))":1.3486574,"EWJ^FMA_DIV_YLD(NTMA,-10AY,0,AM,\"PORTAGG\",\"MEANR\")":[2.03087911859775,2.16223506059452,1.9613494706872,1.98230305646273,2.02663394481204,1.96365422937086,1.86382993203494,1.84121609437922,1.87476496463943,1.88186802131432,1.98190899374002,1.9018691110502,2.15276343281783,2.10540834675515,2.01340889945574,2.07737373551735,2.32470785162513,2.72611818648658,2.36690275269492,2.48287902803494,2.3999232849791,2.37928286589849,2.44915865740849,2.38061433558784,2.38512329962418,2.37499587237878,2.32742917500156,2.09602360451266,2.11273113988096,2.12416716336401,2.11971840524454,2.2746130918821,2.1557088412763,2.17924101118784,2.16325298104767,2.18696468023619,2.20506502832413,2.13438437934356,2.03834834585761,2.05093245949547,1.99754769207599,2.20173165061581,2.22507246783737,2.2713811155011,2.19318180309022,2.22137184708753,2.32759187624754,2.32917541421516,2.37535775675061,2.3726804706327,2.43367436559136,2.54314727495319,2.69154535046905,2.62837629983161,2.56750804913802,2.58356196883387,2.67362095415688,2.68481967639823,2.64662367043927,2.77343685782501,2.60344895025201,2.61505750109942,2.45620737215594,2.45343063251007,2.42976294931197,2.4481086373666,3.12817877629605,2.91891273090207,2.77255645652104,2.50845525668854,2.54229012013272,2.41776614561208,2.36221485967061,2.3649216242697,2.25341411153196,2.16142976618696,2.08262729717413,2.02957906441056,2.05440034694333,2.07625890440097,2.20715055283259,2.16477351162069,2.19359439051417,2.22157872773453,2.12980080595635,2.26162190614707,2.21582597985448,2.31927917711885,2.29412221160067,2.41790896066474,2.70553347225369,2.62902691851983,2.70544286328931,2.58655461015119,2.68778505825873,2.57203477034034,2.57917270808885,2.76749712393642,2.59856578237879,2.64862360165775,2.7190636107779,2.60908499683828,2.57555402676874,2.61764374894407,2.53162841581285,2.36448580909708,2.41417559769549,2.36540009328313,2.31309526732711,2.36393022602263,2.40106163342274,2.4291082318492,2.29752239523818,2.27490644019846,2.22131713541411,2.17622996016363,2.2312119918819,2.24991458485305,2.17391094765929,2.58313701216493,2.51922808344789],"PLATI-FDS^FG_PRICE_MAVG(0,,,,30)":947.3333,"SPY^FG_PRICE_MAVG(0,,,,200)":515.41187,"EWI^FG_TOTAL_RETURNC(0,-3AM)":2.3374557,"EWG^P_PRICE(0)/P_PRICE_LOW_PR(0,,,,,,\"PRICE\",\"INTRA\",\"52W\")-1":0.30054653,"FXI^FMA_COS_UP(\"EPS\",\"1M\",+1,0,,,\"PORTAGG\",\"MEANR\")":24.0,"VWO^FMA_DIV_YLD(NTMA,NOW,NOW,M,\"PORTAGG\",\"MEANR\")":2.94305335410804,"EWL^FMA_EVAL_EBITDA(NTMA,0,,,\"PORTAGG\",\"MEANR\")":13.0529932837067,"USO^FG_TOTAL_RETURNC(0,-6AM)":-4.717106,"EWL^FG_FCF_YIELD_NTM(0)":4.81631506341963,"EWA^FMA_DIV_YLD(NTMA,NOW,NOW,M,\"PORTAGG\",\"MEANR\")":3.70422940203779,"VWO^P_PRICE(0)/P_PRICE_HIGH_PR(0,,,USD,,,\"PRICE\",\"INTRA\",\"52W\")":0.96796066,"CPALM-FDS^FG_PRICE_CHANGE(0,-6AM)":-4.28571428571428,"EWG^FG_TOTAL_RETURNC(0,-6AM)":4.782045,"EWU^SIZE(FG_CONSTITUENTS)":79,"TRYCH10Y-FDS^FG_YIELD(0,,,,\"YTM\")":0.441,"VWO^JULIAN(FMA_DIV_YLD(NTMA,NOW,NOW,M,\"PORTAGG\",\"MEANR\").DATES)":45504,"EWN^JULIAN(FMA_DIV_YLD(NTMA,NOW,NOW,M,\"PORTAGG\",\"MEANR\").DATES)":45534,"CPALM-FDS^FG_PRICE_CHANGE(0,-3AM)":1.46390711761737,"SPY^FG_PRICE_MAVG(0,,,,60)":548.8987,"EWI^PERCENT_CHANGE(FMA_EPS(+1,0,,,,\"PORTAGG\",\"MEAN\"),FMA_EPS(+1,-1AM,,,,\"PORTAGG\",\"MEAN\"))":0.380169286559939,"REFGBBANK-FDS^(SUBARRAY(NOT_NA(NO_REPEAT_F(FG_YIELD(NOW,-10AY,D))),0,1)-SUBARRAY(NOT_NA(NO_REPEAT_F(FG_YIELD(NOW,-10AY,D))),1,1))*100":-25.0,"EWQ^FMA_EVAL_EBIT(LTMA,NOW,NOW,M,\"PORTAGG\",\"MEANR\")":13.348294152818,"EWA^FMA_PE(NTMA,0,,,\"PORTAGG\",\"MEANR\")":17.6907421167543,"VGK^JULIAN(FMA_DIV_YLD(NTMA,NOW,NOW,M,\"PORTAGG\",\"MEANR\").DATES)":45504,"CPALM-FDS^FG_PRICE_MAVG(0,,,,30)":3941.7666,"SPY^FG_PRICE_MAVG(0,,,,30)":547.5283,"EWI^FMA_PCT_ABOVE_MAVG(200,0,,,,\"PORTAGG\")":60.0,"QQQ^P_PRICE(0)/P_PRICE_HIGH_PR(0,,,,,,\"PRICE\",\"INTRA\",\"52W\")":0.9398237,"EWG^PERCENT_CHANGE(FMA_EPS(+1,0,,,,\"PORTAGG\",\"MEAN\"),FMA_EPS(+1,-3AM,,,,\"PORTAGG\",\"MEAN\"))":-0.72657552485765,"SPY^FMA_RBICS_REV_CURRENT(30, LOC, \"PORTAGG\")":12.8044634335906,"REFGBBANK-FDS^FG_YIELD(NOW,,,0)":5.0,"TRYGB10Y-FDS^PCTCHG(FG_YIELD(0,,,,\"YTM\"),FG_YIELD(-3AM,,,,\"YTM\"))":-8.8448515,"TRYJP10Y-FDS^FG_YIELD(0,,,,\"YTM\")":0.8642,"VGK^FMA_EVAL_EBIT(LTMA,NOW,NOW,M,\"PORTAGG\",\"MEANR\")":13.3461330233976,"EWQ^FMA_DIV_YLD(NTMA,NOW,NOW,M,\"PORTAGG\",\"MEANR\")":3.34592565905423,"EWL^FMA_DIV_YLD(NTMA,NOW,NOW,M,\"PORTAGG\",\"MEANR\")":3.0847125341828,"USO^FG_TOTAL_RETURNC(0,-1AM)":-11.115349,"REFGBBANK-FDS^PROPER_NAME(0,,,\"SECURITY\",\"NAME\")":"UK Bank Rate","EWA^FMA_PE(LTM,0,,,\"PORTAGG\",\"MEANR\")":18.7596177083813,"REFCHMPR-FDS^(SUBARRAY(NOT_NA(NO_REPEAT_F(FG_YIELD(NOW,-10AY,D))),0,1)-SUBARRAY(NOT_NA(NO_REPEAT_F(FG_YIELD(NOW,-10AY,D))),1,1))*100":-25.0,"EWL^FMA_PE(LTM,0,,,\"PORTAGG\",\"MEANR\")":21.5868159705155,"USDEUR^STD(FG_PRICE_CHANGE(0,-3AY,M))":2.18410832220464,"EWD^FMA_PE(NTMA,-10AY,0,AM,\"PORTAGG\",\"MEANR\")":[14.0724987313292,13.5743584972697,15.2324071780601,15.2689985606935,15.4940680623888,16.6215815950796,17.0807357560313,17.1031650844149,15.28251727452,15.923576783166,15.9021586170153,15.7323471663721,14.8109783630453,15.0244646432922,15.2936038111158,14.4552181498819,14.064098074952,14.1745717619362,15.6747655272162,15.106438283999,14.6922201060657,14.415651769368,14.8858350375425,15.535038698419,15.380281044749,15.964088993371,15.9534793962779,16.6307151613847,16.3528887177814,16.0535738459264,16.8527444954059,16.961949816872,17.1026099700259,16.6955554052826,16.8784450591035,15.7500476247099,16.183317190679,16.813705508623,16.8997188487636,16.5640196162463,16.6348710617046,15.7857269448384,16.4103136209093,15.5274419420517,16.0129220680866,15.5136786607175,15.2939036693454,15.5691015985699,15.4925427780773,14.5692607356763,14.2633328016869,13.9898213269776,13.9631171629353,14.6540514626091,14.7318341085373,15.268900399777,14.9813018503785,14.7846633422026,15.0939481247939,13.6613414082236,14.657304169832,15.0667745209736,15.9965452452066,15.9575164953859,16.2701914172908,17.056244511998,12.0254791213824,15.6842281394485,18.2624558632925,18.4115964851328,19.5199342534149,18.9675204457072,18.2671045540754,18.3836994838884,17.0630922717195,17.1742451198595,18.8084326733585,18.812126664874,20.1108426355075,20.4048412723125,17.8361835702599,18.6963165299631,18.7095127471803,18.7327147602332,18.4758436647682,17.8223508531193,18.9647855969542,18.999171537292,17.9020389147356,16.4303174007052,14.7333133907451,15.0747400434466,15.6219764966931,15.1929871014415,14.8157074091043,15.1008417107399,14.4054791533216,12.900326380815,13.2401359212013,13.1908883823703,13.7440969584372,13.9522418566358,13.7023566875891,13.6903051575833,13.4817538276262,13.7105512596,13.4463467689564,13.0924612303311,12.9342894929413,13.2228190815534,12.7984855615799,15.2084429417551,15.4400868561774,15.8263747259358,16.6870617493076,16.1460935127456,16.4648553842574,16.3612544744017,16.7045656683271,15.3711809180799,15.5776625268684],"SPY^FG_PRICE(0)":559.09,"QQQ^FG_TOTAL_RETURNC(0,-6AM)":6.9741726,"EWG^PERCENT_CHANGE(FMA_EPS(+1,0,,,,\"PORTAGG\",\"MEAN\"),FMA_EPS(+1,-1AM,,,,\"PORTAGG\",\"MEAN\"))":-0.389536294403233,"EWU^FMA_COS_UP(\"EPS\",\"1M\",+1,0,,,\"PORTAGG\",\"MEANR\")":32.0,"QQQ^FMA_RBICS_REV_CURRENT(30, LOC, \"PORTAGG\")":0.92389603226094,"TRYGB10Y-FDS^PCTCHG(FG_YIELD(0,,,,\"YTM\"),FG_YIELD(-1AM,,,,\"YTM\"))":-4.1179442,"VGK^FMA_EVAL_EBITDA(NTMA,0,,,\"PORTAGG\",\"MEANR\")":8.86280238916196,"EWL^FMA_PE(NTMA,0,,,\"PORTAGG\",\"MEANR\")":17.0296891122169,"TRYCH10Y-FDS^PCTCHG(FG_YIELD(0,,,,\"YTM\"),FG_YIELD(-3AM,,,,\"YTM\"))":-45.35316,"TRYDE10Y-FDS^FG_YIELD(0,,,,\"YTM\")":2.153,"VGK^FG_FCF_YIELD_NTM(0)":5.28265832219818,"EWQ^FMA_PE(NTMA,0,,,\"PORTAGG\",\"MEANR\")":13.4139585576845,"EWA^JULIAN(FMA_DIV_YLD(NTMA,NOW,NOW,M,\"PORTAGG\",\"MEANR\").DATES)":45534,"DBA^P_PRICE(0)/P_PRICE_HIGH_PR(0,,,USD,,,\"PRICE\",\"INTRA\",\"52W\")":0.9377937,"EWL^FMA_RBICS_REV_CURRENT(30, LOC, \"PORTAGG\")":17.5284373745121,"REFCHMPR-FDS^PROPER_NAME(0,,,\"SECURITY\",\"NAME\")":"Swiss Policy Rate - Sight Deposit Rate","EWQ^FMA_PE(LTM,0,,,\"PORTAGG\",\"MEANR\")":16.534265684185,"DBA^FG_TOTAL_RETURNC(0,-6AM)":8.47826,"QQQ^PERCENT_CHANGE(FMA_EPS(+1,0,,,,\"PORTAGG\",\"MEAN\"),FMA_EPS(+1,-1AM,,,,\"PORTAGG\",\"MEAN\"))":0.616427075721871,"URTH^FMA_COS_DOWN(\"EPS\",\"1M\",+1,0,,,\"PORTAGG\",\"MEANR\")":515.0,"EWJ^FMA_RBICS_REV_CURRENT(30, LOC, \"PORTAGG\")":18.4737986742215,"EWQ^JULIAN(FMA_DIV_YLD(NTMA,NOW,NOW,M,\"PORTAGG\",\"MEANR\").DATES)":45534,"ENZL^FMA_EVAL_EBIT(LTMA,NOW,NOW,M,\"PORTAGG\",\"MEANR\")":21.6175078655264,"USDEUR^FG_PRICE_CHANGE(0,-6AM)":-1.1050701,"EWJ^FMA_PE(NTMA,-10AY,0,AM,\"PORTAGG\",\"MEANR\")":[13.9407136115072,13.1596564540028,14.427812339139,14.2531287900094,13.9127067535441,14.4072466283708,15.2972185807974,15.6172877626872,15.8620172333189,15.9038899955519,14.9094105664143,15.4748057070804,13.6481190642019,13.9926440476485,14.7089963319446,14.1751031803682,12.6960909520226,11.0013808009965,12.9482155711046,12.3834710542254,13.0212513158997,13.3577855484663,13.1180273448137,13.4356193501105,13.4005560211573,13.4099889717933,13.6887554780824,14.9654774893597,14.759029697002,14.4869528859572,14.403819184986,13.4370757457513,14.3116276988095,14.3157565194781,14.2681741780602,13.9592770856528,13.7068102908862,14.1195701112771,14.8770236369231,14.7525515613711,15.2294733698464,13.7047801095539,13.0343516666508,12.7933658124216,13.3479615239113,13.2449647449425,12.6500810486943,12.6502865565222,12.3731355299693,12.421521541262,12.193762910577,11.8665635379244,11.4645766704021,12.0397130837612,12.5399272967361,12.6040049477169,12.2375211438426,12.6482675956671,12.9252039439024,12.3889989736902,13.3132914673932,13.2674942504699,14.2100796998369,14.4663756522197,14.6490007714047,14.4707464151895,11.5484191462561,12.8765987539974,14.421608491961,17.2625611061717,17.4987566456253,17.7701819048906,18.374326510634,18.1323702012612,18.5012112546455,18.4881250333691,18.7481540150477,18.9205339579681,17.9672718235037,17.3880944041119,16.3520978690793,16.4842159920826,16.2074384389936,15.7866907521449,16.1269065674592,15.0926068107641,15.4077849516217,14.5354439193374,14.6699667004038,13.9138062533578,12.3279872542966,12.6803789497935,12.2684713121008,12.9388352819487,12.3954187090177,12.9635295697286,12.9398914301969,12.0853454705664,12.8816887797732,12.7130697520484,12.4043006355152,13.0462945148309,13.2766275162845,13.203984186364,13.7481711704381,14.6384432073827,14.3482525612129,14.5307347833241,14.7892669367488,14.4775726980349,14.2218305339527,14.0475234791186,14.8080033415326,15.0109407794016,15.3033790748233,15.7060806922502,15.319672893605,15.4024462136134,16.0272626286926,13.4143639795665,13.7924347699297],"W-FDS^FG_PRICE_CHANGE(0,-6AM)":5.13538748832865,"QQQ^FG_PRICE(0)":473.22,"EWD^FG_TOTAL_RETURNC(0,-12AM)":29.88857,"EWJ^SIZE(FG_CONSTITUENTS)":199,"EWU^FMA_RBICS_REV_CURRENT(30, LOC, \"PORTAGG\")":19.2590072352383,"TRYCA10Y-FDS^FG_YIELD(0,,,,\"YTM\")":2.9187,"EWJ^FMA_EVAL_EBIT(LTMA,NOW,NOW,M,\"PORTAGG\",\"MEANR\")":17.0933818709319,"W-FDS^FG_PRICE_CHANGE(0,-1AM)":4.8905449464369,"EWC^FMA_PE(NTMA,-10AY,0,AM,\"PORTAGG\",\"MEANR\")":[15.1331289476547,13.7566973440183,14.6740786998623,14.4756396890698,15.2539733970248,17.3842606241492,16.9463634180449,17.3889493103798,16.7840429665152,16.2098284864258,15.6507552079045,15.4994165982953,14.6495285211832,15.2095682434334,14.3400074114265,13.9753990109654,13.6310205915928,14.2089876539957,15.764855796024,16.0352809272495,16.2890287057709,16.5638660182303,16.5934394634833,16.5464967313097,16.1193745187583,15.978705671797,15.6758626920737,15.9240162079385,15.8647717307565,16.2379249672495,15.9114596927576,15.8975351964404,15.6157592980341,15.3968820653791,15.2634261225841,15.4348748627939,15.2767551908827,15.7170463858824,15.9309487680888,16.0048601909634,15.8605221565807,14.4406139261771,14.4652675467517,13.977047348244,14.3439645129227,14.3926002711777,14.3782177395776,14.0206898622599,13.5310721303526,12.8759536274433,12.5969887100128,12.4743323226527,12.9128227284111,13.8058155744144,14.206386310445,14.0674127514822,13.600233920858,13.4886959345104,13.6863297151202,13.5010593342411,13.9165532860911,13.769537392674,14.3146871420628,14.3132843792322,14.4543699521625,14.9536876827213,10.8944401720234,14.6933365726659,17.7365565826056,17.6984908026726,17.5855953562723,17.6086628283508,16.747630176199,16.4469721601893,15.9390779793871,16.1704747839626,16.2112787476839,16.2879756623633,15.4849233659695,15.5678334583291,15.3149920548914,15.5821467785511,15.5065101524229,15.0885205059577,14.8635048609444,14.5658589476237,15.0832653599918,14.2121602392571,14.5174089610632,14.3682561642342,13.5264539867456,13.328954405345,11.8694308952,12.0595160011186,10.9125945107002,11.8424093117307,11.7067788079154,10.6155453727635,11.9564720953478,12.2078353073873,12.5542111657075,12.8805298121319,12.4710145457087,12.9164046112011,13.0546932838655,12.8644459958719,13.011809941761,13.2612575674658,13.0817526492912,12.5533035150429,12.4872963005758,13.105690389989,13.6289550236163,13.9195256773837,14.5054710147724,14.3390341881954,14.4712472897675,14.049505945608,14.3354184706581,13.9839356677743,14.5013359999113],"EWU^FG_PRICE_MAVG(0,,,,200)":34.39935,"EWD^P_PRICE(0)/P_PRICE_LOW_PR(0,,,,,,\"PRICE\",\"INTRA\",\"52W\")-1":0.33224714,"EWG^FMA_PCT_ABOVE_MAVG(200,0,,,,\"PORTAGG\")":56.140350877193,"TRYJP10Y-FDS^PCTCHG(FG_YIELD(0,,,,\"YTM\"),FG_YIELD(-3AM,,,,\"YTM\"))":-12.751133,"VGK^FMA_DIV_YLD(NTMA,NOW,NOW,M,\"PORTAGG\",\"MEANR\")":3.47577222574143,"EWC^FG_TOTAL_RETURNC(0,-12AM)":19.890345,"USDEUR^FG_COMPANY_NAME":"Euro per U.S. Dollar","EWU^FG_PRICE_MAVG(0,,,,60)":35.926834,"VGK^FG_PE_NTM(0,,,90,0)":13.3760998270136,"DBA^FG_TOTAL_RETURNC(0,-3AM)":-3.1067908,"EWD^FMA_PE(LTMA,-10AY,0,AM,\"PORTAGG\",\"MEANR\")":[15.5418822235997,15.2323805172852,16.6183359274511,17.0741162601201,17.4373772538314,19.6105342602877,20.1410003491491,19.9010533588037,18.8823577906612,18.9313195328227,18.6423040518817,18.2625751108138,17.2793039634111,16.9966740122579,16.7066078928272,15.838998612314,14.9039948452798,14.3012901753472,15.6817963226905,15.5877059667434,15.4457572685912,15.3255573180106,15.541289513041,16.0431876198889,16.0112249603807,16.8897210267663,17.0412387106005,18.1222543428208,18.0287140291838,18.4676890876899,17.5196757699805,17.5684191063748,17.669918177105,17.5534519362452,17.7637900817527,16.846638162441,17.131104289101,17.5952712335342,18.2248621997234,18.2193808122637,18.241840340287,16.379729656481,16.9841784090093,16.7265237824984,16.8282702397389,16.5705550456273,16.4299902575832,16.597937316627,16.5820610554219,15.6954705019185,15.0787866374217,14.5841407223411,14.4829776621313,16.9904187254336,18.0248693064008,17.8625117461428,17.5561521936487,17.1744218136512,17.0875739493227,15.9237832333782,16.3353948000789,16.4483794446096,17.0792807095343,16.028992602978,16.3580854696463,14.437295874623,12.3816194566341,13.6224721458717,15.3802795351307,16.0995964177658,17.6676947285208,17.7632659200746,17.6413207335192,18.4635366690597,16.3106199963202,17.0456956384353,18.7044935457883,17.5829419146992,17.9168588167607,18.3293909010091,17.4550864027749,17.9053411091939,17.8095120616393,17.6599248575449,17.4599766898171,16.9891129109252,16.9254252080878,16.5781978280861,16.2481841562482,12.3356387412845,11.7206012849664,12.1973842453943,13.1466221015058,13.4548493770405,13.9418043414101,14.8747923985004,15.0819730482651,14.3806188323875,14.2778378826689,15.7111944799543,16.7534190601039,25.9090195943243,25.2303229068894,23.9596142461178,22.7816617966654,21.650881010514,20.3799937722867,18.9451671231805,17.4495169449285,16.4841385327763,15.5916466989067,17.8134563871753,17.4294384523652,15.2144444988846,15.9101769605974,15.8911607232096,16.108731808758,16.190190115944,16.6608951641324,16.0303312965749,16.6650925045518],"W-FDS^FG_PRICE_MAVG(0,,,,30)":5.3585,"EWU^FG_PRICE_MAVG(0,,,,30)":36.384335,"URTH^P_PRICE(0)/P_PRICE_HIGH_PR(0,,,,,,\"PRICE\",\"INTRA\",\"52W\")":0.98749113,"EWD^P_PRICE(0)/P_PRICE_HIGH_PR(0,,,,,,\"PRICE\",\"INTRA\",\"52W\")":0.95849943,"URTH^FMA_COS_UP(\"EPS\",\"1M\",+1,0,,,\"PORTAGG\",\"MEANR\")":540.0,"EWG^SIZE(FG_CONSTITUENTS)":57,"EWG^FMA_RBICS_REV_CURRENT(30, LOC, \"PORTAGG\")":23.4666496440462,"REFJPTON-FDS^(SUBARRAY(NOT_NA(NO_REPEAT_F(FG_YIELD(NOW,-10AY,D))),0,1)-SUBARRAY(NOT_NA(NO_REPEAT_F(FG_YIELD(NOW,-10AY,D))),1,1))*100":15.0,"USDAUD^STD(FG_PRICE_CHANGE(0,-3AY,M))":3.13974050035568,"BRENT-FDS^FG_PRICE_CHANGE(0,-6AM)":0.0,"EWL^FG_PRICE_MAVG(0,,,,200)":48.11465,"URTH^FG_TOTAL_RETURNC(0,-6AM)":7.2935104,"EWD^PERCENT_CHANGE(FMA_EPS(+1,0,,,,\"PORTAGG\",\"MEAN\"),FMA_EPS(+1,-3AM,,,,\"PORTAGG\",\"MEAN\"))":-5.41039432113931,"EWU^P_PRICE(0)/P_PRICE_LOW_PR(0,,,,,,\"PRICE\",\"INTRA\",\"52W\")-1":0.22063708,"EWC^P_PRICE(0)/P_PRICE_LOW_PR(0,,,,,,\"PRICE\",\"INTRA\",\"52W\")-1":0.2862146,"VWO^SIZE(FG_CONSTITUENTS)":4826,"EWG^FMA_COS_DOWN(\"EPS\",\"1M\",+1,0,,,\"PORTAGG\",\"MEANR\")":24.0,"EWA^FMA_RBICS_REV_CURRENT(30, LOC, \"PORTAGG\")":43.4940120023797,"REFJPTON-FDS^FG_YIELD(NOW,,,0)":0.25,"TRYDE10Y-FDS^PCTCHG(FG_YIELD(0,,,,\"YTM\"),FG_YIELD(-3AM,,,,\"YTM\"))":-15.069033,"TRYAU10Y-FDS^FG_YIELD(0,,,,\"YTM\")":3.853,"SPY^FMA_EVAL_EBITDA(NTMA,0,,,\"PORTAGG\",\"MEANR\")":14.3207859588312,"EWJ^FG_FCF_YIELD_NTM(0)":4.16397976987282,"ENZL^FG_FCF_YIELD_NTM(0)":1.84939186445077,"DBA^FG_TOTAL_RETURNC(0,-1AM)":4.0450454,"EWD^PERCENT_CHANGE(FMA_EPS(+1,0,,,,\"PORTAGG\",\"MEAN\"),FMA_EPS(+1,-1AM,,,,\"PORTAGG\",\"MEAN\"))":-1.26627560566812,"EWU^P_PRICE(0)/P_PRICE_HIGH_PR(0,,,,,,\"PRICE\",\"INTRA\",\"52W\")":0.97638005,"EWC^FG_TOTAL_RETURNC(0,-1AM)":6.596303,"VWO^FMA_COS_DOWN(\"EPS\",\"1M\",+1,0,,,\"PORTAGG\",\"MEANR\")":1193.0,"EWG^FMA_COS_UP(\"EPS\",\"1M\",+1,0,,,\"PORTAGG\",\"MEANR\")":24.0,"EWI^FMA_EVAL_EBIT(LTMA,NOW,NOW,M,\"PORTAGG\",\"MEANR\")":11.4842402050919,"USDAUD^FG_PRICE_CHANGE(0,-6AM)":-1.3748765,"EWQ^FMA_PE(LTMA,-10AY,0,AM,\"PORTAGG\",\"MEANR\")":[15.5301553522875,14.5261243865285,14.8011011790498,14.6271358430067,14.8956924615078,16.5832303209066,17.5476247516409,17.7251653235171,17.3919850440315,17.2157728087021,17.0925287416513,16.8008902260701,15.8479709675718,16.0384298511244,16.247368465854,15.2843130643889,14.5363901246701,13.963219371119,15.2184878228901,15.1085581735543,15.0404538118041,14.9770349644531,14.931812736612,15.0967390108048,14.9285199007636,14.8577798374795,14.7815856200756,15.4873401974193,15.7991286376698,15.447801357946,15.6137152627227,15.6380703790501,15.8646644684196,15.6673353825032,15.6805748738571,15.3988447690825,15.7182891778802,16.0679810724266,15.992135723025,16.2723225873807,16.5394323685896,15.5493247100445,15.5848575573156,15.51757291037,15.612696251901,15.3605452404549,15.2697417461751,15.0933105345294,14.8597061102997,14.224698213194,14.026653022777,13.516957956207,13.1270548197616,13.9346030168052,14.5473188981188,14.6353468837481,14.4692526783722,14.4935592320365,14.7922855390339,14.494396088382,15.1048729673798,15.2362506577177,16.0271699648432,16.1368787659149,16.6427641023904,16.7211486766231,14.0806231313616,14.9664952573501,16.1198689362043,17.6419712742797,19.3130869505241,22.2588299274629,23.238757077212,24.1830916776675,26.5700357873614,27.8805833683025,29.0685782825818,27.3971054746672,26.8416752396224,25.9915566884335,25.0012099095392,24.4150027778193,23.2693215900181,22.0160469632064,20.6959375194388,19.1215929931371,18.6495887796094,17.5127061593818,17.2422756070974,16.1214063339529,15.2637703212249,15.0855033411512,14.4185994733495,14.0452810899985,13.3923558217037,13.2499209525851,12.6562447682549,11.3639420348302,12.2343396854177,11.9642778620491,12.4934855403251,12.6138671192771,12.9135662478042,13.0861824191091,13.1503588114702,13.1470363584969,13.2889145394208,13.3368195676712,13.1898110071168,12.9366734942956,12.8791774983761,13.9164855119951,14.0656813740227,14.756772217468,15.5178892506383,15.4175972898899,15.5364487243544,15.2420026633988,15.0978683286849,14.6459218717977,14.7459588996398],"BRENT-FDS^FG_PRICE_CHANGE(0,-3AM)":0.0,"SPY^FMA_DIV_YLD(NTMA,NOW,NOW,M,\"PORTAGG\",\"MEANR\")":1.37396165186428,"EWJ^FMA_DIV_YLD(NTMA,NOW,NOW,M,\"PORTAGG\",\"MEANR\")":2.37520994994013,"EWC^FMA_PE(LTMA,-10AY,0,AM,\"PORTAGG\",\"MEANR\")":[16.4250048759668,15.3566460622082,15.8354356765716,14.8072666396075,15.204058448148,16.6780105485581,16.9782580691328,17.2093417824561,17.2157701632821,17.1208002137,16.9457934484426,16.960923627564,16.4451589072329,17.0538587571275,16.3998845222462,15.8825064152861,15.0105306018084,14.9497150856927,15.9050554668237,16.0849995201493,16.3646217535248,16.7352595149435,17.0990147071659,17.4514686515311,17.5849646513265,17.8997672542299,18.267031202304,19.1354350165924,19.4459166316526,19.8096750901768,19.3120615915666,19.0146268854819,18.6533510647507,18.2858303061406,17.9756932994555,17.7475737700226,17.3795821451443,17.5237500123982,17.4332531234355,17.3039975661147,17.271454816987,15.8970458269857,15.8111557389349,15.5899387224604,15.6290746823206,15.6045680188102,15.576726892816,15.3916115569486,15.030625623716,14.5102549502659,14.0972551105341,13.6555775828118,13.7305129754452,14.6443657428184,14.7341939110926,14.7010571244936,14.510113844369,14.4179867178769,14.4831957166581,14.3321390361383,14.608059523879,14.5619943785231,15.0536196381134,15.1038199086379,15.3662787589315,15.8422185505828,13.7740924252043,14.7024224119322,16.3630351101852,17.0070582605343,17.54963884573,18.2178793055733,18.2152915262953,18.8662293632058,19.1387266271038,20.21175959142,21.2584362857464,20.9761429933679,19.8566267002582,19.4829147620968,19.0236182860594,18.6776812581821,18.2533011306976,17.6187250437264,17.0214922610531,16.4443285875491,16.6119244998053,15.5465493038929,15.5603003996719,15.7028059969481,15.1225456297367,14.920822063283,14.2267207713805,14.0463034229785,13.1568083663837,13.3467989073145,12.967159122455,11.9173004588886,12.7041396517295,12.5759539683473,12.5213679759179,12.8442552131191,12.5461106527594,12.7125429610763,12.8459512651235,12.8901042021966,13.1258452922927,13.4825825054393,13.5663214598964,13.2728229145805,13.3799360276828,13.9719042760641,14.5954321598484,14.6608222901889,14.9210730005801,14.9002923203496,14.9839869619721,14.8525240364204,15.0911866446178,14.9492197708973,15.4089628366483],"BRENT-FDS^FG_PRICE_MAVG(0,,,,30)":85.86,"EWL^FG_PRICE(0)":51.07,"URTH^FG_TOTAL_RETURNC(0,-3AM)":3.4141064,"EWD^FMA_PCT_ABOVE_MAVG(200,0,,,,\"PORTAGG\")":55.5555555555556,"EWC^PERCENT_CHANGE(FMA_EPS(+1,0,,,,\"PORTAGG\",\"MEAN\"),FMA_EPS(+1,-3AM,,,,\"PORTAGG\",\"MEAN\"))":1.86751821460101,"VWO^FMA_COS_UP(\"EPS\",\"1M\",+1,0,,,\"PORTAGG\",\"MEANR\")":970.0,"EWC^FMA_COS_DOWN(\"EPS\",\"1M\",+1,0,,,\"PORTAGG\",\"MEANR\")":39.0,"ENZL^FMA_RBICS_REV_CURRENT(30, LOC, \"PORTAGG\")":14.6363346162214,"REFJPTON-FDS^PROPER_NAME(0,,,\"SECURITY\",\"NAME\")":"Japan Policy Rate","TRYDE10Y-FDS^PCTCHG(FG_YIELD(0,,,,\"YTM\"),FG_YIELD(-1AM,,,,\"YTM\"))":-3.711983,"EWI^FMA_EVAL_EBITDA(NTMA,0,,,\"PORTAGG\",\"MEANR\")":7.27409889165132,"EWJ^FMA_PE(NTMA,0,,,\"PORTAGG\",\"MEANR\")":13.7924347699297,"QQQ^P_PRICE(0)/P_PRICE_HIGH_PR(0,,,USD,,,\"PRICE\",\"INTRA\",\"52W\")":0.9398237,"TRYFR10Y-FDS^FG_YIELD(0,,,,\"YTM\")":2.847,"EWN^FMA_EVAL_EBITDA(NTMA,0,,,\"PORTAGG\",\"MEANR\")":11.6948057833004,"DUMMY^ECON_DATE(45425,,, 'MM/YYYY')":"05/2024","DUMMY^ECON_DATE(45517,,, 'MM/YYYY')":"08/2024","DUMMY^ECON_EXPR_DATA('FDS_ECON[NTCPMIMFGSA@NZ]',08/2024,,Q)":45.525333,"DUMMY^ECON_EXPR_DATA('FDS_ECON[NTCPMIMFGSA@NZ]',05/2024,,Q)":47.698093,"DUMMY^ECON_EXPR_DATA('FDS_ECON[NTCPMIMFGSA@AU]',08/2024,,Q)":48.811333,"DUMMY^ECON_EXPR_DATA('FDS_ECON[NTCPMIMFGSA@AU]',05/2024,,Q)":48.39547,"DUMMY^ECON_EXPR_DATA('FDS_ECON[NTCPMIMFGSA@CA]',08/2024,,Q)":49.331886,"DUMMY^ECON_EXPR_DATA('FDS_ECON[NTCPMIMFGSA@CA]',05/2024,,Q)":49.30091,"DUMMY^ECON_EXPR_DATA('FDS_ECON[NTCPMIMFGSA@DE]',08/2024,,Q)":43.782,"DUMMY^ECON_EXPR_DATA('FDS_ECON[NTCPMIMFGSA@DE]',05/2024,,Q)":43.319096,"DUMMY^ECON_EXPR_DATA('FDS_ECON[NTCPMIMFGSA@JP]',08/2024,,Q)":49.991356,"DUMMY^ECON_EXPR_DATA('FDS_ECON[NTCPMIMFGSA@JP]',05/2024,,Q)":47.808857,"DUMMY^ECON_EXPR_DATA('FDS_ECON[NTCPMIMFGSA@CH]',08/2024,,Q)":43.896877,"DUMMY^ECON_EXPR_DATA('FDS_ECON[NTCPMIMFGSA@CH]',05/2024,,Q)":44.08605,"DUMMY^ECON_EXPR_DATA('FDS_ECON[NTCPMIMFGSA@GB]',08/2024,,Q)":50.395269999999996,"DUMMY^ECON_EXPR_DATA('FDS_ECON[NTCPMIMFGSA@GB]',05/2024,,Q)":48.24796,"DUMMY^ECON_EXPR_DATA('FDS_ECON[NTCPMIMFGMESA@US]',08/2024,,Q)":50.939392,"DUMMY^ECON_EXPR_DATA('FDS_ECON[NTCPMIMFGMESA@US]',05/2024,,Q)":51.582687,"DUMMY^ECON_EXPR_DATA('FDS_ECON[NTCPMIMFGSA@FR]',08/2024,,Q)":45.684513,"DUMMY^ECON_EXPR_DATA('FDS_ECON[NTCPMIMFGSA@FR]',05/2024,,Q)":45.498753,"DUMMY^ECON_EXPR_DATA('FDS_ECON[NTCPMIMFGSA@NL]',08/2024,,Q)":51.49388,"DUMMY^ECON_EXPR_DATA('FDS_ECON[NTCPMIMFGSA@NL]',05/2024,,Q)":49.325874,"DUMMY^ECON_EXPR_DATA('FDS_ECON[]',08/2024,,Q)":null,"DUMMY^ECON_EXPR_DATA('FDS_ECON[]',05/2024,,Q)":null,"DUMMY^ECON_EXPR_DATA('FDS_ECON[NTCPMIMFGSA@IT]',08/2024,,Q)":46.215786,"DUMMY^ECON_EXPR_DATA('FDS_ECON[NTCPMIMFGSA@IT]',05/2024,,Q)":49.208153,"DUMMY^ECON_EXPR_DATA('FDS_ECON[PMIDMMANHE]',08/2024,,Q)":49.418606,"DUMMY^ECON_EXPR_DATA('FDS_ECON[PMIDMMANHE]',05/2024,,Q)":49.135414,"DUMMY^ECON_EXPR_DATA('FDS_ECON[NTCPMIMFGSA@EME]',08/2024,,Q)":52.00181,"DUMMY^ECON_EXPR_DATA('FDS_ECON[NTCPMIMFGSA@EME]',05/2024,,Q)":51.518684}]]></FdsFormulaCache>
</file>

<file path=customXml/itemProps1.xml><?xml version="1.0" encoding="utf-8"?>
<ds:datastoreItem xmlns:ds="http://schemas.openxmlformats.org/officeDocument/2006/customXml" ds:itemID="{67C78C94-2C47-4A3E-BD6B-F4C3381DC4F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2024-09-13T11:06:32Z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