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E62FC18-C647-4EFD-95C0-94C318F10E62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0" l="1" a="1"/>
  <c r="H3" i="70" l="1"/>
  <c r="G3" i="70" a="1"/>
  <c r="G3" i="70" l="1"/>
  <c r="F3" i="70" a="1"/>
  <c r="F3" i="70" l="1"/>
  <c r="E3" i="70" a="1"/>
  <c r="E3" i="70" l="1"/>
  <c r="D3" i="70" a="1"/>
  <c r="D3" i="70" l="1"/>
  <c r="C3" i="70" a="1"/>
  <c r="C3" i="70" l="1"/>
  <c r="B3" i="70" a="1"/>
  <c r="B3" i="70" l="1"/>
  <c r="A3" i="70" a="1"/>
  <c r="A3" i="70" l="1"/>
  <c r="S6" i="61" a="1"/>
  <c r="S6" i="61" l="1"/>
  <c r="R6" i="61" a="1"/>
  <c r="R6" i="61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R4" i="12" a="1"/>
  <c r="R4" i="12" l="1"/>
  <c r="Q4" i="12" a="1"/>
  <c r="Q4" i="12" l="1"/>
  <c r="P4" i="12" a="1"/>
  <c r="P4" i="12" l="1"/>
  <c r="O4" i="12" a="1"/>
  <c r="O4" i="12" l="1"/>
  <c r="R3" i="12" a="1"/>
  <c r="R3" i="12" l="1"/>
  <c r="Q3" i="12" a="1"/>
  <c r="Q3" i="12" l="1"/>
  <c r="P3" i="12" a="1"/>
  <c r="P3" i="12" l="1"/>
  <c r="O3" i="12" a="1"/>
  <c r="O3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M4" i="12" a="1"/>
  <c r="M4" i="12" l="1"/>
  <c r="L4" i="12" a="1"/>
  <c r="L4" i="12" l="1"/>
  <c r="K4" i="12" a="1"/>
  <c r="K4" i="12" l="1"/>
  <c r="M3" i="12" a="1"/>
  <c r="M3" i="12" l="1"/>
  <c r="L3" i="12" a="1"/>
  <c r="L3" i="12" l="1"/>
  <c r="K3" i="12" a="1"/>
  <c r="K3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B4" i="12" a="1"/>
  <c r="B4" i="12" l="1"/>
  <c r="B3" i="12" a="1"/>
  <c r="B3" i="12" l="1"/>
  <c r="H16" i="71" a="1"/>
  <c r="H16" i="71" l="1"/>
  <c r="G16" i="71" a="1"/>
  <c r="G16" i="71" l="1"/>
  <c r="F16" i="71" a="1"/>
  <c r="F16" i="71" l="1"/>
  <c r="E16" i="71" a="1"/>
  <c r="E16" i="71" l="1"/>
  <c r="H15" i="71" a="1"/>
  <c r="H15" i="71" l="1"/>
  <c r="G15" i="71" a="1"/>
  <c r="G15" i="71" l="1"/>
  <c r="F15" i="71" a="1"/>
  <c r="F15" i="71" l="1"/>
  <c r="E15" i="71" a="1"/>
  <c r="E15" i="71" l="1"/>
  <c r="H14" i="71" a="1"/>
  <c r="H14" i="71" l="1"/>
  <c r="G14" i="71" a="1"/>
  <c r="G14" i="71" l="1"/>
  <c r="F14" i="71" a="1"/>
  <c r="F14" i="71" l="1"/>
  <c r="E14" i="71" a="1"/>
  <c r="E14" i="71" l="1"/>
  <c r="H13" i="71" a="1"/>
  <c r="H13" i="71" l="1"/>
  <c r="G13" i="71" a="1"/>
  <c r="G13" i="71" l="1"/>
  <c r="F13" i="71" a="1"/>
  <c r="F13" i="71" l="1"/>
  <c r="E13" i="71" a="1"/>
  <c r="E13" i="71" l="1"/>
  <c r="H12" i="71" a="1"/>
  <c r="H12" i="71" l="1"/>
  <c r="G12" i="71" a="1"/>
  <c r="G12" i="71" l="1"/>
  <c r="F12" i="71" a="1"/>
  <c r="F12" i="71" l="1"/>
  <c r="E12" i="71" a="1"/>
  <c r="E12" i="71" l="1"/>
  <c r="H11" i="71" a="1"/>
  <c r="H11" i="71" l="1"/>
  <c r="G11" i="71" a="1"/>
  <c r="G11" i="71" l="1"/>
  <c r="F11" i="71" a="1"/>
  <c r="F11" i="71" l="1"/>
  <c r="E11" i="71" a="1"/>
  <c r="E11" i="71" l="1"/>
  <c r="H10" i="71" a="1"/>
  <c r="H10" i="71" l="1"/>
  <c r="G10" i="71" a="1"/>
  <c r="G10" i="71" l="1"/>
  <c r="F10" i="71" a="1"/>
  <c r="F10" i="71" l="1"/>
  <c r="E10" i="71" a="1"/>
  <c r="E10" i="71" l="1"/>
  <c r="H9" i="71" a="1"/>
  <c r="H9" i="71" l="1"/>
  <c r="G9" i="71" a="1"/>
  <c r="G9" i="71" l="1"/>
  <c r="F9" i="71" a="1"/>
  <c r="F9" i="71" l="1"/>
  <c r="E9" i="71" a="1"/>
  <c r="E9" i="71" l="1"/>
  <c r="H8" i="71" a="1"/>
  <c r="H8" i="71" l="1"/>
  <c r="G8" i="71" a="1"/>
  <c r="G8" i="71" l="1"/>
  <c r="F8" i="71" a="1"/>
  <c r="F8" i="71" l="1"/>
  <c r="E8" i="71" a="1"/>
  <c r="E8" i="71" l="1"/>
  <c r="H7" i="71" a="1"/>
  <c r="H7" i="71" l="1"/>
  <c r="G7" i="71" a="1"/>
  <c r="G7" i="71" l="1"/>
  <c r="F7" i="71" a="1"/>
  <c r="F7" i="71" l="1"/>
  <c r="E7" i="71" a="1"/>
  <c r="E7" i="71" l="1"/>
  <c r="H6" i="71" a="1"/>
  <c r="H6" i="71" l="1"/>
  <c r="G6" i="71" a="1"/>
  <c r="G6" i="71" l="1"/>
  <c r="F6" i="71" a="1"/>
  <c r="F6" i="71" l="1"/>
  <c r="E6" i="71" a="1"/>
  <c r="E6" i="71" l="1"/>
  <c r="H5" i="71" a="1"/>
  <c r="H5" i="71" l="1"/>
  <c r="G5" i="71" a="1"/>
  <c r="G5" i="71" l="1"/>
  <c r="F5" i="71" a="1"/>
  <c r="F5" i="71" l="1"/>
  <c r="E5" i="71" a="1"/>
  <c r="E5" i="71" l="1"/>
  <c r="H4" i="71" a="1"/>
  <c r="H4" i="71" l="1"/>
  <c r="G4" i="71" a="1"/>
  <c r="G4" i="71" l="1"/>
  <c r="F4" i="71" a="1"/>
  <c r="F4" i="71" l="1"/>
  <c r="E4" i="71" a="1"/>
  <c r="E4" i="71" l="1"/>
  <c r="H3" i="71" a="1"/>
  <c r="H3" i="71" l="1"/>
  <c r="G3" i="71" a="1"/>
  <c r="G3" i="71" l="1"/>
  <c r="F3" i="71" a="1"/>
  <c r="F3" i="71" l="1"/>
  <c r="E3" i="71" a="1"/>
  <c r="E3" i="71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K9" i="69" a="1"/>
  <c r="K9" i="69" l="1"/>
  <c r="K8" i="69" a="1"/>
  <c r="K8" i="69" l="1"/>
  <c r="K7" i="69" a="1"/>
  <c r="K7" i="69" l="1"/>
  <c r="K6" i="69" a="1"/>
  <c r="K6" i="69" l="1"/>
  <c r="K5" i="69" a="1"/>
  <c r="K5" i="69" l="1"/>
  <c r="K4" i="69" a="1"/>
  <c r="K4" i="69" l="1"/>
  <c r="K3" i="69" a="1"/>
  <c r="K3" i="69" l="1"/>
  <c r="I9" i="69" a="1"/>
  <c r="I9" i="69" l="1"/>
  <c r="H9" i="69" a="1"/>
  <c r="H9" i="69" l="1"/>
  <c r="G9" i="69" a="1"/>
  <c r="G9" i="69" l="1"/>
  <c r="F9" i="69" a="1"/>
  <c r="F9" i="69" l="1"/>
  <c r="I8" i="69" a="1"/>
  <c r="I8" i="69" l="1"/>
  <c r="H8" i="69" a="1"/>
  <c r="H8" i="69" l="1"/>
  <c r="G8" i="69" a="1"/>
  <c r="G8" i="69" l="1"/>
  <c r="F8" i="69" a="1"/>
  <c r="F8" i="69" l="1"/>
  <c r="I7" i="69" a="1"/>
  <c r="I7" i="69" l="1"/>
  <c r="H7" i="69" a="1"/>
  <c r="H7" i="69" l="1"/>
  <c r="G7" i="69" a="1"/>
  <c r="G7" i="69" l="1"/>
  <c r="F7" i="69" a="1"/>
  <c r="F7" i="69" l="1"/>
  <c r="I6" i="69" a="1"/>
  <c r="I6" i="69" l="1"/>
  <c r="H6" i="69" a="1"/>
  <c r="H6" i="69" l="1"/>
  <c r="G6" i="69" a="1"/>
  <c r="G6" i="69" l="1"/>
  <c r="F6" i="69" a="1"/>
  <c r="F6" i="69" l="1"/>
  <c r="I5" i="69" a="1"/>
  <c r="I5" i="69" l="1"/>
  <c r="H5" i="69" a="1"/>
  <c r="H5" i="69" l="1"/>
  <c r="G5" i="69" a="1"/>
  <c r="G5" i="69" l="1"/>
  <c r="F5" i="69" a="1"/>
  <c r="F5" i="69" l="1"/>
  <c r="I4" i="69" a="1"/>
  <c r="I4" i="69" l="1"/>
  <c r="H4" i="69" a="1"/>
  <c r="H4" i="69" l="1"/>
  <c r="G4" i="69" a="1"/>
  <c r="G4" i="69" l="1"/>
  <c r="F4" i="69" a="1"/>
  <c r="F4" i="69" l="1"/>
  <c r="I3" i="69" a="1"/>
  <c r="I3" i="69" l="1"/>
  <c r="H3" i="69" a="1"/>
  <c r="H3" i="69" l="1"/>
  <c r="G3" i="69" a="1"/>
  <c r="G3" i="69" l="1"/>
  <c r="F3" i="69" a="1"/>
  <c r="F3" i="69" l="1"/>
  <c r="C9" i="69" a="1"/>
  <c r="C9" i="69" l="1"/>
  <c r="C8" i="69" a="1"/>
  <c r="C8" i="69" l="1"/>
  <c r="C7" i="69" a="1"/>
  <c r="C7" i="69" l="1"/>
  <c r="C6" i="69" a="1"/>
  <c r="C6" i="69" l="1"/>
  <c r="C5" i="69" a="1"/>
  <c r="C5" i="69" l="1"/>
  <c r="C4" i="69" a="1"/>
  <c r="C4" i="69" l="1"/>
  <c r="C3" i="69" a="1"/>
  <c r="C3" i="69" l="1"/>
  <c r="C16" i="7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L14" i="71" l="1"/>
  <c r="K8" i="71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3E922107-599F-43A2-BEF1-2ACDED5BD1C5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Timestamp="1726225745"&gt;&lt;FQL&gt;&lt;Q&gt;FC0000CN^FMA_EPS(NTMA,-20AY,0,CY,,"PORTAGG","MEANR")&lt;/Q&gt;&lt;R&gt;20&lt;/R&gt;&lt;C&gt;1&lt;/C&gt;&lt;D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xsi:type="xsd:double"&gt;21.2762449511596&lt;/D&gt;&lt;D xsi:type="xsd:double"&gt;20.3723994284406&lt;/D&gt;&lt;D xsi:type="xsd:double"&gt;19.1120509801751&lt;/D&gt;&lt;/FQL&gt;&lt;FQL&gt;&lt;Q&gt;FC0000IN^FMA_EPS(NTMA,-20AY,0,CY,,"PORTAGG","MEANR")&lt;/Q&gt;&lt;R&gt;20&lt;/R&gt;&lt;C&gt;1&lt;/C&gt;&lt;D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xsi:type="xsd:double"&gt;36.3024533004522&lt;/D&gt;&lt;D xsi:type="xsd:double"&gt;33.6969528887625&lt;/D&gt;&lt;D xsi:type="xsd:double"&gt;46.9983800934094&lt;/D&gt;&lt;D xsi:type="xsd:double"&gt;46.023785873774&lt;/D&gt;&lt;D xsi:type="xsd:double"&gt;54.7013880002093&lt;/D&gt;&lt;/FQL&gt;&lt;FQL&gt;&lt;Q&gt;URTH^FMA_EPS(NTMA,-20AY,0,CY,,"PORTAGG","MEANR")&lt;/Q&gt;&lt;R&gt;20&lt;/R&gt;&lt;C&gt;1&lt;/C&gt;&lt;D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xsi:type="xsd:double"&gt;5.8571846323276&lt;/D&gt;&lt;D xsi:type="xsd:double"&gt;5.43711195126955&lt;/D&gt;&lt;D xsi:type="xsd:double"&gt;7.02059591210544&lt;/D&gt;&lt;D xsi:type="xsd:double"&gt;7.30481943698738&lt;/D&gt;&lt;D xsi:type="xsd:double"&gt;7.69555131647996&lt;/D&gt;&lt;/FQL&gt;&lt;FQL&gt;&lt;Q&gt;VWO^FMA_EPS(NTMA,-20AY,0,CY,,"PORTAGG","MEANR")&lt;/Q&gt;&lt;R&gt;20&lt;/R&gt;&lt;C&gt;1&lt;/C&gt;&lt;D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xsi:type="xsd:double"&gt;3.4249933686836&lt;/D&gt;&lt;D xsi:type="xsd:double"&gt;3.29178786303856&lt;/D&gt;&lt;D xsi:type="xsd:double"&gt;3.92142016817904&lt;/D&gt;&lt;D xsi:type="xsd:double"&gt;3.36673633902828&lt;/D&gt;&lt;D xsi:type="xsd:double"&gt;3.37901138329537&lt;/D&gt;&lt;/FQL&gt;&lt;FQL&gt;&lt;Q&gt;FC0000JP^FMA_EPS(NTMA,-20AY,0,CY,,"PORTAGG","MEANR")&lt;/Q&gt;&lt;R&gt;20&lt;/R&gt;&lt;C&gt;1&lt;/C&gt;&lt;D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xsi:type="xsd:double"&gt;10.6136771274683&lt;/D&gt;&lt;D xsi:type="xsd:double"&gt;9.49697338564489&lt;/D&gt;&lt;D xsi:type="xsd:double"&gt;12.0143397888109&lt;/D&gt;&lt;D xsi:type="xsd:double"&gt;11.61375885438&lt;/D&gt;&lt;D xsi:type="xsd:double"&gt;12.0033974983209&lt;/D&gt;&lt;/FQL&gt;&lt;FQL&gt;&lt;Q&gt;QQQ^FMA_EPS(NTMA,-20AY,0,CY,,"PORTAGG","MEANR")&lt;/Q&gt;&lt;R&gt;20&lt;/R&gt;&lt;C&gt;1&lt;/C&gt;&lt;D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xsi:type="xsd:double"&gt;22.2767073851685&lt;/D&gt;&lt;D xsi:type="xsd:double"&gt;22.9687104615331&lt;/D&gt;&lt;D xsi:type="xsd:double"&gt;24.3449867619937&lt;/D&gt;&lt;/FQL&gt;&lt;FQL&gt;&lt;Q&gt;SPY^JULIAN(FMA_EPS(NTMA,-20AY,0,CY,,"PORTAGG","MEANR").DATES)&lt;/Q&gt;&lt;R&gt;20&lt;/R&gt;&lt;C&gt;1&lt;/C&gt;&lt;D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xsi:type="xsd:long"&gt;45289&lt;/D&gt;&lt;/FQL&gt;&lt;FQL&gt;&lt;Q&gt;BIGPX^FG_PRICE(0,-200D)&lt;/Q&gt;&lt;R&gt;201&lt;/R&gt;&lt;C&gt;1&lt;/C&gt;&lt;D xsi:type="xsd:double"&gt;16.3&lt;/D&gt;&lt;D xsi:type="xsd:double"&gt;16.22&lt;/D&gt;&lt;D xsi:type="xsd:double"&gt;16.11&lt;/D&gt;&lt;D xsi:type="xsd:double"&gt;15.95&lt;/D&gt;&lt;D xsi:type="xsd:double"&gt;15.95&lt;/D&gt;&lt;D xsi:type="xsd:double"&gt;16.12&lt;/D&gt;&lt;D xsi:type="xsd:double"&gt;16.13&lt;/D&gt;&lt;D xsi:type="xsd:double"&gt;16.13&lt;/D&gt;&lt;D xsi:type="xsd:double"&gt;16.34&lt;/D&gt;&lt;D xsi:type="xsd:double"&gt;16.28&lt;/D&gt;&lt;D xsi:type="xsd:double"&gt;16.28&lt;/D&gt;&lt;D xsi:type="xsd:double"&gt;16.35&lt;/D&gt;&lt;D xsi:type="xsd:double"&gt;16.33&lt;/D&gt;&lt;D xsi:type="xsd:double"&gt;16.38&lt;/D&gt;&lt;D xsi:type="xsd:double"&gt;16.23&lt;/D&gt;&lt;D xsi:type="xsd:double"&gt;16.35&lt;/D&gt;&lt;D xsi:type="xsd:double"&gt;16.29&lt;/D&gt;&lt;D xsi:type="xsd:double"&gt;16.29&lt;/D&gt;&lt;D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xsi:type="xsd:double"&gt;14.4&lt;/D&gt;&lt;/FQL&gt;&lt;FQL&gt;&lt;Q&gt;BTC00-USA^FG_PRICE(0,-200D)&lt;/Q&gt;&lt;R&gt;201&lt;/R&gt;&lt;C&gt;1&lt;/C&gt;&lt;D xsi:type="xsd:double"&gt;58580&lt;/D&gt;&lt;D xsi:type="xsd:double"&gt;57860&lt;/D&gt;&lt;D xsi:type="xsd:double"&gt;58195&lt;/D&gt;&lt;D xsi:type="xsd:double"&gt;57410&lt;/D&gt;&lt;D xsi:type="xsd:double"&gt;53695&lt;/D&gt;&lt;D xsi:type="xsd:double"&gt;56215&lt;/D&gt;&lt;D xsi:type="xsd:double"&gt;58355&lt;/D&gt;&lt;D xsi:type="xsd:double"&gt;58240&lt;/D&gt;&lt;D xsi:type="xsd:double"&gt;58980&lt;/D&gt;&lt;D xsi:type="xsd:double"&gt;59275&lt;/D&gt;&lt;D xsi:type="xsd:double"&gt;58950&lt;/D&gt;&lt;D xsi:type="xsd:double"&gt;62055&lt;/D&gt;&lt;D xsi:type="xsd:double"&gt;63330&lt;/D&gt;&lt;D xsi:type="xsd:double"&gt;63815&lt;/D&gt;&lt;D xsi:type="xsd:double"&gt;60350&lt;/D&gt;&lt;D xsi:type="xsd:double"&gt;61730&lt;/D&gt;&lt;D xsi:type="xsd:double"&gt;59670&lt;/D&gt;&lt;D xsi:type="xsd:double"&gt;59200&lt;/D&gt;&lt;D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xsi:type="xsd:double"&gt;38122.84&lt;/D&gt;&lt;/FQL&gt;&lt;FQL&gt;&lt;Q&gt;FXI^FG_PRICE(0,-200D)&lt;/Q&gt;&lt;R&gt;201&lt;/R&gt;&lt;C&gt;1&lt;/C&gt;&lt;D xsi:type="xsd:double"&gt;25.71&lt;/D&gt;&lt;D xsi:type="xsd:double"&gt;25.72&lt;/D&gt;&lt;D xsi:type="xsd:double"&gt;25.46&lt;/D&gt;&lt;D xsi:type="xsd:double"&gt;25.52&lt;/D&gt;&lt;D xsi:type="xsd:double"&gt;25.5&lt;/D&gt;&lt;D xsi:type="xsd:double"&gt;25.85&lt;/D&gt;&lt;D xsi:type="xsd:double"&gt;25.98&lt;/D&gt;&lt;D xsi:type="xsd:double"&gt;26&lt;/D&gt;&lt;D xsi:type="xsd:double"&gt;26.46&lt;/D&gt;&lt;D xsi:type="xsd:double"&gt;26.33&lt;/D&gt;&lt;D xsi:type="xsd:double"&gt;26.14&lt;/D&gt;&lt;D xsi:type="xsd:double"&gt;26.56&lt;/D&gt;&lt;D xsi:type="xsd:double"&gt;26.27&lt;/D&gt;&lt;D xsi:type="xsd:double"&gt;26.48&lt;/D&gt;&lt;D xsi:type="xsd:double"&gt;26.07&lt;/D&gt;&lt;D xsi:type="xsd:double"&gt;26.27&lt;/D&gt;&lt;D xsi:type="xsd:double"&gt;26&lt;/D&gt;&lt;D xsi:type="xsd:double"&gt;26.6&lt;/D&gt;&lt;D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xsi:type="xsd:double"&gt;26.36&lt;/D&gt;&lt;/FQL&gt;&lt;FQL&gt;&lt;Q&gt;IWM^FG_PRICE(0,-200D)&lt;/Q&gt;&lt;R&gt;201&lt;/R&gt;&lt;C&gt;1&lt;/C&gt;&lt;D xsi:type="xsd:double"&gt;211.61&lt;/D&gt;&lt;D xsi:type="xsd:double"&gt;208.92&lt;/D&gt;&lt;D xsi:type="xsd:double"&gt;208.31&lt;/D&gt;&lt;D xsi:type="xsd:double"&gt;208.48&lt;/D&gt;&lt;D xsi:type="xsd:double"&gt;207.9&lt;/D&gt;&lt;D xsi:type="xsd:double"&gt;211.93&lt;/D&gt;&lt;D xsi:type="xsd:double"&gt;212.99&lt;/D&gt;&lt;D xsi:type="xsd:double"&gt;213.35&lt;/D&gt;&lt;D xsi:type="xsd:double"&gt;220.08&lt;/D&gt;&lt;D xsi:type="xsd:double"&gt;218.81&lt;/D&gt;&lt;D xsi:type="xsd:double"&gt;217.26&lt;/D&gt;&lt;D xsi:type="xsd:double"&gt;218.74&lt;/D&gt;&lt;D xsi:type="xsd:double"&gt;220.45&lt;/D&gt;&lt;D xsi:type="xsd:double"&gt;220.38&lt;/D&gt;&lt;D xsi:type="xsd:double"&gt;213.56&lt;/D&gt;&lt;D xsi:type="xsd:double"&gt;215.46&lt;/D&gt;&lt;D xsi:type="xsd:double"&gt;212.69&lt;/D&gt;&lt;D xsi:type="xsd:double"&gt;215.2&lt;/D&gt;&lt;D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</t>
        </r>
      </text>
    </comment>
    <comment ref="A2" authorId="0" shapeId="0" xr:uid="{DC0C9BCA-33CE-4121-A92D-DD1DD998E18D}">
      <text>
        <r>
          <rPr>
            <b/>
            <sz val="9"/>
            <color indexed="81"/>
            <rFont val="Tahoma"/>
            <charset val="1"/>
          </rPr>
          <t>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xsi:type="xsd:double"&gt;179.33&lt;/D&gt;&lt;/FQL&gt;&lt;FQL&gt;&lt;Q&gt;INDA^FG_PRICE(0,-200D)&lt;/Q&gt;&lt;R&gt;201&lt;/R&gt;&lt;C&gt;1&lt;/C&gt;&lt;D xsi:type="xsd:double"&gt;57.76&lt;/D&gt;&lt;D xsi:type="xsd:double"&gt;57.125&lt;/D&gt;&lt;D xsi:type="xsd:double"&gt;57.04&lt;/D&gt;&lt;D xsi:type="xsd:double"&gt;56.95&lt;/D&gt;&lt;D xsi:type="xsd:double"&gt;56.51&lt;/D&gt;&lt;D xsi:type="xsd:double"&gt;57.24&lt;/D&gt;&lt;D xsi:type="xsd:double"&gt;57.55&lt;/D&gt;&lt;D xsi:type="xsd:double"&gt;57.28&lt;/D&gt;&lt;D xsi:type="xsd:double"&gt;57.72&lt;/D&gt;&lt;D xsi:type="xsd:double"&gt;57.27&lt;/D&gt;&lt;D xsi:type="xsd:double"&gt;57.15&lt;/D&gt;&lt;D xsi:type="xsd:double"&gt;57.17&lt;/D&gt;&lt;D xsi:type="xsd:double"&gt;57.19&lt;/D&gt;&lt;D xsi:type="xsd:double"&gt;57.08&lt;/D&gt;&lt;D xsi:type="xsd:double"&gt;56.78&lt;/D&gt;&lt;D xsi:type="xsd:double"&gt;56.92&lt;/D&gt;&lt;D xsi:type="xsd:double"&gt;56.59&lt;/D&gt;&lt;D xsi:type="xsd:double"&gt;56.49&lt;/D&gt;&lt;D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xsi:type="xsd:double"&gt;45.19&lt;/D&gt;&lt;/FQL&gt;&lt;FQL&gt;&lt;Q&gt;URTH^FG_PRICE(0,-200D)&lt;/Q&gt;&lt;R&gt;201&lt;/R&gt;&lt;C&gt;1&lt;/C&gt;&lt;D xsi:type="xsd:double"&gt;152.36&lt;/D&gt;&lt;D xsi:type="xsd:double"&gt;151.21&lt;/D&gt;&lt;D xsi:type="xsd:double"&gt;149.74&lt;/D&gt;&lt;D xsi:type="xsd:double"&gt;149.33&lt;/D&gt;&lt;D xsi:type="xsd:double"&gt;147.75&lt;/D&gt;&lt;D xsi:type="xsd:double"&gt;150.19&lt;/D&gt;&lt;D xsi:type="xsd:double"&gt;150.72&lt;/D&gt;&lt;D xsi:type="xsd:double"&gt;151.01&lt;/D&gt;&lt;D xsi:type="xsd:double"&gt;154.18&lt;/D&gt;&lt;D xsi:type="xsd:double"&gt;152.96&lt;/D&gt;&lt;D xsi:type="xsd:double"&gt;152.86&lt;/D&gt;&lt;D xsi:type="xsd:double"&gt;153.59&lt;/D&gt;&lt;D xsi:type="xsd:double"&gt;153.36&lt;/D&gt;&lt;D xsi:type="xsd:double"&gt;153.8&lt;/D&gt;&lt;D xsi:type="xsd:double"&gt;151.49&lt;/D&gt;&lt;D xsi:type="xsd:double"&gt;152.87&lt;/D&gt;&lt;D xsi:type="xsd:double"&gt;152&lt;/D&gt;&lt;D xsi:type="xsd:double"&gt;152.22&lt;/D&gt;&lt;D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xsi:type="xsd:double"&gt;127.52&lt;/D&gt;&lt;/FQL&gt;&lt;FQL&gt;&lt;Q&gt;EWJ^FG_PRICE(0,-200D)&lt;/Q&gt;&lt;R&gt;201&lt;/R&gt;&lt;C&gt;1&lt;/C&gt;&lt;D xsi:type="xsd:double"&gt;70.25&lt;/D&gt;&lt;D xsi:type="xsd:double"&gt;69.56&lt;/D&gt;&lt;D xsi:type="xsd:double"&gt;69.14&lt;/D&gt;&lt;D xsi:type="xsd:double"&gt;69.33&lt;/D&gt;&lt;D xsi:type="xsd:double"&gt;68.09&lt;/D&gt;&lt;D xsi:type="xsd:double"&gt;70.58&lt;/D&gt;&lt;D xsi:type="xsd:double"&gt;70.16&lt;/D&gt;&lt;D xsi:type="xsd:double"&gt;70.89&lt;/D&gt;&lt;D xsi:type="xsd:double"&gt;71.97&lt;/D&gt;&lt;D xsi:type="xsd:double"&gt;71.54&lt;/D&gt;&lt;D xsi:type="xsd:double"&gt;71.42&lt;/D&gt;&lt;D xsi:type="xsd:double"&gt;71.73&lt;/D&gt;&lt;D xsi:type="xsd:double"&gt;71.03&lt;/D&gt;&lt;D xsi:type="xsd:double"&gt;71.93&lt;/D&gt;&lt;D xsi:type="xsd:double"&gt;70.31&lt;/D&gt;&lt;D xsi:type="xsd:double"&gt;70.83&lt;/D&gt;&lt;D xsi:type="xsd:double"&gt;70.02&lt;/D&gt;&lt;D xsi:type="xsd:double"&gt;70.36&lt;/D&gt;&lt;D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xsi:type="xsd:double"&gt;62.61&lt;/D&gt;&lt;/FQL&gt;&lt;FQL&gt;&lt;Q&gt;EMXC^FG_PRICE(0,-200D)&lt;/Q&gt;&lt;R&gt;201&lt;/R&gt;&lt;C&gt;1&lt;/C&gt;&lt;D xsi:type="xsd:double"&gt;59.9&lt;/D&gt;&lt;D xsi:type="xsd:double"&gt;59.25&lt;/D&gt;&lt;D xsi:type="xsd:double"&gt;58.9&lt;/D&gt;&lt;D xsi:type="xsd:double"&gt;59.1&lt;/D&gt;&lt;D xsi:type="xsd:double"&gt;58.41&lt;/D&gt;&lt;D xsi:type="xsd:double"&gt;59.61&lt;/D&gt;&lt;D xsi:type="xsd:double"&gt;59.3&lt;/D&gt;&lt;D xsi:type="xsd:double"&gt;59.3&lt;/D&gt;&lt;D xsi:type="xsd:double"&gt;60.66&lt;/D&gt;&lt;D xsi:type="xsd:double"&gt;60.69&lt;/D&gt;&lt;D xsi:type="xsd:double"&gt;60.79&lt;/D&gt;&lt;D xsi:type="xsd:double"&gt;61&lt;/D&gt;&lt;D xsi:type="xsd:double"&gt;60.93&lt;/D&gt;&lt;D xsi:type="xsd:double"&gt;61.29&lt;/D&gt;&lt;D xsi:type="xsd:double"&gt;60.16&lt;/D&gt;&lt;D xsi:type="xsd:double"&gt;61.06&lt;/D&gt;&lt;D xsi:type="xsd:double"&gt;60.94&lt;/D&gt;&lt;D xsi:type="xsd:double"&gt;61.15&lt;/D&gt;&lt;D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xsi:type="xsd:double"&gt;52.38&lt;/D&gt;&lt;/FQL&gt;&lt;FQL&gt;&lt;Q&gt;VGK^FG_PRICE(0,-200D)&lt;/Q&gt;&lt;R&gt;201&lt;/R&gt;&lt;C&gt;1&lt;/C&gt;&lt;D xsi:type="xsd:double"&gt;69.32&lt;/D&gt;&lt;D xsi:type="xsd:double"&gt;68.84&lt;/D&gt;&lt;D xsi:type="xsd:double"&gt;68.47&lt;/D&gt;&lt;D xsi:type="xsd:double"&gt;68.8&lt;/D&gt;&lt;D xsi:type="xsd:double"&gt;68.35&lt;/D&gt;&lt;D xsi:type="xsd:double"&gt;69.26&lt;/D&gt;&lt;D xsi:type="xsd:double"&gt;69.42&lt;/D&gt;&lt;D xsi:type="xsd:double"&gt;69.6&lt;/D&gt;&lt;D xsi:type="xsd:double"&gt;70.93&lt;/D&gt;&lt;D xsi:type="xsd:double"&gt;70.77&lt;/D&gt;&lt;D xsi:type="xsd:double"&gt;70.55&lt;/D&gt;&lt;D xsi:type="xsd:double"&gt;70.85&lt;/D&gt;&lt;D xsi:type="xsd:double"&gt;70.55&lt;/D&gt;&lt;D xsi:type="xsd:double"&gt;70.77&lt;/D&gt;&lt;D xsi:type="xsd:double"&gt;69.58&lt;/D&gt;&lt;D xsi:type="xsd:double"&gt;69.99&lt;/D&gt;&lt;D xsi:type="xsd:double"&gt;69.4&lt;/D&gt;&lt;D xsi:type="xsd:double"&gt;69.59&lt;/D&gt;&lt;D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</t>
        </r>
      </text>
    </comment>
    <comment ref="A3" authorId="0" shapeId="0" xr:uid="{EE584F93-E889-4D6D-A5F4-67D23753235B}">
      <text>
        <r>
          <rPr>
            <b/>
            <sz val="9"/>
            <color indexed="81"/>
            <rFont val="Tahoma"/>
            <charset val="1"/>
          </rPr>
          <t>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xsi:type="xsd:double"&gt;61.67&lt;/D&gt;&lt;/FQL&gt;&lt;FQL&gt;&lt;Q&gt;TLT^FG_PRICE(0,-200D)&lt;/Q&gt;&lt;R&gt;201&lt;/R&gt;&lt;C&gt;1&lt;/C&gt;&lt;D xsi:type="xsd:double"&gt;100.14&lt;/D&gt;&lt;D xsi:type="xsd:double"&gt;100.61&lt;/D&gt;&lt;D xsi:type="xsd:double"&gt;100.69&lt;/D&gt;&lt;D xsi:type="xsd:double"&gt;99.99&lt;/D&gt;&lt;D xsi:type="xsd:double"&gt;99.56&lt;/D&gt;&lt;D xsi:type="xsd:double"&gt;99.57&lt;/D&gt;&lt;D xsi:type="xsd:double"&gt;99.01&lt;/D&gt;&lt;D xsi:type="xsd:double"&gt;97.75&lt;/D&gt;&lt;D xsi:type="xsd:double"&gt;96.49&lt;/D&gt;&lt;D xsi:type="xsd:double"&gt;97.53&lt;/D&gt;&lt;D xsi:type="xsd:double"&gt;97.85&lt;/D&gt;&lt;D xsi:type="xsd:double"&gt;97.97&lt;/D&gt;&lt;D xsi:type="xsd:double"&gt;98.14&lt;/D&gt;&lt;D xsi:type="xsd:double"&gt;98.39&lt;/D&gt;&lt;D xsi:type="xsd:double"&gt;97.75&lt;/D&gt;&lt;D xsi:type="xsd:double"&gt;98.73&lt;/D&gt;&lt;D xsi:type="xsd:double"&gt;98.67&lt;/D&gt;&lt;D xsi:type="xsd:double"&gt;97.89&lt;/D&gt;&lt;D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xsi:type="xsd:double"&gt;89.8&lt;/D&gt;&lt;/FQL&gt;&lt;FQL&gt;&lt;Q&gt;USO^FG_PRICE(0,-200D)&lt;/Q&gt;&lt;R&gt;201&lt;/R&gt;&lt;C&gt;1&lt;/C&gt;&lt;D xsi:type="xsd:double"&gt;69.89&lt;/D&gt;&lt;D xsi:type="xsd:double"&gt;67.85&lt;/D&gt;&lt;D xsi:type="xsd:double"&gt;66.96&lt;/D&gt;&lt;D xsi:type="xsd:double"&gt;69.27&lt;/D&gt;&lt;D xsi:type="xsd:double"&gt;68.93&lt;/D&gt;&lt;D xsi:type="xsd:double"&gt;69.89&lt;/D&gt;&lt;D xsi:type="xsd:double"&gt;69.61&lt;/D&gt;&lt;D xsi:type="xsd:double"&gt;71.09&lt;/D&gt;&lt;D xsi:type="xsd:double"&gt;74.34&lt;/D&gt;&lt;D xsi:type="xsd:double"&gt;76.77&lt;/D&gt;&lt;D xsi:type="xsd:double"&gt;75.48&lt;/D&gt;&lt;D xsi:type="xsd:double"&gt;76.49&lt;/D&gt;&lt;D xsi:type="xsd:double"&gt;77.83&lt;/D&gt;&lt;D xsi:type="xsd:double"&gt;75.55&lt;/D&gt;&lt;D xsi:type="xsd:double"&gt;73.58&lt;/D&gt;&lt;D xsi:type="xsd:double"&gt;72.6&lt;/D&gt;&lt;D xsi:type="xsd:double"&gt;73.83&lt;/D&gt;&lt;D xsi:type="xsd:double"&gt;74.38&lt;/D&gt;&lt;D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xsi:type="xsd:double"&gt;70.82&lt;/D&gt;&lt;/FQL&gt;&lt;FQL&gt;&lt;Q&gt;DBC^FG_PRICE(0,-200D)&lt;/Q&gt;&lt;R&gt;201&lt;/R&gt;&lt;C&gt;1&lt;/C&gt;&lt;D xsi:type="xsd:double"&gt;21.62&lt;/D&gt;&lt;D xsi:type="xsd:double"&gt;21.21&lt;/D&gt;&lt;D xsi:type="xsd:double"&gt;21.02&lt;/D&gt;&lt;D xsi:type="xsd:double"&gt;21.33&lt;/D&gt;&lt;D xsi:type="xsd:double"&gt;21.27&lt;/D&gt;&lt;D xsi:type="xsd:double"&gt;21.56&lt;/D&gt;&lt;D xsi:type="xsd:double"&gt;21.51&lt;/D&gt;&lt;D xsi:type="xsd:double"&gt;21.67&lt;/D&gt;&lt;D xsi:type="xsd:double"&gt;22.11&lt;/D&gt;&lt;D xsi:type="xsd:double"&gt;22.36&lt;/D&gt;&lt;D xsi:type="xsd:double"&gt;22.11&lt;/D&gt;&lt;D xsi:type="xsd:double"&gt;22.38&lt;/D&gt;&lt;D xsi:type="xsd:double"&gt;22.49&lt;/D&gt;&lt;D xsi:type="xsd:double"&gt;22.26&lt;/D&gt;&lt;D xsi:type="xsd:double"&gt;21.87&lt;/D&gt;&lt;D xsi:type="xsd:double"&gt;21.89&lt;/D&gt;&lt;D xsi:type="xsd:double"&gt;22&lt;/D&gt;&lt;D xsi:type="xsd:double"&gt;22.09&lt;/D&gt;&lt;D xsi:type="xsd:double"&gt;22.21&lt;/D&gt;&lt;D xsi:type="xsd:double"&gt;22.35&lt;/D&gt;&lt;D xsi:type="xsd:double"&gt;22.17&lt;/D&gt;&lt;D xsi:type="xsd:double"&gt;22.31&lt;/D&gt;&lt;D xsi:type="xsd:double"&gt;22.52&lt;/D&gt;&lt;D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xsi:type="xsd:double"&gt;22.92&lt;/D&gt;&lt;D xsi:type="xsd:double"&gt;23&lt;/D&gt;&lt;D xsi:type="xsd:double"&gt;22.9&lt;/D&gt;&lt;D xsi:type="xsd:double"&gt;22.86&lt;/D&gt;&lt;D xsi:type="xsd:double"&gt;23.43&lt;/D&gt;&lt;D xsi:type="xsd:double"&gt;23.64&lt;/D&gt;&lt;D xsi:type="xsd:double"&gt;23.8&lt;/D&gt;&lt;D xsi:type="xsd:double"&gt;23.91&lt;/D&gt;&lt;D xsi:type="xsd:double"&gt;24.32&lt;/D&gt;&lt;D xsi:type="xsd:double"&gt;24.15&lt;/D&gt;&lt;D xsi:type="xsd:double"&gt;23.86&lt;/D&gt;&lt;D xsi:type="xsd:double"&gt;24.02&lt;/D&gt;&lt;/FQL&gt;&lt;FQL&gt;&lt;Q&gt;QQQ^FG_PRICE(0,-200D)&lt;/Q&gt;&lt;R&gt;201&lt;/R&gt;&lt;C&gt;1&lt;/C&gt;&lt;D xsi:type="xsd:double"&gt;473.22&lt;/D&gt;&lt;D xsi:type="xsd:double"&gt;468.62&lt;/D&gt;&lt;D xsi:type="xsd:double"&gt;458.66&lt;/D&gt;&lt;D xsi:type="xsd:double"&gt;454.46&lt;/D&gt;&lt;D xsi:type="xsd:double"&gt;448.69&lt;/D&gt;&lt;D xsi:type="xsd:double"&gt;461.04&lt;/D&gt;&lt;D xsi:type="xsd:double"&gt;460.61&lt;/D&gt;&lt;D xsi:type="xsd:double"&gt;461.81&lt;/D&gt;&lt;D xsi:type="xsd:double"&gt;476.27&lt;/D&gt;&lt;D xsi:type="xsd:double"&gt;470.66&lt;/D&gt;&lt;D xsi:type="xsd:double"&gt;471.35&lt;/D&gt;&lt;D xsi:type="xsd:double"&gt;476.76&lt;/D&gt;&lt;D xsi:type="xsd:double"&gt;475.34&lt;/D&gt;&lt;D xsi:type="xsd:double"&gt;480&lt;/D&gt;&lt;D xsi:type="xsd:double"&gt;474.85&lt;/D&gt;&lt;D xsi:type="xsd:double"&gt;482.5&lt;/D&gt;&lt;D xsi:type="xsd:double"&gt;480.26&lt;/D&gt;&lt;D xsi:type="xsd:double"&gt;481.27&lt;/D&gt;&lt;D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xsi:type="xsd:double"&gt;389.51&lt;/D&gt;&lt;/FQL&gt;&lt;FQL&gt;&lt;Q&gt;UUP^FG_PRICE(0,-200D)&lt;/Q&gt;&lt;R&gt;201&lt;/R&gt;&lt;C&gt;1&lt;/C&gt;&lt;D xsi:type="xsd:double"&gt;28.22&lt;/D&gt;&lt;D xsi:type="xsd:double"&gt;28.34&lt;/D&gt;&lt;D xsi:type="xsd:double"&gt;28.31&lt;/D&gt;&lt;D xsi:type="xsd:double"&gt;28.3&lt;/D&gt;&lt;D xsi:type="xsd:double"&gt;28.18&lt;/D&gt;&lt;D xsi:type="xsd:double"&gt;28.14&lt;/D&gt;&lt;D xsi:type="xsd:double"&gt;28.18&lt;/D&gt;&lt;D xsi:type="xsd:double"&gt;28.32&lt;/D&gt;&lt;D xsi:type="xsd:double"&gt;28.27&lt;/D&gt;&lt;D xsi:type="xsd:double"&gt;28.19&lt;/D&gt;&lt;D xsi:type="xsd:double"&gt;28.09&lt;/D&gt;&lt;D xsi:type="xsd:double"&gt;27.93&lt;/D&gt;&lt;D xsi:type="xsd:double"&gt;28.02&lt;/D&gt;&lt;D xsi:type="xsd:double"&gt;27.96&lt;/D&gt;&lt;D xsi:type="xsd:double"&gt;28.2&lt;/D&gt;&lt;D xsi:type="xsd:double"&gt;28.07&lt;/D&gt;&lt;D xsi:type="xsd:double"&gt;28.16&lt;/D&gt;&lt;D xsi:type="xsd:double"&gt;28.26&lt;/D&gt;&lt;D xsi:type="xsd:double"&gt;28.41&lt;/D</t>
        </r>
      </text>
    </comment>
    <comment ref="A4" authorId="0" shapeId="0" xr:uid="{ECDC1B09-C641-4BA4-B55A-6CCBAFA04319}">
      <text>
        <r>
          <rPr>
            <b/>
            <sz val="9"/>
            <color indexed="81"/>
            <rFont val="Tahoma"/>
            <charset val="1"/>
          </rPr>
          <t>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xsi:type="xsd:double"&gt;29.21&lt;/D&gt;&lt;/FQL&gt;&lt;FQL&gt;&lt;Q&gt;GLD^FG_PRICE(0,-200D)&lt;/Q&gt;&lt;R&gt;201&lt;/R&gt;&lt;C&gt;1&lt;/C&gt;&lt;D xsi:type="xsd:double"&gt;236.33&lt;/D&gt;&lt;D xsi:type="xsd:double"&gt;232.25&lt;/D&gt;&lt;D xsi:type="xsd:double"&gt;232.62&lt;/D&gt;&lt;D xsi:type="xsd:double"&gt;231.6&lt;/D&gt;&lt;D xsi:type="xsd:double"&gt;230.63&lt;/D&gt;&lt;D xsi:type="xsd:double"&gt;232.35&lt;/D&gt;&lt;D xsi:type="xsd:double"&gt;230.43&lt;/D&gt;&lt;D xsi:type="xsd:double"&gt;230.29&lt;/D&gt;&lt;D xsi:type="xsd:double"&gt;231.29&lt;/D&gt;&lt;D xsi:type="xsd:double"&gt;232.95&lt;/D&gt;&lt;D xsi:type="xsd:double"&gt;231.75&lt;/D&gt;&lt;D xsi:type="xsd:double"&gt;233.39&lt;/D&gt;&lt;D xsi:type="xsd:double"&gt;232.76&lt;/D&gt;&lt;D xsi:type="xsd:double"&gt;232.02&lt;/D&gt;&lt;D xsi:type="xsd:double"&gt;229.37&lt;/D&gt;&lt;D xsi:type="xsd:double"&gt;232.15&lt;/D&gt;&lt;D xsi:type="xsd:double"&gt;232.46&lt;/D&gt;&lt;D xsi:type="xsd:double"&gt;231.61&lt;/D&gt;&lt;D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xsi:type="xsd:double"&gt;185.52&lt;/D&gt;&lt;/FQL&gt;&lt;FQL&gt;&lt;Q&gt;SPY^FG_PRICE(0,-200D)&lt;/Q&gt;&lt;R&gt;201&lt;/R&gt;&lt;C&gt;1&lt;/C&gt;&lt;D xsi:type="xsd:double"&gt;559.09&lt;/D&gt;&lt;D xsi:type="xsd:double"&gt;554.42&lt;/D&gt;&lt;D xsi:type="xsd:double"&gt;548.79&lt;/D&gt;&lt;D xsi:type="xsd:double"&gt;546.41&lt;/D&gt;&lt;D xsi:type="xsd:double"&gt;540.36&lt;/D&gt;&lt;D xsi:type="xsd:double"&gt;549.61&lt;/D&gt;&lt;D xsi:type="xsd:double"&gt;550.95&lt;/D&gt;&lt;D xsi:type="xsd:double"&gt;552.08&lt;/D&gt;&lt;D xsi:type="xsd:double"&gt;563.68&lt;/D&gt;&lt;D xsi:type="xsd:double"&gt;558.35&lt;/D&gt;&lt;D xsi:type="xsd:double"&gt;558.3&lt;/D&gt;&lt;D xsi:type="xsd:double"&gt;561.56&lt;/D&gt;&lt;D xsi:type="xsd:double"&gt;560.79&lt;/D&gt;&lt;D xsi:type="xsd:double"&gt;562.13&lt;/D&gt;&lt;D xsi:type="xsd:double"&gt;556.22&lt;/D&gt;&lt;D xsi:type="xsd:double"&gt;560.62&lt;/D&gt;&lt;D xsi:type="xsd:double"&gt;558.7&lt;/D&gt;&lt;D xsi:type="xsd:double"&gt;559.61&lt;/D&gt;&lt;D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xsi:type="xsd:double"&gt;455.3&lt;/D&gt;&lt;/FQL&gt;&lt;FQL&gt;&lt;Q&gt;VWO^FG_PRICE(0,-200D)&lt;/Q&gt;&lt;R&gt;201&lt;/R&gt;&lt;C&gt;1&lt;/C&gt;&lt;D xsi:type="xsd:double"&gt;44.26&lt;/D&gt;&lt;D xsi:type="xsd:double"&gt;43.97&lt;/D&gt;&lt;D xsi:type="xsd:double"&gt;43.7&lt;/D&gt;&lt;D xsi:type="xsd:double"&gt;43.8&lt;/D&gt;&lt;D xsi:type="xsd:double"&gt;43.5&lt;/D&gt;&lt;D xsi:type="xsd:double"&gt;44.14&lt;/D&gt;&lt;D xsi:type="xsd:double"&gt;44.02&lt;/D&gt;&lt;D xsi:type="xsd:double"&gt;44.04&lt;/D&gt;&lt;D xsi:type="xsd:double"&gt;44.72&lt;/D&gt;&lt;D xsi:type="xsd:double"&gt;44.6&lt;/D&gt;&lt;D xsi:type="xsd:double"&gt;44.54&lt;/D&gt;&lt;D xsi:type="xsd:double"&gt;44.83&lt;/D&gt;&lt;D xsi:type="xsd:double"&gt;44.78&lt;/D&gt;&lt;D xsi:type="xsd:double"&gt;45.07&lt;/D&gt;&lt;D xsi:type="xsd:double"&gt;44.43&lt;/D&gt;&lt;D xsi:type="xsd:double"&gt;44.96&lt;/D&gt;&lt;D xsi:type="xsd:double"&gt;44.75&lt;/D&gt;&lt;D xsi:type="xsd:double"&gt;45.19&lt;/D&gt;&lt;D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xsi:type="xsd:double"&gt;40.6&lt;/D&gt;&lt;/FQL&gt;&lt;FQL&gt;&lt;Q&gt;VWO^JULIAN(P_PRICE(0,-200D).DATES)&lt;/Q&gt;&lt;R&gt;201&lt;/R&gt;&lt;C&gt;1&lt;/C&gt;&lt;D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</t>
        </r>
      </text>
    </comment>
    <comment ref="A5" authorId="0" shapeId="0" xr:uid="{C3E493A8-08C0-4075-9E1E-5803F10BAFA7}">
      <text>
        <r>
          <rPr>
            <b/>
            <sz val="9"/>
            <color indexed="81"/>
            <rFont val="Tahoma"/>
            <charset val="1"/>
          </rPr>
          <t>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xsi:type="xsd:long"&gt;45254&lt;/D&gt;&lt;/FQL&gt;&lt;FQL&gt;&lt;Q&gt;FXI^P_PRICE(0)/P_PRICE_LOW_PR(0,,,USD,,,"PRICE","INTRA","52W")-1&lt;/Q&gt;&lt;R&gt;1&lt;/R&gt;&lt;C&gt;1&lt;/C&gt;&lt;D xsi:type="xsd:double"&gt;0.23250234&lt;/D&gt;&lt;/FQL&gt;&lt;FQL&gt;&lt;Q&gt;FXI^P_PRICE(0)/P_PRICE_HIGH_PR(0,,,USD,,,"PRICE","INTRA","52W")&lt;/Q&gt;&lt;R&gt;1&lt;/R&gt;&lt;C&gt;1&lt;/C&gt;&lt;D xsi:type="xsd:double"&gt;0.87064&lt;/D&gt;&lt;/FQL&gt;&lt;FQL&gt;&lt;Q&gt;FXI^FG_TOTAL_RETURNC(0,-6AM)&lt;/Q&gt;&lt;R&gt;1&lt;/R&gt;&lt;C&gt;1&lt;/C&gt;&lt;D xsi:type="xsd:double"&gt;5.0177693&lt;/D&gt;&lt;/FQL&gt;&lt;FQL&gt;&lt;Q&gt;FXI^FG_TOTAL_RETURNC(0,-3AM)&lt;/Q&gt;&lt;R&gt;1&lt;/R&gt;&lt;C&gt;1&lt;/C&gt;&lt;D xsi:type="xsd:double"&gt;-2.6505113&lt;/D&gt;&lt;/FQL&gt;&lt;FQL&gt;&lt;Q&gt;IWM^P_PRICE(0)/P_PRICE_LOW_PR(0,,,USD,,,"PRICE","INTRA","52W")-1&lt;/Q&gt;&lt;R&gt;1&lt;/R&gt;&lt;C&gt;1&lt;/C&gt;&lt;D xsi:type="xsd:double"&gt;0.30890083&lt;/D&gt;&lt;/FQL&gt;&lt;FQL&gt;&lt;Q&gt;IWM^P_PRICE(0)/P_PRICE_HIGH_PR(0,,,USD,,,"PRICE","INTRA","52W")&lt;/Q&gt;&lt;R&gt;1&lt;/R&gt;&lt;C&gt;1&lt;/C&gt;&lt;D xsi:type="xsd:double"&gt;0.92555654&lt;/D&gt;&lt;/FQL&gt;&lt;FQL&gt;&lt;Q&gt;IWM^FG_TOTAL_RETURNC(0,-6AM)&lt;/Q&gt;&lt;R&gt;1&lt;/R&gt;&lt;C&gt;1&lt;/C&gt;&lt;D xsi:type="xsd:double"&gt;3.8191319&lt;/D&gt;&lt;/FQL&gt;&lt;FQL&gt;&lt;Q&gt;IWM^FG_TOTAL_RETURNC(0,-3AM)&lt;/Q&gt;&lt;R&gt;1&lt;/R&gt;&lt;C&gt;1&lt;/C&gt;&lt;D xsi:type="xsd:double"&gt;3.8729668&lt;/D&gt;&lt;/FQL&gt;&lt;FQL&gt;&lt;Q&gt;QQQ^P_PRICE(0)/P_PRICE_LOW_PR(0,,,USD,,,"PRICE","INTRA","52W")-1&lt;/Q&gt;&lt;R&gt;1&lt;/R&gt;&lt;C&gt;1&lt;/C&gt;&lt;D xsi:type="xsd:double"&gt;0.38226962&lt;/D&gt;&lt;/FQL&gt;&lt;FQL&gt;&lt;Q&gt;QQQ^P_PRICE(0)/P_PRICE_HIGH_PR(0,,,USD,,,"PRICE","INTRA","52W")&lt;/Q&gt;&lt;R&gt;1&lt;/R&gt;&lt;C&gt;1&lt;/C&gt;&lt;D xsi:type="xsd:double"&gt;0.9398237&lt;/D&gt;&lt;/FQL&gt;&lt;FQL&gt;&lt;Q&gt;QQQ^FG_TOTAL_RETURNC(0,-6AM)&lt;/Q&gt;&lt;R&gt;1&lt;/R&gt;&lt;C&gt;1&lt;/C&gt;&lt;D xsi:type="xsd:double"&gt;6.9741726&lt;/D&gt;&lt;/FQL&gt;&lt;FQL&gt;&lt;Q&gt;QQQ^FG_TOTAL_RETURNC(0,-3AM)&lt;/Q&gt;&lt;R&gt;1&lt;/R&gt;&lt;C&gt;1&lt;/C&gt;&lt;D xsi:type="xsd:double"&gt;-0.03578663&lt;/D&gt;&lt;/FQL&gt;&lt;FQL&gt;&lt;Q&gt;EMXC^P_PRICE(0)/P_PRICE_LOW_PR(0,,,USD,,,"PRICE","INTRA","52W")-1&lt;/Q&gt;&lt;R&gt;1&lt;/R&gt;&lt;C&gt;1&lt;/C&gt;&lt;D xsi:type="xsd:double"&gt;0.25405633&lt;/D&gt;&lt;/FQL&gt;&lt;FQL&gt;&lt;Q&gt;EMXC^P_PRICE(0)/P_PRICE_HIGH_PR(0,,,USD,,,"PRICE","INTRA","52W")&lt;/Q&gt;&lt;R&gt;1&lt;/R&gt;&lt;C&gt;1&lt;/C&gt;&lt;D xsi:type="xsd:double"&gt;0.9633323&lt;/D&gt;&lt;/FQL&gt;&lt;FQL&gt;&lt;Q&gt;EMXC^FG_TOTAL_RETURNC(0,-6AM)&lt;/Q&gt;&lt;R&gt;1&lt;/R&gt;&lt;C&gt;1&lt;/C&gt;&lt;D xsi:type="xsd:double"&gt;4.7946095&lt;/D&gt;&lt;/FQL&gt;&lt;FQL&gt;&lt;Q&gt;EMXC^FG_TOTAL_RETURNC(0,-3AM)&lt;/Q&gt;&lt;R&gt;1&lt;/R&gt;&lt;C&gt;1&lt;/C&gt;&lt;D xsi:type="xsd:double"&gt;3.382814&lt;/D&gt;&lt;/FQL&gt;&lt;FQL&gt;&lt;Q&gt;INDA^P_PRICE(0)/P_PRICE_LOW_PR(0,,,USD,,,"PRICE","INTRA","52W")-1&lt;/Q&gt;&lt;R&gt;1&lt;/R&gt;&lt;C&gt;1&lt;/C&gt;&lt;D xsi:type="xsd:double"&gt;0.35364425&lt;/D&gt;&lt;/FQL&gt;&lt;FQL&gt;&lt;Q&gt;INDA^P_PRICE(0)/P_PRICE_HIGH_PR(0,,,USD,,,"PRICE","INTRA","52W")&lt;/Q&gt;&lt;R&gt;1&lt;/R&gt;&lt;C&gt;1&lt;/C&gt;&lt;D xsi:type="xsd:double"&gt;0.99982685&lt;/D&gt;&lt;/FQL&gt;&lt;FQL&gt;&lt;Q&gt;INDA^FG_TOTAL_RETURNC(0,-6AM)&lt;/Q&gt;&lt;R&gt;1&lt;/R&gt;&lt;C&gt;1&lt;/C&gt;&lt;D xsi:type="xsd:double"&gt;11.74308&lt;/D&gt;&lt;/FQL&gt;&lt;FQL&gt;&lt;Q&gt;INDA^FG_TOTAL_RETURNC(0,-3AM)&lt;/Q&gt;&lt;R&gt;1&lt;/R&gt;&lt;C&gt;1&lt;/C&gt;&lt;D xsi:type="xsd:double"&gt;5.652094&lt;/D&gt;&lt;/FQL&gt;&lt;FQL&gt;&lt;Q&gt;SPY^P_PRICE(0)/P_PRICE_LOW_PR(0,,,USD,,,"PRICE","INTRA","52W")-1&lt;/Q&gt;&lt;R&gt;1&lt;/R&gt;&lt;C&gt;1&lt;/C&gt;&lt;D xsi:type="xsd:double"&gt;0.36626685&lt;/D&gt;&lt;/FQL&gt;&lt;FQL&gt;&lt;Q&gt;SPY^P_PRICE(0)/P_PRICE_HIGH_PR(0,,,USD,,,"PRICE","INTRA","52W")&lt;/Q&gt;&lt;R&gt;1&lt;/R&gt;&lt;C&gt;1&lt;/C&gt;&lt;D xsi:type="xsd:double"&gt;0.9892598&lt;/D&gt;&lt;/FQL&gt;&lt;FQL&gt;&lt;Q&gt;SPY^FG_TOTAL_RETURNC(0,-6AM)&lt;/Q&gt;&lt;R&gt;1&lt;/R&gt;&lt;C&gt;1&lt;/C&gt;&lt;D xsi:type="xsd:double"&gt;8.876276&lt;/D&gt;&lt;/FQL&gt;&lt;FQL&gt;&lt;Q&gt;SPY^FG_TOTAL_RETURNC(0,-3AM)&lt;/Q&gt;&lt;R&gt;1&lt;/R&gt;&lt;C&gt;1&lt;/C&gt;&lt;D xsi:type="xsd:double"&gt;3.6087275&lt;/D&gt;&lt;/FQL&gt;&lt;FQL&gt;&lt;Q&gt;EWJ^P_PRICE(0)/P_PRICE_LOW_PR(0,,,USD,,,"PRICE","INTRA","52W")-1&lt;/Q&gt;&lt;R&gt;1&lt;/R&gt;&lt;C&gt;1&lt;/C&gt;&lt;D xsi:type="xsd:double"&gt;0.22814679&lt;/D&gt;&lt;/FQL&gt;&lt;FQL&gt;&lt;Q&gt;EWJ^P_PRICE(0)/P_PRICE_HIGH_PR(0,,,USD,,,"PRICE","INTRA","52W")&lt;/Q&gt;&lt;R&gt;1&lt;/R&gt;&lt;C&gt;1&lt;/C&gt;&lt;D xsi:type="xsd:double"&gt;0.9713101&lt;/D&gt;&lt;/FQL&gt;&lt;FQL&gt;&lt;Q&gt;EWJ^FG_TOTAL_RETURNC(0,-6AM)&lt;/Q&gt;&lt;R&gt;1&lt;/R&gt;&lt;C&gt;1&lt;/C&gt;&lt;D xsi:type="xsd:double"&gt;1.1360645&lt;/D&gt;&lt;/FQL&gt;&lt;FQL&gt;&lt;Q&gt;EWJ^FG_TOTAL_RETURNC(0,-3AM)&lt;/Q&gt;&lt;R&gt;1&lt;/R&gt;&lt;C&gt;1&lt;/C&gt;&lt;D xsi:type="xsd:double"&gt;2.7197003&lt;/D&gt;&lt;/FQL&gt;&lt;FQL&gt;&lt;Q&gt;URTH^P_PRICE(0)/P_PRICE_LOW_PR(0,,,USD,,,"PRICE","INTRA","52W")-1&lt;/Q&gt;&lt;R&gt;1&lt;/R&gt;&lt;C&gt;1&lt;/C&gt;&lt;D xsi:type="xsd:double"&gt;0.3283348&lt;/D&gt;&lt;/FQL&gt;&lt;FQL&gt;&lt;Q&gt;URTH^P_PRICE(0)/P_PRICE_HIGH_PR(0,,,USD,,,"PRICE","INTRA","52W")&lt;/Q&gt;&lt;R&gt;1&lt;/R&gt;&lt;C&gt;1&lt;/C&gt;&lt;D xsi:type="xsd:double"&gt;0.98749113&lt;/D&gt;&lt;/FQL&gt;&lt;FQL&gt;&lt;Q&gt;URTH^FG_TOTAL_RETURNC(0,-6AM)&lt;/Q&gt;&lt;R&gt;1&lt;/R&gt;&lt;C&gt;1&lt;/C&gt;&lt;D xsi:type="xsd:double"&gt;7.2935104&lt;/D&gt;&lt;/FQL&gt;&lt;FQL&gt;&lt;Q&gt;URTH^FG_TOTAL_RETURNC(0,-3AM)&lt;/Q&gt;&lt;R&gt;1&lt;/R&gt;&lt;C&gt;1&lt;/C&gt;&lt;D xsi:type="xsd:double"&gt;3.4141064&lt;/D&gt;&lt;/FQL&gt;&lt;FQL&gt;&lt;Q&gt;VWO^P_PRICE(0)/P_PRICE_LOW_PR(0,,,USD,,,"PRICE","INTRA","52W")-1&lt;/Q&gt;&lt;R&gt;1&lt;/R&gt;&lt;C&gt;1&lt;/C&gt;&lt;D xsi:type="xsd:double"&gt;0.18168461&lt;/D&gt;&lt;/FQL&gt;&lt;FQL&gt;&lt;Q&gt;VWO^P_PRICE(0)/P_PRICE_HIGH_PR(0,,,USD,,,"PRICE","INTRA","52W")&lt;/Q&gt;&lt;R&gt;1&lt;/R&gt;&lt;C&gt;1&lt;/C&gt;&lt;D xsi:type="xsd:double"&gt;0.96796066&lt;/D&gt;&lt;/FQL&gt;&lt;FQL&gt;&lt;Q&gt;VWO^FG_TOTAL_RETURNC(0,-6AM)&lt;/Q&gt;&lt;R&gt;1&lt;/R&gt;&lt;C&gt;1&lt;/C&gt;&lt;D xsi:type="xsd:double"&gt;5.310726&lt;/D&gt;&lt;/FQL&gt;&lt;FQL&gt;&lt;Q&gt;VWO^FG_TOTAL_RETURNC(0,-3AM)&lt;/Q&gt;&lt;R&gt;1&lt;/R&gt;&lt;C&gt;1&lt;/C&gt;&lt;D xsi:type="xsd:double"&gt;1.6974092&lt;/D&gt;&lt;/FQL&gt;&lt;FQL&gt;&lt;Q&gt;VGK^P_PRICE(0)/P_PRICE_LOW_PR(0,,,USD,,,"PRICE","INTRA","52W")-1&lt;/Q&gt;&lt;R&gt;1&lt;/R&gt;&lt;C&gt;1&lt;/C&gt;&lt;D xsi:type="xsd:double"&gt;0.25899017&lt;/D&gt;&lt;/FQL&gt;&lt;FQL&gt;&lt;Q&gt;VGK^P_PRICE(0)/P_PRICE_HIGH_PR(0,,,USD,,,"PRICE","INTRA","52W")&lt;/Q&gt;&lt;R&gt;1&lt;/R&gt;&lt;C&gt;1&lt;/C&gt;&lt;D xsi:type="xsd:double"&gt;0.9748277&lt;/D&gt;&lt;/FQL&gt;&lt;FQL&gt;&lt;Q&gt;VGK^FG_TOTAL_RETURNC(0,-6AM)&lt;/Q&gt;&lt;R&gt;1&lt;/R&gt;&lt;C&gt;1&lt;/C&gt;&lt;D xsi:type="xsd:double"&gt;4.8554063&lt;/D&gt;&lt;/FQL&gt;&lt;FQL&gt;&lt;Q&gt;VGK^FG_TOTAL_RETURNC(0,-3AM)&lt;/Q&gt;&lt;R&gt;1&lt;/R&gt;&lt;C&gt;1&lt;/C&gt;&lt;D xsi:type="xsd:double"&gt;0.86911917&lt;/D&gt;&lt;/FQL&gt;&lt;FQL&gt;&lt;Q&gt;EWI^P_PRICE(0)/P_PRICE_LOW_PR(0,,,USD,,,"PRICE","INTRA","52W")-1&lt;/Q&gt;&lt;R&gt;1&lt;/R&gt;&lt;C&gt;1&lt;/C&gt;&lt;D xsi:type="xsd:double"&gt;0.3127693&lt;/D&gt;&lt;/FQL&gt;&lt;FQL&gt;&lt;Q&gt;EWI^P_PRICE(0)/P_PRICE_HIGH_PR(0,,,USD,,,"PRICE","INTRA","52W")&lt;/Q&gt;&lt;R&gt;1&lt;/R&gt;&lt;C&gt;1&lt;/C&gt;&lt;D xsi:type="xsd:double"&gt;0.967488&lt;/D&gt;&lt;/FQL&gt;&lt;FQL&gt;&lt;Q&gt;EWI^FG_TOTAL_RETURNC(0,-6AM)&lt;/Q&gt;&lt;R&gt;1&lt;/R&gt;&lt;C&gt;1&lt;/C&gt;&lt;D xsi:type="xsd:double"&gt;5.324638&lt;/D&gt;&lt;/FQL&gt;&lt;FQL&gt;&lt;Q&gt;EWI^FG_TOTAL_RETURNC(0,-3AM)&lt;/Q&gt;&lt;R&gt;1&lt;/R&gt;&lt;C&gt;1&lt;/C&gt;&lt;D xsi:type="xsd:double"&gt;2.3374557&lt;/D&gt;&lt;/FQL&gt;&lt;FQL&gt;&lt;Q&gt;EWD^P_PRICE(0)/P_PRICE_LOW_PR(0,,,USD,,,"PRICE","INTRA","52W")-1&lt;/Q&gt;&lt;R&gt;1&lt;/R&gt;&lt;C&gt;1&lt;/C&gt;&lt;D xsi:type="xsd:double"&gt;0.33224714&lt;/D&gt;&lt;/FQL&gt;&lt;FQL&gt;&lt;Q&gt;EWD^P_PRICE(0)/P_PRICE_HIGH_PR(0,,,USD,,,"PRICE","INTRA","52W")&lt;/Q&gt;&lt;R&gt;1&lt;/R&gt;&lt;C&gt;1&lt;/C&gt;&lt;D xsi:type="xsd:double"&gt;0.95849943&lt;/D&gt;&lt;/FQL&gt;&lt;FQL&gt;&lt;Q&gt;EWD^FG_TOTAL_RETURNC(0,-6AM)&lt;/Q&gt;&lt;R&gt;1&lt;/R&gt;&lt;C&gt;1&lt;/C&gt;&lt;D xsi:type="xsd:double"&gt;0.45639277&lt;/D&gt;&lt;/FQL&gt;&lt;FQL&gt;&lt;Q&gt;EWD^FG_TOTAL_RETURNC(0,-3AM)&lt;/Q&gt;&lt;R&gt;1&lt;/R&gt;&lt;C&gt;1&lt;/C&gt;&lt;D xsi:type="xsd:double"&gt;-2.6202917&lt;/D&gt;&lt;/FQL&gt;&lt;FQL&gt;&lt;Q&gt;EWN^P_PRICE(0)/P_PRICE_LOW_PR(0,,,USD,,,"PRICE","INTRA","52W")-1&lt;/Q&gt;&lt;R&gt;1&lt;/R&gt;&lt;C&gt;1&lt;/C&gt;&lt;D xsi:type="xsd:double"&gt;0.35271418&lt;/D&gt;&lt;/FQL&gt;&lt;FQL&gt;&lt;Q&gt;EWN^P_PRICE(0)/P_PRICE_HIGH_PR(0,,,USD,,,"PRICE","INTRA","52W")&lt;/Q&gt;&lt;R&gt;1&lt;/R&gt;&lt;C&gt;1&lt;/C&gt;&lt;D xsi:type="xsd:double"&gt;0.92570245&lt;/D&gt;&lt;/FQL&gt;&lt;FQL&gt;&lt;Q&gt;EWN^FG_TOTAL_RETURNC(0,-6AM)&lt;/Q&gt;&lt;R&gt;1&lt;/R&gt;&lt;C&gt;1&lt;/C&gt;&lt;D xsi:type="xsd:double"&gt;1.1281133&lt;/D&gt;&lt;/FQL&gt;&lt;FQL&gt;&lt;Q&gt;EWN^FG_TOTAL_RETURNC(0,-3AM)&lt;/Q&gt;&lt;R&gt;1&lt;/R&gt;&lt;C&gt;1&lt;/C&gt;&lt;D xsi:type="xsd:double"&gt;-5.7230654&lt;/D&gt;&lt;/FQL&gt;&lt;FQL&gt;&lt;Q&gt;EWQ^P_PRICE(0)/P_PRICE_LOW_PR(0,,,USD,,,"PRICE","INTRA","52W")-1&lt;/Q&gt;&lt;R&gt;1&lt;/R&gt;&lt;C&gt;1&lt;/C&gt;&lt;D xsi:type="xsd:double"&gt;0.1583482&lt;/D&gt;&lt;/FQL&gt;&lt;FQL&gt;&lt;Q&gt;EWQ^P_PRICE(0)/P_PRICE_HIGH_PR(0,,,USD,,,"PRICE","INTRA","52W")&lt;/Q&gt;&lt;R&gt;1&lt;/R&gt;&lt;C&gt;1&lt;/C&gt;&lt;D xsi:type="xsd:double"&gt;0.9152583&lt;/D&gt;&lt;/FQL&gt;&lt;FQL&gt;&lt;Q&gt;EWQ^FG_TOTAL_RETURNC(0,-6AM)&lt;/Q&gt;&lt;R&gt;1&lt;/R&gt;&lt;C&gt;1&lt;/C&gt;&lt;D xsi:type="xsd:double"&gt;-3.4468174&lt;/D&gt;&lt;/FQL&gt;&lt;FQL&gt;&lt;Q&gt;EWQ^FG_TOTAL_RETURNC(0,-3AM)&lt;/Q&gt;&lt;R&gt;1&lt;/R&gt;&lt;C&gt;1&lt;/C&gt;&lt;D xsi:type="xsd:double"&gt;-2.207166&lt;/D&gt;&lt;/FQL&gt;&lt;FQL&gt;&lt;Q&gt;EWU^P_PRICE(0)/P_PRICE_LOW_PR(0,,,USD,,,"PRICE","INTRA","52W")-1&lt;/Q&gt;&lt;R&gt;1&lt;/R&gt;&lt;C&gt;1&lt;/C&gt;&lt;D xsi:type="xsd:double"&gt;0.22063708&lt;/D&gt;&lt;/FQL&gt;&lt;FQL&gt;&lt;Q&gt;EWU^P_PRICE(0)/P_PRICE_HIGH_PR(0,,,USD,,,"PRICE","INTRA","52W")&lt;/Q&gt;&lt;R&gt;1&lt;/R&gt;&lt;C&gt;1&lt;/C&gt;&lt;D xsi:type="xsd:double"&gt;0.97638005&lt;/D&gt;&lt;/FQL&gt;&lt;FQL&gt;&lt;Q&gt;EWU^FG_TOTAL_RETURNC(0,-6AM)&lt;/Q&gt;&lt;R&gt;1&lt;/R&gt;&lt;C&gt;1&lt;/C&gt;&lt;D xsi:type="xsd:double"&gt;11.50558&lt;/D&gt;&lt;/FQL&gt;&lt;FQL&gt;&lt;Q&gt;EWU^FG_TOTAL_RETURNC(0,-3AM)&lt;/Q&gt;&lt;R&gt;1&lt;/R&gt;&lt;C&gt;1&lt;/C&gt;&lt;D xsi:type="xsd:double"&gt;3.9852977&lt;/D&gt;&lt;/FQL&gt;&lt;FQL&gt;&lt;Q&gt;EWL^P_PRICE(0)/P_PRICE_LOW_PR(0,,,USD,,,"PRICE","INTRA","52W")-1&lt;/Q&gt;&lt;R&gt;1&lt;/R&gt;&lt;C&gt;1&lt;/C&gt;&lt;D xsi:type="xsd:double"&gt;0.22912157&lt;/D&gt;&lt;/FQL&gt;&lt;FQL&gt;&lt;Q&gt;EWL^P_PRICE(0)/P_PRICE_HIGH_PR(0,,,USD,,,"PRICE","INTRA","52W")&lt;/Q&gt;&lt;R&gt;1&lt;/R&gt;&lt;C&gt;1&lt;/C&gt;&lt;D xsi:type="xsd:double"&gt;0.9630398&lt;/D&gt;&lt;/FQL&gt;&lt;FQL&gt;&lt;Q&gt;EWL^FG_TOTAL_RETURNC(0,-6AM)&lt;/Q&gt;&lt;R&gt;1&lt;/R&gt;&lt;C&gt;1&lt;/C&gt;&lt;D xsi:type="xsd:double"&gt;7.0004344&lt;/D&gt;&lt;/FQL&gt;&lt;FQL&gt;&lt;Q&gt;EWL^FG_TOTAL_RETURNC(0,-3AM)&lt;/Q&gt;&lt;R&gt;1&lt;/R&gt;&lt;C&gt;1&lt;/C&gt;&lt;D xsi:type="xsd:double"&gt;4.139471&lt;/D&gt;&lt;/FQL&gt;&lt;FQL&gt;&lt;Q&gt;EWG^P_PRICE(0)/P_PRICE_LOW_PR(0,,,USD,,,"PRICE","INTRA","52W")-1&lt;/Q&gt;&lt;R&gt;1&lt;/R&gt;&lt;C&gt;1&lt;/C&gt;&lt;D xsi:type="xsd:double"&gt;0.30054653&lt;/D&gt;&lt;/FQL&gt;&lt;FQL&gt;&lt;Q&gt;EWG^P_PRICE(0)/P_PRICE_HIGH_PR(0,,,USD,,,"PRICE","INTRA","52W")&lt;/Q&gt;&lt;R&gt;1&lt;/R&gt;&lt;C&gt;1&lt;/C&gt;&lt;D xsi:type="xsd:double"&gt;0.9811436&lt;/D&gt;&lt;/FQL&gt;&lt;FQL&gt;&lt;Q&gt;EWG^FG_TOTAL_RETURNC(0,-6AM)&lt;/Q&gt;&lt;R&gt;1&lt;/R&gt;&lt;C&gt;1&lt;/C&gt;&lt;D xsi:type="xsd:double"&gt;4.782045&lt;/D&gt;&lt;/FQL&gt;&lt;FQL&gt;&lt;Q&gt;EWG^FG_TOTAL_RETURNC(0,-3AM)&lt;/Q&gt;&lt;R&gt;1&lt;/R&gt;&lt;C&gt;1&lt;/C&gt;&lt;D xsi:type="xsd:double"&gt;2.488041&lt;/D&gt;&lt;/FQL&gt;&lt;FQL&gt;&lt;Q&gt;EWC^P_PRICE(0)/P_PRICE_LOW_PR(0,,,USD,,,"PRICE","INTRA","52W")-1&lt;/Q&gt;&lt;R&gt;1&lt;/R&gt;&lt;C&gt;1&lt;/C&gt;&lt;D xsi:type="xsd:double"&gt;0.2862146&lt;/D&gt;&lt;/FQL&gt;&lt;FQL&gt;&lt;Q&gt;EWC^P_PRICE(0)/P_PRICE_HIGH_PR(0,,,USD,,,"PRICE","INTRA","52W")&lt;/Q&gt;&lt;R&gt;1&lt;/R&gt;&lt;C&gt;1&lt;/C&gt;&lt;D xsi:type="xsd:double"&gt;0.99727726&lt;/D&gt;&lt;/FQL&gt;&lt;FQL&gt;&lt;Q&gt;EWC^FG_TOTAL_RETURNC(0,-6AM)&lt;/Q&gt;&lt;R&gt;1&lt;/R&gt;&lt;C&gt;1&lt;/C&gt;&lt;D xsi:type="xsd:double"&gt;7.8332186&lt;/D&gt;&lt;/FQL&gt;&lt;FQL&gt;&lt;Q&gt;EWC^FG_TOTAL_RETURNC(0,-3AM)&lt;/Q&gt;&lt;R&gt;1&lt;/R&gt;&lt;C&gt;1&lt;/C&gt;&lt;D xsi:type="xsd:double"&gt;8.865536&lt;/D&gt;&lt;/FQL&gt;&lt;FQL&gt;&lt;Q&gt;EWA^P_PRICE(0)/P_PRICE_LOW_PR(0,,,USD,,,"PRICE","INTRA","52W")-1&lt;/Q&gt;&lt;R&gt;1&lt;/R&gt;&lt;C&gt;1&lt;/C&gt;&lt;D xsi:type="xsd:double"&gt;0.273216&lt;/D&gt;&lt;/FQL&gt;&lt;FQL&gt;&lt;Q&gt;EWA^P_PRICE(0)/P_PRICE_HIGH_PR(0,,,USD,,,"PRICE","INTRA","52W")&lt;/Q&gt;&lt;R&gt;1&lt;/R&gt;&lt;C&gt;1&lt;/C&gt;&lt;D xsi:type="xsd:double"&gt;0.9961759&lt;/D&gt;&lt;/FQL&gt;&lt;FQL&gt;&lt;Q&gt;EWA^FG_TOTAL_RETURNC(0,-6AM)&lt;/Q&gt;&lt;R&gt;1&lt;/R&gt;&lt;C&gt;1&lt;/C&gt;&lt;D xsi:type="xsd:double"&gt;8.798063&lt;/D&gt;&lt;/FQL&gt;&lt;FQL&gt;&lt;Q&gt;EWA^FG_TOTAL_RETURNC(0,-3AM)&lt;/Q&gt;&lt;R&gt;1&lt;/R&gt;&lt;C&gt;1&lt;/C&gt;&lt;D xsi:type="xsd:double"&gt;6.76229&lt;/D&gt;&lt;/FQL&gt;&lt;FQL&gt;&lt;Q&gt;ENZL^P_PRICE(0)/P_PRICE_LOW_PR(0,,,USD,,,"PRICE","INTRA","52W")-1&lt;/Q&gt;&lt;R&gt;1&lt;/R&gt;&lt;C&gt;1&lt;/C&gt;&lt;D xsi:type="xsd:double"&gt;0.22324824&lt;/D&gt;&lt;/FQL&gt;&lt;FQL&gt;&lt;Q&gt;ENZL^P_PRICE(0)/P_PRICE_HIGH_PR(0,,,USD,,,"PRICE","INTRA","52W")&lt;/Q&gt;&lt;R&gt;1&lt;/R&gt;&lt;C&gt;1&lt;/C&gt;&lt;D xsi:type="xsd:double"&gt;0.99821&lt;/D&gt;&lt;/FQL&gt;&lt;FQL&gt;&lt;Q&gt;ENZL^FG_TOTAL_RETURNC(0,-6AM)&lt;/Q&gt;&lt;R&gt;1&lt;/R&gt;&lt;C&gt;1&lt;/C&gt;&lt;D xsi:type="xsd:double"&gt;10.25635&lt;/D&gt;&lt;/FQL&gt;&lt;FQL&gt;&lt;Q&gt;ENZL^FG_TOTAL_RETURNC(0,-3AM)&lt;/Q&gt;&lt;R&gt;1&lt;/R&gt;&lt;C&gt;1&lt;/C&gt;&lt;D xsi:type="xsd:double"&gt;8.401728&lt;/D&gt;&lt;/FQL&gt;&lt;FQL&gt;&lt;Q&gt;FXI^PERCENT_CHANGE(FMA_EPS(+1,0,,,,"PORTAGG","MEAN"),FMA_EPS(+1,-3AM,,,,"PORTAGG","MEAN"))&lt;/Q&gt;&lt;R&gt;1&lt;/R&gt;&lt;C&gt;1&lt;/C&gt;&lt;D xsi:type="xsd:double"&gt;7.70737299135659&lt;/D&gt;&lt;/FQL&gt;&lt;FQL&gt;&lt;Q&gt;FXI^PERCENT_CHANGE(FMA_EPS(+1,0,,,,"PORTAGG","MEAN"),FMA_EPS(+1,-1AM,,,,"PORTAGG","MEAN"))&lt;/Q&gt;&lt;R&gt;1&lt;/R&gt;&lt;C&gt;1&lt;/C&gt;&lt;D xsi:type="xsd:double"&gt;3.63964395972137&lt;/D&gt;&lt;/FQL&gt;&lt;FQL&gt;&lt;Q&gt;FXI^FMA_PCT_ABOVE_MAVG(200,0,,,,"PORTAGG")&lt;/Q&gt;&lt;R&gt;1&lt;/R&gt;&lt;C&gt;1&lt;/C&gt;&lt;D xsi:type="xsd:double"&gt;27.4509803921569&lt;/D&gt;&lt;/FQL&gt;&lt;FQL&gt;&lt;Q&gt;IWM^PERCENT_CHANGE(FMA_EPS(+1,0,,,,"PORTAGG","MEAN"),FMA_EPS(+1,-3AM,,,,"PORTAGG","MEAN"))&lt;/Q&gt;&lt;R&gt;1&lt;/R&gt;&lt;C&gt;1&lt;/C&gt;&lt;D xsi:type="xsd:double"&gt;-13.0058054122031&lt;/D&gt;&lt;/FQL&gt;&lt;FQL&gt;&lt;Q&gt;IWM^PERCENT_CHANGE(FMA_EPS(+1,0,,,,"PORTAGG","MEAN"),FMA_EPS(+1,-1AM,,,,"PORTAGG","MEAN"))&lt;/Q&gt;&lt;R&gt;1&lt;/R&gt;&lt;C&gt;1&lt;/C&gt;&lt;D xsi:type="xsd:double"&gt;0.874672496563687&lt;/D&gt;&lt;/FQL&gt;&lt;FQL&gt;&lt;Q&gt;IWM^FMA_PCT_ABOVE_MAVG(200,0,,,,"PORTAGG")&lt;/Q&gt;&lt;R&gt;1&lt;/R&gt;&lt;C&gt;1&lt;/C&gt;&lt;D xsi:type="xsd:double"&gt;52.8078310149408&lt;/D&gt;&lt;/FQL&gt;&lt;FQL&gt;&lt;Q&gt;QQQ^PERCENT_CHANGE(FMA_EPS(+1,0,,,,"PORTAGG","MEAN"),FMA_EPS(+1,-3AM,,,,"PORTAGG","MEAN"))&lt;/Q&gt;&lt;R&gt;1&lt;/R&gt;&lt;C&gt;1&lt;/C&gt;&lt;D xsi:type="xsd:double"&gt;-4.43644044602911&lt;/D&gt;&lt;/FQL&gt;&lt;FQL&gt;&lt;Q&gt;QQQ^PERCENT_CHANGE(FMA_EPS(+1,0,,,,"PORTAGG","MEAN"),FMA_EPS(+1,-1AM,,,,"PORTAGG","MEAN"))&lt;/Q&gt;&lt;R&gt;1&lt;/R&gt;&lt;C&gt;1&lt;/C&gt;&lt;D xsi:type="xsd:double"&gt;0.616427075721871&lt;/D&gt;&lt;/FQL&gt;&lt;FQL&gt;&lt;Q&gt;QQQ^FMA_PCT_ABOVE_MAVG(200,0,,,,"PORTAGG")&lt;/Q&gt;&lt;R&gt;1&lt;/R&gt;&lt;C&gt;1&lt;/C&gt;&lt;D xsi:type="xsd:double"&gt;56.8627450980392&lt;/D&gt;&lt;/FQL&gt;&lt;FQL&gt;&lt;Q&gt;EMXC^PERCENT_CHANGE(FMA_EPS(+1,0,,,,"PORTAGG","MEAN"),FMA_EPS(+1,-3AM,,,,"PORTAGG","MEAN"))&lt;/Q&gt;&lt;R&gt;1&lt;/R&gt;&lt;C&gt;1&lt;/C&gt;&lt;D xsi:type="xsd:double"&gt;0.310686782544054&lt;/D&gt;&lt;/FQL&gt;&lt;FQL&gt;&lt;Q&gt;EMXC^PERCENT_CHANGE(FMA_EPS(+1,0,,,,"PORTAGG","MEAN"),FMA_EPS(+1,-1AM,,,,"PORTAGG","MEAN"))&lt;/Q&gt;&lt;R&gt;1&lt;/R&gt;&lt;C&gt;1&lt;/C&gt;&lt;D xsi:type="xsd:double"&gt;-1.30133357097861&lt;/D&gt;&lt;/FQL&gt;&lt;FQL&gt;&lt;Q&gt;EMXC^FMA_PCT_ABOVE_MAVG(200,0,,,,"PORTAGG")&lt;/Q&gt;&lt;R&gt;1&lt;/R&gt;&lt;C&gt;1&lt;/C&gt;&lt;D xsi:type="xsd:double"&gt;60.2055800293686&lt;/D&gt;&lt;/FQL&gt;&lt;FQL&gt;&lt;Q&gt;INDA^PERCENT_CHANGE(FMA_EPS(+1,0,,,,"PORTAGG","MEAN"),FMA_EPS(+1,-3AM,,,,"PORTAGG","MEAN"))&lt;/Q&gt;&lt;R&gt;1&lt;/R&gt;&lt;C&gt;1&lt;/C&gt;&lt;D xsi:type="xsd:double"&gt;-5.09865168385973&lt;/D&gt;&lt;/FQL&gt;&lt;FQL&gt;&lt;Q&gt;INDA^PERCENT_CHANGE(FMA_EPS(+1,0,,,,"PORTAGG","MEAN"),FMA_EPS(+1,-1AM,,,,"PORTAGG","MEAN"))&lt;/Q&gt;&lt;R&gt;1&lt;/R&gt;&lt;C&gt;1&lt;/C&gt;&lt;D xsi:type="xsd:double"&gt;-2.55761760984541&lt;/D&gt;&lt;/FQL&gt;&lt;FQL&gt;&lt;Q&gt;INDA^FMA_PCT_ABOVE_MAVG(200,0,,,,"PORTAGG")&lt;/Q&gt;&lt;R&gt;1&lt;/R&gt;&lt;C&gt;1&lt;/C&gt;&lt;D xsi:type="xsd:double"&gt;85.5263157894737&lt;/D&gt;&lt;/FQL&gt;&lt;FQL&gt;&lt;Q&gt;SPY^PERCENT_CHANGE(FMA_EPS(+1,0,,,,"PORTAGG","MEAN"),FMA_EPS(+1,-3AM,,,,"PORTAGG","MEAN"))&lt;/Q&gt;&lt;R&gt;1&lt;/R&gt;&lt;C&gt;1&lt;/C&gt;&lt;D xsi:type="xsd:double"&gt;-0.843111062389374&lt;/D&gt;&lt;/FQL&gt;&lt;FQL&gt;&lt;Q&gt;SPY^PERCENT_CHANGE(FMA_EPS(+1,0,,,,"PORTAGG","MEAN"),FMA_EPS(+1,-1AM,,,,"PORTAGG","MEAN"))&lt;/Q&gt;&lt;R&gt;1&lt;/R&gt;&lt;C&gt;1&lt;/C&gt;&lt;D xsi:type="xsd:double"&gt;0.211495215127141&lt;/D&gt;&lt;/FQL&gt;&lt;FQL&gt;&lt;Q&gt;SPY^FMA_PCT_ABOVE_MAVG(200,0,,,,"PORTAGG")&lt;/Q&gt;&lt;R&gt;1&lt;/R&gt;&lt;C&gt;1&lt;/C&gt;&lt;D xsi:type="xsd:double"&gt;67.4650698602794&lt;/D&gt;&lt;/FQL&gt;&lt;FQL&gt;&lt;Q&gt;EWJ^PERCENT_CHANGE(FMA_EPS(+1,0,,,,"PORTAGG","MEAN"),FMA_EPS(+1,-3AM,,,,"PORTAGG","MEAN"))&lt;/Q&gt;&lt;R&gt;1&lt;/R&gt;&lt;C&gt;1&lt;/C&gt;&lt;D xsi:type="xsd:double"&gt;10.3040607911509&lt;/D&gt;&lt;/FQL&gt;&lt;FQL&gt;&lt;Q&gt;EWJ^PERCENT_CHANGE(FMA_EPS(+1,0,,,,"PORTAGG","MEAN"),FMA_EPS(+1,-1AM,,,,"PORTAGG","MEAN"))&lt;/Q&gt;&lt;R&gt;1&lt;/R&gt;&lt;C&gt;1&lt;/C&gt;&lt;D xsi:type="xsd:double"&gt;1.54321458427339&lt;/D&gt;&lt;/FQL&gt;&lt;FQL&gt;&lt;Q&gt;EWJ^FMA_PCT_ABOVE_MAVG(200,0,,,,"PORTAGG")&lt;/Q&gt;&lt;R&gt;1&lt;/R&gt;&lt;C&gt;1&lt;/C&gt;&lt;D xsi:type="xsd:double"&gt;50.251256281407&lt;/D&gt;&lt;/FQL&gt;&lt;FQL&gt;&lt;Q&gt;URTH^PERCENT_CHANGE(FMA_EPS(+1,0,,,,"PORTAGG","MEAN"),FMA_EPS(+1,-3AM,,,,"PORTAGG","MEAN"))&lt;/Q&gt;&lt;R&gt;1&lt;/R&gt;&lt;C&gt;1&lt;/C&gt;&lt;D xsi:type="xsd:double"&gt;1.0580574896692&lt;/D&gt;&lt;/FQL&gt;&lt;FQL&gt;&lt;Q&gt;URTH^PERCENT_CHANGE(FMA_EPS(+1,0,,,,"PORTAGG","MEAN"),FMA_EPS(+1,-1AM,,,,"PORTAGG","MEAN"))&lt;/Q&gt;&lt;R&gt;1&lt;/R&gt;&lt;C&gt;1&lt;/C&gt;&lt;D xsi:type="xsd:double"&gt;0.711826351093961&lt;/D&gt;&lt;/FQL&gt;&lt;FQL&gt;&lt;Q&gt;URTH^FMA_PCT_ABOVE_MAVG(200,0,,,,"PORTAGG")&lt;/Q&gt;&lt;R&gt;1&lt;/R&gt;&lt;C&gt;1&lt;/C&gt;&lt;D xsi:type="xsd:double"&gt;61.0953058321479&lt;/D&gt;&lt;/FQL&gt;&lt;FQL&gt;&lt;Q&gt;VWO^PERCENT_CHANGE(FMA_EPS(+1,0,,,,"PORTAGG","MEAN"),FMA_EPS(+1,-3AM,,,,"PORTAGG","MEAN"))&lt;/Q&gt;&lt;R&gt;1&lt;/R&gt;&lt;C&gt;1&lt;/C&gt;&lt;D xsi:type="xsd:double"&gt;-1.44265145578191&lt;/D&gt;&lt;/FQL&gt;&lt;FQL&gt;&lt;Q&gt;VWO^PERCENT_CHANGE(FMA_EPS(+1,0,,,,"PORTAGG","MEAN"),FMA_EPS(+1,-1AM,,,,"PORTAGG","MEAN"))&lt;/Q&gt;&lt;R&gt;1&lt;/R&gt;&lt;C&gt;1&lt;/C&gt;&lt;D xsi:type="xsd:double"&gt;0&lt;/D&gt;&lt;/FQL&gt;&lt;FQL&gt;&lt;Q&gt;VWO^FMA_PCT_ABOVE_MAVG(200,0,,,,"PORTAGG")&lt;/Q&gt;&lt;R&gt;1&lt;/R&gt;&lt;C&gt;1&lt;/C&gt;&lt;D xsi:type="xsd:double"&gt;40.8780903665814&lt;/D&gt;&lt;/FQL&gt;&lt;FQL&gt;&lt;Q&gt;VGK^PERCENT_CHANGE(FMA_EPS(+1,0,,,,"PORTAGG","MEAN"),FMA_EPS(+1,-3AM,,,,"PORTAGG","MEAN"))&lt;/Q&gt;&lt;R&gt;1&lt;/R&gt;&lt;C&gt;1&lt;/C&gt;&lt;D xsi:type="xsd:double"&gt;-2.96610938651039&lt;/D&gt;&lt;/FQL&gt;&lt;FQL&gt;&lt;Q&gt;VGK^PERCENT_CHANGE(FMA_EPS(+1,0,,,,"PORTAGG","MEAN"),FMA_EPS(+1,-1AM,,,,"PORTAGG","MEAN"))&lt;/Q&gt;&lt;R&gt;1&lt;/R&gt;&lt;C&gt;1&lt;/C&gt;&lt;D xsi:type="xsd:double"&gt;0&lt;/D&gt;&lt;/FQL&gt;&lt;FQL&gt;&lt;Q&gt;VGK^FMA_PCT_ABOVE_MAVG(200,0,,,,"PORTAGG")&lt;/Q&gt;&lt;R&gt;1&lt;/R&gt;&lt;C&gt;1&lt;/C&gt;&lt;D xsi:type="xsd:double"&gt;63.370253164557&lt;/D&gt;&lt;/FQL&gt;&lt;FQL&gt;&lt;Q&gt;EWI^PERCENT_CHANGE(FMA_EPS(+1,0,,,,"PORTAGG","MEAN"),FMA_EPS(+1,-3AM,,,,"PORTAGG","MEAN"))&lt;/Q&gt;&lt;R&gt;1&lt;/R&gt;&lt;C&gt;1&lt;/C&gt;&lt;D xsi:type="xsd:double"&gt;-0.964657554670715&lt;/D&gt;&lt;/FQL&gt;&lt;FQL&gt;&lt;Q&gt;EWI^PERCENT_CHANGE(FMA_EPS(+1,0,,,,"PORTAGG","MEAN"),FMA_EPS(+1,-1AM,,,,"PORTAGG","MEAN"))&lt;/Q&gt;&lt;R&gt;1&lt;/R&gt;&lt;C&gt;1&lt;/C&gt;&lt;D xsi:type="xsd:double"&gt;0.380169286559939&lt;/D&gt;&lt;/FQL&gt;&lt;FQL&gt;&lt;Q&gt;EWI^FMA_PCT_ABOVE_MAVG(200,0,,,,"PORTAGG")&lt;/Q&gt;&lt;R&gt;1&lt;/R&gt;&lt;C&gt;1&lt;/C&gt;&lt;D xsi:type="xsd:double"&gt;60&lt;/D&gt;&lt;/FQL&gt;&lt;FQL&gt;&lt;Q&gt;EWD^PERCENT_CHANGE(FMA_EPS(+1,0,,,,"PORTAGG","MEAN"),FMA_EPS(+1,-3AM,,,,"PORTAGG","MEAN"))&lt;/Q&gt;&lt;R&gt;1&lt;/R&gt;&lt;C&gt;1&lt;/C&gt;&lt;D xsi:type="xsd:double"&gt;-5.41039432113931&lt;/D&gt;&lt;/FQL&gt;&lt;FQL&gt;&lt;Q&gt;EWD^PERCENT_CHANGE(FMA_EPS(+1,0,,,,"PORTAGG","MEAN"),FMA_EPS(+1,-1AM,,,,"PORTAGG","MEAN"))&lt;/Q&gt;&lt;R&gt;1&lt;/R&gt;&lt;C&gt;1&lt;/C&gt;&lt;D xsi:type="xsd:double"&gt;-1.26627560566812&lt;/D&gt;&lt;/FQL&gt;&lt;FQL&gt;&lt;Q&gt;EWD^FMA_PCT_ABOVE_MAVG(200,0,,,,"PORTAGG")&lt;/Q&gt;&lt;R&gt;1&lt;/R&gt;&lt;C&gt;1&lt;/C&gt;&lt;D xsi:type="xsd:double"&gt;55.5555555555556&lt;/D&gt;&lt;/FQL&gt;&lt;FQL&gt;&lt;Q&gt;EWN^PERCENT_CHANGE(FMA_EPS(+1,0,,,,"PORTAGG","MEAN"),FMA_EPS(+1,-3AM,,,,"PORTAGG","MEAN"))&lt;/Q&gt;&lt;R&gt;1&lt;/R&gt;&lt;C&gt;1&lt;/C&gt;&lt;D xsi:type="xsd:double"&gt;2.20044717217294&lt;/D&gt;&lt;/FQL&gt;&lt;FQL&gt;&lt;Q&gt;EWN^PERCENT_CHANGE(FMA_EPS(+1,0,,,,"PORTAGG","MEAN"),FMA_EPS(+1,-1AM,,,,"PORTAGG","MEAN"))&lt;/Q&gt;&lt;R&gt;1&lt;/R&gt;&lt;C&gt;1&lt;/C&gt;&lt;D xsi:type="xsd:double"&gt;0.566487561079756&lt;/D&gt;&lt;/FQL&gt;&lt;FQL&gt;&lt;Q&gt;EWN^FMA_PCT_ABOVE_MAVG(200,0,,,,"PORTAGG")&lt;/Q&gt;&lt;R&gt;1&lt;/R&gt;&lt;C&gt;1&lt;/C&gt;&lt;D xsi:type="xsd:double"&gt;48.1481481481481&lt;/D&gt;&lt;/FQL&gt;&lt;FQL&gt;&lt;Q&gt;EWQ^PERCENT_CHANGE(FMA_EPS(+1,0,,,,"PORTAGG","MEAN"),FMA_EPS(+1,-3AM,,,,"PORTAGG","MEAN"))&lt;/Q&gt;&lt;R&gt;1&lt;/R&gt;&lt;C&gt;1&lt;/C&gt;&lt;D xsi:type="xsd:double"&gt;-0.097229838564926&lt;/D&gt;&lt;/FQL&gt;&lt;FQL&gt;&lt;Q&gt;EWQ^PERCENT_CHANGE(FMA_EPS(+1,0,,,,"PORTAGG","MEAN"),FMA_EPS(+1,-1AM,,,,"PORTAGG","MEAN"))&lt;/Q&gt;&lt;R&gt;1&lt;/R&gt;&lt;C&gt;1&lt;/C&gt;&lt;D xsi:type="xsd:double"&gt;1.23106721442903&lt;/D&gt;&lt;/FQL&gt;&lt;FQL&gt;&lt;Q&gt;EWQ^FMA_PCT_ABOVE_MAVG(200,0,,,,"PORTAGG")&lt;/Q&gt;&lt;R&gt;1&lt;/R&gt;&lt;C&gt;1&lt;/C&gt;&lt;D xsi:type="xsd:double"&gt;47.5409836065574&lt;/D&gt;&lt;/FQL&gt;&lt;FQL&gt;&lt;Q&gt;EWU^PERCENT_CHANGE(FMA_EPS(+1,0,,,,"PORTAGG","MEAN"),FMA_EPS(+1,-3AM,,,,"PORTAGG","MEAN"))&lt;/Q&gt;&lt;R&gt;1&lt;/R&gt;&lt;C&gt;1&lt;/C&gt;&lt;D xsi:type="xsd:double"&gt;1.67680281008081&lt;/D&gt;&lt;/FQL&gt;&lt;FQL&gt;&lt;Q&gt;EWU^PERCENT_CHANGE(FMA_EPS(+1,0,,,,"PORTAGG","MEAN"),FMA_EPS(+1,-1AM,,,,"PORTAGG","MEAN"))&lt;/Q&gt;&lt;R&gt;1&lt;/R&gt;&lt;C&gt;1&lt;/C&gt;&lt;D xsi:type="xsd:double"&gt;1.9643195299943&lt;/D&gt;&lt;/FQL&gt;&lt;FQL&gt;&lt;Q&gt;EWU^FMA_PCT_ABOVE_MAVG(200,0,,,,"PORTAGG")&lt;/Q&gt;&lt;R&gt;1&lt;/R&gt;&lt;C&gt;1&lt;/C&gt;&lt;D xsi:type="xsd:double"&gt;62.8205128205128&lt;/D&gt;&lt;/FQL&gt;&lt;FQL&gt;&lt;Q&gt;EWL^PERCENT_CHANGE(FMA_EPS(+1,0,,,,"PORTAGG","MEAN"),FMA_EPS(+1,-3AM,,,,"PORTAGG","MEAN"))&lt;/Q&gt;&lt;R&gt;1&lt;/R&gt;&lt;C&gt;1&lt;/C&gt;&lt;D xsi:type="xsd:double"&gt;5.04914467793071&lt;/D&gt;&lt;/FQL&gt;&lt;FQL&gt;&lt;Q&gt;EWL^PERCENT_CHANGE(FMA_EPS(+1,0,,,,"PORTAGG","MEAN"),FMA_EPS(+1,-1AM,,,,"PORTAGG","MEAN"))&lt;/Q&gt;&lt;R&gt;1&lt;/R&gt;&lt;C&gt;1&lt;/C&gt;&lt;D xsi:type="xsd:double"&gt;2.16283701720098&lt;/D&gt;&lt;/FQL&gt;&lt;FQL&gt;&lt;Q&gt;EWL^FMA_PCT_ABOVE_MAVG(200,0,,,,"PORTAGG")&lt;/Q&gt;&lt;R&gt;1&lt;/R&gt;&lt;C&gt;1&lt;/C&gt;&lt;D xsi:type="xsd:double"&gt;54.3478260869565&lt;/D&gt;&lt;/FQL&gt;&lt;FQL&gt;&lt;Q&gt;EWG^PERCENT_CHANGE(FMA_EPS(+1,0,,,,"PORTAGG","MEAN"),FMA_EPS(+1,-3AM,,,,"PORTAGG","MEAN"))&lt;/Q&gt;&lt;R&gt;1&lt;/R&gt;&lt;C&gt;1&lt;/C&gt;&lt;D xsi:type="xsd:double"&gt;-0.72657552485765&lt;/D&gt;&lt;/FQL&gt;&lt;FQL&gt;&lt;Q&gt;EWG^PERCENT_CHANGE(FMA_EPS(+1,0,,,,"PORTAGG","MEAN"),FMA_EPS(+1,-1AM,,,,"PORTAGG","MEAN"))&lt;/Q&gt;&lt;R&gt;1&lt;/R&gt;&lt;C&gt;1&lt;/C&gt;&lt;D xsi:type="xsd:double"&gt;-0.389536294403233&lt;/D&gt;&lt;/FQL&gt;&lt;FQL&gt;&lt;Q&gt;EWG^FMA_PCT_ABOVE_MAVG(200,0,,,,"PORTAGG")&lt;/Q&gt;&lt;R&gt;1&lt;/R&gt;&lt;C&gt;1&lt;/C&gt;&lt;D xsi:type="xsd:double"&gt;56.140350877193&lt;/D&gt;&lt;/FQL&gt;&lt;FQL&gt;&lt;Q&gt;EWC^PERCENT_CHANGE(FMA_EPS(+1,0,,,,"PORTAGG","MEAN"),FMA_EPS(+1,-3AM,,,,"PORTAGG","MEAN"))&lt;/Q&gt;&lt;R&gt;1&lt;/R&gt;&lt;C&gt;1&lt;/C&gt;&lt;D xsi:type="xsd:double"&gt;1.86751821460101&lt;/D&gt;&lt;/FQL&gt;&lt;FQL&gt;&lt;Q&gt;EWC^PERCENT_CHANGE(FMA_EPS(+1,0,,,,"PORTAGG","MEAN"),FMA_EPS(+1,-1AM,,,,"PORTAGG","MEAN"))&lt;/Q&gt;&lt;R&gt;1&lt;/R&gt;&lt;C&gt;1&lt;/C&gt;&lt;D xsi:type="xsd:double"&gt;1.20543739761032&lt;/D&gt;&lt;/FQL&gt;&lt;FQL&gt;&lt;Q&gt;EWC^FMA_PCT_ABOVE_MAVG(200,0,,,,"PORTAGG")&lt;/Q&gt;&lt;R&gt;1&lt;/R&gt;&lt;C&gt;1&lt;/C&gt;&lt;D xsi:type="xsd:double"&gt;67.4418604651163&lt;/D&gt;&lt;/FQL&gt;&lt;FQL&gt;&lt;Q&gt;EWA^PERCENT_CHANGE(FMA_EPS(+1,0,,,,"PORTAGG","MEAN"),FMA_EPS(+1,-3AM,,,,"PORTAGG","MEAN"))&lt;/Q&gt;&lt;R&gt;1&lt;/R&gt;&lt;C&gt;1&lt;/C&gt;&lt;D xsi:type="xsd:double"&gt;-0.329789374259602&lt;/D&gt;&lt;/FQL&gt;&lt;FQL&gt;&lt;Q&gt;EWA^PERCENT_CHANGE(FMA_EPS(+1,0,,,,"PORTAGG","MEAN"),FMA_EPS(+1,-1AM,,,,"PORTAGG","MEAN"))&lt;/Q&gt;&lt;R&gt;1&lt;/R&gt;&lt;C&gt;1&lt;/C&gt;&lt;D xsi:type="xsd:double"&gt;2.29829185099024&lt;/D&gt;&lt;/FQL&gt;&lt;FQL&gt;&lt;Q&gt;EWA^FMA_PCT_ABOVE_MAVG(200,0,,,,"PORTAGG")&lt;/Q&gt;&lt;R&gt;1&lt;/R&gt;&lt;C&gt;1&lt;/C&gt;&lt;D xsi:type="xsd:double"&gt;63.7931034482759&lt;/D&gt;&lt;/FQL&gt;&lt;FQL&gt;&lt;Q&gt;ENZL^PERCENT_CHANGE(FMA_EPS(+1,0,,,,"PORTAGG","MEAN"),FMA_EPS(+1,-3AM,,,,"PORTAGG","MEAN"))&lt;/Q&gt;&lt;R&gt;1&lt;/R&gt;&lt;C&gt;1&lt;/C&gt;&lt;D xsi:type="xsd:double"&gt;8.58224867719887&lt;/D&gt;&lt;/FQL&gt;&lt;FQL&gt;&lt;Q&gt;ENZL^PERCENT_CHANGE(FMA_EPS(+1,0,,,,"PORTAGG","MEAN"),FMA_EPS(+1,-1AM,,,,"PORTAGG","MEAN"))&lt;/Q&gt;&lt;R&gt;1&lt;/R&gt;&lt;C&gt;1&lt;/C&gt;&lt;D xsi:type="xsd:double"&gt;14.6786282752647&lt;/D&gt;&lt;/FQL&gt;&lt;FQL&gt;&lt;Q&gt;ENZL^FMA_PCT_ABOVE_MAVG(200,0,,,,"PORTAGG")&lt;/Q&gt;&lt;R&gt;1&lt;/R&gt;&lt;C&gt;1&lt;/C&gt;&lt;D xsi:type="xsd:double"&gt;57.6923076923077&lt;/D&gt;&lt;/FQL&gt;&lt;FQL&gt;&lt;Q&gt;FXI^SIZE(FG_CONSTITUENTS)&lt;/Q&gt;&lt;R&gt;1&lt;/R&gt;&lt;C&gt;1&lt;/C&gt;&lt;D xsi:type="xsd:long"&gt;52&lt;/D&gt;&lt;/FQL&gt;&lt;FQL&gt;&lt;Q&gt;FXI^FMA_COS_DOWN("EPS","1M",+1,0,,,"PORTAGG","MEANR")&lt;/Q&gt;&lt;R&gt;1&lt;/R&gt;&lt;C&gt;1&lt;/C&gt;&lt;D xsi:type="xsd:double"&gt;21&lt;/D&gt;&lt;/FQL&gt;&lt;FQL&gt;&lt;Q&gt;FXI^FMA_COS_UP("EPS","1M",+1,0,,,"PORTAGG","MEANR")&lt;/Q&gt;&lt;R&gt;1&lt;/R&gt;&lt;C&gt;1&lt;/C&gt;&lt;D xsi:type="xsd:double"&gt;24&lt;/D&gt;&lt;/FQL&gt;&lt;FQL&gt;&lt;Q&gt;IWM^SIZE(FG_CONSTITUENTS)&lt;/Q&gt;&lt;R&gt;1&lt;/R&gt;&lt;C&gt;1&lt;/C&gt;&lt;D xsi:type="xsd:long"&gt;1961&lt;/D&gt;&lt;/FQL&gt;&lt;FQL&gt;&lt;Q&gt;IWM^FMA_COS_DOWN("EPS","1M",+1,0,,,"PORTAGG","MEANR")&lt;/Q&gt;&lt;R&gt;1&lt;/R&gt;&lt;C&gt;1&lt;/C&gt;&lt;D xsi:type="xsd:double"&gt;435&lt;/D&gt;&lt;/FQL&gt;&lt;FQL&gt;&lt;Q&gt;IWM^FMA_COS_UP("EPS","1M",+1,0,,,"PORTAGG","MEANR")&lt;/Q&gt;&lt;R&gt;1&lt;/R&gt;&lt;C&gt;1&lt;/C&gt;&lt;D xsi:type="xsd:double"&gt;378&lt;/D&gt;&lt;/FQL&gt;&lt;FQL&gt;&lt;Q&gt;QQQ^SIZE(FG_CONSTITUENTS)&lt;/Q&gt;&lt;R&gt;1&lt;/R&gt;&lt;C&gt;1&lt;/C&gt;&lt;D xsi:type="xsd:long"&gt;102&lt;/D&gt;&lt;/FQL&gt;&lt;FQL&gt;&lt;Q&gt;QQQ^FMA_COS_DOWN("EPS","1M",+1,0,,,"PORTAGG","MEANR")&lt;/Q&gt;&lt;R&gt;1&lt;/R&gt;&lt;C&gt;1&lt;/C&gt;&lt;D xsi:type="xsd:double"&gt;26&lt;/D&gt;&lt;/FQL&gt;&lt;FQL&gt;&lt;Q&gt;QQQ^FMA_COS_UP("EPS","1M",+1,0,,,"PORTAGG","MEANR")&lt;/Q&gt;&lt;R&gt;1&lt;/R&gt;&lt;C&gt;1&lt;/C&gt;&lt;D xsi:type="xsd:double"&gt;37&lt;/D&gt;&lt;/FQL&gt;&lt;FQL&gt;&lt;Q&gt;EMXC^SIZE(FG_CONSTITUENTS)&lt;/Q&gt;&lt;R&gt;1&lt;/R&gt;&lt;C&gt;1&lt;/C&gt;&lt;D xsi:type="xsd:long"&gt;697&lt;/D&gt;&lt;/FQL&gt;&lt;FQL&gt;&lt;Q&gt;EMXC^FMA_COS_DOWN("EPS","1M",+1,0,,,"PORTAGG","MEANR")&lt;/Q&gt;&lt;R&gt;1&lt;/R&gt;&lt;C&gt;1&lt;/C&gt;&lt;D xsi:type="xsd:double"&gt;255&lt;/D&gt;&lt;/FQL&gt;&lt;FQL&gt;&lt;Q&gt;EMXC^FMA_COS_UP("EPS","1M",+1,0,,,"PORTAGG","MEANR")&lt;/Q&gt;&lt;R&gt;1&lt;/R&gt;&lt;C&gt;1&lt;/C&gt;&lt;D xsi:type="xsd:double"&gt;276&lt;/D&gt;&lt;/FQL&gt;&lt;FQL&gt;&lt;Q&gt;INDA^SIZE(FG_CONSTITUENTS)&lt;/Q&gt;&lt;R&gt;1&lt;/R&gt;&lt;C&gt;1&lt;/C&gt;&lt;D xsi:type="xsd:long"&gt;153&lt;/D&gt;&lt;/FQL&gt;&lt;FQL&gt;&lt;Q&gt;INDA^FMA_COS_DOWN("EPS","1M",+1,0,,,"PORTAGG","MEANR")&lt;/Q&gt;&lt;R&gt;1&lt;/R&gt;&lt;C&gt;1&lt;/C&gt;&lt;D xsi:type="xsd:double"&gt;56&lt;/D&gt;&lt;/FQL&gt;&lt;FQL&gt;&lt;Q&gt;INDA^FMA_COS_UP("EPS","1M",+1,0,,,"PORTAGG","MEANR")&lt;/Q&gt;&lt;R&gt;1&lt;/R&gt;&lt;C&gt;1&lt;/C&gt;&lt;D xsi:type="xsd:double"&gt;53&lt;/D&gt;&lt;/FQL&gt;&lt;FQL&gt;&lt;Q&gt;SPY^SIZE(FG_CONSTITUENTS)&lt;/Q&gt;&lt;R&gt;1&lt;/R&gt;&lt;C&gt;1&lt;/C&gt;&lt;D xsi:type="xsd:long"&gt;503&lt;/D&gt;&lt;/FQL&gt;&lt;FQL&gt;&lt;Q&gt;SPY^FMA_COS_DOWN("EPS","1M",+1,0,,,"PORTAGG","MEANR")&lt;/Q&gt;&lt;R&gt;1&lt;/R&gt;&lt;C&gt;1&lt;/C&gt;&lt;D xsi:type="xsd:double"&gt;163&lt;/D&gt;&lt;/FQL&gt;&lt;FQL&gt;&lt;Q&gt;SPY^FMA_COS_UP("EPS","1M",+1,0,,,"PORTAGG","MEANR")&lt;/Q&gt;&lt;R&gt;1&lt;/R&gt;&lt;C&gt;1&lt;/C&gt;&lt;D xsi:type="xsd:double"&gt;167&lt;/D&gt;&lt;/FQL&gt;&lt;FQL&gt;&lt;Q&gt;EWJ^SIZE(FG_CONSTITUENTS)&lt;/Q&gt;&lt;R&gt;1&lt;/R&gt;&lt;C&gt;1&lt;/C&gt;&lt;D xsi:type="xsd:long"&gt;199&lt;/D&gt;&lt;/FQL&gt;&lt;FQL&gt;&lt;Q&gt;EWJ^FMA_COS_DOWN("EPS","1M",+1,0,,,"PORTAGG","MEANR")&lt;/Q&gt;&lt;R&gt;1&lt;/R&gt;&lt;C&gt;1&lt;/C&gt;&lt;D xsi:type="xsd:double"&gt;79&lt;/D&gt;&lt;/FQL&gt;&lt;FQL&gt;&lt;Q&gt;EWJ^FMA_COS_UP("EPS","1M",+1,0,,,"PORTAGG","MEANR")&lt;/Q&gt;&lt;R&gt;1&lt;/R&gt;&lt;C&gt;1&lt;/C&gt;&lt;D xsi:type="xsd:double"&gt;106&lt;/D&gt;&lt;/FQL&gt;&lt;FQL&gt;&lt;Q&gt;URTH^SIZE(FG_CONSTITUENTS)&lt;/Q&gt;&lt;R&gt;1&lt;/R&gt;&lt;C&gt;1&lt;/C&gt;&lt;D xsi:type="xsd:long"&gt;1412&lt;/D&gt;&lt;/FQL&gt;&lt;FQL&gt;&lt;Q&gt;URTH^FMA_COS_DOWN("EPS","1M",+1,0,,,"PORTAGG","MEANR")&lt;/Q&gt;&lt;R&gt;1&lt;/R&gt;&lt;C&gt;1&lt;/C&gt;&lt;D xsi:type="xsd:double"&gt;515&lt;/D&gt;&lt;/FQL&gt;&lt;FQL&gt;&lt;Q&gt;URTH^FMA_COS_UP("EPS","1M",+1,0,,,"PORTAGG","MEANR")&lt;/Q&gt;&lt;R&gt;1&lt;/R&gt;&lt;C&gt;1&lt;/C&gt;&lt;D xsi:type="xsd:double"&gt;540&lt;/D&gt;&lt;/FQL&gt;&lt;FQL&gt;&lt;Q&gt;VWO^SIZE(FG_CONSTITUENTS(20240229))&lt;/Q&gt;&lt;R&gt;1&lt;/R&gt;&lt;C&gt;1&lt;/C&gt;&lt;D xsi:type="xsd:long"&gt;4692&lt;/D&gt;&lt;/FQL&gt;&lt;FQL&gt;&lt;Q&gt;VWO^FMA_COS_DOWN("EPS","1M",+1,0,,,"PORTAGG","MEANR")&lt;/Q&gt;&lt;R&gt;1&lt;/R&gt;&lt;C&gt;1&lt;/C&gt;&lt;D xsi:type="xsd:double"&gt;1193&lt;/D&gt;&lt;/FQL&gt;&lt;FQL&gt;&lt;Q&gt;VWO^FMA_COS_UP("EPS","1M",+1,0,,,"PORTAGG","MEANR")&lt;/Q&gt;&lt;R&gt;1&lt;/R&gt;&lt;C&gt;1&lt;/C&gt;&lt;D xsi:type="xsd:double"&gt;970&lt;/D&gt;&lt;/FQL&gt;&lt;FQL&gt;&lt;Q&gt;VGK^SIZE(FG_CONSTITUENTS)&lt;/Q&gt;&lt;R&gt;1&lt;/R&gt;&lt;C&gt;1&lt;/C&gt;&lt;D xsi:type="xsd:long"&gt;1287&lt;/D&gt;&lt;/FQL&gt;&lt;FQL&gt;&lt;Q&gt;VGK^FMA_COS_DOWN("EPS","1M",+1,0,,,"PORTAGG","MEANR")&lt;/Q&gt;&lt;R&gt;1&lt;/R&gt;&lt;C&gt;1&lt;/C&gt;&lt;D xsi:type="xsd:double"&gt;600&lt;/D&gt;&lt;/FQL&gt;&lt;FQL&gt;&lt;Q&gt;VGK^FMA_COS_UP("EPS","1M",+1,0,,,"PORTAGG","MEANR")&lt;/Q&gt;&lt;R&gt;1&lt;/R&gt;&lt;C&gt;1&lt;/C&gt;&lt;D xsi:type="xsd:double"&gt;427&lt;/D&gt;&lt;/FQL&gt;&lt;FQL&gt;&lt;Q&gt;EWI^SIZE(FG_CONSTITUENTS)&lt;/Q&gt;&lt;R&gt;1&lt;/R&gt;&lt;C&gt;1&lt;/C&gt;&lt;D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xsi:type="xsd:double"&gt;6&lt;/D&gt;&lt;/FQL&gt;&lt;FQL&gt;&lt;Q&gt;EWI^FMA_COS_UP("EPS","1M",+1,0,,,"PORTAGG","MEANR")&lt;/Q&gt;&lt;R&gt;1&lt;/R&gt;&lt;C&gt;1&lt;/C&gt;&lt;D xsi:type="xsd:double"&gt;11&lt;/D&gt;&lt;/FQL&gt;&lt;FQL&gt;&lt;Q&gt;EWD^SIZE(FG_CONSTITUENTS)&lt;/Q&gt;&lt;R&gt;1&lt;/R&gt;&lt;C&gt;1&lt;/C&gt;&lt;D xsi:type="xsd:long"&gt;47&lt;/D&gt;&lt;/FQL&gt;&lt;FQL&gt;&lt;Q&gt;EWD^FMA_COS_DOWN("EPS","1M",+1,0,,,"PORTAGG","MEANR")&lt;/Q&gt;&lt;R&gt;1&lt;/R&gt;&lt;C&gt;1&lt;/C&gt;&lt;D xsi:type="xsd:double"&gt;18&lt;/D&gt;&lt;/FQL&gt;&lt;FQL&gt;&lt;Q&gt;EWD^FMA_COS_UP("EPS","1M",+1,0,,,"PORTAGG","MEANR")&lt;/Q&gt;&lt;R&gt;1&lt;/R&gt;&lt;C&gt;1&lt;/C&gt;&lt;D xsi:type="xsd:double"&gt;13&lt;/D&gt;&lt;/FQL&gt;&lt;FQL&gt;&lt;Q&gt;EWN^SIZE(FG_CONSTITUENTS)&lt;/Q&gt;&lt;R&gt;1&lt;/R&gt;&lt;C&gt;1&lt;/C&gt;&lt;D xsi:type="xsd:long"&gt;54&lt;/D&gt;&lt;/FQL&gt;&lt;FQL&gt;&lt;Q&gt;EWN^FMA_COS_DOWN("EPS","1M",+1,0,,,"PORTAGG","MEANR")&lt;/Q&gt;&lt;R&gt;1&lt;/R&gt;&lt;C&gt;1&lt;/C&gt;&lt;D xsi:type="xsd:double"&gt;18&lt;/D&gt;&lt;/FQL&gt;&lt;FQL&gt;&lt;Q&gt;EWN^FMA_COS_UP("EPS","1M",+1,0,,,"PORTAGG","MEANR")&lt;/Q&gt;&lt;R&gt;1&lt;/R&gt;&lt;C&gt;1&lt;/C&gt;&lt;D xsi:type="xsd:double"&gt;15&lt;/D&gt;&lt;/FQL&gt;&lt;FQL&gt;&lt;Q&gt;EWQ^SIZE(FG_CONSTITUENTS)&lt;/Q&gt;&lt;R&gt;1&lt;/R&gt;&lt;C&gt;1&lt;/C&gt;&lt;D xsi:type="xsd:long"&gt;61&lt;/D&gt;&lt;/FQL&gt;&lt;FQL&gt;&lt;Q&gt;EWQ^FMA_COS_DOWN("EPS","1M",+1,0,,,"PORTAGG","MEANR")&lt;/Q&gt;&lt;R&gt;1&lt;/R&gt;&lt;C&gt;1&lt;/C&gt;&lt;D xsi:type="xsd:double"&gt;25&lt;/D&gt;&lt;/FQL&gt;&lt;FQL&gt;&lt;Q&gt;EWQ^FMA_COS_UP("EPS","1M",+1,0,,,"PORTAGG","MEANR")&lt;/Q&gt;&lt;R&gt;1&lt;/R&gt;&lt;C&gt;1&lt;/C&gt;&lt;D xsi:type="xsd:double"&gt;19&lt;/D&gt;&lt;/FQL&gt;&lt;FQL&gt;&lt;Q&gt;EWU^SIZE(FG_CONSTITUENTS)&lt;/Q&gt;&lt;R&gt;1&lt;/R&gt;&lt;C&gt;1&lt;/C&gt;&lt;D xsi:type="xsd:long"&gt;79&lt;/D&gt;&lt;/FQL&gt;&lt;FQL&gt;&lt;Q&gt;EWU^FMA_COS_DOWN("EPS","1M",+1,0,,,"PORTAGG","MEANR")&lt;/Q&gt;&lt;R&gt;1&lt;/R&gt;&lt;C&gt;1&lt;/C&gt;&lt;D xsi:type="xsd:double"&gt;34&lt;/D&gt;&lt;/FQL&gt;&lt;FQL&gt;&lt;Q&gt;EWU^FMA_COS_UP("EPS","1M",+1,0,,,"PORTAGG","MEANR")&lt;/Q&gt;&lt;R&gt;1&lt;/R&gt;&lt;C&gt;1&lt;/C&gt;&lt;D xsi:type="xsd:double"&gt;32&lt;/D&gt;&lt;/FQL&gt;&lt;FQL&gt;&lt;Q&gt;EWL^SIZE(FG_CONSTITUENTS)&lt;/Q&gt;&lt;R&gt;1&lt;/R&gt;&lt;C&gt;1&lt;/C&gt;&lt;D xsi:type="xsd:long"&gt;48&lt;/D&gt;&lt;/FQL&gt;&lt;FQL&gt;&lt;Q&gt;EWL^FMA_COS_DOWN("EPS","1M",+1,0,,,"PORTAGG","MEANR")&lt;/Q&gt;&lt;R&gt;1&lt;/R&gt;&lt;C&gt;1&lt;/C&gt;&lt;D xsi:type="xsd:double"&gt;17&lt;/D&gt;&lt;/FQL&gt;&lt;FQL&gt;&lt;Q&gt;EWL^FMA_COS_UP("EPS","1M",+1,0,,,"PORTAGG","MEANR")&lt;/Q&gt;&lt;R&gt;1&lt;/R&gt;&lt;C&gt;1&lt;/C&gt;&lt;D xsi:type="xsd:double"&gt;22&lt;/D&gt;&lt;/FQL&gt;&lt;FQL&gt;&lt;Q&gt;EWG^SIZE(FG_CONSTITUENTS)&lt;/Q&gt;&lt;R&gt;1&lt;/R&gt;&lt;C&gt;1&lt;/C&gt;&lt;D xsi:type="xsd:long"&gt;57&lt;/D&gt;&lt;/FQL&gt;&lt;FQL&gt;&lt;Q&gt;EWG^FMA_COS_DOWN("EPS","1M",+1,0,,,"PORTAGG","MEANR")&lt;/Q&gt;&lt;R&gt;1&lt;/R&gt;&lt;C&gt;1&lt;/C&gt;&lt;D xsi:type="xsd:double"&gt;24&lt;/D&gt;&lt;/FQL&gt;&lt;FQL&gt;&lt;Q&gt;EWG^FMA_COS_UP("EPS","1M",+1,0,,,"PORTAGG","MEANR")&lt;/Q&gt;&lt;R&gt;1&lt;/R&gt;&lt;C&gt;1&lt;/C&gt;&lt;D xsi:type="xsd:double"&gt;24&lt;/D&gt;&lt;/FQL&gt;&lt;FQL&gt;&lt;Q&gt;EWC^SIZE(FG_CONSTITUENTS)&lt;/Q&gt;&lt;R&gt;1&lt;/R&gt;&lt;C&gt;1&lt;/C&gt;&lt;D xsi:type="xsd:long"&gt;86&lt;/D&gt;&lt;/FQL&gt;&lt;FQL&gt;&lt;Q&gt;EWC^FMA_COS_DOWN("EPS","1M",+1,0,,,"PORTAGG","MEANR")&lt;/Q&gt;&lt;R&gt;1&lt;/R&gt;&lt;C&gt;1&lt;/C&gt;&lt;D xsi:type="xsd:double"&gt;39&lt;/D&gt;&lt;/FQL&gt;&lt;FQL&gt;&lt;Q&gt;EWC^FMA_COS_UP("EPS","1M",+1,0,,,"PORTAGG","MEANR")&lt;/Q&gt;&lt;R&gt;1&lt;/R&gt;&lt;C&gt;1&lt;/C&gt;&lt;D xsi:type="xsd:double"&gt;24&lt;/D&gt;&lt;/FQL&gt;&lt;FQL&gt;&lt;Q&gt;EWA^SIZE(FG_CONSTITUENTS)&lt;/Q&gt;&lt;R&gt;1&lt;/R&gt;&lt;C&gt;1&lt;/C&gt;&lt;D xsi:type="xsd:long"&gt;58&lt;/D&gt;&lt;/FQL&gt;&lt;FQL&gt;&lt;Q&gt;EWA^FMA_COS_DOWN("EPS","1M",+1,0,,,"PORTAGG","MEANR")&lt;/Q&gt;&lt;R&gt;1&lt;/R&gt;&lt;C&gt;1&lt;/C&gt;&lt;D xsi:type="xsd:double"&gt;30&lt;/D&gt;&lt;/FQL&gt;&lt;FQL&gt;&lt;Q&gt;EWA^FMA_COS_UP("EPS","1M",+1,0,,,"PORTAGG","MEANR")&lt;/Q&gt;&lt;R&gt;1&lt;/R&gt;&lt;C&gt;1&lt;/C&gt;&lt;D xsi:type="xsd:double"&gt;23&lt;/D&gt;&lt;/FQL&gt;&lt;FQL&gt;&lt;Q&gt;ENZL^SIZE(FG_CONSTITUENTS)&lt;/Q&gt;&lt;R&gt;1&lt;/R&gt;&lt;C&gt;1&lt;/C&gt;&lt;D xsi:type="xsd:long"&gt;26&lt;/D&gt;&lt;/FQL&gt;&lt;FQL&gt;&lt;Q&gt;ENZL^FMA_COS_DOWN("EPS","1M",+1,0,,,"PORTAGG","MEANR")&lt;/Q&gt;&lt;R&gt;1&lt;/R&gt;&lt;C&gt;1&lt;/C&gt;&lt;D xsi:type="xsd:double"&gt;14&lt;/D&gt;&lt;/FQL&gt;&lt;FQL&gt;&lt;Q&gt;ENZL^FMA_COS_UP("EPS","1M",+1,0,,,"PORTAGG","MEANR")&lt;/Q&gt;&lt;R&gt;1&lt;/R&gt;&lt;C&gt;1&lt;/C&gt;&lt;D xsi:type="xsd:double"&gt;8&lt;/D&gt;&lt;/FQL&gt;&lt;FQL&gt;&lt;Q&gt;EWI^FG_COMPANY_NAME&lt;/Q&gt;&lt;R&gt;1&lt;/R&gt;&lt;C&gt;1&lt;/C&gt;&lt;D xsi:type="xsd:string"&gt;iShares MSCI Italy ETF&lt;/D&gt;&lt;/FQL&gt;&lt;FQL&gt;&lt;Q&gt;EWD^FG_COMPANY_NAME&lt;/Q&gt;&lt;R&gt;1&lt;/R&gt;&lt;C&gt;1&lt;/C&gt;&lt;D xsi:type="xsd:string"&gt;iShares MSCI Sweden ETF&lt;/D&gt;&lt;/FQL&gt;&lt;FQL&gt;&lt;Q&gt;EWN^FG_COMPANY_NAME&lt;/Q&gt;&lt;R&gt;1&lt;/R&gt;&lt;C&gt;1&lt;/C&gt;&lt;D xsi:type="xsd:string"&gt;iShares MSCI Netherlands ETF&lt;/D&gt;&lt;/FQL&gt;&lt;FQL&gt;&lt;Q&gt;EWQ^FG_COMPANY_NAME&lt;/Q&gt;&lt;R&gt;1&lt;/R&gt;&lt;C&gt;1&lt;/C&gt;&lt;D xsi:type="xsd:string"&gt;iShares MSCI France ETF&lt;/D&gt;&lt;/FQL&gt;&lt;FQL&gt;&lt;Q&gt;SPY^FG_COMPANY_NAME&lt;/Q&gt;&lt;R&gt;1&lt;/R&gt;&lt;C&gt;1&lt;/C&gt;&lt;D xsi:type="xsd:string"&gt;SPDR S&amp;amp;P 500 ETF Trust&lt;/D&gt;&lt;/FQL&gt;&lt;FQL&gt;&lt;Q&gt;QQQ^FG_COMPANY_NAME&lt;/Q&gt;&lt;R&gt;1&lt;/R&gt;&lt;C&gt;1&lt;/C&gt;&lt;D xsi:type="xsd:string"&gt;Invesco QQQ Trust Series I&lt;/D&gt;&lt;/FQL&gt;&lt;FQL&gt;&lt;Q&gt;EWU^FG_COMPANY_NAME&lt;/Q&gt;&lt;R&gt;1&lt;/R&gt;&lt;C&gt;1&lt;/C&gt;&lt;D xsi:type="xsd:string"&gt;iShares MSCI United Kingdom ETF&lt;/D&gt;&lt;/FQL&gt;&lt;FQL&gt;&lt;Q&gt;EWL^FG_COMPANY_NAME&lt;/Q&gt;&lt;R&gt;1&lt;/R&gt;&lt;C&gt;1&lt;/C&gt;&lt;D xsi:type="xsd:string"&gt;iShares MSCI Switzerland ETF&lt;/D&gt;&lt;/FQL&gt;&lt;FQL&gt;&lt;Q&gt;EWJ^FG_COMPANY_NAME&lt;/Q&gt;&lt;R&gt;1&lt;/R&gt;&lt;C&gt;1&lt;/C&gt;&lt;D xsi:type="xsd:string"&gt;iShares MSCI Japan ETF&lt;/D&gt;&lt;/FQL&gt;&lt;FQL&gt;&lt;Q&gt;EWG^FG_COMPANY_NAME&lt;/Q&gt;&lt;R&gt;1&lt;/R&gt;&lt;C&gt;1&lt;/C&gt;&lt;D xsi:type="xsd:string"&gt;iShares MSCI Germany ETF&lt;/D&gt;&lt;/FQL&gt;&lt;FQL&gt;&lt;Q&gt;EWC^FG_COMPANY_NAME&lt;/Q&gt;&lt;R&gt;1&lt;/R&gt;&lt;C&gt;1&lt;/C&gt;&lt;D xsi:type="xsd:string"&gt;iShares MSCI Canada ETF&lt;/D&gt;&lt;/FQL&gt;&lt;FQL&gt;&lt;Q&gt;EWA^FG_COMPANY_NAME&lt;/Q&gt;&lt;R&gt;1&lt;/R&gt;&lt;C&gt;1&lt;/C&gt;&lt;D xsi:type="xsd:string"&gt;iShares MSCI Australia ETF&lt;/D&gt;&lt;/FQL&gt;&lt;FQL&gt;&lt;Q&gt;ENZL^FG_COMPANY_NAME&lt;/Q&gt;&lt;R&gt;1&lt;/R&gt;&lt;C&gt;1&lt;/C&gt;&lt;D xsi:type="xsd:string"&gt;iShares MSCI New Zealand ETF&lt;/D&gt;&lt;/FQL&gt;&lt;FQL&gt;&lt;Q&gt;BIGPX^P_PRICE(-1AM)/P_PRICE_HIGH_PR(-1AM,,,,,,"PRICE","INTRA","52W")&lt;/Q&gt;&lt;R&gt;1&lt;/R&gt;&lt;C&gt;1&lt;/C&gt;&lt;D xsi:type="xsd:double"&gt;0.9674247&lt;/D&gt;&lt;/FQL&gt;&lt;FQL&gt;&lt;Q&gt;BIGPX^FG_TOTAL_RETURNC(-1AM,-7AM)&lt;/Q&gt;&lt;R&gt;1&lt;/R&gt;&lt;C&gt;1&lt;/C&gt;&lt;D xsi:type="xsd:double"&gt;5.2139044&lt;/D&gt;&lt;/FQL&gt;&lt;FQL&gt;&lt;Q&gt;BIGPX^FG_TOTAL_RETURNC(-1AM,-4AM)&lt;/Q&gt;&lt;R&gt;1&lt;/R&gt;&lt;C&gt;1&lt;/C&gt;&lt;D xsi:type="xsd:double"&gt;2.6744962&lt;/D&gt;&lt;/FQL&gt;&lt;FQL&gt;&lt;Q&gt;BIGPX^FG_TOTAL_RETURNC(-1AM,-2AM)&lt;/Q&gt;&lt;R&gt;1&lt;/R&gt;&lt;C&gt;1&lt;/C&gt;&lt;D xsi:type="xsd:double"&gt;-2.8994381&lt;/D&gt;&lt;/FQL&gt;&lt;FQL&gt;&lt;Q&gt;BTC00-USA^FG_PRICE(-1AM)/MAX(FG_PRICE(-1AM,-13AM,D))&lt;/Q&gt;&lt;R&gt;1&lt;/R&gt;&lt;C&gt;1&lt;/C&gt;&lt;D xsi:type="xsd:double"&gt;0.800919975647703&lt;/D&gt;&lt;/FQL&gt;&lt;FQL&gt;&lt;Q&gt;BTC00-USA^P_FUT_TOTAL_RETURN(-1AM,-7AM,,'')&lt;/Q&gt;&lt;R&gt;1&lt;/R&gt;&lt;C&gt;1&lt;/C&gt;&lt;D xsi:type="xsd:double"&gt;14.102037338652&lt;/D&gt;&lt;/FQL&gt;&lt;FQL&gt;&lt;Q&gt;BTC00-USA^P_FUT_TOTAL_RETURN(-1AM,-4AM,,'')&lt;/Q&gt;&lt;R&gt;1&lt;/R&gt;&lt;C&gt;1&lt;/C&gt;&lt;D xsi:type="xsd:double"&gt;-3.36302997121942&lt;/D&gt;&lt;/FQL&gt;&lt;FQL&gt;&lt;Q&gt;BTC00-USA^P_FUT_TOTAL_RETURN(-1AM,-2AM,,'')&lt;/Q&gt;&lt;R&gt;1&lt;/R&gt;&lt;C&gt;1&lt;/C&gt;&lt;D xsi:type="xsd:double"&gt;1.25471629487559&lt;/D&gt;&lt;/FQL&gt;&lt;FQL&gt;&lt;Q&gt;FXI^P_PRICE(-1AM)/P_PRICE_HIGH_PR(-1AM,,,,,,"PRICE","INTRA","52W")&lt;/Q&gt;&lt;R&gt;1&lt;/R&gt;&lt;C&gt;1&lt;/C&gt;&lt;D xsi:type="xsd:double"&gt;0.8686082&lt;/D&gt;&lt;/FQL&gt;&lt;FQL&gt;&lt;Q&gt;FXI^FG_TOTAL_RETURNC(-1AM,-7AM)&lt;/Q&gt;&lt;R&gt;1&lt;/R&gt;&lt;C&gt;1&lt;/C&gt;&lt;D xsi:type="xsd:double"&gt;13.257801&lt;/D&gt;&lt;/FQL&gt;&lt;FQL&gt;&lt;Q&gt;FXI^FG_TOTAL_RETURNC(-1AM,-4AM)&lt;/Q&gt;&lt;R&gt;1&lt;/R&gt;&lt;C&gt;1&lt;/C&gt;&lt;D xsi:type="xsd:double"&gt;-7.338232&lt;/D&gt;&lt;/FQL&gt;&lt;FQL&gt;&lt;Q&gt;FXI^FG_TOTAL_RETURNC(-1AM,-2AM)&lt;/Q&gt;&lt;R&gt;1&lt;/R&gt;&lt;C&gt;1&lt;/C&gt;&lt;D xsi:type="xsd:double"&gt;-5.7678165&lt;/D&gt;&lt;/FQL&gt;&lt;FQL&gt;&lt;Q&gt;EWJ^P_PRICE(-1AM)/P_PRICE_HIGH_PR(-1AM,,,,,,"PRICE","INTRA","52W")&lt;/Q&gt;&lt;R&gt;1&lt;/R&gt;&lt;C&gt;1&lt;/C&gt;&lt;D xsi:type="xsd:double"&gt;0.9120933&lt;/D&gt;&lt;/FQL&gt;&lt;FQL&gt;&lt;Q&gt;EWJ^FG_TOTAL_RETURNC(-1AM,-7AM)&lt;/Q&gt;&lt;R&gt;1&lt;/R&gt;&lt;C&gt;1&lt;/C&gt;&lt;D xsi:type="xsd:double"&gt;-1.118052&lt;/D&gt;&lt;/FQL&gt;&lt;FQL&gt;&lt;Q&gt;EWJ^FG_TOTAL_RETURNC(-1AM,-4AM)&lt;/Q&gt;&lt;R&gt;1&lt;/R&gt;&lt;C&gt;1&lt;/C&gt;&lt;D xsi:type="xsd:double"&gt;-2.5441587&lt;/D&gt;&lt;/FQL&gt;&lt;FQL&gt;&lt;Q&gt;EWJ^FG_TOTAL_RETURNC(-1AM,-2AM)&lt;/Q&gt;&lt;R&gt;1&lt;/R&gt;&lt;C&gt;1&lt;/C&gt;&lt;D xsi:type="xsd:double"&gt;-7.9411745&lt;/D&gt;&lt;/FQL&gt;&lt;FQL&gt;&lt;Q&gt;EMXC^P_PRICE(-1AM)/P_PRICE_HIGH_PR(-1AM,,,,,,"PRICE","INTRA","52W")&lt;/Q&gt;&lt;R&gt;1&lt;/R&gt;&lt;C&gt;1&lt;/C&gt;&lt;D xsi:type="xsd:double"&gt;0.94419426&lt;/D&gt;&lt;/FQL&gt;&lt;FQL&gt;&lt;Q&gt;EMXC^FG_TOTAL_RETURNC(-1AM,-7AM)&lt;/Q&gt;&lt;R&gt;1&lt;/R&gt;&lt;C&gt;1&lt;/C&gt;&lt;D xsi:type="xsd:double"&gt;5.7768583&lt;/D&gt;&lt;/FQL&gt;&lt;FQL&gt;&lt;Q&gt;EMXC^FG_TOTAL_RETURNC(-1AM,-4AM)&lt;/Q&gt;&lt;R&gt;1&lt;/R&gt;&lt;C&gt;1&lt;/C&gt;&lt;D xsi:type="xsd:double"&gt;2.9627562&lt;/D&gt;&lt;/FQL&gt;&lt;FQL&gt;&lt;Q&gt;EMXC^FG_TOTAL_RETURNC(-1AM,-2AM)&lt;/Q&gt;&lt;R&gt;1&lt;/R&gt;&lt;C&gt;1&lt;/C&gt;&lt;D xsi:type="xsd:double"&gt;-5.061454&lt;/D&gt;&lt;/FQL&gt;&lt;FQL&gt;&lt;Q&gt;VGK^P_PRICE(-1AM)/P_PRICE_HIGH_PR(-1AM,,,,,,"PRICE","INTRA","52W")&lt;/Q&gt;&lt;R&gt;1&lt;/R&gt;&lt;C&gt;1&lt;/C&gt;&lt;D xsi:type="xsd:double"&gt;0.94092673&lt;/D&gt;&lt;/FQL&gt;&lt;FQL&gt;&lt;Q&gt;VGK^FG_TOTAL_RETURNC(-1AM,-7AM)&lt;/Q&gt;&lt;R&gt;1&lt;/R&gt;&lt;C&gt;1&lt;/C&gt;&lt;D xsi:type="xsd:double"&gt;6.256819&lt;/D&gt;&lt;/FQL&gt;&lt;FQL&gt;&lt;Q&gt;VGK^FG_TOTAL_RETURNC(-1AM,-4AM)&lt;/Q&gt;&lt;R&gt;1&lt;/R&gt;&lt;C&gt;1&lt;/C&gt;&lt;D xsi:type="xsd:double"&gt;-2.0410776&lt;/D&gt;&lt;/FQL&gt;&lt;FQL&gt;&lt;Q&gt;VGK^FG_TOTAL_RETURNC(-1AM,-2AM)&lt;/Q&gt;&lt;R&gt;1&lt;/R&gt;&lt;C&gt;1&lt;/C&gt;&lt;D xsi:type="xsd:double"&gt;-4.3165445&lt;/D&gt;&lt;/FQL&gt;&lt;FQL&gt;&lt;Q&gt;TLT^P_PRICE(-1AM)/P_PRICE_HIGH_PR(-1AM,,,,,,"PRICE","INTRA","52W")&lt;/Q&gt;&lt;R&gt;1&lt;/R&gt;&lt;C&gt;1&lt;/C&gt;&lt;D xsi:type="xsd:double"&gt;0.96062446&lt;/D&gt;&lt;/FQL&gt;&lt;FQL&gt;&lt;Q&gt;TLT^FG_TOTAL_RETURNC(-1AM,-7AM)&lt;/Q&gt;&lt;R&gt;1&lt;/R&gt;&lt;C&gt;1&lt;/C&gt;&lt;D xsi:type="xsd:double"&gt;4.881716&lt;/D&gt;&lt;/FQL&gt;&lt;FQL&gt;&lt;Q&gt;TLT^FG_TOTAL_RETURNC(-1AM,-4AM)&lt;/Q&gt;&lt;R&gt;1&lt;/R&gt;&lt;C&gt;1&lt;/C&gt;&lt;D xsi:type="xsd:double"&gt;8.267057&lt;/D&gt;&lt;/FQL&gt;&lt;FQL&gt;&lt;Q&gt;TLT^FG_TOTAL_RETURNC(-1AM,-2AM)&lt;/Q&gt;&lt;R&gt;1&lt;/R&gt;&lt;C&gt;1&lt;/C&gt;&lt;D xsi:type="xsd:double"&gt;3.1819701&lt;/D&gt;&lt;/FQL&gt;&lt;FQL&gt;&lt;Q&gt;USO^P_PRICE(-1AM)/P_PRICE_HIGH_PR(-1AM,,,,,,"PRICE","INTRA","52W")&lt;/Q&gt;&lt;R&gt;1&lt;/R&gt;&lt;C&gt;1&lt;/C&gt;&lt;D xsi:type="xsd:double"&gt;0.94269264&lt;/D&gt;&lt;/FQL&gt;&lt;FQL&gt;&lt;Q&gt;USO^FG_TOTAL_RETURNC(-1AM,-7AM)&lt;/Q&gt;&lt;R&gt;1&lt;/R&gt;&lt;C&gt;1&lt;/C&gt;&lt;D xsi:type="xsd:double"&gt;9.0417385&lt;/D&gt;&lt;/FQL&gt;&lt;FQL&gt;&lt;Q&gt;USO^FG_TOTAL_RETURNC(-1AM,-4AM)&lt;/Q&gt;&lt;R&gt;1&lt;/R&gt;&lt;C&gt;1&lt;/C&gt;&lt;D xsi:type="xsd:double"&gt;4.422307&lt;/D&gt;&lt;/FQL&gt;&lt;FQL&gt;&lt;Q&gt;USO^FG_TOTAL_RETURNC(-1AM,-2AM)&lt;/Q&gt;&lt;R&gt;1&lt;/R&gt;&lt;C&gt;1&lt;/C&gt;&lt;D xsi:type="xsd:double"&gt;-2.018696&lt;/D&gt;&lt;/FQL&gt;&lt;FQL&gt;&lt;Q&gt;DBC^P_PRICE(-1AM)/P_PRICE_HIGH_PR(-1AM,,,,,,"PRICE","INTRA","52W")&lt;/Q&gt;&lt;R&gt;1&lt;/R&gt;&lt;C&gt;1&lt;/C&gt;&lt;D xsi:type="xsd:double"&gt;0.8786579&lt;/D&gt;&lt;/FQL&gt;&lt;FQL&gt;&lt;Q&gt;DBC^FG_TOTAL_RETURNC(-1AM,-7AM)&lt;/Q&gt;&lt;R&gt;1&lt;/R&gt;&lt;C&gt;1&lt;/C&gt;&lt;D xsi:type="xsd:double"&gt;1.122582&lt;/D&gt;&lt;/FQL&gt;&lt;FQL&gt;&lt;Q&gt;DBC^FG_TOTAL_RETURNC(-1AM,-4AM)&lt;/Q&gt;&lt;R&gt;1&lt;/R&gt;&lt;C&gt;1&lt;/C&gt;&lt;D xsi:type="xsd:double"&gt;-3.264606&lt;/D&gt;&lt;/FQL&gt;&lt;FQL&gt;&lt;Q&gt;DBC^FG_TOTAL_RETURNC(-1AM,-2AM)&lt;/Q&gt;&lt;R&gt;1&lt;/R&gt;&lt;C&gt;1&lt;/C&gt;&lt;D xsi:type="xsd:double"&gt;-3.3061445&lt;/D&gt;&lt;/FQL&gt;&lt;FQL&gt;&lt;Q&gt;QQQ^P_PRICE(-1AM)/P_PRICE_HIGH_PR(-1AM,,,,,,"PRICE","INTRA","52W")&lt;/Q&gt;&lt;R&gt;1&lt;/R&gt;&lt;C&gt;1&lt;/C&gt;&lt;D xsi:type="xsd:double"&gt;0.896449&lt;/D&gt;&lt;/FQL&gt;&lt;FQL&gt;&lt;Q&gt;QQQ^FG_TOTAL_RETURNC(-1AM,-7AM)&lt;/Q&gt;&lt;R&gt;1&lt;/R&gt;&lt;C&gt;1&lt;/C&gt;&lt;D xsi:type="xsd:double"&gt;3.987193&lt;/D&gt;&lt;/FQL&gt;&lt;FQL&gt;&lt;Q&gt;QQQ^FG_TOTAL_RETURNC(-1AM,-4AM)&lt;/Q&gt;&lt;R&gt;1&lt;/R&gt;&lt;C&gt;1&lt;/C&gt;&lt;D xsi:type="xsd:double"&gt;2.2723675&lt;/D&gt;&lt;/FQL&gt;&lt;FQL&gt;&lt;Q&gt;QQQ^FG_TOTAL_RETURNC(-1AM,-2AM)&lt;/Q&gt;&lt;R&gt;1&lt;/R&gt;&lt;C&gt;1&lt;/C&gt;&lt;D xsi:type="xsd:double"&gt;-8.778948&lt;/D&gt;&lt;/FQL&gt;&lt;FQL&gt;&lt;Q&gt;UUP^P_PRICE(-1AM)/P_PRICE_HIGH_PR(-1AM,,,,,,"PRICE","INTRA","52W")&lt;/Q&gt;&lt;R&gt;1&lt;/R&gt;&lt;C&gt;1&lt;/C&gt;&lt;D xsi:type="xsd:double"&gt;0.9471241&lt;/D&gt;&lt;/FQL&gt;&lt;FQL&gt;&lt;Q&gt;UUP^FG_TOTAL_RETURNC(-1AM,-7AM)&lt;/Q&gt;&lt;R&gt;1&lt;/R&gt;&lt;C&gt;1&lt;/C&gt;&lt;D xsi:type="xsd:double"&gt;1.9628763&lt;/D&gt;&lt;/FQL&gt;&lt;FQL&gt;&lt;Q&gt;UUP^FG_TOTAL_RETURNC(-1AM,-4AM)&lt;/Q&gt;&lt;R&gt;1&lt;/R&gt;&lt;C&gt;1&lt;/C&gt;&lt;D xsi:type="xsd:double"&gt;-0.59151053&lt;/D&gt;&lt;/FQL&gt;&lt;FQL&gt;&lt;Q&gt;UUP^FG_TOTAL_RETURNC(-1AM,-2AM)&lt;/Q&gt;&lt;R&gt;1&lt;/R&gt;&lt;C&gt;1&lt;/C&gt;&lt;D xsi:type="xsd:double"&gt;-0.41826963&lt;/D&gt;&lt;/FQL&gt;&lt;FQL&gt;&lt;Q&gt;GLD^P_PRICE(-1AM)/P_PRICE_HIGH_PR(-1AM,,,,,,"PRICE","INTRA","52W")&lt;/Q&gt;&lt;R&gt;1&lt;/R&gt;&lt;C&gt;1&lt;/C&gt;&lt;D xsi:type="xsd:double"&gt;0.99460053&lt;/D&gt;&lt;/FQL&gt;&lt;FQL&gt;&lt;Q&gt;GLD^FG_TOTAL_RETURNC(-1AM,-7AM)&lt;/Q&gt;&lt;R&gt;1&lt;/R&gt;&lt;C&gt;1&lt;/C&gt;&lt;D xsi:type="xsd:double"&gt;22.072578&lt;/D&gt;&lt;/FQL&gt;&lt;FQL&gt;&lt;Q&gt;GLD^FG_TOTAL_RETURNC(-1AM,-4AM)&lt;/Q&gt;&lt;R&gt;1&lt;/R&gt;&lt;C&gt;1&lt;/C&gt;&lt;D xsi:type="xsd:double"&gt;4.435098&lt;/D&gt;&lt;/FQL&gt;&lt;FQL&gt;&lt;Q&gt;GLD^FG_TOTAL_RETURNC(-1AM,</t>
        </r>
      </text>
    </comment>
    <comment ref="A6" authorId="0" shapeId="0" xr:uid="{FFCC316B-587B-4DED-99EF-F8A788189EE1}">
      <text>
        <r>
          <rPr>
            <b/>
            <sz val="9"/>
            <color indexed="81"/>
            <rFont val="Tahoma"/>
            <charset val="1"/>
          </rPr>
          <t>-2AM)&lt;/Q&gt;&lt;R&gt;1&lt;/R&gt;&lt;C&gt;1&lt;/C&gt;&lt;D xsi:type="xsd:double"&gt;2.3755074&lt;/D&gt;&lt;/FQL&gt;&lt;FQL&gt;&lt;Q&gt;SPY^P_PRICE(-1AM)/P_PRICE_HIGH_PR(-1AM,,,,,,"PRICE","INTRA","52W")&lt;/Q&gt;&lt;R&gt;1&lt;/R&gt;&lt;C&gt;1&lt;/C&gt;&lt;D xsi:type="xsd:double"&gt;0.9435736&lt;/D&gt;&lt;/FQL&gt;&lt;FQL&gt;&lt;Q&gt;SPY^FG_TOTAL_RETURNC(-1AM,-7AM)&lt;/Q&gt;&lt;R&gt;1&lt;/R&gt;&lt;C&gt;1&lt;/C&gt;&lt;D xsi:type="xsd:double"&gt;7.1233153&lt;/D&gt;&lt;/FQL&gt;&lt;FQL&gt;&lt;Q&gt;SPY^FG_TOTAL_RETURNC(-1AM,-4AM)&lt;/Q&gt;&lt;R&gt;1&lt;/R&gt;&lt;C&gt;1&lt;/C&gt;&lt;D xsi:type="xsd:double"&gt;2.7172804&lt;/D&gt;&lt;/FQL&gt;&lt;FQL&gt;&lt;Q&gt;SPY^FG_TOTAL_RETURNC(-1AM,-2AM)&lt;/Q&gt;&lt;R&gt;1&lt;/R&gt;&lt;C&gt;1&lt;/C&gt;&lt;D xsi:type="xsd:double"&gt;-4.771507&lt;/D&gt;&lt;/FQL&gt;&lt;FQL&gt;&lt;Q&gt;VWO^P_PRICE(-1AM)/P_PRICE_HIGH_PR(-1AM,,,,,,"PRICE","INTRA","52W")&lt;/Q&gt;&lt;R&gt;1&lt;/R&gt;&lt;C&gt;1&lt;/C&gt;&lt;D xsi:type="xsd:double"&gt;0.9565884&lt;/D&gt;&lt;/FQL&gt;&lt;FQL&gt;&lt;Q&gt;VWO^FG_TOTAL_RETURNC(-1AM,-7AM)&lt;/Q&gt;&lt;R&gt;1&lt;/R&gt;&lt;C&gt;1&lt;/C&gt;&lt;D xsi:type="xsd:double"&gt;7.694733&lt;/D&gt;&lt;/FQL&gt;&lt;FQL&gt;&lt;Q&gt;VWO^FG_TOTAL_RETURNC(-1AM,-4AM)&lt;/Q&gt;&lt;R&gt;1&lt;/R&gt;&lt;C&gt;1&lt;/C&gt;&lt;D xsi:type="xsd:double"&gt;1.0344863&lt;/D&gt;&lt;/FQL&gt;&lt;FQL&gt;&lt;Q&gt;VWO^FG_TOTAL_RETURNC(-1AM,-2AM)&lt;/Q&gt;&lt;R&gt;1&lt;/R&gt;&lt;C&gt;1&lt;/C&gt;&lt;D xsi:type="xsd:double"&gt;-4.0579023&lt;/D&gt;&lt;/FQL&gt;&lt;FQL&gt;&lt;Q&gt;BIGPX^P_PRICE(0)/P_PRICE_HIGH_PR(0,,,USD,,,"PRICE","INTRA","52W")&lt;/Q&gt;&lt;R&gt;1&lt;/R&gt;&lt;C&gt;1&lt;/C&gt;&lt;D xsi:type="xsd:double"&gt;0.995116&lt;/D&gt;&lt;/FQL&gt;&lt;FQL&gt;&lt;Q&gt;BIGPX^FG_TOTAL_RETURNC(0,-6AM)&lt;/Q&gt;&lt;R&gt;1&lt;/R&gt;&lt;C&gt;1&lt;/C&gt;&lt;D xsi:type="xsd:double"&gt;6.327462&lt;/D&gt;&lt;/FQL&gt;&lt;FQL&gt;&lt;Q&gt;BIGPX^FG_TOTAL_RETURNC(0,-3AM)&lt;/Q&gt;&lt;R&gt;1&lt;/R&gt;&lt;C&gt;1&lt;/C&gt;&lt;D xsi:type="xsd:double"&gt;3.2953024&lt;/D&gt;&lt;/FQL&gt;&lt;FQL&gt;&lt;Q&gt;BIGPX^FG_TOTAL_RETURNC(0,-1AM)&lt;/Q&gt;&lt;R&gt;1&lt;/R&gt;&lt;C&gt;1&lt;/C&gt;&lt;D xsi:type="xsd:double"&gt;3.5578132&lt;/D&gt;&lt;/FQL&gt;&lt;FQL&gt;&lt;Q&gt;BTC00-USA^FG_PRICE(0)/MAX(FG_PRICE(0,-12AM,D))&lt;/Q&gt;&lt;R&gt;1&lt;/R&gt;&lt;C&gt;1&lt;/C&gt;&lt;D xsi:type="xsd:double"&gt;0.792531962389231&lt;/D&gt;&lt;/FQL&gt;&lt;FQL&gt;&lt;Q&gt;BTC00-USA^P_FUT_TOTAL_RETURN(0,-6AM,,'')&lt;/Q&gt;&lt;R&gt;1&lt;/R&gt;&lt;C&gt;1&lt;/C&gt;&lt;D xsi:type="xsd:double"&gt;-20.1120391908406&lt;/D&gt;&lt;/FQL&gt;&lt;FQL&gt;&lt;Q&gt;BTC00-USA^P_FUT_TOTAL_RETURN(0,-3AM,,'')&lt;/Q&gt;&lt;R&gt;1&lt;/R&gt;&lt;C&gt;1&lt;/C&gt;&lt;D xsi:type="xsd:double"&gt;-14.1576888013826&lt;/D&gt;&lt;/FQL&gt;&lt;FQL&gt;&lt;Q&gt;BTC00-USA^P_FUT_TOTAL_RETURN(0,-1AM,,'')&lt;/Q&gt;&lt;R&gt;1&lt;/R&gt;&lt;C&gt;1&lt;/C&gt;&lt;D xsi:type="xsd:double"&gt;-1.66113751860678&lt;/D&gt;&lt;/FQL&gt;&lt;FQL&gt;&lt;Q&gt;FXI^FG_TOTAL_RETURNC(0,-1AM)&lt;/Q&gt;&lt;R&gt;1&lt;/R&gt;&lt;C&gt;1&lt;/C&gt;&lt;D xsi:type="xsd:double"&gt;0.23391247&lt;/D&gt;&lt;/FQL&gt;&lt;FQL&gt;&lt;Q&gt;EWJ^FG_TOTAL_RETURNC(0,-1AM)&lt;/Q&gt;&lt;R&gt;1&lt;/R&gt;&lt;C&gt;1&lt;/C&gt;&lt;D xsi:type="xsd:double"&gt;6.8766117&lt;/D&gt;&lt;/FQL&gt;&lt;FQL&gt;&lt;Q&gt;EMXC^FG_TOTAL_RETURNC(0,-1AM)&lt;/Q&gt;&lt;R&gt;1&lt;/R&gt;&lt;C&gt;1&lt;/C&gt;&lt;D xsi:type="xsd:double"&gt;2.0269156&lt;/D&gt;&lt;/FQL&gt;&lt;FQL&gt;&lt;Q&gt;VGK^FG_TOTAL_RETURNC(0,-1AM)&lt;/Q&gt;&lt;R&gt;1&lt;/R&gt;&lt;C&gt;1&lt;/C&gt;&lt;D xsi:type="xsd:double"&gt;4.2405963&lt;/D&gt;&lt;/FQL&gt;&lt;FQL&gt;&lt;Q&gt;TLT^P_PRICE(0)/P_PRICE_HIGH_PR(0,,,USD,,,"PRICE","INTRA","52W")&lt;/Q&gt;&lt;R&gt;1&lt;/R&gt;&lt;C&gt;1&lt;/C&gt;&lt;D xsi:type="xsd:double"&gt;0.98918355&lt;/D&gt;&lt;/FQL&gt;&lt;FQL&gt;&lt;Q&gt;TLT^FG_TOTAL_RETURNC(0,-6AM)&lt;/Q&gt;&lt;R&gt;1&lt;/R&gt;&lt;C&gt;1&lt;/C&gt;&lt;D xsi:type="xsd:double"&gt;7.6678157&lt;/D&gt;&lt;/FQL&gt;&lt;FQL&gt;&lt;Q&gt;TLT^FG_TOTAL_RETURNC(0,-3AM)&lt;/Q&gt;&lt;R&gt;1&lt;/R&gt;&lt;C&gt;1&lt;/C&gt;&lt;D xsi:type="xsd:double"&gt;9.293806&lt;/D&gt;&lt;/FQL&gt;&lt;FQL&gt;&lt;Q&gt;TLT^FG_TOTAL_RETURNC(0,-1AM)&lt;/Q&gt;&lt;R&gt;1&lt;/R&gt;&lt;C&gt;1&lt;/C&gt;&lt;D xsi:type="xsd:double"&gt;3.985536&lt;/D&gt;&lt;/FQL&gt;&lt;FQL&gt;&lt;Q&gt;USO^P_PRICE(0)/P_PRICE_HIGH_PR(0,,,USD,,,"PRICE","INTRA","52W")&lt;/Q&gt;&lt;R&gt;1&lt;/R&gt;&lt;C&gt;1&lt;/C&gt;&lt;D xsi:type="xsd:double"&gt;0.8379091&lt;/D&gt;&lt;/FQL&gt;&lt;FQL&gt;&lt;Q&gt;USO^FG_TOTAL_RETURNC(0,-6AM)&lt;/Q&gt;&lt;R&gt;1&lt;/R&gt;&lt;C&gt;1&lt;/C&gt;&lt;D xsi:type="xsd:double"&gt;-4.717106&lt;/D&gt;&lt;/FQL&gt;&lt;FQL&gt;&lt;Q&gt;USO^FG_TOTAL_RETURNC(0,-3AM)&lt;/Q&gt;&lt;R&gt;1&lt;/R&gt;&lt;C&gt;1&lt;/C&gt;&lt;D xsi:type="xsd:double"&gt;-8.015275&lt;/D&gt;&lt;/FQL&gt;&lt;FQL&gt;&lt;Q&gt;USO^FG_TOTAL_RETURNC(0,-1AM)&lt;/Q&gt;&lt;R&gt;1&lt;/R&gt;&lt;C&gt;1&lt;/C&gt;&lt;D xsi:type="xsd:double"&gt;-11.115349&lt;/D&gt;&lt;/FQL&gt;&lt;FQL&gt;&lt;Q&gt;DBC^P_PRICE(0)/P_PRICE_HIGH_PR(0,,,USD,,,"PRICE","INTRA","52W")&lt;/Q&gt;&lt;R&gt;1&lt;/R&gt;&lt;C&gt;1&lt;/C&gt;&lt;D xsi:type="xsd:double"&gt;0.84354275&lt;/D&gt;&lt;/FQL&gt;&lt;FQL&gt;&lt;Q&gt;DBC^FG_TOTAL_RETURNC(0,-6AM)&lt;/Q&gt;&lt;R&gt;1&lt;/R&gt;&lt;C&gt;1&lt;/C&gt;&lt;D xsi:type="xsd:double"&gt;-3.04932&lt;/D&gt;&lt;/FQL&gt;&lt;FQL&gt;&lt;Q&gt;DBC^FG_TOTAL_RETURNC(0,-3AM)&lt;/Q&gt;&lt;R&gt;1&lt;/R&gt;&lt;C&gt;1&lt;/C&gt;&lt;D xsi:type="xsd:double"&gt;-6.568706&lt;/D&gt;&lt;/FQL&gt;&lt;FQL&gt;&lt;Q&gt;DBC^FG_TOTAL_RETURNC(0,-1AM)&lt;/Q&gt;&lt;R&gt;1&lt;/R&gt;&lt;C&gt;1&lt;/C&gt;&lt;D xsi:type="xsd:double"&gt;-3.9964437&lt;/D&gt;&lt;/FQL&gt;&lt;FQL&gt;&lt;Q&gt;QQQ^FG_TOTAL_RETURNC(0,-1AM)&lt;/Q&gt;&lt;R&gt;1&lt;/R&gt;&lt;C&gt;1&lt;/C&gt;&lt;D xsi:type="xsd:double"&gt;4.8384905&lt;/D&gt;&lt;/FQL&gt;&lt;FQL&gt;&lt;Q&gt;UUP^P_PRICE(0)/P_PRICE_HIGH_PR(0,,,USD,,,"PRICE","INTRA","52W")&lt;/Q&gt;&lt;R&gt;1&lt;/R&gt;&lt;C&gt;1&lt;/C&gt;&lt;D xsi:type="xsd:double"&gt;0.93552125&lt;/D&gt;&lt;/FQL&gt;&lt;FQL&gt;&lt;Q&gt;UUP^FG_TOTAL_RETURNC(0,-6AM)&lt;/Q&gt;&lt;R&gt;1&lt;/R&gt;&lt;C&gt;1&lt;/C&gt;&lt;D xsi:type="xsd:double"&gt;1.4013648&lt;/D&gt;&lt;/FQL&gt;&lt;FQL&gt;&lt;Q&gt;UUP^FG_TOTAL_RETURNC(0,-3AM)&lt;/Q&gt;&lt;R&gt;1&lt;/R&gt;&lt;C&gt;1&lt;/C&gt;&lt;D xsi:type="xsd:double"&gt;-1.8434823&lt;/D&gt;&lt;/FQL&gt;&lt;FQL&gt;&lt;Q&gt;UUP^FG_TOTAL_RETURNC(0,-1AM)&lt;/Q&gt;&lt;R&gt;1&lt;/R&gt;&lt;C&gt;1&lt;/C&gt;&lt;D xsi:type="xsd:double"&gt;-1.2250602&lt;/D&gt;&lt;/FQL&gt;&lt;FQL&gt;&lt;Q&gt;GLD^P_PRICE(0)/P_PRICE_HIGH_PR(0,,,USD,,,"PRICE","INTRA","52W")&lt;/Q&gt;&lt;R&gt;1&lt;/R&gt;&lt;C&gt;1&lt;/C&gt;&lt;D xsi:type="xsd:double"&gt;0.9994925&lt;/D&gt;&lt;/FQL&gt;&lt;FQL&gt;&lt;Q&gt;GLD^FG_TOTAL_RETURNC(0,-6AM)&lt;/Q&gt;&lt;R&gt;1&lt;/R&gt;&lt;C&gt;1&lt;/C&gt;&lt;D xsi:type="xsd:double"&gt;18.289207&lt;/D&gt;&lt;/FQL&gt;&lt;FQL&gt;&lt;Q&gt;GLD^FG_TOTAL_RETURNC(0,-3AM)&lt;/Q&gt;&lt;R&gt;1&lt;/R&gt;&lt;C&gt;1&lt;/C&gt;&lt;D xsi:type="xsd:double"&gt;10.064268&lt;/D&gt;&lt;/FQL&gt;&lt;FQL&gt;&lt;Q&gt;GLD^FG_TOTAL_RETURNC(0,-1AM)&lt;/Q&gt;&lt;R&gt;1&lt;/R&gt;&lt;C&gt;1&lt;/C&gt;&lt;D xsi:type="xsd:double"&gt;3.4674525&lt;/D&gt;&lt;/FQL&gt;&lt;FQL&gt;&lt;Q&gt;SPY^FG_TOTAL_RETURNC(0,-1AM)&lt;/Q&gt;&lt;R&gt;1&lt;/R&gt;&lt;C&gt;1&lt;/C&gt;&lt;D xsi:type="xsd:double"&gt;4.8418283&lt;/D&gt;&lt;/FQL&gt;&lt;FQL&gt;&lt;Q&gt;VWO^FG_TOTAL_RETURNC(0,-1AM)&lt;/Q&gt;&lt;R&gt;1&lt;/R&gt;&lt;C&gt;1&lt;/C&gt;&lt;D xsi:type="xsd:double"&gt;1.1888385&lt;/D&gt;&lt;/FQL&gt;&lt;FQL&gt;&lt;Q&gt;BIGPX^FG_COMPANY_NAME&lt;/Q&gt;&lt;R&gt;1&lt;/R&gt;&lt;C&gt;1&lt;/C&gt;&lt;D xsi:type="xsd:string"&gt;BlackRock 60/40 Target Allocation Fund, Institutional&lt;/D&gt;&lt;/FQL&gt;&lt;FQL&gt;&lt;Q&gt;BTC00-USA^FG_COMPANY_NAME&lt;/Q&gt;&lt;R&gt;1&lt;/R&gt;&lt;C&gt;1&lt;/C&gt;&lt;D xsi:type="xsd:string"&gt;Bitcoin (CME) Continuous&lt;/D&gt;&lt;/FQL&gt;&lt;FQL&gt;&lt;Q&gt;FXI^FG_COMPANY_NAME&lt;/Q&gt;&lt;R&gt;1&lt;/R&gt;&lt;C&gt;1&lt;/C&gt;&lt;D xsi:type="xsd:string"&gt;iShares China Large-Cap ETF&lt;/D&gt;&lt;/FQL&gt;&lt;FQL&gt;&lt;Q&gt;EMXC^FG_COMPANY_NAME&lt;/Q&gt;&lt;R&gt;1&lt;/R&gt;&lt;C&gt;1&lt;/C&gt;&lt;D xsi:type="xsd:string"&gt;iShares MSCI Emerging Markets ex China ETF&lt;/D&gt;&lt;/FQL&gt;&lt;FQL&gt;&lt;Q&gt;VGK^FG_COMPANY_NAME&lt;/Q&gt;&lt;R&gt;1&lt;/R&gt;&lt;C&gt;1&lt;/C&gt;&lt;D xsi:type="xsd:string"&gt;Vanguard FTSE Europe ETF&lt;/D&gt;&lt;/FQL&gt;&lt;FQL&gt;&lt;Q&gt;TLT^FG_COMPANY_NAME&lt;/Q&gt;&lt;R&gt;1&lt;/R&gt;&lt;C&gt;1&lt;/C&gt;&lt;D xsi:type="xsd:string"&gt;iShares 20+ Year Treasury Bond ETF&lt;/D&gt;&lt;/FQL&gt;&lt;FQL&gt;&lt;Q&gt;USO^FG_COMPANY_NAME&lt;/Q&gt;&lt;R&gt;1&lt;/R&gt;&lt;C&gt;1&lt;/C&gt;&lt;D xsi:type="xsd:string"&gt;United States Oil Fund LP&lt;/D&gt;&lt;/FQL&gt;&lt;FQL&gt;&lt;Q&gt;DBC^FG_COMPANY_NAME&lt;/Q&gt;&lt;R&gt;1&lt;/R&gt;&lt;C&gt;1&lt;/C&gt;&lt;D xsi:type="xsd:string"&gt;Invesco DB Commodity Index Tracking Fund&lt;/D&gt;&lt;/FQL&gt;&lt;FQL&gt;&lt;Q&gt;UUP^FG_COMPANY_NAME&lt;/Q&gt;&lt;R&gt;1&lt;/R&gt;&lt;C&gt;1&lt;/C&gt;&lt;D xsi:type="xsd:string"&gt;Invesco DB US Dollar Index Bullish Fund&lt;/D&gt;&lt;/FQL&gt;&lt;FQL&gt;&lt;Q&gt;GLD^FG_COMPANY_NAME&lt;/Q&gt;&lt;R&gt;1&lt;/R&gt;&lt;C&gt;1&lt;/C&gt;&lt;D xsi:type="xsd:string"&gt;SPDR Gold Shares&lt;/D&gt;&lt;/FQL&gt;&lt;FQL&gt;&lt;Q&gt;VWO^FG_COMPANY_NAME&lt;/Q&gt;&lt;R&gt;1&lt;/R&gt;&lt;C&gt;1&lt;/C&gt;&lt;D xsi:type="xsd:string"&gt;Vanguard FTSE Emerging Markets ETF&lt;/D&gt;&lt;/FQL&gt;&lt;FQL&gt;&lt;Q&gt;TRYCN10Y-FDS^FG_YIELD(0,,,,"YTM")&lt;/Q&gt;&lt;R&gt;1&lt;/R&gt;&lt;C&gt;1&lt;/C&gt;&lt;D xsi:type="xsd:double"&gt;2.106&lt;/D&gt;&lt;/FQL&gt;&lt;FQL&gt;&lt;Q&gt;TRYIN10Y-FDS^FG_YIELD(0,,,,"YTM")&lt;/Q&gt;&lt;R&gt;1&lt;/R&gt;&lt;C&gt;1&lt;/C&gt;&lt;D xsi:type="xsd:double"&gt;6.8295&lt;/D&gt;&lt;/FQL&gt;&lt;FQL&gt;&lt;Q&gt;TRYUS10Y-FDS^FG_YIELD(0,,,,"YTM")&lt;/Q&gt;&lt;R&gt;1&lt;/R&gt;&lt;C&gt;1&lt;/C&gt;&lt;D xsi:type="xsd:double"&gt;3.6801&lt;/D&gt;&lt;/FQL&gt;&lt;FQL&gt;&lt;Q&gt;TRYJP10Y-FDS^FG_YIELD(0,,,,"YTM")&lt;/Q&gt;&lt;R&gt;1&lt;/R&gt;&lt;C&gt;1&lt;/C&gt;&lt;D xsi:type="xsd:double"&gt;0.8642&lt;/D&gt;&lt;/FQL&gt;&lt;FQL&gt;&lt;Q&gt;FXI^FG_FCF_YIELD_NTM(0)&lt;/Q&gt;&lt;R&gt;1&lt;/R&gt;&lt;C&gt;1&lt;/C&gt;&lt;D xsi:type="xsd:double"&gt;7.82417158440165&lt;/D&gt;&lt;/FQL&gt;&lt;FQL&gt;&lt;Q&gt;FXI^FMA_DIV_YLD(NTMA,NOW,NOW,M,"PORTAGG","MEANR")&lt;/Q&gt;&lt;R&gt;1&lt;/R&gt;&lt;C&gt;1&lt;/C&gt;&lt;D xsi:type="xsd:double"&gt;3.72996014401495&lt;/D&gt;&lt;/FQL&gt;&lt;FQL&gt;&lt;Q&gt;FXI^FG_PE_NTM(0,,,90,0)&lt;/Q&gt;&lt;R&gt;1&lt;/R&gt;&lt;C&gt;1&lt;/C&gt;&lt;D xsi:type="xsd:double"&gt;6.92434490128286&lt;/D&gt;&lt;/FQL&gt;&lt;FQL&gt;&lt;Q&gt;FXI^FG_PE(0)&lt;/Q&gt;&lt;R&gt;1&lt;/R&gt;&lt;C&gt;1&lt;/C&gt;&lt;D xsi:type="xsd:double"&gt;9.49738911853466&lt;/D&gt;&lt;/FQL&gt;&lt;FQL&gt;&lt;Q&gt;INDA^FG_FCF_YIELD_NTM(0)&lt;/Q&gt;&lt;R&gt;1&lt;/R&gt;&lt;C&gt;1&lt;/C&gt;&lt;D xsi:type="xsd:double"&gt;2.60774743625585&lt;/D&gt;&lt;/FQL&gt;&lt;FQL&gt;&lt;Q&gt;INDA^FMA_DIV_YLD(NTMA,NOW,NOW,M,"PORTAGG","MEANR")&lt;/Q&gt;&lt;R&gt;1&lt;/R&gt;&lt;C&gt;1&lt;/C&gt;&lt;D xsi:type="xsd:double"&gt;1.22630749545167&lt;/D&gt;&lt;/FQL&gt;&lt;FQL&gt;&lt;Q&gt;INDA^FG_PE_NTM(0,,,90,0)&lt;/Q&gt;&lt;R&gt;1&lt;/R&gt;&lt;C&gt;1&lt;/C&gt;&lt;D xsi:type="xsd:double"&gt;24.5212043267368&lt;/D&gt;&lt;/FQL&gt;&lt;FQL&gt;&lt;Q&gt;INDA^FG_PE(0)&lt;/Q&gt;&lt;R&gt;1&lt;/R&gt;&lt;C&gt;1&lt;/C&gt;&lt;D xsi:type="xsd:double"&gt;26.7023372889877&lt;/D&gt;&lt;/FQL&gt;&lt;FQL&gt;&lt;Q&gt;URTH^FG_FCF_YIELD_NTM(0)&lt;/Q&gt;&lt;R&gt;1&lt;/R&gt;&lt;C&gt;1&lt;/C&gt;&lt;D xsi:type="xsd:double"&gt;4.39485504302793&lt;/D&gt;&lt;/FQL&gt;&lt;FQL&gt;&lt;Q&gt;URTH^FMA_DIV_YLD(NTMA,NOW,NOW,M,"PORTAGG","MEANR")&lt;/Q&gt;&lt;R&gt;1&lt;/R&gt;&lt;C&gt;1&lt;/C&gt;&lt;D xsi:type="xsd:double"&gt;1.88703849567962&lt;/D&gt;&lt;/FQL&gt;&lt;FQL&gt;&lt;Q&gt;URTH^FG_PE_NTM(0,,,90,0)&lt;/Q&gt;&lt;R&gt;1&lt;/R&gt;&lt;C&gt;1&lt;/C&gt;&lt;D xsi:type="xsd:double"&gt;18.0686360058237&lt;/D&gt;&lt;/FQL&gt;&lt;FQL&gt;&lt;Q&gt;URTH^FG_PE(0)&lt;/Q&gt;&lt;R&gt;1&lt;/R&gt;&lt;C&gt;1&lt;/C&gt;&lt;D xsi:type="xsd:double"&gt;21.5480093564046&lt;/D&gt;&lt;/FQL&gt;&lt;FQL&gt;&lt;Q&gt;VWO^FG_FCF_YIELD_NTM(0)&lt;/Q&gt;&lt;R&gt;1&lt;/R&gt;&lt;C&gt;1&lt;/C&gt;&lt;D xsi:type="xsd:double"&gt;5.46191937147909&lt;/D&gt;&lt;/FQL&gt;&lt;FQL&gt;&lt;Q&gt;VWO^FMA_DIV_YLD(NTMA,NOW,NOW,M,"PORTAGG","MEANR")&lt;/Q&gt;&lt;R&gt;1&lt;/R&gt;&lt;C&gt;1&lt;/C&gt;&lt;D xsi:type="xsd:double"&gt;2.94305335410804&lt;/D&gt;&lt;/FQL&gt;&lt;FQL&gt;&lt;Q&gt;VWO^FG_PE_NTM(0,,,90,0)&lt;/Q&gt;&lt;R&gt;1&lt;/R&gt;&lt;C&gt;1&lt;/C&gt;&lt;D xsi:type="xsd:double"&gt;12.8760659329158&lt;/D&gt;&lt;/FQL&gt;&lt;FQL&gt;&lt;Q&gt;VWO^FG_PE(0)&lt;/Q&gt;&lt;R&gt;1&lt;/R&gt;&lt;C&gt;1&lt;/C&gt;&lt;D xsi:type="xsd:double"&gt;15.1582445076425&lt;/D&gt;&lt;/FQL&gt;&lt;FQL&gt;&lt;Q&gt;EWJ^FG_FCF_YIELD_NTM(0)&lt;/Q&gt;&lt;R&gt;1&lt;/R&gt;&lt;C&gt;1&lt;/C&gt;&lt;D xsi:type="xsd:double"&gt;4.16397976987282&lt;/D&gt;&lt;/FQL&gt;&lt;FQL&gt;&lt;Q&gt;EWJ^FMA_DIV_YLD(NTMA,NOW,NOW,M,"PORTAGG","MEANR")&lt;/Q&gt;&lt;R&gt;1&lt;/R&gt;&lt;C&gt;1&lt;/C&gt;&lt;D xsi:type="xsd:double"&gt;2.37520994994013&lt;/D&gt;&lt;/FQL&gt;&lt;FQL&gt;&lt;Q&gt;EWJ^FG_PE_NTM(0,,,90,0)&lt;/Q&gt;&lt;R&gt;1&lt;/R&gt;&lt;C&gt;1&lt;/C&gt;&lt;D xsi:type="xsd:double"&gt;13.7924347699297&lt;/D&gt;&lt;/FQL&gt;&lt;FQL&gt;&lt;Q&gt;EWJ^FG_PE(0)&lt;/Q&gt;&lt;R&gt;1&lt;/R&gt;&lt;C&gt;1&lt;/C&gt;&lt;D xsi:type="xsd:double"&gt;16.2946947626654&lt;/D&gt;&lt;/FQL&gt;&lt;FQL&gt;&lt;Q&gt;QQQ^FG_FCF_YIELD_NTM(0)&lt;/Q&gt;&lt;R&gt;1&lt;/R&gt;&lt;C&gt;1&lt;/C&gt;&lt;D xsi:type="xsd:double"&gt;3.61888000641045&lt;/D&gt;&lt;/FQL&gt;&lt;FQL&gt;&lt;Q&gt;QQQ^FMA_DIV_YLD(NTMA,NOW,NOW,M,"PORTAGG","MEANR")&lt;/Q&gt;&lt;R&gt;1&lt;/R&gt;&lt;C&gt;1&lt;/C&gt;&lt;D xsi:type="xsd:double"&gt;0.835811934474651&lt;/D&gt;&lt;/FQL&gt;&lt;FQL&gt;&lt;Q&gt;QQQ^FG_PE_NTM(0,,,90,0)&lt;/Q&gt;&lt;R&gt;1&lt;/R&gt;&lt;C&gt;1&lt;/C&gt;&lt;D xsi:type="xsd:double"&gt;25.8375847254087&lt;/D&gt;&lt;/FQL&gt;&lt;FQL&gt;&lt;Q&gt;QQQ^FG_PE(0)&lt;/Q&gt;&lt;R&gt;1&lt;/R&gt;&lt;C&gt;1&lt;/C&gt;&lt;D xsi:type="xsd:double"&gt;32.3486978894225&lt;/D&gt;&lt;/FQL&gt;&lt;FQL&gt;&lt;Q&gt;SPY^FG_FCF_YIELD_NTM(0)&lt;/Q&gt;&lt;R&gt;1&lt;/R&gt;&lt;C&gt;1&lt;/C&gt;&lt;D xsi:type="xsd:double"&gt;4.11062745234044&lt;/D&gt;&lt;/FQL&gt;&lt;FQL&gt;&lt;Q&gt;SPY^FMA_DIV_YLD(NTMA,NOW,NOW,M,"PORTAGG","MEANR")&lt;/Q&gt;&lt;R&gt;1&lt;/R&gt;&lt;C&gt;1&lt;/C&gt;&lt;D xsi:type="xsd:double"&gt;1.37396165186428&lt;/D&gt;&lt;/FQL&gt;&lt;FQL&gt;&lt;Q&gt;SPY^FG_PE_NTM(0,,,90,0)&lt;/Q&gt;&lt;R&gt;1&lt;/R&gt;&lt;C&gt;1&lt;/C&gt;&lt;D xsi:type="xsd:double"&gt;20.8026400513372&lt;/D&gt;&lt;/FQL&gt;&lt;FQL&gt;&lt;Q&gt;SPY^FG_PE(0)&lt;/Q&gt;&lt;R&gt;1&lt;/R&gt;&lt;C&gt;1&lt;/C&gt;&lt;D xsi:type="xsd:double"&gt;25.2602203340809&lt;/D&gt;&lt;/FQL&gt;&lt;FQL&gt;&lt;Q&gt;INDA^FG_COMPANY_NAME&lt;/Q&gt;&lt;R&gt;1&lt;/R&gt;&lt;C&gt;1&lt;/C&gt;&lt;D xsi:type="xsd:string"&gt;iShares MSCI India ETF&lt;/D&gt;&lt;/FQL&gt;&lt;FQL&gt;&lt;Q&gt;URTH^FG_COMPANY_NAME&lt;/Q&gt;&lt;R&gt;1&lt;/R&gt;&lt;C&gt;1&lt;/C&gt;&lt;D xsi:type="xsd:string"&gt;iShares MSCI World ETF&lt;/D&gt;&lt;/FQL&gt;&lt;/Schema&gt;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<sst xmlns="http://schemas.openxmlformats.org/spreadsheetml/2006/main" count="302" uniqueCount="121">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</sst>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J6" sqref="J6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CASH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INVESTED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INVESTED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CASH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5</v>
      </c>
      <c r="G15">
        <f>'Asset class'!S3</f>
        <v>5</v>
      </c>
      <c r="H15">
        <f t="shared" ref="H15:H23" si="0">G15</f>
        <v>5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CASH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7</v>
      </c>
      <c r="G16">
        <f>'Asset class'!S4</f>
        <v>2</v>
      </c>
      <c r="H16">
        <f t="shared" si="0"/>
        <v>2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CASH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1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9</v>
      </c>
      <c r="G18">
        <f>'Asset class'!S6</f>
        <v>11</v>
      </c>
      <c r="H18">
        <f t="shared" si="0"/>
        <v>11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CASH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11</v>
      </c>
      <c r="G19">
        <f>'Asset class'!S7</f>
        <v>8</v>
      </c>
      <c r="H19">
        <f t="shared" si="0"/>
        <v>8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14</v>
      </c>
      <c r="G20">
        <f>'Asset class'!S8</f>
        <v>12</v>
      </c>
      <c r="H20">
        <f t="shared" si="0"/>
        <v>12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3</v>
      </c>
      <c r="G21">
        <f>'Asset class'!S9</f>
        <v>13</v>
      </c>
      <c r="H21">
        <f t="shared" si="0"/>
        <v>13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2</v>
      </c>
      <c r="G22">
        <f>'Asset class'!S10</f>
        <v>3</v>
      </c>
      <c r="H22">
        <f t="shared" si="0"/>
        <v>3</v>
      </c>
      <c r="I22" t="str">
        <f>IF(HLOOKUP($E22,'Factset Price Data'!$C$208:$Z$215,6,FALSE)&gt;=1,"INVESTED","CASH")</f>
        <v>INVESTED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INVESTED</v>
      </c>
    </row>
    <row r="23" spans="5:16" x14ac:dyDescent="0.35">
      <c r="E23" s="20" t="s">
        <v>42</v>
      </c>
      <c r="F23">
        <f>'Asset class prev month'!S11</f>
        <v>9</v>
      </c>
      <c r="G23">
        <f>'Asset class'!S11</f>
        <v>7</v>
      </c>
      <c r="H23">
        <f t="shared" si="0"/>
        <v>7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7</v>
      </c>
      <c r="G24">
        <f>'Asset class'!S12</f>
        <v>7</v>
      </c>
      <c r="H24">
        <f t="shared" ref="H24:H27" si="1">G24</f>
        <v>7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CASH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13</v>
      </c>
      <c r="G25">
        <f>'Asset class'!S13</f>
        <v>9</v>
      </c>
      <c r="H25">
        <f t="shared" si="1"/>
        <v>9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CASH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12</v>
      </c>
      <c r="G26" s="10">
        <f>'Asset class'!S14</f>
        <v>10</v>
      </c>
      <c r="H26" s="10">
        <f t="shared" si="1"/>
        <v>10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CASH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11</v>
      </c>
      <c r="G27" s="39">
        <f>'Asset class'!S15</f>
        <v>14</v>
      </c>
      <c r="H27" s="39">
        <f t="shared" si="1"/>
        <v>14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5</v>
      </c>
      <c r="G28" s="39">
        <f>'Asset class'!S16</f>
        <v>4</v>
      </c>
      <c r="H28" s="39">
        <f t="shared" ref="H28" si="2">G28</f>
        <v>4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-0.1344211344211344</v>
      </c>
      <c r="G33" s="49">
        <f>'Momnetum ranking'!K18</f>
        <v>0.63370253164557</v>
      </c>
      <c r="H33" s="48">
        <f>'Momnetum ranking'!Q18</f>
        <v>0.97482769999999996</v>
      </c>
      <c r="I33" s="50">
        <f>'Momnetum ranking'!O18</f>
        <v>0.86911917000000005</v>
      </c>
      <c r="J33" s="30"/>
      <c r="K33" s="30">
        <f>_xlfn.RANK.EQ(F33,$F$33:$F$42)</f>
        <v>10</v>
      </c>
      <c r="L33" s="30">
        <f>_xlfn.RANK.EQ(G33,$G$33:$G$42)</f>
        <v>3</v>
      </c>
      <c r="M33" s="30">
        <f>_xlfn.RANK.EQ(H33,$H$33:$H$42)</f>
        <v>4</v>
      </c>
      <c r="N33" s="30">
        <f>_xlfn.RANK.EQ(I33,$I$33:$I$42)</f>
        <v>8</v>
      </c>
      <c r="O33" s="47">
        <f>MEDIAN(K33:N33)</f>
        <v>6</v>
      </c>
      <c r="P33" s="51">
        <f>O33-$O$35</f>
        <v>2</v>
      </c>
    </row>
    <row r="34" spans="5:16" x14ac:dyDescent="0.35">
      <c r="E34" s="30" t="str">
        <f>'Momnetum ranking'!B19</f>
        <v>EM</v>
      </c>
      <c r="F34" s="48">
        <f>'Momnetum ranking'!J19</f>
        <v>-4.7527706734867864E-2</v>
      </c>
      <c r="G34" s="49">
        <f>'Momnetum ranking'!K19</f>
        <v>0.40878090366581399</v>
      </c>
      <c r="H34" s="48">
        <f>'Momnetum ranking'!Q19</f>
        <v>0.96796066000000003</v>
      </c>
      <c r="I34" s="50">
        <f>'Momnetum ranking'!O19</f>
        <v>1.6974092000000001</v>
      </c>
      <c r="J34" s="30"/>
      <c r="K34" s="30">
        <f t="shared" ref="K34:K42" si="3">_xlfn.RANK.EQ(F34,$F$33:$F$42)</f>
        <v>9</v>
      </c>
      <c r="L34" s="30">
        <f t="shared" ref="L34:L42" si="4">_xlfn.RANK.EQ(G34,$G$33:$G$42)</f>
        <v>9</v>
      </c>
      <c r="M34" s="30">
        <f t="shared" ref="M34:M42" si="5">_xlfn.RANK.EQ(H34,$H$33:$H$42)</f>
        <v>6</v>
      </c>
      <c r="N34" s="30">
        <f t="shared" ref="N34:N42" si="6">_xlfn.RANK.EQ(I34,$I$33:$I$42)</f>
        <v>7</v>
      </c>
      <c r="O34" s="47">
        <f t="shared" ref="O34:O42" si="7">MEDIAN(K34:N34)</f>
        <v>8</v>
      </c>
      <c r="P34" s="51">
        <f t="shared" ref="P34:P42" si="8">O34-$O$35</f>
        <v>4</v>
      </c>
    </row>
    <row r="35" spans="5:16" x14ac:dyDescent="0.35">
      <c r="E35" s="30" t="str">
        <f>'Momnetum ranking'!B20</f>
        <v>World</v>
      </c>
      <c r="F35" s="48">
        <f>'Momnetum ranking'!J20</f>
        <v>1.7705382436260575E-2</v>
      </c>
      <c r="G35" s="49">
        <f>'Momnetum ranking'!K20</f>
        <v>0.61095305832147906</v>
      </c>
      <c r="H35" s="48">
        <f>'Momnetum ranking'!Q20</f>
        <v>0.98749112999999999</v>
      </c>
      <c r="I35" s="50">
        <f>'Momnetum ranking'!O20</f>
        <v>3.4141064000000001</v>
      </c>
      <c r="J35" s="30"/>
      <c r="K35" s="30">
        <f t="shared" si="3"/>
        <v>5</v>
      </c>
      <c r="L35" s="30">
        <f t="shared" si="4"/>
        <v>4</v>
      </c>
      <c r="M35" s="30">
        <f t="shared" si="5"/>
        <v>3</v>
      </c>
      <c r="N35" s="30">
        <f t="shared" si="6"/>
        <v>4</v>
      </c>
      <c r="O35" s="47">
        <f t="shared" si="7"/>
        <v>4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0.13567839195979897</v>
      </c>
      <c r="G36" s="49">
        <f>'Momnetum ranking'!K21</f>
        <v>0.50251256281406997</v>
      </c>
      <c r="H36" s="48">
        <f>'Momnetum ranking'!Q21</f>
        <v>0.97131009999999995</v>
      </c>
      <c r="I36" s="50">
        <f>'Momnetum ranking'!O21</f>
        <v>2.7197003</v>
      </c>
      <c r="J36" s="30"/>
      <c r="K36" s="30">
        <f t="shared" si="3"/>
        <v>1</v>
      </c>
      <c r="L36" s="30">
        <f t="shared" si="4"/>
        <v>8</v>
      </c>
      <c r="M36" s="30">
        <f t="shared" si="5"/>
        <v>5</v>
      </c>
      <c r="N36" s="30">
        <f t="shared" si="6"/>
        <v>6</v>
      </c>
      <c r="O36" s="47">
        <f t="shared" si="7"/>
        <v>5.5</v>
      </c>
      <c r="P36" s="51">
        <f t="shared" si="8"/>
        <v>1.5</v>
      </c>
    </row>
    <row r="37" spans="5:16" x14ac:dyDescent="0.35">
      <c r="E37" s="30" t="str">
        <f>'Momnetum ranking'!B22</f>
        <v>US</v>
      </c>
      <c r="F37" s="48">
        <f>'Momnetum ranking'!J22</f>
        <v>7.952286282306209E-3</v>
      </c>
      <c r="G37" s="49">
        <f>'Momnetum ranking'!K22</f>
        <v>0.67465069860279403</v>
      </c>
      <c r="H37" s="48">
        <f>'Momnetum ranking'!Q22</f>
        <v>0.98925980000000002</v>
      </c>
      <c r="I37" s="50">
        <f>'Momnetum ranking'!O22</f>
        <v>3.6087275000000001</v>
      </c>
      <c r="J37" s="30"/>
      <c r="K37" s="30">
        <f t="shared" si="3"/>
        <v>6</v>
      </c>
      <c r="L37" s="30">
        <f t="shared" si="4"/>
        <v>2</v>
      </c>
      <c r="M37" s="30">
        <f t="shared" si="5"/>
        <v>2</v>
      </c>
      <c r="N37" s="30">
        <f t="shared" si="6"/>
        <v>3</v>
      </c>
      <c r="O37" s="47">
        <f t="shared" si="7"/>
        <v>2.5</v>
      </c>
      <c r="P37" s="51">
        <f t="shared" si="8"/>
        <v>-1.5</v>
      </c>
    </row>
    <row r="38" spans="5:16" x14ac:dyDescent="0.35">
      <c r="E38" s="30" t="s">
        <v>9</v>
      </c>
      <c r="F38" s="48">
        <f>'Momnetum ranking'!J23</f>
        <v>-1.9607843137254888E-2</v>
      </c>
      <c r="G38" s="49">
        <f>'Momnetum ranking'!K23</f>
        <v>0.85526315789473695</v>
      </c>
      <c r="H38" s="48">
        <f>'Momnetum ranking'!Q23</f>
        <v>0.99982685000000004</v>
      </c>
      <c r="I38" s="50">
        <f>'Momnetum ranking'!O23</f>
        <v>5.652094</v>
      </c>
      <c r="J38" s="30"/>
      <c r="K38" s="30">
        <f t="shared" si="3"/>
        <v>7</v>
      </c>
      <c r="L38" s="30">
        <f t="shared" si="4"/>
        <v>1</v>
      </c>
      <c r="M38" s="30">
        <f t="shared" si="5"/>
        <v>1</v>
      </c>
      <c r="N38" s="30">
        <f t="shared" si="6"/>
        <v>1</v>
      </c>
      <c r="O38" s="47">
        <f t="shared" si="7"/>
        <v>1</v>
      </c>
      <c r="P38" s="51">
        <f t="shared" si="8"/>
        <v>-3</v>
      </c>
    </row>
    <row r="39" spans="5:16" x14ac:dyDescent="0.35">
      <c r="E39" s="30" t="s">
        <v>70</v>
      </c>
      <c r="F39" s="48">
        <f>'Momnetum ranking'!J24</f>
        <v>3.0129124820659992E-2</v>
      </c>
      <c r="G39" s="49">
        <f>'Momnetum ranking'!K24</f>
        <v>0.60205580029368599</v>
      </c>
      <c r="H39" s="48">
        <f>'Momnetum ranking'!Q24</f>
        <v>0.96333230000000003</v>
      </c>
      <c r="I39" s="50">
        <f>'Momnetum ranking'!O24</f>
        <v>3.3828140000000002</v>
      </c>
      <c r="J39" s="30"/>
      <c r="K39" s="30">
        <f t="shared" si="3"/>
        <v>4</v>
      </c>
      <c r="L39" s="30">
        <f t="shared" si="4"/>
        <v>5</v>
      </c>
      <c r="M39" s="30">
        <f t="shared" si="5"/>
        <v>7</v>
      </c>
      <c r="N39" s="30">
        <f t="shared" si="6"/>
        <v>5</v>
      </c>
      <c r="O39" s="47">
        <f t="shared" si="7"/>
        <v>5</v>
      </c>
      <c r="P39" s="51">
        <f t="shared" si="8"/>
        <v>1</v>
      </c>
    </row>
    <row r="40" spans="5:16" x14ac:dyDescent="0.35">
      <c r="E40" s="30" t="s">
        <v>15</v>
      </c>
      <c r="F40" s="48">
        <f>'Momnetum ranking'!J25</f>
        <v>0.10784313725490197</v>
      </c>
      <c r="G40" s="49">
        <f>'Momnetum ranking'!K25</f>
        <v>0.56862745098039202</v>
      </c>
      <c r="H40" s="48">
        <f>'Momnetum ranking'!Q25</f>
        <v>0.93982370000000004</v>
      </c>
      <c r="I40" s="50">
        <f>'Momnetum ranking'!O25</f>
        <v>-3.578663E-2</v>
      </c>
      <c r="J40" s="30"/>
      <c r="K40" s="30">
        <f t="shared" si="3"/>
        <v>2</v>
      </c>
      <c r="L40" s="30">
        <f t="shared" si="4"/>
        <v>6</v>
      </c>
      <c r="M40" s="30">
        <f t="shared" si="5"/>
        <v>8</v>
      </c>
      <c r="N40" s="30">
        <f t="shared" si="6"/>
        <v>9</v>
      </c>
      <c r="O40" s="47">
        <f t="shared" si="7"/>
        <v>7</v>
      </c>
      <c r="P40" s="51">
        <f t="shared" si="8"/>
        <v>3</v>
      </c>
    </row>
    <row r="41" spans="5:16" x14ac:dyDescent="0.35">
      <c r="E41" s="30" t="s">
        <v>78</v>
      </c>
      <c r="F41" s="48">
        <f>'Momnetum ranking'!J26</f>
        <v>-2.9066802651708329E-2</v>
      </c>
      <c r="G41" s="49">
        <f>'Momnetum ranking'!K26</f>
        <v>0.52807831014940798</v>
      </c>
      <c r="H41" s="48">
        <f>'Momnetum ranking'!Q26</f>
        <v>0.92555653999999998</v>
      </c>
      <c r="I41" s="50">
        <f>'Momnetum ranking'!O26</f>
        <v>3.8729667999999999</v>
      </c>
      <c r="J41" s="30"/>
      <c r="K41" s="30">
        <f t="shared" si="3"/>
        <v>8</v>
      </c>
      <c r="L41" s="30">
        <f t="shared" si="4"/>
        <v>7</v>
      </c>
      <c r="M41" s="30">
        <f t="shared" si="5"/>
        <v>9</v>
      </c>
      <c r="N41" s="30">
        <f t="shared" si="6"/>
        <v>2</v>
      </c>
      <c r="O41" s="47">
        <f t="shared" si="7"/>
        <v>7.5</v>
      </c>
      <c r="P41" s="51">
        <f t="shared" si="8"/>
        <v>3.5</v>
      </c>
    </row>
    <row r="42" spans="5:16" x14ac:dyDescent="0.35">
      <c r="E42" s="30" t="s">
        <v>64</v>
      </c>
      <c r="F42" s="48">
        <f>'Momnetum ranking'!J27</f>
        <v>5.7692307692307709E-2</v>
      </c>
      <c r="G42" s="49">
        <f>'Momnetum ranking'!K27</f>
        <v>0.27450980392156898</v>
      </c>
      <c r="H42" s="48">
        <f>'Momnetum ranking'!Q27</f>
        <v>0.87063999999999997</v>
      </c>
      <c r="I42" s="50">
        <f>'Momnetum ranking'!O27</f>
        <v>-2.6505112999999998</v>
      </c>
      <c r="J42" s="30"/>
      <c r="K42" s="30">
        <f t="shared" si="3"/>
        <v>3</v>
      </c>
      <c r="L42" s="30">
        <f t="shared" si="4"/>
        <v>10</v>
      </c>
      <c r="M42" s="30">
        <f t="shared" si="5"/>
        <v>10</v>
      </c>
      <c r="N42" s="30">
        <f t="shared" si="6"/>
        <v>10</v>
      </c>
      <c r="O42" s="47">
        <f t="shared" si="7"/>
        <v>10</v>
      </c>
      <c r="P42" s="51">
        <f t="shared" si="8"/>
        <v>6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0.33177933177933178</v>
      </c>
      <c r="M46" s="21">
        <f>'Momnetum ranking'!I18</f>
        <v>0.46620046620046618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CASH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0.20673486786018755</v>
      </c>
      <c r="M47" s="21">
        <f>'Momnetum ranking'!I19</f>
        <v>0.25426257459505541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CASH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0.38243626062322944</v>
      </c>
      <c r="M48" s="21">
        <f>'Momnetum ranking'!I20</f>
        <v>0.36473087818696887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CASH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0.53266331658291455</v>
      </c>
      <c r="M49" s="21">
        <f>'Momnetum ranking'!I21</f>
        <v>0.39698492462311558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CASH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0.33200795228628233</v>
      </c>
      <c r="M50" s="21">
        <f>'Momnetum ranking'!I22</f>
        <v>0.32405566600397612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0.34640522875816993</v>
      </c>
      <c r="M51" s="21">
        <f>'Momnetum ranking'!I23</f>
        <v>0.36601307189542481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CASH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0.39598278335724535</v>
      </c>
      <c r="M52" s="21">
        <f>'Momnetum ranking'!I24</f>
        <v>0.36585365853658536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0.36274509803921567</v>
      </c>
      <c r="M53" s="21">
        <f>'Momnetum ranking'!I25</f>
        <v>0.25490196078431371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0.19275879653238143</v>
      </c>
      <c r="M54" s="21">
        <f>'Momnetum ranking'!I26</f>
        <v>0.22182559918408976</v>
      </c>
    </row>
    <row r="55" spans="5:15" ht="15" thickBot="1" x14ac:dyDescent="0.4">
      <c r="K55" s="9" t="s">
        <v>64</v>
      </c>
      <c r="L55" s="26">
        <f>'Momnetum ranking'!H27</f>
        <v>0.46153846153846156</v>
      </c>
      <c r="M55" s="22">
        <f>'Momnetum ranking'!I27</f>
        <v>0.40384615384615385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>
        <f>'Global Value'!M3</f>
        <v>6.4189906127163743E-2</v>
      </c>
      <c r="G58" s="1"/>
      <c r="J58" s="6"/>
    </row>
    <row r="59" spans="5:15" x14ac:dyDescent="0.35">
      <c r="E59" s="20" t="s">
        <v>15</v>
      </c>
      <c r="F59" s="21">
        <f>'Global Value'!M4</f>
        <v>0.12927739927435627</v>
      </c>
      <c r="J59" s="6"/>
    </row>
    <row r="60" spans="5:15" x14ac:dyDescent="0.35">
      <c r="E60" s="20" t="s">
        <v>12</v>
      </c>
      <c r="F60" s="21">
        <f>'Global Value'!M5</f>
        <v>6.5575262396550718E-2</v>
      </c>
      <c r="J60" s="6"/>
    </row>
    <row r="61" spans="5:15" x14ac:dyDescent="0.35">
      <c r="E61" s="20" t="s">
        <v>93</v>
      </c>
      <c r="F61" s="21">
        <f>'Global Value'!M6</f>
        <v>3.4426894371652944E-2</v>
      </c>
      <c r="J61" s="6"/>
    </row>
    <row r="62" spans="5:15" x14ac:dyDescent="0.35">
      <c r="E62" s="20" t="s">
        <v>49</v>
      </c>
      <c r="F62" s="21">
        <f>'Global Value'!M7</f>
        <v>5.1738911934506346E-2</v>
      </c>
      <c r="J62" s="6"/>
      <c r="O62" s="19"/>
    </row>
    <row r="63" spans="5:15" x14ac:dyDescent="0.35">
      <c r="E63" s="20" t="s">
        <v>9</v>
      </c>
      <c r="F63" s="21">
        <f>'Global Value'!M8</f>
        <v>1.7948646602489196E-2</v>
      </c>
      <c r="J63" s="6"/>
    </row>
    <row r="64" spans="5:15" ht="15" thickBot="1" x14ac:dyDescent="0.4">
      <c r="E64" s="9" t="s">
        <v>64</v>
      </c>
      <c r="F64" s="22">
        <f>'Global Value'!M9</f>
        <v>8.8410983956117503E-2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25.260220334080898</v>
      </c>
      <c r="G3" s="4" cm="1">
        <f t="array" ref="G3">_xll.FDS(A3,"FG_PE_NTM(0,,,90,0)")</f>
        <v>20.8026400513372</v>
      </c>
      <c r="H3" cm="1">
        <f t="array" ref="H3">_xll.FDS(A3,"FMA_DIV_YLD(NTMA,NOW,NOW,M,""PORTAGG"",""MEANR"")")</f>
        <v>1.3739616518642801</v>
      </c>
      <c r="I3" s="60" cm="1">
        <f t="array" ref="I3">_xll.FDS(A3,"FG_FCF_YIELD_NTM(0)")</f>
        <v>4.1106274523404398</v>
      </c>
      <c r="J3" s="59">
        <f>HLOOKUP(A3,'Index earnings'!$B$1:$H$26,26,FALSE)</f>
        <v>5.9884631603759342E-2</v>
      </c>
      <c r="K3" cm="1">
        <f t="array" ref="K3">_xll.FDS(E3,"FG_YIELD(0,,,,""YTM"")")</f>
        <v>3.6800999999999999</v>
      </c>
      <c r="L3" s="61">
        <f>I3/100+J3</f>
        <v>0.10099090612716374</v>
      </c>
      <c r="M3" s="21">
        <f>L3-K3/100</f>
        <v>6.4189906127163743E-2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32.348697889422503</v>
      </c>
      <c r="G4" s="4" cm="1">
        <f t="array" ref="G4">_xll.FDS(A4,"FG_PE_NTM(0,,,90,0)")</f>
        <v>25.8375847254087</v>
      </c>
      <c r="H4" cm="1">
        <f t="array" ref="H4">_xll.FDS(A4,"FMA_DIV_YLD(NTMA,NOW,NOW,M,""PORTAGG"",""MEANR"")")</f>
        <v>0.83581193447465096</v>
      </c>
      <c r="I4" s="60" cm="1">
        <f t="array" ref="I4">_xll.FDS(A4,"FG_FCF_YIELD_NTM(0)")</f>
        <v>3.6188800064104498</v>
      </c>
      <c r="J4" s="59">
        <f>HLOOKUP(A4,'Index earnings'!$B$1:$H$26,26,FALSE)</f>
        <v>0.12988959921025178</v>
      </c>
      <c r="K4" cm="1">
        <f t="array" ref="K4">_xll.FDS(E4,"FG_YIELD(0,,,,""YTM"")")</f>
        <v>3.6800999999999999</v>
      </c>
      <c r="L4" s="61">
        <f t="shared" ref="L4:L8" si="0">I4/100+J4</f>
        <v>0.16607839927435628</v>
      </c>
      <c r="M4" s="21">
        <f t="shared" ref="M4:M9" si="1">L4-K4/100</f>
        <v>0.12927739927435627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16.294694762665401</v>
      </c>
      <c r="G5" s="4" cm="1">
        <f t="array" ref="G5">_xll.FDS(A5,"FG_PE_NTM(0,,,90,0)")</f>
        <v>13.792434769929701</v>
      </c>
      <c r="H5" cm="1">
        <f t="array" ref="H5">_xll.FDS(A5,"FMA_DIV_YLD(NTMA,NOW,NOW,M,""PORTAGG"",""MEANR"")")</f>
        <v>2.37520994994013</v>
      </c>
      <c r="I5" s="60" cm="1">
        <f t="array" ref="I5">_xll.FDS(A5,"FG_FCF_YIELD_NTM(0)")</f>
        <v>4.16397976987282</v>
      </c>
      <c r="J5" s="59">
        <f>HLOOKUP(A5,'Index earnings'!$B$1:$H$26,26,FALSE)</f>
        <v>3.2577464697822522E-2</v>
      </c>
      <c r="K5" cm="1">
        <f t="array" ref="K5">_xll.FDS(E5,"FG_YIELD(0,,,,""YTM"")")</f>
        <v>0.86419999999999997</v>
      </c>
      <c r="L5" s="61">
        <f t="shared" si="0"/>
        <v>7.4217262396550715E-2</v>
      </c>
      <c r="M5" s="21">
        <f t="shared" si="1"/>
        <v>6.5575262396550718E-2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15.1582445076425</v>
      </c>
      <c r="G6" s="4" cm="1">
        <f t="array" ref="G6">_xll.FDS(A6,"FG_PE_NTM(0,,,90,0)")</f>
        <v>12.8760659329158</v>
      </c>
      <c r="H6" cm="1">
        <f t="array" ref="H6">_xll.FDS(A6,"FMA_DIV_YLD(NTMA,NOW,NOW,M,""PORTAGG"",""MEANR"")")</f>
        <v>2.9430533541080401</v>
      </c>
      <c r="I6" s="60" cm="1">
        <f t="array" ref="I6">_xll.FDS(A6,"FG_FCF_YIELD_NTM(0)")</f>
        <v>5.4619193714790901</v>
      </c>
      <c r="J6" s="59">
        <f>HLOOKUP(A6,'Index earnings'!$B$1:$H$26,26,FALSE)</f>
        <v>1.6608700656862041E-2</v>
      </c>
      <c r="K6" cm="1">
        <f t="array" ref="K6">_xll.FDS(E6,"FG_YIELD(0,,,,""YTM"")")</f>
        <v>3.6800999999999999</v>
      </c>
      <c r="L6" s="61">
        <f t="shared" si="0"/>
        <v>7.1227894371652944E-2</v>
      </c>
      <c r="M6" s="21">
        <f t="shared" si="1"/>
        <v>3.4426894371652944E-2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21.548009356404599</v>
      </c>
      <c r="G7" s="4" cm="1">
        <f t="array" ref="G7">_xll.FDS(A7,"FG_PE_NTM(0,,,90,0)")</f>
        <v>18.068636005823699</v>
      </c>
      <c r="H7" cm="1">
        <f t="array" ref="H7">_xll.FDS(A7,"FMA_DIV_YLD(NTMA,NOW,NOW,M,""PORTAGG"",""MEANR"")")</f>
        <v>1.88703849567962</v>
      </c>
      <c r="I7" s="60" cm="1">
        <f t="array" ref="I7">_xll.FDS(A7,"FG_FCF_YIELD_NTM(0)")</f>
        <v>4.3948550430279303</v>
      </c>
      <c r="J7" s="59">
        <f>HLOOKUP(A7,'Index earnings'!$B$1:$H$26,26,FALSE)</f>
        <v>4.4591361504227045E-2</v>
      </c>
      <c r="K7" cm="1">
        <f t="array" ref="K7">_xll.FDS(E7,"FG_YIELD(0,,,,""YTM"")")</f>
        <v>3.6800999999999999</v>
      </c>
      <c r="L7" s="61">
        <f t="shared" si="0"/>
        <v>8.8539911934506346E-2</v>
      </c>
      <c r="M7" s="21">
        <f t="shared" si="1"/>
        <v>5.1738911934506346E-2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26.7023372889877</v>
      </c>
      <c r="G8" s="4" cm="1">
        <f t="array" ref="G8">_xll.FDS(A8,"FG_PE_NTM(0,,,90,0)")</f>
        <v>24.5212043267368</v>
      </c>
      <c r="H8" cm="1">
        <f t="array" ref="H8">_xll.FDS(A8,"FMA_DIV_YLD(NTMA,NOW,NOW,M,""PORTAGG"",""MEANR"")")</f>
        <v>1.2263074954516699</v>
      </c>
      <c r="I8" s="60" cm="1">
        <f t="array" ref="I8">_xll.FDS(A8,"FG_FCF_YIELD_NTM(0)")</f>
        <v>2.6077474362558499</v>
      </c>
      <c r="J8" s="59">
        <f>HLOOKUP(A8,'Index earnings'!$B$1:$H$26,26,FALSE)</f>
        <v>6.0166172239930704E-2</v>
      </c>
      <c r="K8" cm="1">
        <f t="array" ref="K8">_xll.FDS(E8,"FG_YIELD(0,,,,""YTM"")")</f>
        <v>6.8295000000000003</v>
      </c>
      <c r="L8" s="61">
        <f t="shared" si="0"/>
        <v>8.6243646602489205E-2</v>
      </c>
      <c r="M8" s="21">
        <f t="shared" si="1"/>
        <v>1.7948646602489196E-2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9.4973891185346595</v>
      </c>
      <c r="G9" s="53" cm="1">
        <f t="array" ref="G9">_xll.FDS(A9,"FG_PE_NTM(0,,,90,0)")</f>
        <v>6.9243449012828604</v>
      </c>
      <c r="H9" s="10" cm="1">
        <f t="array" ref="H9">_xll.FDS(A9,"FMA_DIV_YLD(NTMA,NOW,NOW,M,""PORTAGG"",""MEANR"")")</f>
        <v>3.7299601440149499</v>
      </c>
      <c r="I9" s="41" cm="1">
        <f t="array" ref="I9">_xll.FDS(A9,"FG_FCF_YIELD_NTM(0)")</f>
        <v>7.8241715844016504</v>
      </c>
      <c r="J9" s="62">
        <f>HLOOKUP(A9,'Index earnings'!$B$1:$H$26,26,FALSE)</f>
        <v>7.2171382515967997E-2</v>
      </c>
      <c r="K9" s="10" cm="1">
        <f t="array" ref="K9">_xll.FDS(E9,"FG_YIELD(0,,,,""YTM"")")</f>
        <v>2.1059999999999999</v>
      </c>
      <c r="L9" s="54">
        <f>H9/100+J9</f>
        <v>0.1094709839561175</v>
      </c>
      <c r="M9" s="22">
        <f t="shared" si="1"/>
        <v>8.8410983956117503E-2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1.1888384999999999</v>
      </c>
      <c r="F3" s="3" cm="1">
        <f t="array" ref="F3">_xll.FDS(C3,"FG_TOTAL_RETURNC(0,-3AM)")</f>
        <v>1.6974092000000001</v>
      </c>
      <c r="G3" s="3" cm="1">
        <f t="array" ref="G3">_xll.FDS(C3,"FG_TOTAL_RETURNC(0,-6AM)")</f>
        <v>5.3107259999999998</v>
      </c>
      <c r="H3" s="6" cm="1">
        <f t="array" ref="H3">_xll.FDS(C3,"P_PRICE(0)/P_PRICE_HIGH_PR(0,,,USD,,,""PRICE"",""INTRA"",""52W"")")</f>
        <v>0.96796066000000003</v>
      </c>
      <c r="K3" s="4">
        <f>_xlfn.RANK.EQ(H3,H$3:H$16)</f>
        <v>7</v>
      </c>
      <c r="L3" s="4">
        <f>_xlfn.RANK.EQ(F3,F$3:F$16)</f>
        <v>7</v>
      </c>
      <c r="M3" s="4">
        <f>_xlfn.RANK.EQ(G3,G$3:G$16)</f>
        <v>6</v>
      </c>
      <c r="N3" s="4"/>
      <c r="P3" s="3">
        <f t="shared" ref="P3:P15" si="0">SUMPRODUCT($K$2:$M$2,K3:M3)</f>
        <v>6.6</v>
      </c>
      <c r="Q3">
        <f t="shared" ref="Q3:Q15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4.8418283000000004</v>
      </c>
      <c r="F4" s="3" cm="1">
        <f t="array" ref="F4">_xll.FDS(C4,"FG_TOTAL_RETURNC(0,-3AM)")</f>
        <v>3.6087275000000001</v>
      </c>
      <c r="G4" s="3" cm="1">
        <f t="array" ref="G4">_xll.FDS(C4,"FG_TOTAL_RETURNC(0,-6AM)")</f>
        <v>8.8762760000000007</v>
      </c>
      <c r="H4" s="6" cm="1">
        <f t="array" ref="H4">_xll.FDS(C4,"P_PRICE(0)/P_PRICE_HIGH_PR(0,,,USD,,,""PRICE"",""INTRA"",""52W"")")</f>
        <v>0.98925980000000002</v>
      </c>
      <c r="I4" s="29"/>
      <c r="K4" s="4">
        <f t="shared" ref="K4:K16" si="3">_xlfn.RANK.EQ(H4,H$3:H$16)</f>
        <v>3</v>
      </c>
      <c r="L4" s="4">
        <f t="shared" ref="L4:L16" si="4">_xlfn.RANK.EQ(F4,F$3:F$16)</f>
        <v>3</v>
      </c>
      <c r="M4" s="4">
        <f t="shared" ref="M4:M16" si="5">_xlfn.RANK.EQ(G4,G$3:G$16)</f>
        <v>2</v>
      </c>
      <c r="N4" s="4"/>
      <c r="P4" s="3">
        <f t="shared" si="0"/>
        <v>2.64</v>
      </c>
      <c r="Q4">
        <f t="shared" si="1"/>
        <v>0</v>
      </c>
      <c r="S4" s="3">
        <f t="shared" ref="S4:S16" si="6">15-_xlfn.RANK.EQ(P4,$P$3:$P$16)</f>
        <v>2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3.4674524999999998</v>
      </c>
      <c r="F5" s="3" cm="1">
        <f t="array" ref="F5">_xll.FDS(C5,"FG_TOTAL_RETURNC(0,-3AM)")</f>
        <v>10.064268</v>
      </c>
      <c r="G5" s="3" cm="1">
        <f t="array" ref="G5">_xll.FDS(C5,"FG_TOTAL_RETURNC(0,-6AM)")</f>
        <v>18.289207000000001</v>
      </c>
      <c r="H5" s="6" cm="1">
        <f t="array" ref="H5">_xll.FDS(C5,"P_PRICE(0)/P_PRICE_HIGH_PR(0,,,USD,,,""PRICE"",""INTRA"",""52W"")")</f>
        <v>0.99949250000000001</v>
      </c>
      <c r="I5" s="29"/>
      <c r="K5" s="4">
        <f t="shared" si="3"/>
        <v>1</v>
      </c>
      <c r="L5" s="4">
        <f t="shared" si="4"/>
        <v>1</v>
      </c>
      <c r="M5" s="4">
        <f t="shared" si="5"/>
        <v>1</v>
      </c>
      <c r="N5" s="4"/>
      <c r="P5" s="3">
        <f t="shared" si="0"/>
        <v>0.99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-1.2250601999999999</v>
      </c>
      <c r="F6" s="3" cm="1">
        <f t="array" ref="F6">_xll.FDS(C6,"FG_TOTAL_RETURNC(0,-3AM)")</f>
        <v>-1.8434823</v>
      </c>
      <c r="G6" s="3" cm="1">
        <f t="array" ref="G6">_xll.FDS(C6,"FG_TOTAL_RETURNC(0,-6AM)")</f>
        <v>1.4013648000000001</v>
      </c>
      <c r="H6" s="6" cm="1">
        <f t="array" ref="H6">_xll.FDS(C6,"P_PRICE(0)/P_PRICE_HIGH_PR(0,,,USD,,,""PRICE"",""INTRA"",""52W"")")</f>
        <v>0.93552124999999997</v>
      </c>
      <c r="I6" s="29"/>
      <c r="K6" s="4">
        <f t="shared" si="3"/>
        <v>10</v>
      </c>
      <c r="L6" s="4">
        <f t="shared" si="4"/>
        <v>10</v>
      </c>
      <c r="M6" s="4">
        <f t="shared" si="5"/>
        <v>10</v>
      </c>
      <c r="N6" s="4"/>
      <c r="P6" s="3">
        <f t="shared" si="0"/>
        <v>9.9</v>
      </c>
      <c r="Q6">
        <f t="shared" si="1"/>
        <v>0</v>
      </c>
      <c r="S6" s="3">
        <f t="shared" si="6"/>
        <v>11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4.8384904999999998</v>
      </c>
      <c r="F7" s="3" cm="1">
        <f t="array" ref="F7">_xll.FDS(C7,"FG_TOTAL_RETURNC(0,-3AM)")</f>
        <v>-3.578663E-2</v>
      </c>
      <c r="G7" s="3" cm="1">
        <f t="array" ref="G7">_xll.FDS(C7,"FG_TOTAL_RETURNC(0,-6AM)")</f>
        <v>6.9741726000000002</v>
      </c>
      <c r="H7" s="6" cm="1">
        <f t="array" ref="H7">_xll.FDS(C7,"P_PRICE(0)/P_PRICE_HIGH_PR(0,,,USD,,,""PRICE"",""INTRA"",""52W"")")</f>
        <v>0.93982370000000004</v>
      </c>
      <c r="I7" s="1"/>
      <c r="K7" s="4">
        <f t="shared" si="3"/>
        <v>9</v>
      </c>
      <c r="L7" s="4">
        <f t="shared" si="4"/>
        <v>9</v>
      </c>
      <c r="M7" s="4">
        <f t="shared" si="5"/>
        <v>4</v>
      </c>
      <c r="N7" s="4"/>
      <c r="P7" s="3">
        <f t="shared" si="0"/>
        <v>7.2600000000000007</v>
      </c>
      <c r="Q7">
        <f t="shared" si="1"/>
        <v>0</v>
      </c>
      <c r="S7" s="3">
        <f t="shared" si="6"/>
        <v>8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-3.9964436999999999</v>
      </c>
      <c r="F8" s="3" cm="1">
        <f t="array" ref="F8">_xll.FDS(C8,"FG_TOTAL_RETURNC(0,-3AM)")</f>
        <v>-6.5687059999999997</v>
      </c>
      <c r="G8" s="3" cm="1">
        <f t="array" ref="G8">_xll.FDS(C8,"FG_TOTAL_RETURNC(0,-6AM)")</f>
        <v>-3.0493199999999998</v>
      </c>
      <c r="H8" s="6" cm="1">
        <f t="array" ref="H8">_xll.FDS(C8,"P_PRICE(0)/P_PRICE_HIGH_PR(0,,,USD,,,""PRICE"",""INTRA"",""52W"")")</f>
        <v>0.84354275000000001</v>
      </c>
      <c r="I8" s="1"/>
      <c r="K8" s="4">
        <f t="shared" si="3"/>
        <v>12</v>
      </c>
      <c r="L8" s="4">
        <f t="shared" si="4"/>
        <v>12</v>
      </c>
      <c r="M8" s="4">
        <f t="shared" si="5"/>
        <v>12</v>
      </c>
      <c r="N8" s="4"/>
      <c r="P8" s="3">
        <f t="shared" si="0"/>
        <v>11.879999999999999</v>
      </c>
      <c r="Q8">
        <f t="shared" si="1"/>
        <v>0</v>
      </c>
      <c r="S8" s="3">
        <f t="shared" si="6"/>
        <v>12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-11.115349</v>
      </c>
      <c r="F9" s="3" cm="1">
        <f t="array" ref="F9">_xll.FDS(C9,"FG_TOTAL_RETURNC(0,-3AM)")</f>
        <v>-8.0152750000000008</v>
      </c>
      <c r="G9" s="3" cm="1">
        <f t="array" ref="G9">_xll.FDS(C9,"FG_TOTAL_RETURNC(0,-6AM)")</f>
        <v>-4.7171060000000002</v>
      </c>
      <c r="H9" s="6" cm="1">
        <f t="array" ref="H9">_xll.FDS(C9,"P_PRICE(0)/P_PRICE_HIGH_PR(0,,,USD,,,""PRICE"",""INTRA"",""52W"")")</f>
        <v>0.83790909999999996</v>
      </c>
      <c r="I9" s="1"/>
      <c r="K9" s="4">
        <f t="shared" si="3"/>
        <v>13</v>
      </c>
      <c r="L9" s="4">
        <f t="shared" si="4"/>
        <v>13</v>
      </c>
      <c r="M9" s="4">
        <f t="shared" si="5"/>
        <v>13</v>
      </c>
      <c r="N9" s="4"/>
      <c r="P9" s="3">
        <f t="shared" si="0"/>
        <v>12.870000000000001</v>
      </c>
      <c r="Q9">
        <f t="shared" si="1"/>
        <v>0</v>
      </c>
      <c r="S9" s="3">
        <f t="shared" si="6"/>
        <v>13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3.9855360000000002</v>
      </c>
      <c r="F10" s="3" cm="1">
        <f t="array" ref="F10">_xll.FDS(C10,"FG_TOTAL_RETURNC(0,-3AM)")</f>
        <v>9.293806</v>
      </c>
      <c r="G10" s="3" cm="1">
        <f t="array" ref="G10">_xll.FDS(C10,"FG_TOTAL_RETURNC(0,-6AM)")</f>
        <v>7.6678157000000002</v>
      </c>
      <c r="H10" s="6" cm="1">
        <f t="array" ref="H10">_xll.FDS(C10,"P_PRICE(0)/P_PRICE_HIGH_PR(0,,,USD,,,""PRICE"",""INTRA"",""52W"")")</f>
        <v>0.98918355000000002</v>
      </c>
      <c r="K10" s="4">
        <f t="shared" si="3"/>
        <v>4</v>
      </c>
      <c r="L10" s="4">
        <f t="shared" si="4"/>
        <v>2</v>
      </c>
      <c r="M10" s="4">
        <f t="shared" si="5"/>
        <v>3</v>
      </c>
      <c r="N10" s="4"/>
      <c r="P10" s="3">
        <f t="shared" si="0"/>
        <v>2.9699999999999998</v>
      </c>
      <c r="Q10">
        <f t="shared" si="1"/>
        <v>0</v>
      </c>
      <c r="S10" s="3">
        <f t="shared" si="6"/>
        <v>3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4.2405963</v>
      </c>
      <c r="F11" s="3" cm="1">
        <f t="array" ref="F11">_xll.FDS(C11,"FG_TOTAL_RETURNC(0,-3AM)")</f>
        <v>0.86911917000000005</v>
      </c>
      <c r="G11" s="3" cm="1">
        <f t="array" ref="G11">_xll.FDS(C11,"FG_TOTAL_RETURNC(0,-6AM)")</f>
        <v>4.8554063000000003</v>
      </c>
      <c r="H11" s="6" cm="1">
        <f t="array" ref="H11">_xll.FDS(C11,"P_PRICE(0)/P_PRICE_HIGH_PR(0,,,USD,,,""PRICE"",""INTRA"",""52W"")")</f>
        <v>0.97482769999999996</v>
      </c>
      <c r="K11" s="4">
        <f t="shared" si="3"/>
        <v>5</v>
      </c>
      <c r="L11" s="4">
        <f t="shared" si="4"/>
        <v>8</v>
      </c>
      <c r="M11" s="4">
        <f t="shared" si="5"/>
        <v>8</v>
      </c>
      <c r="P11" s="3">
        <f t="shared" si="0"/>
        <v>6.93</v>
      </c>
      <c r="Q11">
        <f t="shared" si="1"/>
        <v>0</v>
      </c>
      <c r="S11" s="3">
        <f t="shared" si="6"/>
        <v>7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2.0269156000000002</v>
      </c>
      <c r="F12" s="3" cm="1">
        <f t="array" ref="F12">_xll.FDS(C12,"FG_TOTAL_RETURNC(0,-3AM)")</f>
        <v>3.3828140000000002</v>
      </c>
      <c r="G12" s="3" cm="1">
        <f t="array" ref="G12">_xll.FDS(C12,"FG_TOTAL_RETURNC(0,-6AM)")</f>
        <v>4.7946095</v>
      </c>
      <c r="H12" s="6" cm="1">
        <f t="array" ref="H12">_xll.FDS(C12,"P_PRICE(0)/P_PRICE_HIGH_PR(0,,,USD,,,""PRICE"",""INTRA"",""52W"")")</f>
        <v>0.96333230000000003</v>
      </c>
      <c r="K12" s="4">
        <f t="shared" si="3"/>
        <v>8</v>
      </c>
      <c r="L12" s="4">
        <f t="shared" si="4"/>
        <v>4</v>
      </c>
      <c r="M12" s="4">
        <f t="shared" si="5"/>
        <v>9</v>
      </c>
      <c r="P12" s="3">
        <f t="shared" si="0"/>
        <v>6.93</v>
      </c>
      <c r="Q12">
        <f t="shared" si="1"/>
        <v>0</v>
      </c>
      <c r="S12" s="3">
        <f t="shared" si="6"/>
        <v>7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6.8766116999999998</v>
      </c>
      <c r="F13" s="3" cm="1">
        <f t="array" ref="F13">_xll.FDS(C13,"FG_TOTAL_RETURNC(0,-3AM)")</f>
        <v>2.7197003</v>
      </c>
      <c r="G13" s="3" cm="1">
        <f t="array" ref="G13">_xll.FDS(C13,"FG_TOTAL_RETURNC(0,-6AM)")</f>
        <v>1.1360645</v>
      </c>
      <c r="H13" s="6" cm="1">
        <f t="array" ref="H13">_xll.FDS(C13,"P_PRICE(0)/P_PRICE_HIGH_PR(0,,,USD,,,""PRICE"",""INTRA"",""52W"")")</f>
        <v>0.97131009999999995</v>
      </c>
      <c r="K13" s="4">
        <f t="shared" si="3"/>
        <v>6</v>
      </c>
      <c r="L13" s="4">
        <f t="shared" si="4"/>
        <v>6</v>
      </c>
      <c r="M13" s="4">
        <f t="shared" si="5"/>
        <v>11</v>
      </c>
      <c r="P13" s="3">
        <f t="shared" si="0"/>
        <v>7.59</v>
      </c>
      <c r="Q13">
        <f t="shared" si="1"/>
        <v>0</v>
      </c>
      <c r="S13" s="3">
        <f t="shared" si="6"/>
        <v>9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0.23391247000000001</v>
      </c>
      <c r="F14" s="3" cm="1">
        <f t="array" ref="F14">_xll.FDS(C14,"FG_TOTAL_RETURNC(0,-3AM)")</f>
        <v>-2.6505112999999998</v>
      </c>
      <c r="G14" s="3" cm="1">
        <f t="array" ref="G14">_xll.FDS(C14,"FG_TOTAL_RETURNC(0,-6AM)")</f>
        <v>5.0177693000000003</v>
      </c>
      <c r="H14" s="6" cm="1">
        <f t="array" ref="H14">_xll.FDS(C14,"P_PRICE(0)/P_PRICE_HIGH_PR(0,,,USD,,,""PRICE"",""INTRA"",""52W"")")</f>
        <v>0.87063999999999997</v>
      </c>
      <c r="K14" s="4">
        <f t="shared" si="3"/>
        <v>11</v>
      </c>
      <c r="L14" s="4">
        <f t="shared" si="4"/>
        <v>11</v>
      </c>
      <c r="M14" s="4">
        <f t="shared" si="5"/>
        <v>7</v>
      </c>
      <c r="P14" s="3">
        <f t="shared" si="0"/>
        <v>9.57</v>
      </c>
      <c r="Q14">
        <f t="shared" si="1"/>
        <v>0</v>
      </c>
      <c r="S14" s="3">
        <f t="shared" si="6"/>
        <v>10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-1.6611375186067801</v>
      </c>
      <c r="F15" s="3" cm="1">
        <f t="array" ref="F15">_xll.FDS($A15,"P_FUT_TOTAL_RETURN(0,-3AM,,'')")</f>
        <v>-14.1576888013826</v>
      </c>
      <c r="G15" s="3" cm="1">
        <f t="array" ref="G15">_xll.FDS($A15,"P_FUT_TOTAL_RETURN(0,-6AM,,'')")</f>
        <v>-20.112039190840601</v>
      </c>
      <c r="H15" s="6" cm="1">
        <f t="array" ref="H15">_xll.FDS(A15,"FG_PRICE(0)/MAX(FG_PRICE(0,-12AM,D))")</f>
        <v>0.79253196238923096</v>
      </c>
      <c r="K15" s="4">
        <f t="shared" si="3"/>
        <v>14</v>
      </c>
      <c r="L15" s="4">
        <f t="shared" si="4"/>
        <v>14</v>
      </c>
      <c r="M15" s="4">
        <f t="shared" si="5"/>
        <v>14</v>
      </c>
      <c r="P15" s="3">
        <f t="shared" si="0"/>
        <v>13.86</v>
      </c>
      <c r="Q15">
        <f t="shared" si="1"/>
        <v>0</v>
      </c>
      <c r="S15" s="3">
        <f t="shared" si="6"/>
        <v>14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3.5578132</v>
      </c>
      <c r="F16" s="3" cm="1">
        <f t="array" ref="F16">_xll.FDS(C16,"FG_TOTAL_RETURNC(0,-3AM)")</f>
        <v>3.2953024000000002</v>
      </c>
      <c r="G16" s="3" cm="1">
        <f t="array" ref="G16">_xll.FDS(C16,"FG_TOTAL_RETURNC(0,-6AM)")</f>
        <v>6.3274619999999997</v>
      </c>
      <c r="H16" s="6" cm="1">
        <f t="array" ref="H16">_xll.FDS(C16,"P_PRICE(0)/P_PRICE_HIGH_PR(0,,,USD,,,""PRICE"",""INTRA"",""52W"")")</f>
        <v>0.995116</v>
      </c>
      <c r="K16" s="4">
        <f t="shared" si="3"/>
        <v>2</v>
      </c>
      <c r="L16" s="4">
        <f t="shared" si="4"/>
        <v>5</v>
      </c>
      <c r="M16" s="4">
        <f t="shared" si="5"/>
        <v>5</v>
      </c>
      <c r="P16" s="3">
        <f t="shared" ref="P16" si="8">SUMPRODUCT($K$2:$M$2,K16:M16)</f>
        <v>3.96</v>
      </c>
      <c r="Q16">
        <f t="shared" ref="Q16" si="9">COUNTIF(K16:N16,"&gt;70")</f>
        <v>0</v>
      </c>
      <c r="S16" s="3">
        <f t="shared" si="6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-4.0579023000000003</v>
      </c>
      <c r="F3" s="3" cm="1">
        <f t="array" ref="F3">_xll.FDS(C3,"FG_TOTAL_RETURNC(-1AM,-4AM)")</f>
        <v>1.0344863</v>
      </c>
      <c r="G3" s="3" cm="1">
        <f t="array" ref="G3">_xll.FDS(C3,"FG_TOTAL_RETURNC(-1AM,-7AM)")</f>
        <v>7.6947330000000003</v>
      </c>
      <c r="H3" s="6" cm="1">
        <f t="array" ref="H3">_xll.FDS(C3,"P_PRICE(-1AM)/P_PRICE_HIGH_PR(-1AM,,,,,,""PRICE"",""INTRA"",""52W"")")</f>
        <v>0.95658840000000001</v>
      </c>
      <c r="K3" s="4">
        <f>_xlfn.RANK.EQ(H3,H$3:H$16)</f>
        <v>4</v>
      </c>
      <c r="L3" s="4">
        <f>_xlfn.RANK.EQ(F3,F$3:F$16)</f>
        <v>8</v>
      </c>
      <c r="M3" s="4">
        <f>_xlfn.RANK.EQ(G3,G$3:G$16)</f>
        <v>5</v>
      </c>
      <c r="N3" s="4"/>
      <c r="P3" s="3">
        <f t="shared" ref="P3:P16" si="0">SUMPRODUCT($K$2:$M$2,K3:M3)</f>
        <v>5.61</v>
      </c>
      <c r="Q3">
        <f t="shared" ref="Q3:Q16" si="1">COUNTIF(K3:N3,"&gt;70")</f>
        <v>0</v>
      </c>
      <c r="S3" s="3">
        <f>15-_xlfn.RANK.EQ(P3,$P$3:$P$16)</f>
        <v>5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-4.7715069999999997</v>
      </c>
      <c r="F4" s="3" cm="1">
        <f t="array" ref="F4">_xll.FDS(C4,"FG_TOTAL_RETURNC(-1AM,-4AM)")</f>
        <v>2.7172803999999999</v>
      </c>
      <c r="G4" s="3" cm="1">
        <f t="array" ref="G4">_xll.FDS(C4,"FG_TOTAL_RETURNC(-1AM,-7AM)")</f>
        <v>7.1233152999999998</v>
      </c>
      <c r="H4" s="6" cm="1">
        <f t="array" ref="H4">_xll.FDS(C4,"P_PRICE(-1AM)/P_PRICE_HIGH_PR(-1AM,,,,,,""PRICE"",""INTRA"",""52W"")")</f>
        <v>0.94357360000000001</v>
      </c>
      <c r="I4" s="29"/>
      <c r="K4" s="4">
        <f t="shared" ref="K4:K16" si="3">_xlfn.RANK.EQ(H4,H$3:H$16)</f>
        <v>7</v>
      </c>
      <c r="L4" s="4">
        <f t="shared" ref="L4:M16" si="4">_xlfn.RANK.EQ(F4,F$3:F$16)</f>
        <v>5</v>
      </c>
      <c r="M4" s="4">
        <f t="shared" si="4"/>
        <v>6</v>
      </c>
      <c r="N4" s="4"/>
      <c r="P4" s="3">
        <f t="shared" si="0"/>
        <v>5.9399999999999995</v>
      </c>
      <c r="Q4">
        <f t="shared" si="1"/>
        <v>0</v>
      </c>
      <c r="S4" s="3">
        <f t="shared" ref="S4:S16" si="5">15-_xlfn.RANK.EQ(P4,$P$3:$P$16)</f>
        <v>7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2.3755074</v>
      </c>
      <c r="F5" s="3" cm="1">
        <f t="array" ref="F5">_xll.FDS(C5,"FG_TOTAL_RETURNC(-1AM,-4AM)")</f>
        <v>4.435098</v>
      </c>
      <c r="G5" s="3" cm="1">
        <f t="array" ref="G5">_xll.FDS(C5,"FG_TOTAL_RETURNC(-1AM,-7AM)")</f>
        <v>22.072578</v>
      </c>
      <c r="H5" s="6" cm="1">
        <f t="array" ref="H5">_xll.FDS(C5,"P_PRICE(-1AM)/P_PRICE_HIGH_PR(-1AM,,,,,,""PRICE"",""INTRA"",""52W"")")</f>
        <v>0.99460053000000004</v>
      </c>
      <c r="I5" s="29"/>
      <c r="K5" s="4">
        <f t="shared" si="3"/>
        <v>1</v>
      </c>
      <c r="L5" s="4">
        <f t="shared" si="4"/>
        <v>2</v>
      </c>
      <c r="M5" s="4">
        <f t="shared" si="4"/>
        <v>1</v>
      </c>
      <c r="N5" s="4"/>
      <c r="P5" s="3">
        <f t="shared" si="0"/>
        <v>1.32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-0.41826963</v>
      </c>
      <c r="F6" s="3" cm="1">
        <f t="array" ref="F6">_xll.FDS(C6,"FG_TOTAL_RETURNC(-1AM,-4AM)")</f>
        <v>-0.59151052999999998</v>
      </c>
      <c r="G6" s="3" cm="1">
        <f t="array" ref="G6">_xll.FDS(C6,"FG_TOTAL_RETURNC(-1AM,-7AM)")</f>
        <v>1.9628763</v>
      </c>
      <c r="H6" s="6" cm="1">
        <f t="array" ref="H6">_xll.FDS(C6,"P_PRICE(-1AM)/P_PRICE_HIGH_PR(-1AM,,,,,,""PRICE"",""INTRA"",""52W"")")</f>
        <v>0.94712410000000002</v>
      </c>
      <c r="I6" s="29"/>
      <c r="K6" s="4">
        <f t="shared" si="3"/>
        <v>5</v>
      </c>
      <c r="L6" s="4">
        <f t="shared" si="4"/>
        <v>9</v>
      </c>
      <c r="M6" s="4">
        <f t="shared" si="4"/>
        <v>12</v>
      </c>
      <c r="N6" s="4"/>
      <c r="P6" s="3">
        <f t="shared" si="0"/>
        <v>8.58</v>
      </c>
      <c r="Q6">
        <f t="shared" si="1"/>
        <v>0</v>
      </c>
      <c r="S6" s="3">
        <f t="shared" si="5"/>
        <v>9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-8.7789479999999998</v>
      </c>
      <c r="F7" s="3" cm="1">
        <f t="array" ref="F7">_xll.FDS(C7,"FG_TOTAL_RETURNC(-1AM,-4AM)")</f>
        <v>2.2723675000000001</v>
      </c>
      <c r="G7" s="3" cm="1">
        <f t="array" ref="G7">_xll.FDS(C7,"FG_TOTAL_RETURNC(-1AM,-7AM)")</f>
        <v>3.987193</v>
      </c>
      <c r="H7" s="6" cm="1">
        <f t="array" ref="H7">_xll.FDS(C7,"P_PRICE(-1AM)/P_PRICE_HIGH_PR(-1AM,,,,,,""PRICE"",""INTRA"",""52W"")")</f>
        <v>0.89644900000000005</v>
      </c>
      <c r="I7" s="1"/>
      <c r="K7" s="4">
        <f t="shared" si="3"/>
        <v>11</v>
      </c>
      <c r="L7" s="4">
        <f t="shared" si="4"/>
        <v>7</v>
      </c>
      <c r="M7" s="4">
        <f t="shared" si="4"/>
        <v>11</v>
      </c>
      <c r="N7" s="4"/>
      <c r="P7" s="3">
        <f t="shared" si="0"/>
        <v>9.57</v>
      </c>
      <c r="Q7">
        <f t="shared" si="1"/>
        <v>0</v>
      </c>
      <c r="S7" s="3">
        <f t="shared" si="5"/>
        <v>11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-3.3061444999999998</v>
      </c>
      <c r="F8" s="3" cm="1">
        <f t="array" ref="F8">_xll.FDS(C8,"FG_TOTAL_RETURNC(-1AM,-4AM)")</f>
        <v>-3.2646060000000001</v>
      </c>
      <c r="G8" s="3" cm="1">
        <f t="array" ref="G8">_xll.FDS(C8,"FG_TOTAL_RETURNC(-1AM,-7AM)")</f>
        <v>1.122582</v>
      </c>
      <c r="H8" s="6" cm="1">
        <f t="array" ref="H8">_xll.FDS(C8,"P_PRICE(-1AM)/P_PRICE_HIGH_PR(-1AM,,,,,,""PRICE"",""INTRA"",""52W"")")</f>
        <v>0.87865789999999999</v>
      </c>
      <c r="I8" s="1"/>
      <c r="K8" s="4">
        <f t="shared" si="3"/>
        <v>12</v>
      </c>
      <c r="L8" s="4">
        <f t="shared" si="4"/>
        <v>12</v>
      </c>
      <c r="M8" s="4">
        <f t="shared" si="4"/>
        <v>13</v>
      </c>
      <c r="N8" s="4"/>
      <c r="P8" s="3">
        <f t="shared" si="0"/>
        <v>12.21</v>
      </c>
      <c r="Q8">
        <f t="shared" si="1"/>
        <v>0</v>
      </c>
      <c r="S8" s="3">
        <f t="shared" si="5"/>
        <v>14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-2.0186959999999998</v>
      </c>
      <c r="F9" s="3" cm="1">
        <f t="array" ref="F9">_xll.FDS(C9,"FG_TOTAL_RETURNC(-1AM,-4AM)")</f>
        <v>4.422307</v>
      </c>
      <c r="G9" s="3" cm="1">
        <f t="array" ref="G9">_xll.FDS(C9,"FG_TOTAL_RETURNC(-1AM,-7AM)")</f>
        <v>9.0417384999999992</v>
      </c>
      <c r="H9" s="6" cm="1">
        <f t="array" ref="H9">_xll.FDS(C9,"P_PRICE(-1AM)/P_PRICE_HIGH_PR(-1AM,,,,,,""PRICE"",""INTRA"",""52W"")")</f>
        <v>0.94269263999999997</v>
      </c>
      <c r="I9" s="1"/>
      <c r="K9" s="4">
        <f t="shared" si="3"/>
        <v>8</v>
      </c>
      <c r="L9" s="4">
        <f t="shared" si="4"/>
        <v>3</v>
      </c>
      <c r="M9" s="4">
        <f t="shared" si="4"/>
        <v>4</v>
      </c>
      <c r="N9" s="4"/>
      <c r="P9" s="3">
        <f t="shared" si="0"/>
        <v>4.95</v>
      </c>
      <c r="Q9">
        <f t="shared" si="1"/>
        <v>0</v>
      </c>
      <c r="S9" s="3">
        <f t="shared" si="5"/>
        <v>3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3.1819701</v>
      </c>
      <c r="F10" s="3" cm="1">
        <f t="array" ref="F10">_xll.FDS(C10,"FG_TOTAL_RETURNC(-1AM,-4AM)")</f>
        <v>8.2670569999999994</v>
      </c>
      <c r="G10" s="3" cm="1">
        <f t="array" ref="G10">_xll.FDS(C10,"FG_TOTAL_RETURNC(-1AM,-7AM)")</f>
        <v>4.8817159999999999</v>
      </c>
      <c r="H10" s="6" cm="1">
        <f t="array" ref="H10">_xll.FDS(C10,"P_PRICE(-1AM)/P_PRICE_HIGH_PR(-1AM,,,,,,""PRICE"",""INTRA"",""52W"")")</f>
        <v>0.96062446000000001</v>
      </c>
      <c r="K10" s="4">
        <f t="shared" si="3"/>
        <v>3</v>
      </c>
      <c r="L10" s="4">
        <f t="shared" si="4"/>
        <v>1</v>
      </c>
      <c r="M10" s="4">
        <f t="shared" si="4"/>
        <v>10</v>
      </c>
      <c r="N10" s="4"/>
      <c r="P10" s="3">
        <f t="shared" si="0"/>
        <v>4.62</v>
      </c>
      <c r="Q10">
        <f t="shared" si="1"/>
        <v>0</v>
      </c>
      <c r="S10" s="3">
        <f t="shared" si="5"/>
        <v>2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-4.3165445</v>
      </c>
      <c r="F11" s="3" cm="1">
        <f t="array" ref="F11">_xll.FDS(C11,"FG_TOTAL_RETURNC(-1AM,-4AM)")</f>
        <v>-2.0410775999999999</v>
      </c>
      <c r="G11" s="3" cm="1">
        <f t="array" ref="G11">_xll.FDS(C11,"FG_TOTAL_RETURNC(-1AM,-7AM)")</f>
        <v>6.2568190000000001</v>
      </c>
      <c r="H11" s="6" cm="1">
        <f t="array" ref="H11">_xll.FDS(C11,"P_PRICE(-1AM)/P_PRICE_HIGH_PR(-1AM,,,,,,""PRICE"",""INTRA"",""52W"")")</f>
        <v>0.94092673000000004</v>
      </c>
      <c r="K11" s="4">
        <f t="shared" si="3"/>
        <v>9</v>
      </c>
      <c r="L11" s="4">
        <f t="shared" si="4"/>
        <v>10</v>
      </c>
      <c r="M11" s="4">
        <f t="shared" si="4"/>
        <v>7</v>
      </c>
      <c r="P11" s="3">
        <f t="shared" si="0"/>
        <v>8.58</v>
      </c>
      <c r="Q11">
        <f t="shared" si="1"/>
        <v>0</v>
      </c>
      <c r="S11" s="3">
        <f t="shared" si="5"/>
        <v>9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-5.0614540000000003</v>
      </c>
      <c r="F12" s="3" cm="1">
        <f t="array" ref="F12">_xll.FDS(C12,"FG_TOTAL_RETURNC(-1AM,-4AM)")</f>
        <v>2.9627561999999998</v>
      </c>
      <c r="G12" s="3" cm="1">
        <f t="array" ref="G12">_xll.FDS(C12,"FG_TOTAL_RETURNC(-1AM,-7AM)")</f>
        <v>5.7768582999999998</v>
      </c>
      <c r="H12" s="6" cm="1">
        <f t="array" ref="H12">_xll.FDS(C12,"P_PRICE(-1AM)/P_PRICE_HIGH_PR(-1AM,,,,,,""PRICE"",""INTRA"",""52W"")")</f>
        <v>0.94419425999999995</v>
      </c>
      <c r="K12" s="4">
        <f t="shared" si="3"/>
        <v>6</v>
      </c>
      <c r="L12" s="4">
        <f t="shared" si="4"/>
        <v>4</v>
      </c>
      <c r="M12" s="4">
        <f t="shared" si="4"/>
        <v>8</v>
      </c>
      <c r="P12" s="3">
        <f t="shared" si="0"/>
        <v>5.9399999999999995</v>
      </c>
      <c r="Q12">
        <f t="shared" si="1"/>
        <v>0</v>
      </c>
      <c r="S12" s="3">
        <f t="shared" si="5"/>
        <v>7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-7.9411744999999998</v>
      </c>
      <c r="F13" s="3" cm="1">
        <f t="array" ref="F13">_xll.FDS(C13,"FG_TOTAL_RETURNC(-1AM,-4AM)")</f>
        <v>-2.5441587000000001</v>
      </c>
      <c r="G13" s="3" cm="1">
        <f t="array" ref="G13">_xll.FDS(C13,"FG_TOTAL_RETURNC(-1AM,-7AM)")</f>
        <v>-1.118052</v>
      </c>
      <c r="H13" s="6" cm="1">
        <f t="array" ref="H13">_xll.FDS(C13,"P_PRICE(-1AM)/P_PRICE_HIGH_PR(-1AM,,,,,,""PRICE"",""INTRA"",""52W"")")</f>
        <v>0.9120933</v>
      </c>
      <c r="K13" s="4">
        <f t="shared" si="3"/>
        <v>10</v>
      </c>
      <c r="L13" s="4">
        <f t="shared" si="4"/>
        <v>11</v>
      </c>
      <c r="M13" s="4">
        <f t="shared" si="4"/>
        <v>14</v>
      </c>
      <c r="P13" s="3">
        <f t="shared" si="0"/>
        <v>11.55</v>
      </c>
      <c r="Q13">
        <f t="shared" si="1"/>
        <v>0</v>
      </c>
      <c r="S13" s="3">
        <f t="shared" si="5"/>
        <v>13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-5.7678165000000003</v>
      </c>
      <c r="F14" s="3" cm="1">
        <f t="array" ref="F14">_xll.FDS(C14,"FG_TOTAL_RETURNC(-1AM,-4AM)")</f>
        <v>-7.3382319999999996</v>
      </c>
      <c r="G14" s="3" cm="1">
        <f t="array" ref="G14">_xll.FDS(C14,"FG_TOTAL_RETURNC(-1AM,-7AM)")</f>
        <v>13.257801000000001</v>
      </c>
      <c r="H14" s="6" cm="1">
        <f t="array" ref="H14">_xll.FDS(C14,"P_PRICE(-1AM)/P_PRICE_HIGH_PR(-1AM,,,,,,""PRICE"",""INTRA"",""52W"")")</f>
        <v>0.86860820000000005</v>
      </c>
      <c r="K14" s="4">
        <f t="shared" si="3"/>
        <v>13</v>
      </c>
      <c r="L14" s="4">
        <f t="shared" si="4"/>
        <v>14</v>
      </c>
      <c r="M14" s="4">
        <f t="shared" si="4"/>
        <v>3</v>
      </c>
      <c r="P14" s="3">
        <f t="shared" si="0"/>
        <v>9.9</v>
      </c>
      <c r="Q14">
        <f t="shared" si="1"/>
        <v>0</v>
      </c>
      <c r="S14" s="3">
        <f t="shared" si="5"/>
        <v>12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1.2547162948755901</v>
      </c>
      <c r="F15" s="3" cm="1">
        <f t="array" ref="F15">_xll.FDS($A15,"P_FUT_TOTAL_RETURN(-1AM,-4AM,,'')")</f>
        <v>-3.36302997121942</v>
      </c>
      <c r="G15" s="3" cm="1">
        <f t="array" ref="G15">_xll.FDS($A15,"P_FUT_TOTAL_RETURN(-1AM,-7AM,,'')")</f>
        <v>14.102037338652</v>
      </c>
      <c r="H15" s="6" cm="1">
        <f t="array" ref="H15">_xll.FDS(A15,"FG_PRICE(-1AM)/MAX(FG_PRICE(-1AM,-13AM,D))")</f>
        <v>0.80091997564770301</v>
      </c>
      <c r="K15" s="4">
        <f t="shared" si="3"/>
        <v>14</v>
      </c>
      <c r="L15" s="4">
        <f t="shared" si="4"/>
        <v>13</v>
      </c>
      <c r="M15" s="4">
        <f t="shared" si="4"/>
        <v>2</v>
      </c>
      <c r="P15" s="3">
        <f t="shared" si="0"/>
        <v>9.57</v>
      </c>
      <c r="Q15">
        <f t="shared" si="1"/>
        <v>0</v>
      </c>
      <c r="S15" s="3">
        <f t="shared" si="5"/>
        <v>11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-2.8994380999999998</v>
      </c>
      <c r="F16" s="3" cm="1">
        <f t="array" ref="F16">_xll.FDS(C16,"FG_TOTAL_RETURNC(-1AM,-4AM)")</f>
        <v>2.6744962000000001</v>
      </c>
      <c r="G16" s="3" cm="1">
        <f t="array" ref="G16">_xll.FDS(C16,"FG_TOTAL_RETURNC(-1AM,-7AM)")</f>
        <v>5.2139043999999997</v>
      </c>
      <c r="H16" s="6" cm="1">
        <f t="array" ref="H16">_xll.FDS(C16,"P_PRICE(-1AM)/P_PRICE_HIGH_PR(-1AM,,,,,,""PRICE"",""INTRA"",""52W"")")</f>
        <v>0.96742470000000003</v>
      </c>
      <c r="K16" s="4">
        <f t="shared" si="3"/>
        <v>2</v>
      </c>
      <c r="L16" s="4">
        <f t="shared" si="4"/>
        <v>6</v>
      </c>
      <c r="M16" s="4">
        <f t="shared" si="4"/>
        <v>9</v>
      </c>
      <c r="P16" s="3">
        <f t="shared" si="0"/>
        <v>5.61</v>
      </c>
      <c r="Q16">
        <f t="shared" si="1"/>
        <v>0</v>
      </c>
      <c r="S16" s="3">
        <f t="shared" si="5"/>
        <v>5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8</v>
      </c>
      <c r="F3" cm="1">
        <f t="array" ref="F3">_xll.FDS(C3,"FMA_COS_DOWN(""EPS"",""1M"",+1,0,,,""PORTAGG"",""MEANR"")")</f>
        <v>14</v>
      </c>
      <c r="G3" cm="1">
        <f t="array" ref="G3">_xll.FDS(A3,"SIZE(FG_CONSTITUENTS)")</f>
        <v>26</v>
      </c>
      <c r="H3" s="6">
        <f t="shared" ref="H3:H11" si="0">E3/$G3</f>
        <v>0.30769230769230771</v>
      </c>
      <c r="I3" s="6">
        <f t="shared" ref="I3:I11" si="1">F3/$G3</f>
        <v>0.53846153846153844</v>
      </c>
      <c r="J3" s="6">
        <f t="shared" ref="J3:J11" si="2">H3-I3</f>
        <v>-0.23076923076923073</v>
      </c>
      <c r="K3" s="5" cm="1">
        <f t="array" ref="K3">_xll.FDS(A3,"FMA_PCT_ABOVE_MAVG(200,0,,,,""PORTAGG"")")/100</f>
        <v>0.57692307692307698</v>
      </c>
      <c r="L3" s="14" cm="1">
        <f t="array" ref="L3">_xll.FDSB(A3,"PERCENT_CHANGE(FMA_EPS(+1,0,,,,""PORTAGG"",""MEAN""),FMA_EPS(+1,-1AM,,,,""PORTAGG"",""MEAN""))")</f>
        <v>14.6786282752647</v>
      </c>
      <c r="M3" s="14" cm="1">
        <f t="array" ref="M3">_xll.FDSB(A3,"PERCENT_CHANGE(FMA_EPS(+1,0,,,,""PORTAGG"",""MEAN""),FMA_EPS(+1,-3AM,,,,""PORTAGG"",""MEAN""))")</f>
        <v>8.5822486771988693</v>
      </c>
      <c r="O3" s="3" cm="1">
        <f t="array" ref="O3">_xll.FDS(C3,"FG_TOTAL_RETURNC(0,-3AM)")</f>
        <v>8.4017280000000003</v>
      </c>
      <c r="P3" s="3" cm="1">
        <f t="array" ref="P3">_xll.FDS(C3,"FG_TOTAL_RETURNC(0,-6AM)")</f>
        <v>10.256349999999999</v>
      </c>
      <c r="Q3" s="6" cm="1">
        <f t="array" ref="Q3">_xll.FDS(C3,"P_PRICE(0)/P_PRICE_HIGH_PR(0,,,USD,,,""PRICE"",""INTRA"",""52W"")")</f>
        <v>0.99821000000000004</v>
      </c>
      <c r="R3" s="6" cm="1">
        <f t="array" ref="R3">_xll.FDS(C3,"P_PRICE(0)/P_PRICE_low_PR(0,,,USD,,,""PRICE"",""INTRA"",""52W"")-1")</f>
        <v>0.22324823999999999</v>
      </c>
      <c r="T3" s="4" cm="1">
        <f t="array" ref="T3">_xlfn.PERCENTRANK.EXC(_xlfn._xlws.FILTER($R$3:$R$15, ISNUMBER($R$3:$R$15)),R3)*100</f>
        <v>21.4</v>
      </c>
      <c r="U3" s="4">
        <f t="shared" ref="U3:U11" si="3">100-T3</f>
        <v>78.599999999999994</v>
      </c>
      <c r="V3" s="4" cm="1">
        <f t="array" ref="V3">_xlfn.PERCENTRANK.EXC(_xlfn._xlws.FILTER($Q$3:$Q$15, ISNUMBER($Q$3:$Q$15)),Q3)*100</f>
        <v>92.800000000000011</v>
      </c>
      <c r="W3" s="4" cm="1">
        <f t="array" ref="W3">_xlfn.PERCENTRANK.EXC(_xlfn._xlws.FILTER($O$3:$O$15, ISNUMBER($O$3:$O$15)),O3)*100</f>
        <v>85.7</v>
      </c>
      <c r="X3" s="4" cm="1">
        <f t="array" ref="X3">_xlfn.PERCENTRANK.EXC(_xlfn._xlws.FILTER($P$3:$P$15, ISNUMBER($P$3:$P$15)),P3)*100</f>
        <v>85.7</v>
      </c>
      <c r="Z3" s="4" cm="1">
        <f t="array" ref="Z3">_xlfn.PERCENTRANK.EXC(_xlfn._xlws.FILTER($K$3:$K$15, ISNUMBER($K$3:$K$15)),K3)*100</f>
        <v>57.099999999999994</v>
      </c>
      <c r="AA3" s="4" cm="1">
        <f t="array" ref="AA3">_xlfn.PERCENTRANK.EXC(_xlfn._xlws.FILTER($H$3:$H$15, ISNUMBER($H$3:$H$15)),H3)*100</f>
        <v>28.499999999999996</v>
      </c>
      <c r="AB3" s="4" cm="1">
        <f t="array" ref="AB3">_xlfn.PERCENTRANK.EXC(_xlfn._xlws.FILTER($J$3:$J$15, ISNUMBER($J$3:$J$15)),J3)*100</f>
        <v>7.1</v>
      </c>
      <c r="AC3" s="4">
        <f>_xlfn.PERCENTRANK.EXC($L$3:$L$15,L3)*100</f>
        <v>92.800000000000011</v>
      </c>
      <c r="AD3" s="4">
        <f>_xlfn.PERCENTRANK.EXC($M$3:$M$15,M3)*100</f>
        <v>85.7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3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23</v>
      </c>
      <c r="F4" cm="1">
        <f t="array" ref="F4">_xll.FDS(C4,"FMA_COS_DOWN(""EPS"",""1M"",+1,0,,,""PORTAGG"",""MEANR"")")</f>
        <v>30</v>
      </c>
      <c r="G4" cm="1">
        <f t="array" ref="G4">_xll.FDS(A4,"SIZE(FG_CONSTITUENTS)")</f>
        <v>58</v>
      </c>
      <c r="H4" s="6">
        <f t="shared" si="0"/>
        <v>0.39655172413793105</v>
      </c>
      <c r="I4" s="6">
        <f t="shared" si="1"/>
        <v>0.51724137931034486</v>
      </c>
      <c r="J4" s="6">
        <f t="shared" si="2"/>
        <v>-0.12068965517241381</v>
      </c>
      <c r="K4" s="5" cm="1">
        <f t="array" ref="K4">_xll.FDS(A4,"FMA_PCT_ABOVE_MAVG(200,0,,,,""PORTAGG"")")/100</f>
        <v>0.63793103448275901</v>
      </c>
      <c r="L4" s="14" cm="1">
        <f t="array" ref="L4">_xll.FDSB(A4,"PERCENT_CHANGE(FMA_EPS(+1,0,,,,""PORTAGG"",""MEAN""),FMA_EPS(+1,-1AM,,,,""PORTAGG"",""MEAN""))")</f>
        <v>2.2982918509902399</v>
      </c>
      <c r="M4" s="14" cm="1">
        <f t="array" ref="M4">_xll.FDSB(A4,"PERCENT_CHANGE(FMA_EPS(+1,0,,,,""PORTAGG"",""MEAN""),FMA_EPS(+1,-3AM,,,,""PORTAGG"",""MEAN""))")</f>
        <v>-0.32978937425960198</v>
      </c>
      <c r="O4" s="3" cm="1">
        <f t="array" ref="O4">_xll.FDS(C4,"FG_TOTAL_RETURNC(0,-3AM)")</f>
        <v>6.7622900000000001</v>
      </c>
      <c r="P4" s="3" cm="1">
        <f t="array" ref="P4">_xll.FDS(C4,"FG_TOTAL_RETURNC(0,-6AM)")</f>
        <v>8.7980630000000009</v>
      </c>
      <c r="Q4" s="6" cm="1">
        <f t="array" ref="Q4">_xll.FDS(C4,"P_PRICE(0)/P_PRICE_HIGH_PR(0,,,USD,,,""PRICE"",""INTRA"",""52W"")")</f>
        <v>0.9961759</v>
      </c>
      <c r="R4" s="6" cm="1">
        <f t="array" ref="R4">_xll.FDS(C4,"P_PRICE(0)/P_PRICE_low_PR(0,,,USD,,,""PRICE"",""INTRA"",""52W"")-1")</f>
        <v>0.27321600000000001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78.5</v>
      </c>
      <c r="W4" s="4" cm="1">
        <f t="array" ref="W4">_xlfn.PERCENTRANK.EXC(_xlfn._xlws.FILTER($O$3:$O$15, ISNUMBER($O$3:$O$15)),O4)*100</f>
        <v>78.5</v>
      </c>
      <c r="X4" s="4" cm="1">
        <f t="array" ref="X4">_xlfn.PERCENTRANK.EXC(_xlfn._xlws.FILTER($P$3:$P$15, ISNUMBER($P$3:$P$15)),P4)*100</f>
        <v>71.399999999999991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57.099999999999994</v>
      </c>
      <c r="AB4" s="4" cm="1">
        <f t="array" ref="AB4">_xlfn.PERCENTRANK.EXC(_xlfn._xlws.FILTER($J$3:$J$15, ISNUMBER($J$3:$J$15)),J4)*100</f>
        <v>21.4</v>
      </c>
      <c r="AC4" s="4">
        <f t="shared" ref="AC4:AC15" si="6">_xlfn.PERCENTRANK.EXC($L$3:$L$15,L4)*100</f>
        <v>85.7</v>
      </c>
      <c r="AD4" s="4">
        <f t="shared" ref="AD4:AD15" si="7">_xlfn.PERCENTRANK.EXC($M$3:$M$15,M4)*100</f>
        <v>42.8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4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24</v>
      </c>
      <c r="F5" cm="1">
        <f t="array" ref="F5">_xll.FDS(C5,"FMA_COS_DOWN(""EPS"",""1M"",+1,0,,,""PORTAGG"",""MEANR"")")</f>
        <v>39</v>
      </c>
      <c r="G5" cm="1">
        <f t="array" ref="G5">_xll.FDS(A5,"SIZE(FG_CONSTITUENTS)")</f>
        <v>86</v>
      </c>
      <c r="H5" s="6">
        <f t="shared" si="0"/>
        <v>0.27906976744186046</v>
      </c>
      <c r="I5" s="6">
        <f t="shared" si="1"/>
        <v>0.45348837209302323</v>
      </c>
      <c r="J5" s="6">
        <f t="shared" si="2"/>
        <v>-0.17441860465116277</v>
      </c>
      <c r="K5" s="5" cm="1">
        <f t="array" ref="K5">_xll.FDS(A5,"FMA_PCT_ABOVE_MAVG(200,0,,,,""PORTAGG"")")/100</f>
        <v>0.6744186046511631</v>
      </c>
      <c r="L5" s="14" cm="1">
        <f t="array" ref="L5">_xll.FDSB(A5,"PERCENT_CHANGE(FMA_EPS(+1,0,,,,""PORTAGG"",""MEAN""),FMA_EPS(+1,-1AM,,,,""PORTAGG"",""MEAN""))")</f>
        <v>1.2054373976103201</v>
      </c>
      <c r="M5" s="14" cm="1">
        <f t="array" ref="M5">_xll.FDSB(A5,"PERCENT_CHANGE(FMA_EPS(+1,0,,,,""PORTAGG"",""MEAN""),FMA_EPS(+1,-3AM,,,,""PORTAGG"",""MEAN""))")</f>
        <v>1.8675182146010101</v>
      </c>
      <c r="O5" s="3" cm="1">
        <f t="array" ref="O5">_xll.FDS(C5,"FG_TOTAL_RETURNC(0,-3AM)")</f>
        <v>8.8655360000000005</v>
      </c>
      <c r="P5" s="3" cm="1">
        <f t="array" ref="P5">_xll.FDS(C5,"FG_TOTAL_RETURNC(0,-6AM)")</f>
        <v>7.8332186000000004</v>
      </c>
      <c r="Q5" s="6" cm="1">
        <f t="array" ref="Q5">_xll.FDS(C5,"P_PRICE(0)/P_PRICE_HIGH_PR(0,,,USD,,,""PRICE"",""INTRA"",""52W"")")</f>
        <v>0.99727726000000005</v>
      </c>
      <c r="R5" s="6" cm="1">
        <f t="array" ref="R5">_xll.FDS(C5,"P_PRICE(0)/P_PRICE_low_PR(0,,,USD,,,""PRICE"",""INTRA"",""52W"")-1")</f>
        <v>0.28621459999999999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64.2</v>
      </c>
      <c r="Z5" s="4" cm="1">
        <f t="array" ref="Z5">_xlfn.PERCENTRANK.EXC(_xlfn._xlws.FILTER($K$3:$K$15, ISNUMBER($K$3:$K$15)),K5)*100</f>
        <v>85.7</v>
      </c>
      <c r="AA5" s="4" cm="1">
        <f t="array" ref="AA5">_xlfn.PERCENTRANK.EXC(_xlfn._xlws.FILTER($H$3:$H$15, ISNUMBER($H$3:$H$15)),H5)*100</f>
        <v>21.4</v>
      </c>
      <c r="AB5" s="4" cm="1">
        <f t="array" ref="AB5">_xlfn.PERCENTRANK.EXC(_xlfn._xlws.FILTER($J$3:$J$15, ISNUMBER($J$3:$J$15)),J5)*100</f>
        <v>14.2</v>
      </c>
      <c r="AC5" s="4">
        <f t="shared" si="6"/>
        <v>50</v>
      </c>
      <c r="AD5" s="4">
        <f t="shared" si="7"/>
        <v>64.2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3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24</v>
      </c>
      <c r="G6" cm="1">
        <f t="array" ref="G6">_xll.FDS(A6,"SIZE(FG_CONSTITUENTS)")</f>
        <v>57</v>
      </c>
      <c r="H6" s="6">
        <f t="shared" si="0"/>
        <v>0.42105263157894735</v>
      </c>
      <c r="I6" s="6">
        <f t="shared" si="1"/>
        <v>0.42105263157894735</v>
      </c>
      <c r="J6" s="6">
        <f t="shared" si="2"/>
        <v>0</v>
      </c>
      <c r="K6" s="5" cm="1">
        <f t="array" ref="K6">_xll.FDS(A6,"FMA_PCT_ABOVE_MAVG(200,0,,,,""PORTAGG"")")/100</f>
        <v>0.56140350877193002</v>
      </c>
      <c r="L6" s="14" cm="1">
        <f t="array" ref="L6">_xll.FDSB(A6,"PERCENT_CHANGE(FMA_EPS(+1,0,,,,""PORTAGG"",""MEAN""),FMA_EPS(+1,-1AM,,,,""PORTAGG"",""MEAN""))")</f>
        <v>-0.38953629440323301</v>
      </c>
      <c r="M6" s="14" cm="1">
        <f t="array" ref="M6">_xll.FDSB(A6,"PERCENT_CHANGE(FMA_EPS(+1,0,,,,""PORTAGG"",""MEAN""),FMA_EPS(+1,-3AM,,,,""PORTAGG"",""MEAN""))")</f>
        <v>-0.72657552485764998</v>
      </c>
      <c r="O6" s="3" cm="1">
        <f t="array" ref="O6">_xll.FDS(C6,"FG_TOTAL_RETURNC(0,-3AM)")</f>
        <v>2.4880409999999999</v>
      </c>
      <c r="P6" s="3" cm="1">
        <f t="array" ref="P6">_xll.FDS(C6,"FG_TOTAL_RETURNC(0,-6AM)")</f>
        <v>4.7820450000000001</v>
      </c>
      <c r="Q6" s="6" cm="1">
        <f t="array" ref="Q6">_xll.FDS(C6,"P_PRICE(0)/P_PRICE_HIGH_PR(0,,,USD,,,""PRICE"",""INTRA"",""52W"")")</f>
        <v>0.9811436</v>
      </c>
      <c r="R6" s="6" cm="1">
        <f t="array" ref="R6">_xll.FDS(C6,"P_PRICE(0)/P_PRICE_low_PR(0,,,USD,,,""PRICE"",""INTRA"",""52W"")-1")</f>
        <v>0.30054652999999998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64.2</v>
      </c>
      <c r="W6" s="4" cm="1">
        <f t="array" ref="W6">_xlfn.PERCENTRANK.EXC(_xlfn._xlws.FILTER($O$3:$O$15, ISNUMBER($O$3:$O$15)),O6)*100</f>
        <v>42.8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42.8</v>
      </c>
      <c r="AA6" s="4" cm="1">
        <f t="array" ref="AA6">_xlfn.PERCENTRANK.EXC(_xlfn._xlws.FILTER($H$3:$H$15, ISNUMBER($H$3:$H$15)),H6)*100</f>
        <v>71.399999999999991</v>
      </c>
      <c r="AB6" s="4" cm="1">
        <f t="array" ref="AB6">_xlfn.PERCENTRANK.EXC(_xlfn._xlws.FILTER($J$3:$J$15, ISNUMBER($J$3:$J$15)),J6)*100</f>
        <v>57.099999999999994</v>
      </c>
      <c r="AC6" s="4">
        <f t="shared" si="6"/>
        <v>14.2</v>
      </c>
      <c r="AD6" s="4">
        <f t="shared" si="7"/>
        <v>35.699999999999996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106</v>
      </c>
      <c r="F7" cm="1">
        <f t="array" ref="F7">_xll.FDS(C7,"FMA_COS_DOWN(""EPS"",""1M"",+1,0,,,""PORTAGG"",""MEANR"")")</f>
        <v>79</v>
      </c>
      <c r="G7" cm="1">
        <f t="array" ref="G7">_xll.FDS(A7,"SIZE(FG_CONSTITUENTS)")</f>
        <v>199</v>
      </c>
      <c r="H7" s="6">
        <f t="shared" si="0"/>
        <v>0.53266331658291455</v>
      </c>
      <c r="I7" s="6">
        <f t="shared" si="1"/>
        <v>0.39698492462311558</v>
      </c>
      <c r="J7" s="6">
        <f t="shared" si="2"/>
        <v>0.13567839195979897</v>
      </c>
      <c r="K7" s="5" cm="1">
        <f t="array" ref="K7">_xll.FDS(A7,"FMA_PCT_ABOVE_MAVG(200,0,,,,""PORTAGG"")")/100</f>
        <v>0.50251256281406997</v>
      </c>
      <c r="L7" s="14" cm="1">
        <f t="array" ref="L7">_xll.FDSB(A7,"PERCENT_CHANGE(FMA_EPS(+1,0,,,,""PORTAGG"",""MEAN""),FMA_EPS(+1,-1AM,,,,""PORTAGG"",""MEAN""))")</f>
        <v>1.54321458427339</v>
      </c>
      <c r="M7" s="14" cm="1">
        <f t="array" ref="M7">_xll.FDSB(A7,"PERCENT_CHANGE(FMA_EPS(+1,0,,,,""PORTAGG"",""MEAN""),FMA_EPS(+1,-3AM,,,,""PORTAGG"",""MEAN""))")</f>
        <v>10.304060791150899</v>
      </c>
      <c r="O7" s="3" cm="1">
        <f t="array" ref="O7">_xll.FDS(C7,"FG_TOTAL_RETURNC(0,-3AM)")</f>
        <v>2.7197003</v>
      </c>
      <c r="P7" s="3" cm="1">
        <f t="array" ref="P7">_xll.FDS(C7,"FG_TOTAL_RETURNC(0,-6AM)")</f>
        <v>1.1360645</v>
      </c>
      <c r="Q7" s="6" cm="1">
        <f t="array" ref="Q7">_xll.FDS(C7,"P_PRICE(0)/P_PRICE_HIGH_PR(0,,,USD,,,""PRICE"",""INTRA"",""52W"")")</f>
        <v>0.97131009999999995</v>
      </c>
      <c r="R7" s="6" cm="1">
        <f t="array" ref="R7">_xll.FDS(C7,"P_PRICE(0)/P_PRICE_low_PR(0,,,USD,,,""PRICE"",""INTRA"",""52W"")-1")</f>
        <v>0.22814678999999999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50</v>
      </c>
      <c r="W7" s="4" cm="1">
        <f t="array" ref="W7">_xlfn.PERCENTRANK.EXC(_xlfn._xlws.FILTER($O$3:$O$15, ISNUMBER($O$3:$O$15)),O7)*100</f>
        <v>50</v>
      </c>
      <c r="X7" s="4" cm="1">
        <f t="array" ref="X7">_xlfn.PERCENTRANK.EXC(_xlfn._xlws.FILTER($P$3:$P$15, ISNUMBER($P$3:$P$15)),P7)*100</f>
        <v>28.499999999999996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6"/>
        <v>64.2</v>
      </c>
      <c r="AD7" s="4">
        <f t="shared" si="7"/>
        <v>92.800000000000011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17</v>
      </c>
      <c r="G8" cm="1">
        <f t="array" ref="G8">_xll.FDS(A8,"SIZE(FG_CONSTITUENTS)")</f>
        <v>48</v>
      </c>
      <c r="H8" s="6">
        <f t="shared" si="0"/>
        <v>0.45833333333333331</v>
      </c>
      <c r="I8" s="6">
        <f t="shared" si="1"/>
        <v>0.35416666666666669</v>
      </c>
      <c r="J8" s="6">
        <f t="shared" si="2"/>
        <v>0.10416666666666663</v>
      </c>
      <c r="K8" s="5" cm="1">
        <f t="array" ref="K8">_xll.FDS(A8,"FMA_PCT_ABOVE_MAVG(200,0,,,,""PORTAGG"")")/100</f>
        <v>0.54347826086956497</v>
      </c>
      <c r="L8" s="14" cm="1">
        <f t="array" ref="L8">_xll.FDSB(A8,"PERCENT_CHANGE(FMA_EPS(+1,0,,,,""PORTAGG"",""MEAN""),FMA_EPS(+1,-1AM,,,,""PORTAGG"",""MEAN""))")</f>
        <v>2.1628370172009799</v>
      </c>
      <c r="M8" s="14" cm="1">
        <f t="array" ref="M8">_xll.FDSB(A8,"PERCENT_CHANGE(FMA_EPS(+1,0,,,,""PORTAGG"",""MEAN""),FMA_EPS(+1,-3AM,,,,""PORTAGG"",""MEAN""))")</f>
        <v>5.0491446779307099</v>
      </c>
      <c r="O8" s="3" cm="1">
        <f t="array" ref="O8">_xll.FDS(C8,"FG_TOTAL_RETURNC(0,-3AM)")</f>
        <v>4.1394710000000003</v>
      </c>
      <c r="P8" s="3" cm="1">
        <f t="array" ref="P8">_xll.FDS(C8,"FG_TOTAL_RETURNC(0,-6AM)")</f>
        <v>7.0004343999999996</v>
      </c>
      <c r="Q8" s="6" cm="1">
        <f t="array" ref="Q8">_xll.FDS(C8,"P_PRICE(0)/P_PRICE_HIGH_PR(0,,,USD,,,""PRICE"",""INTRA"",""52W"")")</f>
        <v>0.9630398</v>
      </c>
      <c r="R8" s="6" cm="1">
        <f t="array" ref="R8">_xll.FDS(C8,"P_PRICE(0)/P_PRICE_low_PR(0,,,USD,,,""PRICE"",""INTRA"",""52W"")-1")</f>
        <v>0.22912157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71.399999999999991</v>
      </c>
      <c r="X8" s="4" cm="1">
        <f t="array" ref="X8">_xlfn.PERCENTRANK.EXC(_xlfn._xlws.FILTER($P$3:$P$15, ISNUMBER($P$3:$P$15)),P8)*100</f>
        <v>57.099999999999994</v>
      </c>
      <c r="Z8" s="4" cm="1">
        <f t="array" ref="Z8">_xlfn.PERCENTRANK.EXC(_xlfn._xlws.FILTER($K$3:$K$15, ISNUMBER($K$3:$K$15)),K8)*100</f>
        <v>28.499999999999996</v>
      </c>
      <c r="AA8" s="4" cm="1">
        <f t="array" ref="AA8">_xlfn.PERCENTRANK.EXC(_xlfn._xlws.FILTER($H$3:$H$15, ISNUMBER($H$3:$H$15)),H8)*100</f>
        <v>85.7</v>
      </c>
      <c r="AB8" s="4" cm="1">
        <f t="array" ref="AB8">_xlfn.PERCENTRANK.EXC(_xlfn._xlws.FILTER($J$3:$J$15, ISNUMBER($J$3:$J$15)),J8)*100</f>
        <v>71.399999999999991</v>
      </c>
      <c r="AC8" s="4">
        <f t="shared" si="6"/>
        <v>78.5</v>
      </c>
      <c r="AD8" s="4">
        <f t="shared" si="7"/>
        <v>78.5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3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32</v>
      </c>
      <c r="F9" cm="1">
        <f t="array" ref="F9">_xll.FDS(C9,"FMA_COS_DOWN(""EPS"",""1M"",+1,0,,,""PORTAGG"",""MEANR"")")</f>
        <v>34</v>
      </c>
      <c r="G9" cm="1">
        <f t="array" ref="G9">_xll.FDS(A9,"SIZE(FG_CONSTITUENTS)")</f>
        <v>79</v>
      </c>
      <c r="H9" s="6">
        <f t="shared" si="0"/>
        <v>0.4050632911392405</v>
      </c>
      <c r="I9" s="6">
        <f t="shared" si="1"/>
        <v>0.43037974683544306</v>
      </c>
      <c r="J9" s="6">
        <f t="shared" si="2"/>
        <v>-2.5316455696202556E-2</v>
      </c>
      <c r="K9" s="5" cm="1">
        <f t="array" ref="K9">_xll.FDS(A9,"FMA_PCT_ABOVE_MAVG(200,0,,,,""PORTAGG"")")/100</f>
        <v>0.62820512820512808</v>
      </c>
      <c r="L9" s="14" cm="1">
        <f t="array" ref="L9">_xll.FDSB(A9,"PERCENT_CHANGE(FMA_EPS(+1,0,,,,""PORTAGG"",""MEAN""),FMA_EPS(+1,-1AM,,,,""PORTAGG"",""MEAN""))")</f>
        <v>1.9643195299942999</v>
      </c>
      <c r="M9" s="14" cm="1">
        <f t="array" ref="M9">_xll.FDSB(A9,"PERCENT_CHANGE(FMA_EPS(+1,0,,,,""PORTAGG"",""MEAN""),FMA_EPS(+1,-3AM,,,,""PORTAGG"",""MEAN""))")</f>
        <v>1.6768028100808099</v>
      </c>
      <c r="O9" s="3" cm="1">
        <f t="array" ref="O9">_xll.FDS(C9,"FG_TOTAL_RETURNC(0,-3AM)")</f>
        <v>3.9852976999999998</v>
      </c>
      <c r="P9" s="3" cm="1">
        <f t="array" ref="P9">_xll.FDS(C9,"FG_TOTAL_RETURNC(0,-6AM)")</f>
        <v>11.50558</v>
      </c>
      <c r="Q9" s="6" cm="1">
        <f t="array" ref="Q9">_xll.FDS(C9,"P_PRICE(0)/P_PRICE_HIGH_PR(0,,,USD,,,""PRICE"",""INTRA"",""52W"")")</f>
        <v>0.97638005000000005</v>
      </c>
      <c r="R9" s="6" cm="1">
        <f t="array" ref="R9">_xll.FDS(C9,"P_PRICE(0)/P_PRICE_low_PR(0,,,USD,,,""PRICE"",""INTRA"",""52W"")-1")</f>
        <v>0.22063708000000001</v>
      </c>
      <c r="T9" s="4" cm="1">
        <f t="array" ref="T9">_xlfn.PERCENTRANK.EXC(_xlfn._xlws.FILTER($R$3:$R$15, ISNUMBER($R$3:$R$15)),R9)*100</f>
        <v>14.2</v>
      </c>
      <c r="U9" s="4">
        <f t="shared" si="3"/>
        <v>85.8</v>
      </c>
      <c r="V9" s="4" cm="1">
        <f t="array" ref="V9">_xlfn.PERCENTRANK.EXC(_xlfn._xlws.FILTER($Q$3:$Q$15, ISNUMBER($Q$3:$Q$15)),Q9)*100</f>
        <v>57.099999999999994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92.800000000000011</v>
      </c>
      <c r="Z9" s="4" cm="1">
        <f t="array" ref="Z9">_xlfn.PERCENTRANK.EXC(_xlfn._xlws.FILTER($K$3:$K$15, ISNUMBER($K$3:$K$15)),K9)*100</f>
        <v>71.399999999999991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50</v>
      </c>
      <c r="AC9" s="4">
        <f t="shared" si="6"/>
        <v>71.399999999999991</v>
      </c>
      <c r="AD9" s="4">
        <f t="shared" si="7"/>
        <v>57.099999999999994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37</v>
      </c>
      <c r="F10" cm="1">
        <f t="array" ref="F10">_xll.FDS(C10,"FMA_COS_DOWN(""EPS"",""1M"",+1,0,,,""PORTAGG"",""MEANR"")")</f>
        <v>26</v>
      </c>
      <c r="G10" cm="1">
        <f t="array" ref="G10">_xll.FDS(A10,"SIZE(FG_CONSTITUENTS)")</f>
        <v>102</v>
      </c>
      <c r="H10" s="6">
        <f t="shared" si="0"/>
        <v>0.36274509803921567</v>
      </c>
      <c r="I10" s="6">
        <f t="shared" si="1"/>
        <v>0.25490196078431371</v>
      </c>
      <c r="J10" s="6">
        <f t="shared" si="2"/>
        <v>0.10784313725490197</v>
      </c>
      <c r="K10" s="5" cm="1">
        <f t="array" ref="K10">_xll.FDS(A10,"FMA_PCT_ABOVE_MAVG(200,0,,,,""PORTAGG"")")/100</f>
        <v>0.56862745098039202</v>
      </c>
      <c r="L10" s="14" cm="1">
        <f t="array" ref="L10">_xll.FDSB(A10,"PERCENT_CHANGE(FMA_EPS(+1,0,,,,""PORTAGG"",""MEAN""),FMA_EPS(+1,-1AM,,,,""PORTAGG"",""MEAN""))")</f>
        <v>0.61642707572187105</v>
      </c>
      <c r="M10" s="14" cm="1">
        <f t="array" ref="M10">_xll.FDSB(A10,"PERCENT_CHANGE(FMA_EPS(+1,0,,,,""PORTAGG"",""MEAN""),FMA_EPS(+1,-3AM,,,,""PORTAGG"",""MEAN""))")</f>
        <v>-4.4364404460291098</v>
      </c>
      <c r="O10" s="3" cm="1">
        <f t="array" ref="O10">_xll.FDS(C10,"FG_TOTAL_RETURNC(0,-3AM)")</f>
        <v>-3.578663E-2</v>
      </c>
      <c r="P10" s="3" cm="1">
        <f t="array" ref="P10">_xll.FDS(C10,"FG_TOTAL_RETURNC(0,-6AM)")</f>
        <v>6.9741726000000002</v>
      </c>
      <c r="Q10" s="6" cm="1">
        <f t="array" ref="Q10">_xll.FDS(C10,"P_PRICE(0)/P_PRICE_HIGH_PR(0,,,USD,,,""PRICE"",""INTRA"",""52W"")")</f>
        <v>0.93982370000000004</v>
      </c>
      <c r="R10" s="6" cm="1">
        <f t="array" ref="R10">_xll.FDS(C10,"P_PRICE(0)/P_PRICE_low_PR(0,,,USD,,,""PRICE"",""INTRA"",""52W"")-1")</f>
        <v>0.38226961999999998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28.499999999999996</v>
      </c>
      <c r="X10" s="4" cm="1">
        <f t="array" ref="X10">_xlfn.PERCENTRANK.EXC(_xlfn._xlws.FILTER($P$3:$P$15, ISNUMBER($P$3:$P$15)),P10)*100</f>
        <v>50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50</v>
      </c>
      <c r="AB10" s="4" cm="1">
        <f t="array" ref="AB10">_xlfn.PERCENTRANK.EXC(_xlfn._xlws.FILTER($J$3:$J$15, ISNUMBER($J$3:$J$15)),J10)*100</f>
        <v>78.5</v>
      </c>
      <c r="AC10" s="4">
        <f t="shared" si="6"/>
        <v>42.8</v>
      </c>
      <c r="AD10" s="4">
        <f t="shared" si="7"/>
        <v>14.2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1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167</v>
      </c>
      <c r="F11" cm="1">
        <f t="array" ref="F11">_xll.FDS(C11,"FMA_COS_DOWN(""EPS"",""1M"",+1,0,,,""PORTAGG"",""MEANR"")")</f>
        <v>163</v>
      </c>
      <c r="G11" cm="1">
        <f t="array" ref="G11">_xll.FDS(A11,"SIZE(FG_CONSTITUENTS)")</f>
        <v>503</v>
      </c>
      <c r="H11" s="6">
        <f t="shared" si="0"/>
        <v>0.33200795228628233</v>
      </c>
      <c r="I11" s="6">
        <f t="shared" si="1"/>
        <v>0.32405566600397612</v>
      </c>
      <c r="J11" s="6">
        <f t="shared" si="2"/>
        <v>7.952286282306209E-3</v>
      </c>
      <c r="K11" s="5" cm="1">
        <f t="array" ref="K11">_xll.FDS(A11,"FMA_PCT_ABOVE_MAVG(200,0,,,,""PORTAGG"")")/100</f>
        <v>0.67465069860279403</v>
      </c>
      <c r="L11" s="14" cm="1">
        <f t="array" ref="L11">_xll.FDSB(A11,"PERCENT_CHANGE(FMA_EPS(+1,0,,,,""PORTAGG"",""MEAN""),FMA_EPS(+1,-1AM,,,,""PORTAGG"",""MEAN""))")</f>
        <v>0.21149521512714101</v>
      </c>
      <c r="M11" s="14" cm="1">
        <f t="array" ref="M11">_xll.FDSB(A11,"PERCENT_CHANGE(FMA_EPS(+1,0,,,,""PORTAGG"",""MEAN""),FMA_EPS(+1,-3AM,,,,""PORTAGG"",""MEAN""))")</f>
        <v>-0.84311106238937406</v>
      </c>
      <c r="O11" s="3" cm="1">
        <f t="array" ref="O11">_xll.FDS(C11,"FG_TOTAL_RETURNC(0,-3AM)")</f>
        <v>3.6087275000000001</v>
      </c>
      <c r="P11" s="3" cm="1">
        <f t="array" ref="P11">_xll.FDS(C11,"FG_TOTAL_RETURNC(0,-6AM)")</f>
        <v>8.8762760000000007</v>
      </c>
      <c r="Q11" s="6" cm="1">
        <f t="array" ref="Q11">_xll.FDS(C11,"P_PRICE(0)/P_PRICE_HIGH_PR(0,,,USD,,,""PRICE"",""INTRA"",""52W"")")</f>
        <v>0.98925980000000002</v>
      </c>
      <c r="R11" s="6" cm="1">
        <f t="array" ref="R11">_xll.FDS(C11,"P_PRICE(0)/P_PRICE_low_PR(0,,,USD,,,""PRICE"",""INTRA"",""52W"")-1")</f>
        <v>0.36626684999999998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71.399999999999991</v>
      </c>
      <c r="W11" s="4" cm="1">
        <f t="array" ref="W11">_xlfn.PERCENTRANK.EXC(_xlfn._xlws.FILTER($O$3:$O$15, ISNUMBER($O$3:$O$15)),O11)*100</f>
        <v>57.099999999999994</v>
      </c>
      <c r="X11" s="4" cm="1">
        <f t="array" ref="X11">_xlfn.PERCENTRANK.EXC(_xlfn._xlws.FILTER($P$3:$P$15, ISNUMBER($P$3:$P$15)),P11)*100</f>
        <v>78.5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42.8</v>
      </c>
      <c r="AB11" s="4" cm="1">
        <f t="array" ref="AB11">_xlfn.PERCENTRANK.EXC(_xlfn._xlws.FILTER($J$3:$J$15, ISNUMBER($J$3:$J$15)),J11)*100</f>
        <v>64.2</v>
      </c>
      <c r="AC11" s="4">
        <f t="shared" si="6"/>
        <v>21.4</v>
      </c>
      <c r="AD11" s="4">
        <f t="shared" si="7"/>
        <v>28.499999999999996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3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25</v>
      </c>
      <c r="G12" cm="1">
        <f t="array" ref="G12">_xll.FDS(A12,"SIZE(FG_CONSTITUENTS)")</f>
        <v>61</v>
      </c>
      <c r="H12" s="6">
        <f t="shared" ref="H12:H15" si="9">E12/$G12</f>
        <v>0.31147540983606559</v>
      </c>
      <c r="I12" s="6">
        <f t="shared" ref="I12:I15" si="10">F12/$G12</f>
        <v>0.4098360655737705</v>
      </c>
      <c r="J12" s="6">
        <f t="shared" ref="J12:J15" si="11">H12-I12</f>
        <v>-9.8360655737704916E-2</v>
      </c>
      <c r="K12" s="5" cm="1">
        <f t="array" ref="K12">_xll.FDS(A12,"FMA_PCT_ABOVE_MAVG(200,0,,,,""PORTAGG"")")/100</f>
        <v>0.47540983606557397</v>
      </c>
      <c r="L12" s="14" cm="1">
        <f t="array" ref="L12">_xll.FDSB(A12,"PERCENT_CHANGE(FMA_EPS(+1,0,,,,""PORTAGG"",""MEAN""),FMA_EPS(+1,-1AM,,,,""PORTAGG"",""MEAN""))")</f>
        <v>1.23106721442903</v>
      </c>
      <c r="M12" s="14" cm="1">
        <f t="array" ref="M12">_xll.FDSB(A12,"PERCENT_CHANGE(FMA_EPS(+1,0,,,,""PORTAGG"",""MEAN""),FMA_EPS(+1,-3AM,,,,""PORTAGG"",""MEAN""))")</f>
        <v>-9.7229838564925994E-2</v>
      </c>
      <c r="O12" s="3" cm="1">
        <f t="array" ref="O12">_xll.FDS(C12,"FG_TOTAL_RETURNC(0,-3AM)")</f>
        <v>-2.207166</v>
      </c>
      <c r="P12" s="3" cm="1">
        <f t="array" ref="P12">_xll.FDS(C12,"FG_TOTAL_RETURNC(0,-6AM)")</f>
        <v>-3.4468174</v>
      </c>
      <c r="Q12" s="6" cm="1">
        <f t="array" ref="Q12">_xll.FDS(C12,"P_PRICE(0)/P_PRICE_HIGH_PR(0,,,USD,,,""PRICE"",""INTRA"",""52W"")")</f>
        <v>0.91525829999999997</v>
      </c>
      <c r="R12" s="6" cm="1">
        <f t="array" ref="R12">_xll.FDS(C12,"P_PRICE(0)/P_PRICE_low_PR(0,,,USD,,,""PRICE"",""INTRA"",""52W"")-1")</f>
        <v>0.15834819999999999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21.4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35.699999999999996</v>
      </c>
      <c r="AC12" s="4">
        <f t="shared" si="6"/>
        <v>57.099999999999994</v>
      </c>
      <c r="AD12" s="4">
        <f t="shared" si="7"/>
        <v>50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18</v>
      </c>
      <c r="G13" cm="1">
        <f t="array" ref="G13">_xll.FDS(A13,"SIZE(FG_CONSTITUENTS)")</f>
        <v>54</v>
      </c>
      <c r="H13" s="6">
        <f t="shared" si="9"/>
        <v>0.27777777777777779</v>
      </c>
      <c r="I13" s="6">
        <f t="shared" si="10"/>
        <v>0.33333333333333331</v>
      </c>
      <c r="J13" s="6">
        <f t="shared" si="11"/>
        <v>-5.5555555555555525E-2</v>
      </c>
      <c r="K13" s="5" cm="1">
        <f t="array" ref="K13">_xll.FDS(A13,"FMA_PCT_ABOVE_MAVG(200,0,,,,""PORTAGG"")")/100</f>
        <v>0.48148148148148101</v>
      </c>
      <c r="L13" s="14" cm="1">
        <f t="array" ref="L13">_xll.FDSB(A13,"PERCENT_CHANGE(FMA_EPS(+1,0,,,,""PORTAGG"",""MEAN""),FMA_EPS(+1,-1AM,,,,""PORTAGG"",""MEAN""))")</f>
        <v>0.56648756107975595</v>
      </c>
      <c r="M13" s="14" cm="1">
        <f t="array" ref="M13">_xll.FDSB(A13,"PERCENT_CHANGE(FMA_EPS(+1,0,,,,""PORTAGG"",""MEAN""),FMA_EPS(+1,-3AM,,,,""PORTAGG"",""MEAN""))")</f>
        <v>2.2004471721729399</v>
      </c>
      <c r="O13" s="3" cm="1">
        <f t="array" ref="O13">_xll.FDS(C13,"FG_TOTAL_RETURNC(0,-3AM)")</f>
        <v>-5.7230654000000003</v>
      </c>
      <c r="P13" s="3" cm="1">
        <f t="array" ref="P13">_xll.FDS(C13,"FG_TOTAL_RETURNC(0,-6AM)")</f>
        <v>1.1281133000000001</v>
      </c>
      <c r="Q13" s="6" cm="1">
        <f t="array" ref="Q13">_xll.FDS(C13,"P_PRICE(0)/P_PRICE_HIGH_PR(0,,,USD,,,""PRICE"",""INTRA"",""52W"")")</f>
        <v>0.92570244999999995</v>
      </c>
      <c r="R13" s="6" cm="1">
        <f t="array" ref="R13">_xll.FDS(C13,"P_PRICE(0)/P_PRICE_low_PR(0,,,USD,,,""PRICE"",""INTRA"",""52W"")-1")</f>
        <v>0.35271417999999999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14.2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Z13" s="4" cm="1">
        <f t="array" ref="Z13">_xlfn.PERCENTRANK.EXC(_xlfn._xlws.FILTER($K$3:$K$15, ISNUMBER($K$3:$K$15)),K13)*100</f>
        <v>14.2</v>
      </c>
      <c r="AA13" s="4" cm="1">
        <f t="array" ref="AA13">_xlfn.PERCENTRANK.EXC(_xlfn._xlws.FILTER($H$3:$H$15, ISNUMBER($H$3:$H$15)),H13)*100</f>
        <v>14.2</v>
      </c>
      <c r="AB13" s="4" cm="1">
        <f t="array" ref="AB13">_xlfn.PERCENTRANK.EXC(_xlfn._xlws.FILTER($J$3:$J$15, ISNUMBER($J$3:$J$15)),J13)*100</f>
        <v>42.8</v>
      </c>
      <c r="AC13" s="4">
        <f t="shared" si="6"/>
        <v>35.699999999999996</v>
      </c>
      <c r="AD13" s="4">
        <f t="shared" si="7"/>
        <v>71.399999999999991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0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18</v>
      </c>
      <c r="G14" cm="1">
        <f t="array" ref="G14">_xll.FDS(A14,"SIZE(FG_CONSTITUENTS)")</f>
        <v>47</v>
      </c>
      <c r="H14" s="6">
        <f t="shared" si="9"/>
        <v>0.27659574468085107</v>
      </c>
      <c r="I14" s="6">
        <f t="shared" si="10"/>
        <v>0.38297872340425532</v>
      </c>
      <c r="J14" s="6">
        <f t="shared" si="11"/>
        <v>-0.10638297872340424</v>
      </c>
      <c r="K14" s="5" cm="1">
        <f t="array" ref="K14">_xll.FDS(A14,"FMA_PCT_ABOVE_MAVG(200,0,,,,""PORTAGG"")")/100</f>
        <v>0.55555555555555602</v>
      </c>
      <c r="L14" s="14" cm="1">
        <f t="array" ref="L14">_xll.FDSB(A14,"PERCENT_CHANGE(FMA_EPS(+1,0,,,,""PORTAGG"",""MEAN""),FMA_EPS(+1,-1AM,,,,""PORTAGG"",""MEAN""))")</f>
        <v>-1.2662756056681199</v>
      </c>
      <c r="M14" s="14" cm="1">
        <f t="array" ref="M14">_xll.FDSB(A14,"PERCENT_CHANGE(FMA_EPS(+1,0,,,,""PORTAGG"",""MEAN""),FMA_EPS(+1,-3AM,,,,""PORTAGG"",""MEAN""))")</f>
        <v>-5.41039432113931</v>
      </c>
      <c r="O14" s="3" cm="1">
        <f t="array" ref="O14">_xll.FDS(C14,"FG_TOTAL_RETURNC(0,-3AM)")</f>
        <v>-2.6202917000000001</v>
      </c>
      <c r="P14" s="3" cm="1">
        <f t="array" ref="P14">_xll.FDS(C14,"FG_TOTAL_RETURNC(0,-6AM)")</f>
        <v>0.45639277</v>
      </c>
      <c r="Q14" s="6" cm="1">
        <f t="array" ref="Q14">_xll.FDS(C14,"P_PRICE(0)/P_PRICE_HIGH_PR(0,,,USD,,,""PRICE"",""INTRA"",""52W"")")</f>
        <v>0.95849943000000004</v>
      </c>
      <c r="R14" s="6" cm="1">
        <f t="array" ref="R14">_xll.FDS(C14,"P_PRICE(0)/P_PRICE_low_PR(0,,,USD,,,""PRICE"",""INTRA"",""52W"")-1")</f>
        <v>0.33224714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28.499999999999996</v>
      </c>
      <c r="W14" s="4" cm="1">
        <f t="array" ref="W14">_xlfn.PERCENTRANK.EXC(_xlfn._xlws.FILTER($O$3:$O$15, ISNUMBER($O$3:$O$15)),O14)*100</f>
        <v>14.2</v>
      </c>
      <c r="X14" s="4" cm="1">
        <f t="array" ref="X14">_xlfn.PERCENTRANK.EXC(_xlfn._xlws.FILTER($P$3:$P$15, ISNUMBER($P$3:$P$15)),P14)*100</f>
        <v>14.2</v>
      </c>
      <c r="Z14" s="4" cm="1">
        <f t="array" ref="Z14">_xlfn.PERCENTRANK.EXC(_xlfn._xlws.FILTER($K$3:$K$15, ISNUMBER($K$3:$K$15)),K14)*100</f>
        <v>35.699999999999996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28.499999999999996</v>
      </c>
      <c r="AC14" s="4">
        <f t="shared" si="6"/>
        <v>7.1</v>
      </c>
      <c r="AD14" s="4">
        <f t="shared" si="7"/>
        <v>7.1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0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11</v>
      </c>
      <c r="F15" cm="1">
        <f t="array" ref="F15">_xll.FDS(C15,"FMA_COS_DOWN(""EPS"",""1M"",+1,0,,,""PORTAGG"",""MEANR"")")</f>
        <v>6</v>
      </c>
      <c r="G15" cm="1">
        <f t="array" ref="G15">_xll.FDS(A15,"SIZE(FG_CONSTITUENTS)")</f>
        <v>26</v>
      </c>
      <c r="H15" s="6">
        <f t="shared" si="9"/>
        <v>0.42307692307692307</v>
      </c>
      <c r="I15" s="6">
        <f t="shared" si="10"/>
        <v>0.23076923076923078</v>
      </c>
      <c r="J15" s="6">
        <f t="shared" si="11"/>
        <v>0.19230769230769229</v>
      </c>
      <c r="K15" s="5" cm="1">
        <f t="array" ref="K15">_xll.FDS(A15,"FMA_PCT_ABOVE_MAVG(200,0,,,,""PORTAGG"")")/100</f>
        <v>0.6</v>
      </c>
      <c r="L15" s="14" cm="1">
        <f t="array" ref="L15">_xll.FDSB(A15,"PERCENT_CHANGE(FMA_EPS(+1,0,,,,""PORTAGG"",""MEAN""),FMA_EPS(+1,-1AM,,,,""PORTAGG"",""MEAN""))")</f>
        <v>0.38016928655993898</v>
      </c>
      <c r="M15" s="14" cm="1">
        <f t="array" ref="M15">_xll.FDSB(A15,"PERCENT_CHANGE(FMA_EPS(+1,0,,,,""PORTAGG"",""MEAN""),FMA_EPS(+1,-3AM,,,,""PORTAGG"",""MEAN""))")</f>
        <v>-0.96465755467071501</v>
      </c>
      <c r="O15" s="3" cm="1">
        <f t="array" ref="O15">_xll.FDS(C15,"FG_TOTAL_RETURNC(0,-3AM)")</f>
        <v>2.3374557</v>
      </c>
      <c r="P15" s="3" cm="1">
        <f t="array" ref="P15">_xll.FDS(C15,"FG_TOTAL_RETURNC(0,-6AM)")</f>
        <v>5.3246380000000002</v>
      </c>
      <c r="Q15" s="6" cm="1">
        <f t="array" ref="Q15">_xll.FDS(C15,"P_PRICE(0)/P_PRICE_HIGH_PR(0,,,USD,,,""PRICE"",""INTRA"",""52W"")")</f>
        <v>0.96748800000000001</v>
      </c>
      <c r="R15" s="6" cm="1">
        <f t="array" ref="R15">_xll.FDS(C15,"P_PRICE(0)/P_PRICE_low_PR(0,,,USD,,,""PRICE"",""INTRA"",""52W"")-1")</f>
        <v>0.31276929999999997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42.8</v>
      </c>
      <c r="W15" s="4" cm="1">
        <f t="array" ref="W15">_xlfn.PERCENTRANK.EXC(_xlfn._xlws.FILTER($O$3:$O$15, ISNUMBER($O$3:$O$15)),O15)*100</f>
        <v>35.699999999999996</v>
      </c>
      <c r="X15" s="4" cm="1">
        <f t="array" ref="X15">_xlfn.PERCENTRANK.EXC(_xlfn._xlws.FILTER($P$3:$P$15, ISNUMBER($P$3:$P$15)),P15)*100</f>
        <v>42.8</v>
      </c>
      <c r="Z15" s="4" cm="1">
        <f t="array" ref="Z15">_xlfn.PERCENTRANK.EXC(_xlfn._xlws.FILTER($K$3:$K$15, ISNUMBER($K$3:$K$15)),K15)*100</f>
        <v>64.2</v>
      </c>
      <c r="AA15" s="4" cm="1">
        <f t="array" ref="AA15">_xlfn.PERCENTRANK.EXC(_xlfn._xlws.FILTER($H$3:$H$15, ISNUMBER($H$3:$H$15)),H15)*100</f>
        <v>78.5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28.499999999999996</v>
      </c>
      <c r="AD15" s="4">
        <f t="shared" si="7"/>
        <v>21.4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2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600</v>
      </c>
      <c r="G18" cm="1">
        <f t="array" ref="G18">_xll.FDS(A18,"SIZE(FG_CONSTITUENTS)")</f>
        <v>1287</v>
      </c>
      <c r="H18" s="6">
        <f>E18/$G18</f>
        <v>0.33177933177933178</v>
      </c>
      <c r="I18" s="6">
        <f>F18/$G18</f>
        <v>0.46620046620046618</v>
      </c>
      <c r="J18" s="6">
        <f t="shared" ref="J18" si="15">H18-I18</f>
        <v>-0.1344211344211344</v>
      </c>
      <c r="K18" s="5" cm="1">
        <f t="array" ref="K18">_xll.FDS(A18,"FMA_PCT_ABOVE_MAVG(200,0,,,,""PORTAGG"")")/100</f>
        <v>0.63370253164557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-2.9661093865103898</v>
      </c>
      <c r="O18" s="3" cm="1">
        <f t="array" ref="O18">_xll.FDS(C18,"FG_TOTAL_RETURNC(0,-3AM)")</f>
        <v>0.86911917000000005</v>
      </c>
      <c r="P18" s="3" cm="1">
        <f t="array" ref="P18">_xll.FDS(C18,"FG_TOTAL_RETURNC(0,-6AM)")</f>
        <v>4.8554063000000003</v>
      </c>
      <c r="Q18" s="6" cm="1">
        <f t="array" ref="Q18">_xll.FDS(C18,"P_PRICE(0)/P_PRICE_HIGH_PR(0,,,USD,,,""PRICE"",""INTRA"",""52W"")")</f>
        <v>0.97482769999999996</v>
      </c>
      <c r="R18" s="6" cm="1">
        <f t="array" ref="R18">_xll.FDS(C18,"P_PRICE(0)/P_PRICE_low_PR(0,,,USD,,,""PRICE"",""INTRA"",""52W"")-1")</f>
        <v>0.25899017000000002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970</v>
      </c>
      <c r="F19" cm="1">
        <f t="array" ref="F19">_xll.FDS(C19,"FMA_COS_DOWN(""EPS"",""1M"",+1,0,,,""PORTAGG"",""MEANR"")")</f>
        <v>1193</v>
      </c>
      <c r="G19" cm="1">
        <f t="array" ref="G19">_xll.FDS(A19,"SIZE(FG_CONSTITUENTS(20240229))")</f>
        <v>4692</v>
      </c>
      <c r="H19" s="6">
        <f>E19/$G19</f>
        <v>0.20673486786018755</v>
      </c>
      <c r="I19" s="6">
        <f>F19/$G19</f>
        <v>0.25426257459505541</v>
      </c>
      <c r="J19" s="6">
        <f t="shared" ref="J19" si="16">H19-I19</f>
        <v>-4.7527706734867864E-2</v>
      </c>
      <c r="K19" s="5" cm="1">
        <f t="array" ref="K19">_xll.FDS(A19,"FMA_PCT_ABOVE_MAVG(200,0,,,,""PORTAGG"")")/100</f>
        <v>0.40878090366581399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-1.4426514557819099</v>
      </c>
      <c r="O19" s="3" cm="1">
        <f t="array" ref="O19">_xll.FDS(C19,"FG_TOTAL_RETURNC(0,-3AM)")</f>
        <v>1.6974092000000001</v>
      </c>
      <c r="P19" s="3" cm="1">
        <f t="array" ref="P19">_xll.FDS(C19,"FG_TOTAL_RETURNC(0,-6AM)")</f>
        <v>5.3107259999999998</v>
      </c>
      <c r="Q19" s="6" cm="1">
        <f t="array" ref="Q19">_xll.FDS(C19,"P_PRICE(0)/P_PRICE_HIGH_PR(0,,,USD,,,""PRICE"",""INTRA"",""52W"")")</f>
        <v>0.96796066000000003</v>
      </c>
      <c r="R19" s="6" cm="1">
        <f t="array" ref="R19">_xll.FDS(C19,"P_PRICE(0)/P_PRICE_low_PR(0,,,USD,,,""PRICE"",""INTRA"",""52W"")-1")</f>
        <v>0.18168461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540</v>
      </c>
      <c r="F20" cm="1">
        <f t="array" ref="F20">_xll.FDS(C20,"FMA_COS_DOWN(""EPS"",""1M"",+1,0,,,""PORTAGG"",""MEANR"")")</f>
        <v>515</v>
      </c>
      <c r="G20" cm="1">
        <f t="array" ref="G20">_xll.FDS(A20,"SIZE(FG_CONSTITUENTS)")</f>
        <v>1412</v>
      </c>
      <c r="H20" s="6">
        <f t="shared" ref="H20" si="18">E20/$G20</f>
        <v>0.38243626062322944</v>
      </c>
      <c r="I20" s="6">
        <f t="shared" ref="I20" si="19">F20/$G20</f>
        <v>0.36473087818696887</v>
      </c>
      <c r="J20" s="6">
        <f t="shared" ref="J20" si="20">H20-I20</f>
        <v>1.7705382436260575E-2</v>
      </c>
      <c r="K20" s="5" cm="1">
        <f t="array" ref="K20">_xll.FDS(A20,"FMA_PCT_ABOVE_MAVG(200,0,,,,""PORTAGG"")")/100</f>
        <v>0.61095305832147906</v>
      </c>
      <c r="L20" s="14" cm="1">
        <f t="array" ref="L20">_xll.FDSB(A20,"PERCENT_CHANGE(FMA_EPS(+1,0,,,,""PORTAGG"",""MEAN""),FMA_EPS(+1,-1AM,,,,""PORTAGG"",""MEAN""))")</f>
        <v>0.71182635109396097</v>
      </c>
      <c r="M20" s="14" cm="1">
        <f t="array" ref="M20">_xll.FDSB(A20,"PERCENT_CHANGE(FMA_EPS(+1,0,,,,""PORTAGG"",""MEAN""),FMA_EPS(+1,-3AM,,,,""PORTAGG"",""MEAN""))")</f>
        <v>1.0580574896692001</v>
      </c>
      <c r="O20" s="3" cm="1">
        <f t="array" ref="O20">_xll.FDS(C20,"FG_TOTAL_RETURNC(0,-3AM)")</f>
        <v>3.4141064000000001</v>
      </c>
      <c r="P20" s="3" cm="1">
        <f t="array" ref="P20">_xll.FDS(C20,"FG_TOTAL_RETURNC(0,-6AM)")</f>
        <v>7.2935103999999997</v>
      </c>
      <c r="Q20" s="6" cm="1">
        <f t="array" ref="Q20">_xll.FDS(C20,"P_PRICE(0)/P_PRICE_HIGH_PR(0,,,USD,,,""PRICE"",""INTRA"",""52W"")")</f>
        <v>0.98749112999999999</v>
      </c>
      <c r="R20" s="6" cm="1">
        <f t="array" ref="R20">_xll.FDS(C20,"P_PRICE(0)/P_PRICE_low_PR(0,,,USD,,,""PRICE"",""INTRA"",""52W"")-1")</f>
        <v>0.32833479999999998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106</v>
      </c>
      <c r="F21" cm="1">
        <f t="array" ref="F21">_xll.FDS(C21,"FMA_COS_DOWN(""EPS"",""1M"",+1,0,,,""PORTAGG"",""MEANR"")")</f>
        <v>79</v>
      </c>
      <c r="G21" cm="1">
        <f t="array" ref="G21">_xll.FDS(A21,"SIZE(FG_CONSTITUENTS)")</f>
        <v>199</v>
      </c>
      <c r="H21" s="6">
        <f t="shared" ref="H21:H22" si="22">E21/$G21</f>
        <v>0.53266331658291455</v>
      </c>
      <c r="I21" s="6">
        <f t="shared" ref="I21:I22" si="23">F21/$G21</f>
        <v>0.39698492462311558</v>
      </c>
      <c r="J21" s="6">
        <f t="shared" ref="J21:J22" si="24">H21-I21</f>
        <v>0.13567839195979897</v>
      </c>
      <c r="K21" s="5" cm="1">
        <f t="array" ref="K21">_xll.FDS(A21,"FMA_PCT_ABOVE_MAVG(200,0,,,,""PORTAGG"")")/100</f>
        <v>0.50251256281406997</v>
      </c>
      <c r="L21" s="14" cm="1">
        <f t="array" ref="L21">_xll.FDSB(A21,"PERCENT_CHANGE(FMA_EPS(+1,0,,,,""PORTAGG"",""MEAN""),FMA_EPS(+1,-1AM,,,,""PORTAGG"",""MEAN""))")</f>
        <v>1.54321458427339</v>
      </c>
      <c r="M21" s="14" cm="1">
        <f t="array" ref="M21">_xll.FDSB(A21,"PERCENT_CHANGE(FMA_EPS(+1,0,,,,""PORTAGG"",""MEAN""),FMA_EPS(+1,-3AM,,,,""PORTAGG"",""MEAN""))")</f>
        <v>10.304060791150899</v>
      </c>
      <c r="O21" s="3" cm="1">
        <f t="array" ref="O21">_xll.FDS(C21,"FG_TOTAL_RETURNC(0,-3AM)")</f>
        <v>2.7197003</v>
      </c>
      <c r="P21" s="3" cm="1">
        <f t="array" ref="P21">_xll.FDS(C21,"FG_TOTAL_RETURNC(0,-6AM)")</f>
        <v>1.1360645</v>
      </c>
      <c r="Q21" s="6" cm="1">
        <f t="array" ref="Q21">_xll.FDS(C21,"P_PRICE(0)/P_PRICE_HIGH_PR(0,,,USD,,,""PRICE"",""INTRA"",""52W"")")</f>
        <v>0.97131009999999995</v>
      </c>
      <c r="R21" s="6" cm="1">
        <f t="array" ref="R21">_xll.FDS(C21,"P_PRICE(0)/P_PRICE_low_PR(0,,,USD,,,""PRICE"",""INTRA"",""52W"")-1")</f>
        <v>0.22814678999999999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167</v>
      </c>
      <c r="F22" cm="1">
        <f t="array" ref="F22">_xll.FDS(C22,"FMA_COS_DOWN(""EPS"",""1M"",+1,0,,,""PORTAGG"",""MEANR"")")</f>
        <v>163</v>
      </c>
      <c r="G22" cm="1">
        <f t="array" ref="G22">_xll.FDS(A22,"SIZE(FG_CONSTITUENTS)")</f>
        <v>503</v>
      </c>
      <c r="H22" s="6">
        <f t="shared" si="22"/>
        <v>0.33200795228628233</v>
      </c>
      <c r="I22" s="6">
        <f t="shared" si="23"/>
        <v>0.32405566600397612</v>
      </c>
      <c r="J22" s="6">
        <f t="shared" si="24"/>
        <v>7.952286282306209E-3</v>
      </c>
      <c r="K22" s="5" cm="1">
        <f t="array" ref="K22">_xll.FDS(A22,"FMA_PCT_ABOVE_MAVG(200,0,,,,""PORTAGG"")")/100</f>
        <v>0.67465069860279403</v>
      </c>
      <c r="L22" s="14" cm="1">
        <f t="array" ref="L22">_xll.FDSB(A22,"PERCENT_CHANGE(FMA_EPS(+1,0,,,,""PORTAGG"",""MEAN""),FMA_EPS(+1,-1AM,,,,""PORTAGG"",""MEAN""))")</f>
        <v>0.21149521512714101</v>
      </c>
      <c r="M22" s="14" cm="1">
        <f t="array" ref="M22">_xll.FDSB(A22,"PERCENT_CHANGE(FMA_EPS(+1,0,,,,""PORTAGG"",""MEAN""),FMA_EPS(+1,-3AM,,,,""PORTAGG"",""MEAN""))")</f>
        <v>-0.84311106238937406</v>
      </c>
      <c r="O22" s="3" cm="1">
        <f t="array" ref="O22">_xll.FDS(C22,"FG_TOTAL_RETURNC(0,-3AM)")</f>
        <v>3.6087275000000001</v>
      </c>
      <c r="P22" s="3" cm="1">
        <f t="array" ref="P22">_xll.FDS(C22,"FG_TOTAL_RETURNC(0,-6AM)")</f>
        <v>8.8762760000000007</v>
      </c>
      <c r="Q22" s="6" cm="1">
        <f t="array" ref="Q22">_xll.FDS(C22,"P_PRICE(0)/P_PRICE_HIGH_PR(0,,,USD,,,""PRICE"",""INTRA"",""52W"")")</f>
        <v>0.98925980000000002</v>
      </c>
      <c r="R22" s="6" cm="1">
        <f t="array" ref="R22">_xll.FDS(C22,"P_PRICE(0)/P_PRICE_low_PR(0,,,USD,,,""PRICE"",""INTRA"",""52W"")-1")</f>
        <v>0.36626684999999998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53</v>
      </c>
      <c r="F23" cm="1">
        <f t="array" ref="F23">_xll.FDS(C23,"FMA_COS_DOWN(""EPS"",""1M"",+1,0,,,""PORTAGG"",""MEANR"")")</f>
        <v>56</v>
      </c>
      <c r="G23" cm="1">
        <f t="array" ref="G23">_xll.FDS(A23,"SIZE(FG_CONSTITUENTS)")</f>
        <v>153</v>
      </c>
      <c r="H23" s="6">
        <f t="shared" ref="H23" si="26">E23/$G23</f>
        <v>0.34640522875816993</v>
      </c>
      <c r="I23" s="6">
        <f t="shared" ref="I23" si="27">F23/$G23</f>
        <v>0.36601307189542481</v>
      </c>
      <c r="J23" s="6">
        <f t="shared" ref="J23" si="28">H23-I23</f>
        <v>-1.9607843137254888E-2</v>
      </c>
      <c r="K23" s="5" cm="1">
        <f t="array" ref="K23">_xll.FDS(A23,"FMA_PCT_ABOVE_MAVG(200,0,,,,""PORTAGG"")")/100</f>
        <v>0.85526315789473695</v>
      </c>
      <c r="L23" s="14" cm="1">
        <f t="array" ref="L23">_xll.FDSB(A23,"PERCENT_CHANGE(FMA_EPS(+1,0,,,,""PORTAGG"",""MEAN""),FMA_EPS(+1,-1AM,,,,""PORTAGG"",""MEAN""))")</f>
        <v>-2.5576176098454102</v>
      </c>
      <c r="M23" s="14" cm="1">
        <f t="array" ref="M23">_xll.FDSB(A23,"PERCENT_CHANGE(FMA_EPS(+1,0,,,,""PORTAGG"",""MEAN""),FMA_EPS(+1,-3AM,,,,""PORTAGG"",""MEAN""))")</f>
        <v>-5.09865168385973</v>
      </c>
      <c r="O23" s="3" cm="1">
        <f t="array" ref="O23">_xll.FDS(C23,"FG_TOTAL_RETURNC(0,-3AM)")</f>
        <v>5.652094</v>
      </c>
      <c r="P23" s="3" cm="1">
        <f t="array" ref="P23">_xll.FDS(C23,"FG_TOTAL_RETURNC(0,-6AM)")</f>
        <v>11.743080000000001</v>
      </c>
      <c r="Q23" s="6" cm="1">
        <f t="array" ref="Q23">_xll.FDS(C23,"P_PRICE(0)/P_PRICE_HIGH_PR(0,,,USD,,,""PRICE"",""INTRA"",""52W"")")</f>
        <v>0.99982685000000004</v>
      </c>
      <c r="R23" s="6" cm="1">
        <f t="array" ref="R23">_xll.FDS(C23,"P_PRICE(0)/P_PRICE_low_PR(0,,,USD,,,""PRICE"",""INTRA"",""52W"")-1")</f>
        <v>0.35364424999999999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276</v>
      </c>
      <c r="F24" cm="1">
        <f t="array" ref="F24">_xll.FDS(C24,"FMA_COS_DOWN(""EPS"",""1M"",+1,0,,,""PORTAGG"",""MEANR"")")</f>
        <v>255</v>
      </c>
      <c r="G24" cm="1">
        <f t="array" ref="G24">_xll.FDS(A24,"SIZE(FG_CONSTITUENTS)")</f>
        <v>697</v>
      </c>
      <c r="H24" s="6">
        <f t="shared" ref="H24" si="29">E24/$G24</f>
        <v>0.39598278335724535</v>
      </c>
      <c r="I24" s="6">
        <f t="shared" ref="I24" si="30">F24/$G24</f>
        <v>0.36585365853658536</v>
      </c>
      <c r="J24" s="6">
        <f t="shared" ref="J24" si="31">H24-I24</f>
        <v>3.0129124820659992E-2</v>
      </c>
      <c r="K24" s="5" cm="1">
        <f t="array" ref="K24">_xll.FDS(A24,"FMA_PCT_ABOVE_MAVG(200,0,,,,""PORTAGG"")")/100</f>
        <v>0.60205580029368599</v>
      </c>
      <c r="L24" s="14" cm="1">
        <f t="array" ref="L24">_xll.FDSB(A24,"PERCENT_CHANGE(FMA_EPS(+1,0,,,,""PORTAGG"",""MEAN""),FMA_EPS(+1,-1AM,,,,""PORTAGG"",""MEAN""))")</f>
        <v>-1.30133357097861</v>
      </c>
      <c r="M24" s="14" cm="1">
        <f t="array" ref="M24">_xll.FDSB(A24,"PERCENT_CHANGE(FMA_EPS(+1,0,,,,""PORTAGG"",""MEAN""),FMA_EPS(+1,-3AM,,,,""PORTAGG"",""MEAN""))")</f>
        <v>0.31068678254405402</v>
      </c>
      <c r="O24" s="3" cm="1">
        <f t="array" ref="O24">_xll.FDS(C24,"FG_TOTAL_RETURNC(0,-3AM)")</f>
        <v>3.3828140000000002</v>
      </c>
      <c r="P24" s="3" cm="1">
        <f t="array" ref="P24">_xll.FDS(C24,"FG_TOTAL_RETURNC(0,-6AM)")</f>
        <v>4.7946095</v>
      </c>
      <c r="Q24" s="6" cm="1">
        <f t="array" ref="Q24">_xll.FDS(C24,"P_PRICE(0)/P_PRICE_HIGH_PR(0,,,USD,,,""PRICE"",""INTRA"",""52W"")")</f>
        <v>0.96333230000000003</v>
      </c>
      <c r="R24" s="6" cm="1">
        <f t="array" ref="R24">_xll.FDS(C24,"P_PRICE(0)/P_PRICE_low_PR(0,,,USD,,,""PRICE"",""INTRA"",""52W"")-1")</f>
        <v>0.25405633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37</v>
      </c>
      <c r="F25" cm="1">
        <f t="array" ref="F25">_xll.FDS(C25,"FMA_COS_DOWN(""EPS"",""1M"",+1,0,,,""PORTAGG"",""MEANR"")")</f>
        <v>26</v>
      </c>
      <c r="G25" cm="1">
        <f t="array" ref="G25">_xll.FDS(A25,"SIZE(FG_CONSTITUENTS)")</f>
        <v>102</v>
      </c>
      <c r="H25" s="6">
        <f t="shared" ref="H25:H27" si="32">E25/$G25</f>
        <v>0.36274509803921567</v>
      </c>
      <c r="I25" s="6">
        <f t="shared" ref="I25:I27" si="33">F25/$G25</f>
        <v>0.25490196078431371</v>
      </c>
      <c r="J25" s="6">
        <f t="shared" ref="J25:J27" si="34">H25-I25</f>
        <v>0.10784313725490197</v>
      </c>
      <c r="K25" s="5" cm="1">
        <f t="array" ref="K25">_xll.FDS(A25,"FMA_PCT_ABOVE_MAVG(200,0,,,,""PORTAGG"")")/100</f>
        <v>0.56862745098039202</v>
      </c>
      <c r="L25" s="14" cm="1">
        <f t="array" ref="L25">_xll.FDSB(A25,"PERCENT_CHANGE(FMA_EPS(+1,0,,,,""PORTAGG"",""MEAN""),FMA_EPS(+1,-1AM,,,,""PORTAGG"",""MEAN""))")</f>
        <v>0.61642707572187105</v>
      </c>
      <c r="M25" s="14" cm="1">
        <f t="array" ref="M25">_xll.FDSB(A25,"PERCENT_CHANGE(FMA_EPS(+1,0,,,,""PORTAGG"",""MEAN""),FMA_EPS(+1,-3AM,,,,""PORTAGG"",""MEAN""))")</f>
        <v>-4.4364404460291098</v>
      </c>
      <c r="O25" s="3" cm="1">
        <f t="array" ref="O25">_xll.FDS(C25,"FG_TOTAL_RETURNC(0,-3AM)")</f>
        <v>-3.578663E-2</v>
      </c>
      <c r="P25" s="3" cm="1">
        <f t="array" ref="P25">_xll.FDS(C25,"FG_TOTAL_RETURNC(0,-6AM)")</f>
        <v>6.9741726000000002</v>
      </c>
      <c r="Q25" s="6" cm="1">
        <f t="array" ref="Q25">_xll.FDS(C25,"P_PRICE(0)/P_PRICE_HIGH_PR(0,,,USD,,,""PRICE"",""INTRA"",""52W"")")</f>
        <v>0.93982370000000004</v>
      </c>
      <c r="R25" s="6" cm="1">
        <f t="array" ref="R25">_xll.FDS(C25,"P_PRICE(0)/P_PRICE_low_PR(0,,,USD,,,""PRICE"",""INTRA"",""52W"")-1")</f>
        <v>0.38226961999999998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378</v>
      </c>
      <c r="F26" cm="1">
        <f t="array" ref="F26">_xll.FDS(C26,"FMA_COS_DOWN(""EPS"",""1M"",+1,0,,,""PORTAGG"",""MEANR"")")</f>
        <v>435</v>
      </c>
      <c r="G26" cm="1">
        <f t="array" ref="G26">_xll.FDS(A26,"SIZE(FG_CONSTITUENTS)")</f>
        <v>1961</v>
      </c>
      <c r="H26" s="6">
        <f t="shared" si="32"/>
        <v>0.19275879653238143</v>
      </c>
      <c r="I26" s="6">
        <f t="shared" si="33"/>
        <v>0.22182559918408976</v>
      </c>
      <c r="J26" s="6">
        <f t="shared" si="34"/>
        <v>-2.9066802651708329E-2</v>
      </c>
      <c r="K26" s="5" cm="1">
        <f t="array" ref="K26">_xll.FDS(A26,"FMA_PCT_ABOVE_MAVG(200,0,,,,""PORTAGG"")")/100</f>
        <v>0.52807831014940798</v>
      </c>
      <c r="L26" s="14" cm="1">
        <f t="array" ref="L26">_xll.FDSB(A26,"PERCENT_CHANGE(FMA_EPS(+1,0,,,,""PORTAGG"",""MEAN""),FMA_EPS(+1,-1AM,,,,""PORTAGG"",""MEAN""))")</f>
        <v>0.87467249656368695</v>
      </c>
      <c r="M26" s="14" cm="1">
        <f t="array" ref="M26">_xll.FDSB(A26,"PERCENT_CHANGE(FMA_EPS(+1,0,,,,""PORTAGG"",""MEAN""),FMA_EPS(+1,-3AM,,,,""PORTAGG"",""MEAN""))")</f>
        <v>-13.005805412203101</v>
      </c>
      <c r="O26" s="3" cm="1">
        <f t="array" ref="O26">_xll.FDS(C26,"FG_TOTAL_RETURNC(0,-3AM)")</f>
        <v>3.8729667999999999</v>
      </c>
      <c r="P26" s="3" cm="1">
        <f t="array" ref="P26">_xll.FDS(C26,"FG_TOTAL_RETURNC(0,-6AM)")</f>
        <v>3.8191318999999999</v>
      </c>
      <c r="Q26" s="6" cm="1">
        <f t="array" ref="Q26">_xll.FDS(C26,"P_PRICE(0)/P_PRICE_HIGH_PR(0,,,USD,,,""PRICE"",""INTRA"",""52W"")")</f>
        <v>0.92555653999999998</v>
      </c>
      <c r="R26" s="6" cm="1">
        <f t="array" ref="R26">_xll.FDS(C26,"P_PRICE(0)/P_PRICE_low_PR(0,,,USD,,,""PRICE"",""INTRA"",""52W"")-1")</f>
        <v>0.30890083000000002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24</v>
      </c>
      <c r="F27" cm="1">
        <f t="array" ref="F27">_xll.FDS(C27,"FMA_COS_DOWN(""EPS"",""1M"",+1,0,,,""PORTAGG"",""MEANR"")")</f>
        <v>21</v>
      </c>
      <c r="G27" cm="1">
        <f t="array" ref="G27">_xll.FDS(A27,"SIZE(FG_CONSTITUENTS)")</f>
        <v>52</v>
      </c>
      <c r="H27" s="6">
        <f t="shared" si="32"/>
        <v>0.46153846153846156</v>
      </c>
      <c r="I27" s="6">
        <f t="shared" si="33"/>
        <v>0.40384615384615385</v>
      </c>
      <c r="J27" s="6">
        <f t="shared" si="34"/>
        <v>5.7692307692307709E-2</v>
      </c>
      <c r="K27" s="5" cm="1">
        <f t="array" ref="K27">_xll.FDS(A27,"FMA_PCT_ABOVE_MAVG(200,0,,,,""PORTAGG"")")/100</f>
        <v>0.27450980392156898</v>
      </c>
      <c r="L27" s="14" cm="1">
        <f t="array" ref="L27">_xll.FDSB(A27,"PERCENT_CHANGE(FMA_EPS(+1,0,,,,""PORTAGG"",""MEAN""),FMA_EPS(+1,-1AM,,,,""PORTAGG"",""MEAN""))")</f>
        <v>3.6396439597213699</v>
      </c>
      <c r="M27" s="14" cm="1">
        <f t="array" ref="M27">_xll.FDSB(A27,"PERCENT_CHANGE(FMA_EPS(+1,0,,,,""PORTAGG"",""MEAN""),FMA_EPS(+1,-3AM,,,,""PORTAGG"",""MEAN""))")</f>
        <v>7.70737299135659</v>
      </c>
      <c r="O27" s="3" cm="1">
        <f t="array" ref="O27">_xll.FDS(C27,"FG_TOTAL_RETURNC(0,-3AM)")</f>
        <v>-2.6505112999999998</v>
      </c>
      <c r="P27" s="3" cm="1">
        <f t="array" ref="P27">_xll.FDS(C27,"FG_TOTAL_RETURNC(0,-6AM)")</f>
        <v>5.0177693000000003</v>
      </c>
      <c r="Q27" s="6" cm="1">
        <f t="array" ref="Q27">_xll.FDS(C27,"P_PRICE(0)/P_PRICE_HIGH_PR(0,,,USD,,,""PRICE"",""INTRA"",""52W"")")</f>
        <v>0.87063999999999997</v>
      </c>
      <c r="R27" s="6" cm="1">
        <f t="array" ref="R27">_xll.FDS(C27,"P_PRICE(0)/P_PRICE_low_PR(0,,,USD,,,""PRICE"",""INTRA"",""52W"")-1")</f>
        <v>0.23250234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45547</v>
      </c>
      <c r="C6" cm="1">
        <f t="array" ref="C6:C206">_xll.FDS(C5,"FG_PRICE(0,-200D)")</f>
        <v>44.26</v>
      </c>
      <c r="D6" cm="1">
        <f t="array" ref="D6:D206">_xll.FDS(D5,"FG_PRICE(0,-200D)")</f>
        <v>559.09</v>
      </c>
      <c r="E6" cm="1">
        <f t="array" ref="E6:E206">_xll.FDS(E5,"FG_PRICE(0,-200D)")</f>
        <v>236.33</v>
      </c>
      <c r="F6" cm="1">
        <f t="array" ref="F6:F206">_xll.FDS(F5,"FG_PRICE(0,-200D)")</f>
        <v>28.22</v>
      </c>
      <c r="G6" cm="1">
        <f t="array" ref="G6:G206">_xll.FDS(G5,"FG_PRICE(0,-200D)")</f>
        <v>473.22</v>
      </c>
      <c r="H6" cm="1">
        <f t="array" ref="H6:H206">_xll.FDS(H5,"FG_PRICE(0,-200D)")</f>
        <v>21.62</v>
      </c>
      <c r="I6" cm="1">
        <f t="array" ref="I6:I206">_xll.FDS(I5,"FG_PRICE(0,-200D)")</f>
        <v>69.89</v>
      </c>
      <c r="J6" cm="1">
        <f t="array" ref="J6:J206">_xll.FDS(J5,"FG_PRICE(0,-200D)")</f>
        <v>100.14</v>
      </c>
      <c r="K6" cm="1">
        <f t="array" ref="K6:K206">_xll.FDS(K5,"FG_PRICE(0,-200D)")</f>
        <v>69.319999999999993</v>
      </c>
      <c r="L6" cm="1">
        <f t="array" ref="L6:L206">_xll.FDS(L5,"FG_PRICE(0,-200D)")</f>
        <v>59.9</v>
      </c>
      <c r="M6" cm="1">
        <f t="array" ref="M6:M206">_xll.FDS(M5,"FG_PRICE(0,-200D)")</f>
        <v>70.25</v>
      </c>
      <c r="N6" cm="1">
        <f t="array" ref="N6:N206">_xll.FDS(N5,"FG_PRICE(0,-200D)")</f>
        <v>152.36000000000001</v>
      </c>
      <c r="O6" cm="1">
        <f t="array" ref="O6:O206">_xll.FDS(O5,"FG_PRICE(0,-200D)")</f>
        <v>57.76</v>
      </c>
      <c r="P6" cm="1">
        <f t="array" ref="P6:P206">_xll.FDS(P5,"FG_PRICE(0,-200D)")</f>
        <v>211.61</v>
      </c>
      <c r="Q6" cm="1">
        <f t="array" ref="Q6:Q206">_xll.FDS(Q5,"FG_PRICE(0,-200D)")</f>
        <v>25.71</v>
      </c>
      <c r="R6" cm="1">
        <f t="array" ref="R6:R206">_xll.FDS(R5,"FG_PRICE(0,-200D)")</f>
        <v>58580</v>
      </c>
      <c r="S6" cm="1">
        <f t="array" ref="S6:S206">_xll.FDS(S5,"FG_PRICE(0,-200D)")</f>
        <v>16.3</v>
      </c>
    </row>
    <row r="7" spans="2:19" x14ac:dyDescent="0.35">
      <c r="B7" s="2">
        <v>45546</v>
      </c>
      <c r="C7">
        <v>43.97</v>
      </c>
      <c r="D7">
        <v>554.41999999999996</v>
      </c>
      <c r="E7">
        <v>232.25</v>
      </c>
      <c r="F7">
        <v>28.34</v>
      </c>
      <c r="G7">
        <v>468.62</v>
      </c>
      <c r="H7">
        <v>21.21</v>
      </c>
      <c r="I7">
        <v>67.849999999999994</v>
      </c>
      <c r="J7">
        <v>100.61</v>
      </c>
      <c r="K7">
        <v>68.84</v>
      </c>
      <c r="L7">
        <v>59.25</v>
      </c>
      <c r="M7">
        <v>69.56</v>
      </c>
      <c r="N7">
        <v>151.21</v>
      </c>
      <c r="O7">
        <v>57.125</v>
      </c>
      <c r="P7">
        <v>208.92</v>
      </c>
      <c r="Q7">
        <v>25.72</v>
      </c>
      <c r="R7">
        <v>57860</v>
      </c>
      <c r="S7">
        <v>16.22</v>
      </c>
    </row>
    <row r="8" spans="2:19" x14ac:dyDescent="0.35">
      <c r="B8" s="2">
        <v>45545</v>
      </c>
      <c r="C8">
        <v>43.7</v>
      </c>
      <c r="D8">
        <v>548.79</v>
      </c>
      <c r="E8">
        <v>232.62</v>
      </c>
      <c r="F8">
        <v>28.31</v>
      </c>
      <c r="G8">
        <v>458.66</v>
      </c>
      <c r="H8">
        <v>21.02</v>
      </c>
      <c r="I8">
        <v>66.959999999999994</v>
      </c>
      <c r="J8">
        <v>100.69</v>
      </c>
      <c r="K8">
        <v>68.47</v>
      </c>
      <c r="L8">
        <v>58.9</v>
      </c>
      <c r="M8">
        <v>69.14</v>
      </c>
      <c r="N8">
        <v>149.74</v>
      </c>
      <c r="O8">
        <v>57.04</v>
      </c>
      <c r="P8">
        <v>208.31</v>
      </c>
      <c r="Q8">
        <v>25.46</v>
      </c>
      <c r="R8">
        <v>58195</v>
      </c>
      <c r="S8">
        <v>16.11</v>
      </c>
    </row>
    <row r="9" spans="2:19" x14ac:dyDescent="0.35">
      <c r="B9" s="2">
        <v>45544</v>
      </c>
      <c r="C9">
        <v>43.8</v>
      </c>
      <c r="D9">
        <v>546.41</v>
      </c>
      <c r="E9">
        <v>231.6</v>
      </c>
      <c r="F9">
        <v>28.3</v>
      </c>
      <c r="G9">
        <v>454.46</v>
      </c>
      <c r="H9">
        <v>21.33</v>
      </c>
      <c r="I9">
        <v>69.27</v>
      </c>
      <c r="J9">
        <v>99.99</v>
      </c>
      <c r="K9">
        <v>68.8</v>
      </c>
      <c r="L9">
        <v>59.1</v>
      </c>
      <c r="M9">
        <v>69.33</v>
      </c>
      <c r="N9">
        <v>149.33000000000001</v>
      </c>
      <c r="O9">
        <v>56.95</v>
      </c>
      <c r="P9">
        <v>208.48</v>
      </c>
      <c r="Q9">
        <v>25.52</v>
      </c>
      <c r="R9">
        <v>57410</v>
      </c>
      <c r="S9">
        <v>15.95</v>
      </c>
    </row>
    <row r="10" spans="2:19" x14ac:dyDescent="0.35">
      <c r="B10" s="2">
        <v>45541</v>
      </c>
      <c r="C10">
        <v>43.5</v>
      </c>
      <c r="D10">
        <v>540.36</v>
      </c>
      <c r="E10">
        <v>230.63</v>
      </c>
      <c r="F10">
        <v>28.18</v>
      </c>
      <c r="G10">
        <v>448.69</v>
      </c>
      <c r="H10">
        <v>21.27</v>
      </c>
      <c r="I10">
        <v>68.930000000000007</v>
      </c>
      <c r="J10">
        <v>99.56</v>
      </c>
      <c r="K10">
        <v>68.349999999999994</v>
      </c>
      <c r="L10">
        <v>58.41</v>
      </c>
      <c r="M10">
        <v>68.09</v>
      </c>
      <c r="N10">
        <v>147.75</v>
      </c>
      <c r="O10">
        <v>56.51</v>
      </c>
      <c r="P10">
        <v>207.9</v>
      </c>
      <c r="Q10">
        <v>25.5</v>
      </c>
      <c r="R10">
        <v>53695</v>
      </c>
      <c r="S10">
        <v>15.95</v>
      </c>
    </row>
    <row r="11" spans="2:19" x14ac:dyDescent="0.35">
      <c r="B11" s="2">
        <v>45540</v>
      </c>
      <c r="C11">
        <v>44.14</v>
      </c>
      <c r="D11">
        <v>549.61</v>
      </c>
      <c r="E11">
        <v>232.35</v>
      </c>
      <c r="F11">
        <v>28.14</v>
      </c>
      <c r="G11">
        <v>461.04</v>
      </c>
      <c r="H11">
        <v>21.56</v>
      </c>
      <c r="I11">
        <v>69.89</v>
      </c>
      <c r="J11">
        <v>99.57</v>
      </c>
      <c r="K11">
        <v>69.260000000000005</v>
      </c>
      <c r="L11">
        <v>59.61</v>
      </c>
      <c r="M11">
        <v>70.58</v>
      </c>
      <c r="N11">
        <v>150.19</v>
      </c>
      <c r="O11">
        <v>57.24</v>
      </c>
      <c r="P11">
        <v>211.93</v>
      </c>
      <c r="Q11">
        <v>25.85</v>
      </c>
      <c r="R11">
        <v>56215</v>
      </c>
      <c r="S11">
        <v>16.12</v>
      </c>
    </row>
    <row r="12" spans="2:19" x14ac:dyDescent="0.35">
      <c r="B12" s="2">
        <v>45539</v>
      </c>
      <c r="C12">
        <v>44.02</v>
      </c>
      <c r="D12">
        <v>550.95000000000005</v>
      </c>
      <c r="E12">
        <v>230.43</v>
      </c>
      <c r="F12">
        <v>28.18</v>
      </c>
      <c r="G12">
        <v>460.61</v>
      </c>
      <c r="H12">
        <v>21.51</v>
      </c>
      <c r="I12">
        <v>69.61</v>
      </c>
      <c r="J12">
        <v>99.01</v>
      </c>
      <c r="K12">
        <v>69.42</v>
      </c>
      <c r="L12">
        <v>59.3</v>
      </c>
      <c r="M12">
        <v>70.16</v>
      </c>
      <c r="N12">
        <v>150.72</v>
      </c>
      <c r="O12">
        <v>57.55</v>
      </c>
      <c r="P12">
        <v>212.99</v>
      </c>
      <c r="Q12">
        <v>25.98</v>
      </c>
      <c r="R12">
        <v>58355</v>
      </c>
      <c r="S12">
        <v>16.13</v>
      </c>
    </row>
    <row r="13" spans="2:19" x14ac:dyDescent="0.35">
      <c r="B13" s="2">
        <v>45538</v>
      </c>
      <c r="C13">
        <v>44.04</v>
      </c>
      <c r="D13">
        <v>552.08000000000004</v>
      </c>
      <c r="E13">
        <v>230.29</v>
      </c>
      <c r="F13">
        <v>28.32</v>
      </c>
      <c r="G13">
        <v>461.81</v>
      </c>
      <c r="H13">
        <v>21.67</v>
      </c>
      <c r="I13">
        <v>71.09</v>
      </c>
      <c r="J13">
        <v>97.75</v>
      </c>
      <c r="K13">
        <v>69.599999999999994</v>
      </c>
      <c r="L13">
        <v>59.3</v>
      </c>
      <c r="M13">
        <v>70.89</v>
      </c>
      <c r="N13">
        <v>151.01</v>
      </c>
      <c r="O13">
        <v>57.28</v>
      </c>
      <c r="P13">
        <v>213.35</v>
      </c>
      <c r="Q13">
        <v>26</v>
      </c>
      <c r="R13">
        <v>58240</v>
      </c>
      <c r="S13">
        <v>16.13</v>
      </c>
    </row>
    <row r="14" spans="2:19" x14ac:dyDescent="0.35">
      <c r="B14" s="2">
        <v>45534</v>
      </c>
      <c r="C14">
        <v>44.72</v>
      </c>
      <c r="D14">
        <v>563.67999999999995</v>
      </c>
      <c r="E14">
        <v>231.29</v>
      </c>
      <c r="F14">
        <v>28.27</v>
      </c>
      <c r="G14">
        <v>476.27</v>
      </c>
      <c r="H14">
        <v>22.11</v>
      </c>
      <c r="I14">
        <v>74.34</v>
      </c>
      <c r="J14">
        <v>96.49</v>
      </c>
      <c r="K14">
        <v>70.930000000000007</v>
      </c>
      <c r="L14">
        <v>60.66</v>
      </c>
      <c r="M14">
        <v>71.97</v>
      </c>
      <c r="N14">
        <v>154.18</v>
      </c>
      <c r="O14">
        <v>57.72</v>
      </c>
      <c r="P14">
        <v>220.08</v>
      </c>
      <c r="Q14">
        <v>26.46</v>
      </c>
      <c r="R14">
        <v>58980</v>
      </c>
      <c r="S14">
        <v>16.34</v>
      </c>
    </row>
    <row r="15" spans="2:19" x14ac:dyDescent="0.35">
      <c r="B15" s="2">
        <v>45533</v>
      </c>
      <c r="C15">
        <v>44.6</v>
      </c>
      <c r="D15">
        <v>558.35</v>
      </c>
      <c r="E15">
        <v>232.95</v>
      </c>
      <c r="F15">
        <v>28.19</v>
      </c>
      <c r="G15">
        <v>470.66</v>
      </c>
      <c r="H15">
        <v>22.36</v>
      </c>
      <c r="I15">
        <v>76.77</v>
      </c>
      <c r="J15">
        <v>97.53</v>
      </c>
      <c r="K15">
        <v>70.77</v>
      </c>
      <c r="L15">
        <v>60.69</v>
      </c>
      <c r="M15">
        <v>71.540000000000006</v>
      </c>
      <c r="N15">
        <v>152.96</v>
      </c>
      <c r="O15">
        <v>57.27</v>
      </c>
      <c r="P15">
        <v>218.81</v>
      </c>
      <c r="Q15">
        <v>26.33</v>
      </c>
      <c r="R15">
        <v>59275</v>
      </c>
      <c r="S15">
        <v>16.28</v>
      </c>
    </row>
    <row r="16" spans="2:19" x14ac:dyDescent="0.35">
      <c r="B16" s="2">
        <v>45532</v>
      </c>
      <c r="C16">
        <v>44.54</v>
      </c>
      <c r="D16">
        <v>558.29999999999995</v>
      </c>
      <c r="E16">
        <v>231.75</v>
      </c>
      <c r="F16">
        <v>28.09</v>
      </c>
      <c r="G16">
        <v>471.35</v>
      </c>
      <c r="H16">
        <v>22.11</v>
      </c>
      <c r="I16">
        <v>75.48</v>
      </c>
      <c r="J16">
        <v>97.85</v>
      </c>
      <c r="K16">
        <v>70.55</v>
      </c>
      <c r="L16">
        <v>60.79</v>
      </c>
      <c r="M16">
        <v>71.42</v>
      </c>
      <c r="N16">
        <v>152.86000000000001</v>
      </c>
      <c r="O16">
        <v>57.15</v>
      </c>
      <c r="P16">
        <v>217.26</v>
      </c>
      <c r="Q16">
        <v>26.14</v>
      </c>
      <c r="R16">
        <v>58950</v>
      </c>
      <c r="S16">
        <v>16.28</v>
      </c>
    </row>
    <row r="17" spans="2:19" x14ac:dyDescent="0.35">
      <c r="B17" s="2">
        <v>45531</v>
      </c>
      <c r="C17">
        <v>44.83</v>
      </c>
      <c r="D17">
        <v>561.55999999999995</v>
      </c>
      <c r="E17">
        <v>233.39</v>
      </c>
      <c r="F17">
        <v>27.93</v>
      </c>
      <c r="G17">
        <v>476.76</v>
      </c>
      <c r="H17">
        <v>22.38</v>
      </c>
      <c r="I17">
        <v>76.489999999999995</v>
      </c>
      <c r="J17">
        <v>97.97</v>
      </c>
      <c r="K17">
        <v>70.849999999999994</v>
      </c>
      <c r="L17">
        <v>61</v>
      </c>
      <c r="M17">
        <v>71.73</v>
      </c>
      <c r="N17">
        <v>153.59</v>
      </c>
      <c r="O17">
        <v>57.17</v>
      </c>
      <c r="P17">
        <v>218.74</v>
      </c>
      <c r="Q17">
        <v>26.56</v>
      </c>
      <c r="R17">
        <v>62055</v>
      </c>
      <c r="S17">
        <v>16.350000000000001</v>
      </c>
    </row>
    <row r="18" spans="2:19" x14ac:dyDescent="0.35">
      <c r="B18" s="2">
        <v>45530</v>
      </c>
      <c r="C18">
        <v>44.78</v>
      </c>
      <c r="D18">
        <v>560.79</v>
      </c>
      <c r="E18">
        <v>232.76</v>
      </c>
      <c r="F18">
        <v>28.02</v>
      </c>
      <c r="G18">
        <v>475.34</v>
      </c>
      <c r="H18">
        <v>22.49</v>
      </c>
      <c r="I18">
        <v>77.83</v>
      </c>
      <c r="J18">
        <v>98.14</v>
      </c>
      <c r="K18">
        <v>70.55</v>
      </c>
      <c r="L18">
        <v>60.93</v>
      </c>
      <c r="M18">
        <v>71.03</v>
      </c>
      <c r="N18">
        <v>153.36000000000001</v>
      </c>
      <c r="O18">
        <v>57.19</v>
      </c>
      <c r="P18">
        <v>220.45</v>
      </c>
      <c r="Q18">
        <v>26.27</v>
      </c>
      <c r="R18">
        <v>63330</v>
      </c>
      <c r="S18">
        <v>16.329999999999998</v>
      </c>
    </row>
    <row r="19" spans="2:19" x14ac:dyDescent="0.35">
      <c r="B19" s="2">
        <v>45527</v>
      </c>
      <c r="C19">
        <v>45.07</v>
      </c>
      <c r="D19">
        <v>562.13</v>
      </c>
      <c r="E19">
        <v>232.02</v>
      </c>
      <c r="F19">
        <v>27.96</v>
      </c>
      <c r="G19">
        <v>480</v>
      </c>
      <c r="H19">
        <v>22.26</v>
      </c>
      <c r="I19">
        <v>75.55</v>
      </c>
      <c r="J19">
        <v>98.39</v>
      </c>
      <c r="K19">
        <v>70.77</v>
      </c>
      <c r="L19">
        <v>61.29</v>
      </c>
      <c r="M19">
        <v>71.930000000000007</v>
      </c>
      <c r="N19">
        <v>153.80000000000001</v>
      </c>
      <c r="O19">
        <v>57.08</v>
      </c>
      <c r="P19">
        <v>220.38</v>
      </c>
      <c r="Q19">
        <v>26.48</v>
      </c>
      <c r="R19">
        <v>63815</v>
      </c>
      <c r="S19">
        <v>16.38</v>
      </c>
    </row>
    <row r="20" spans="2:19" x14ac:dyDescent="0.35">
      <c r="B20" s="2">
        <v>45526</v>
      </c>
      <c r="C20">
        <v>44.43</v>
      </c>
      <c r="D20">
        <v>556.22</v>
      </c>
      <c r="E20">
        <v>229.37</v>
      </c>
      <c r="F20">
        <v>28.2</v>
      </c>
      <c r="G20">
        <v>474.85</v>
      </c>
      <c r="H20">
        <v>21.87</v>
      </c>
      <c r="I20">
        <v>73.58</v>
      </c>
      <c r="J20">
        <v>97.75</v>
      </c>
      <c r="K20">
        <v>69.58</v>
      </c>
      <c r="L20">
        <v>60.16</v>
      </c>
      <c r="M20">
        <v>70.31</v>
      </c>
      <c r="N20">
        <v>151.49</v>
      </c>
      <c r="O20">
        <v>56.78</v>
      </c>
      <c r="P20">
        <v>213.56</v>
      </c>
      <c r="Q20">
        <v>26.07</v>
      </c>
      <c r="R20">
        <v>60350</v>
      </c>
      <c r="S20">
        <v>16.23</v>
      </c>
    </row>
    <row r="21" spans="2:19" x14ac:dyDescent="0.35">
      <c r="B21" s="2">
        <v>45525</v>
      </c>
      <c r="C21">
        <v>44.96</v>
      </c>
      <c r="D21">
        <v>560.62</v>
      </c>
      <c r="E21">
        <v>232.15</v>
      </c>
      <c r="F21">
        <v>28.07</v>
      </c>
      <c r="G21">
        <v>482.5</v>
      </c>
      <c r="H21">
        <v>21.89</v>
      </c>
      <c r="I21">
        <v>72.599999999999994</v>
      </c>
      <c r="J21">
        <v>98.73</v>
      </c>
      <c r="K21">
        <v>69.989999999999995</v>
      </c>
      <c r="L21">
        <v>61.06</v>
      </c>
      <c r="M21">
        <v>70.83</v>
      </c>
      <c r="N21">
        <v>152.87</v>
      </c>
      <c r="O21">
        <v>56.92</v>
      </c>
      <c r="P21">
        <v>215.46</v>
      </c>
      <c r="Q21">
        <v>26.27</v>
      </c>
      <c r="R21">
        <v>61730</v>
      </c>
      <c r="S21">
        <v>16.350000000000001</v>
      </c>
    </row>
    <row r="22" spans="2:19" x14ac:dyDescent="0.35">
      <c r="B22" s="2">
        <v>45524</v>
      </c>
      <c r="C22">
        <v>44.75</v>
      </c>
      <c r="D22">
        <v>558.70000000000005</v>
      </c>
      <c r="E22">
        <v>232.46</v>
      </c>
      <c r="F22">
        <v>28.16</v>
      </c>
      <c r="G22">
        <v>480.26</v>
      </c>
      <c r="H22">
        <v>22</v>
      </c>
      <c r="I22">
        <v>73.83</v>
      </c>
      <c r="J22">
        <v>98.67</v>
      </c>
      <c r="K22">
        <v>69.400000000000006</v>
      </c>
      <c r="L22">
        <v>60.94</v>
      </c>
      <c r="M22">
        <v>70.02</v>
      </c>
      <c r="N22">
        <v>152</v>
      </c>
      <c r="O22">
        <v>56.59</v>
      </c>
      <c r="P22">
        <v>212.69</v>
      </c>
      <c r="Q22">
        <v>26</v>
      </c>
      <c r="R22">
        <v>59670</v>
      </c>
      <c r="S22">
        <v>16.29</v>
      </c>
    </row>
    <row r="23" spans="2:19" x14ac:dyDescent="0.35">
      <c r="B23" s="2">
        <v>45523</v>
      </c>
      <c r="C23">
        <v>45.19</v>
      </c>
      <c r="D23">
        <v>559.61</v>
      </c>
      <c r="E23">
        <v>231.61</v>
      </c>
      <c r="F23">
        <v>28.26</v>
      </c>
      <c r="G23">
        <v>481.27</v>
      </c>
      <c r="H23">
        <v>22.09</v>
      </c>
      <c r="I23">
        <v>74.38</v>
      </c>
      <c r="J23">
        <v>97.89</v>
      </c>
      <c r="K23">
        <v>69.59</v>
      </c>
      <c r="L23">
        <v>61.15</v>
      </c>
      <c r="M23">
        <v>70.36</v>
      </c>
      <c r="N23">
        <v>152.22</v>
      </c>
      <c r="O23">
        <v>56.49</v>
      </c>
      <c r="P23">
        <v>215.2</v>
      </c>
      <c r="Q23">
        <v>26.6</v>
      </c>
      <c r="R23">
        <v>59200</v>
      </c>
      <c r="S23">
        <v>16.29</v>
      </c>
    </row>
    <row r="24" spans="2:19" x14ac:dyDescent="0.35">
      <c r="B24" s="2">
        <v>45520</v>
      </c>
      <c r="C24">
        <v>44.73</v>
      </c>
      <c r="D24">
        <v>554.30999999999995</v>
      </c>
      <c r="E24">
        <v>231.99</v>
      </c>
      <c r="F24">
        <v>28.41</v>
      </c>
      <c r="G24">
        <v>475.03</v>
      </c>
      <c r="H24">
        <v>22.21</v>
      </c>
      <c r="I24">
        <v>76.319999999999993</v>
      </c>
      <c r="J24">
        <v>97.44</v>
      </c>
      <c r="K24">
        <v>68.819999999999993</v>
      </c>
      <c r="L24">
        <v>60.5</v>
      </c>
      <c r="M24">
        <v>69.37</v>
      </c>
      <c r="N24">
        <v>150.71</v>
      </c>
      <c r="O24">
        <v>56.37</v>
      </c>
      <c r="P24">
        <v>212.6</v>
      </c>
      <c r="Q24">
        <v>26.36</v>
      </c>
      <c r="R24">
        <v>59990</v>
      </c>
      <c r="S24">
        <v>16.13</v>
      </c>
    </row>
    <row r="25" spans="2:19" x14ac:dyDescent="0.35">
      <c r="B25" s="2">
        <v>45519</v>
      </c>
      <c r="C25">
        <v>44.27</v>
      </c>
      <c r="D25">
        <v>553.07000000000005</v>
      </c>
      <c r="E25">
        <v>226.91</v>
      </c>
      <c r="F25">
        <v>28.55</v>
      </c>
      <c r="G25">
        <v>474.42</v>
      </c>
      <c r="H25">
        <v>22.35</v>
      </c>
      <c r="I25">
        <v>77.41</v>
      </c>
      <c r="J25">
        <v>97.1</v>
      </c>
      <c r="K25">
        <v>68.45</v>
      </c>
      <c r="L25">
        <v>59.88</v>
      </c>
      <c r="M25">
        <v>69.010000000000005</v>
      </c>
      <c r="N25">
        <v>150.09</v>
      </c>
      <c r="O25">
        <v>55.87</v>
      </c>
      <c r="P25">
        <v>212.04</v>
      </c>
      <c r="Q25">
        <v>25.84</v>
      </c>
      <c r="R25">
        <v>57220</v>
      </c>
      <c r="S25">
        <v>16.13</v>
      </c>
    </row>
    <row r="26" spans="2:19" x14ac:dyDescent="0.35">
      <c r="B26" s="2">
        <v>45518</v>
      </c>
      <c r="C26">
        <v>43.79</v>
      </c>
      <c r="D26">
        <v>543.75</v>
      </c>
      <c r="E26">
        <v>226.2</v>
      </c>
      <c r="F26">
        <v>28.45</v>
      </c>
      <c r="G26">
        <v>462.73</v>
      </c>
      <c r="H26">
        <v>22.17</v>
      </c>
      <c r="I26">
        <v>76.59</v>
      </c>
      <c r="J26">
        <v>97.89</v>
      </c>
      <c r="K26">
        <v>67.760000000000005</v>
      </c>
      <c r="L26">
        <v>59.35</v>
      </c>
      <c r="M26">
        <v>67.709999999999994</v>
      </c>
      <c r="N26">
        <v>147.87</v>
      </c>
      <c r="O26">
        <v>55.37</v>
      </c>
      <c r="P26">
        <v>206.68</v>
      </c>
      <c r="Q26">
        <v>25.32</v>
      </c>
      <c r="R26">
        <v>59080</v>
      </c>
      <c r="S26">
        <v>15.98</v>
      </c>
    </row>
    <row r="27" spans="2:19" x14ac:dyDescent="0.35">
      <c r="B27" s="2">
        <v>45517</v>
      </c>
      <c r="C27">
        <v>44.07</v>
      </c>
      <c r="D27">
        <v>542.04</v>
      </c>
      <c r="E27">
        <v>228.06</v>
      </c>
      <c r="F27">
        <v>28.42</v>
      </c>
      <c r="G27">
        <v>462.58</v>
      </c>
      <c r="H27">
        <v>22.31</v>
      </c>
      <c r="I27">
        <v>77.64</v>
      </c>
      <c r="J27">
        <v>97.28</v>
      </c>
      <c r="K27">
        <v>67.39</v>
      </c>
      <c r="L27">
        <v>59.38</v>
      </c>
      <c r="M27">
        <v>67.61</v>
      </c>
      <c r="N27">
        <v>147.41999999999999</v>
      </c>
      <c r="O27">
        <v>55.53</v>
      </c>
      <c r="P27">
        <v>207.97</v>
      </c>
      <c r="Q27">
        <v>25.8</v>
      </c>
      <c r="R27">
        <v>61105</v>
      </c>
      <c r="S27">
        <v>15.94</v>
      </c>
    </row>
    <row r="28" spans="2:19" x14ac:dyDescent="0.35">
      <c r="B28" s="2">
        <v>45516</v>
      </c>
      <c r="C28">
        <v>43.74</v>
      </c>
      <c r="D28">
        <v>533.27</v>
      </c>
      <c r="E28">
        <v>228.41</v>
      </c>
      <c r="F28">
        <v>28.57</v>
      </c>
      <c r="G28">
        <v>451.38</v>
      </c>
      <c r="H28">
        <v>22.52</v>
      </c>
      <c r="I28">
        <v>78.63</v>
      </c>
      <c r="J28">
        <v>96.61</v>
      </c>
      <c r="K28">
        <v>66.5</v>
      </c>
      <c r="L28">
        <v>58.71</v>
      </c>
      <c r="M28">
        <v>65.73</v>
      </c>
      <c r="N28">
        <v>144.9</v>
      </c>
      <c r="O28">
        <v>55.67</v>
      </c>
      <c r="P28">
        <v>204.6</v>
      </c>
      <c r="Q28">
        <v>25.65</v>
      </c>
      <c r="R28">
        <v>59200</v>
      </c>
      <c r="S28">
        <v>15.74</v>
      </c>
    </row>
    <row r="29" spans="2:19" x14ac:dyDescent="0.35">
      <c r="B29" s="2">
        <v>45513</v>
      </c>
      <c r="C29">
        <v>43.55</v>
      </c>
      <c r="D29">
        <v>532.99</v>
      </c>
      <c r="E29">
        <v>224.56</v>
      </c>
      <c r="F29">
        <v>28.57</v>
      </c>
      <c r="G29">
        <v>450.41</v>
      </c>
      <c r="H29">
        <v>22.21</v>
      </c>
      <c r="I29">
        <v>76.22</v>
      </c>
      <c r="J29">
        <v>96.26</v>
      </c>
      <c r="K29">
        <v>66.66</v>
      </c>
      <c r="L29">
        <v>58.57</v>
      </c>
      <c r="M29">
        <v>65.37</v>
      </c>
      <c r="N29">
        <v>145.03</v>
      </c>
      <c r="O29">
        <v>55.79</v>
      </c>
      <c r="P29">
        <v>206.46</v>
      </c>
      <c r="Q29">
        <v>25.45</v>
      </c>
      <c r="R29">
        <v>60990</v>
      </c>
      <c r="S29">
        <v>15.72</v>
      </c>
    </row>
    <row r="30" spans="2:19" x14ac:dyDescent="0.35">
      <c r="B30" s="2">
        <v>45512</v>
      </c>
      <c r="C30">
        <v>43.44</v>
      </c>
      <c r="D30">
        <v>530.65</v>
      </c>
      <c r="E30">
        <v>224.01</v>
      </c>
      <c r="F30">
        <v>28.6</v>
      </c>
      <c r="G30">
        <v>448.07</v>
      </c>
      <c r="H30">
        <v>22.08</v>
      </c>
      <c r="I30">
        <v>75.36</v>
      </c>
      <c r="J30">
        <v>95.32</v>
      </c>
      <c r="K30">
        <v>66.239999999999995</v>
      </c>
      <c r="L30">
        <v>58.12</v>
      </c>
      <c r="M30">
        <v>65.53</v>
      </c>
      <c r="N30">
        <v>144.18</v>
      </c>
      <c r="O30">
        <v>55.77</v>
      </c>
      <c r="P30">
        <v>206.89</v>
      </c>
      <c r="Q30">
        <v>25.49</v>
      </c>
      <c r="R30">
        <v>59695</v>
      </c>
      <c r="S30">
        <v>15.65</v>
      </c>
    </row>
    <row r="31" spans="2:19" x14ac:dyDescent="0.35">
      <c r="B31" s="2">
        <v>45511</v>
      </c>
      <c r="C31">
        <v>42.52</v>
      </c>
      <c r="D31">
        <v>518.66</v>
      </c>
      <c r="E31">
        <v>220.55</v>
      </c>
      <c r="F31">
        <v>28.56</v>
      </c>
      <c r="G31">
        <v>434.77</v>
      </c>
      <c r="H31">
        <v>21.88</v>
      </c>
      <c r="I31">
        <v>74.69</v>
      </c>
      <c r="J31">
        <v>95.91</v>
      </c>
      <c r="K31">
        <v>65.33</v>
      </c>
      <c r="L31">
        <v>56.79</v>
      </c>
      <c r="M31">
        <v>64.17</v>
      </c>
      <c r="N31">
        <v>141.18</v>
      </c>
      <c r="O31">
        <v>55.26</v>
      </c>
      <c r="P31">
        <v>201.98</v>
      </c>
      <c r="Q31">
        <v>24.89</v>
      </c>
      <c r="R31">
        <v>55000</v>
      </c>
      <c r="S31">
        <v>15.41</v>
      </c>
    </row>
    <row r="32" spans="2:19" x14ac:dyDescent="0.35">
      <c r="B32" s="2">
        <v>45510</v>
      </c>
      <c r="C32">
        <v>42.19</v>
      </c>
      <c r="D32">
        <v>522.15</v>
      </c>
      <c r="E32">
        <v>220.7</v>
      </c>
      <c r="F32">
        <v>28.5</v>
      </c>
      <c r="G32">
        <v>439.53</v>
      </c>
      <c r="H32">
        <v>21.68</v>
      </c>
      <c r="I32">
        <v>72.45</v>
      </c>
      <c r="J32">
        <v>96.59</v>
      </c>
      <c r="K32">
        <v>65.23</v>
      </c>
      <c r="L32">
        <v>56.34</v>
      </c>
      <c r="M32">
        <v>63.12</v>
      </c>
      <c r="N32">
        <v>141.76</v>
      </c>
      <c r="O32">
        <v>55.07</v>
      </c>
      <c r="P32">
        <v>204.4</v>
      </c>
      <c r="Q32">
        <v>24.78</v>
      </c>
      <c r="R32">
        <v>57145</v>
      </c>
      <c r="S32">
        <v>15.48</v>
      </c>
    </row>
    <row r="33" spans="2:19" x14ac:dyDescent="0.35">
      <c r="B33" s="2">
        <v>45509</v>
      </c>
      <c r="C33">
        <v>41.9</v>
      </c>
      <c r="D33">
        <v>517.38</v>
      </c>
      <c r="E33">
        <v>222.48</v>
      </c>
      <c r="F33">
        <v>28.41</v>
      </c>
      <c r="G33">
        <v>435.37</v>
      </c>
      <c r="H33">
        <v>21.86</v>
      </c>
      <c r="I33">
        <v>73.22</v>
      </c>
      <c r="J33">
        <v>98.8</v>
      </c>
      <c r="K33">
        <v>65.06</v>
      </c>
      <c r="L33">
        <v>56.04</v>
      </c>
      <c r="M33">
        <v>63.43</v>
      </c>
      <c r="N33">
        <v>140.68</v>
      </c>
      <c r="O33">
        <v>54.86</v>
      </c>
      <c r="P33">
        <v>202.2</v>
      </c>
      <c r="Q33">
        <v>25.03</v>
      </c>
      <c r="R33">
        <v>53770</v>
      </c>
      <c r="S33">
        <v>15.7</v>
      </c>
    </row>
    <row r="34" spans="2:19" x14ac:dyDescent="0.35">
      <c r="B34" s="2">
        <v>45506</v>
      </c>
      <c r="C34">
        <v>43.09</v>
      </c>
      <c r="D34">
        <v>532.9</v>
      </c>
      <c r="E34">
        <v>225.34</v>
      </c>
      <c r="F34">
        <v>28.57</v>
      </c>
      <c r="G34">
        <v>448.75</v>
      </c>
      <c r="H34">
        <v>21.9</v>
      </c>
      <c r="I34">
        <v>73.39</v>
      </c>
      <c r="J34">
        <v>98.28</v>
      </c>
      <c r="K34">
        <v>66.53</v>
      </c>
      <c r="L34">
        <v>58.02</v>
      </c>
      <c r="M34">
        <v>64.650000000000006</v>
      </c>
      <c r="N34">
        <v>144.62</v>
      </c>
      <c r="O34">
        <v>56.26</v>
      </c>
      <c r="P34">
        <v>208.92</v>
      </c>
      <c r="Q34">
        <v>25.2</v>
      </c>
      <c r="R34">
        <v>62945</v>
      </c>
      <c r="S34">
        <v>15.7</v>
      </c>
    </row>
    <row r="35" spans="2:19" x14ac:dyDescent="0.35">
      <c r="B35" s="2">
        <v>45505</v>
      </c>
      <c r="C35">
        <v>43.56</v>
      </c>
      <c r="D35">
        <v>543.01</v>
      </c>
      <c r="E35">
        <v>225.77</v>
      </c>
      <c r="F35">
        <v>28.86</v>
      </c>
      <c r="G35">
        <v>459.66</v>
      </c>
      <c r="H35">
        <v>22.31</v>
      </c>
      <c r="I35">
        <v>76.290000000000006</v>
      </c>
      <c r="J35">
        <v>95.31</v>
      </c>
      <c r="K35">
        <v>67.040000000000006</v>
      </c>
      <c r="L35">
        <v>59.11</v>
      </c>
      <c r="M35">
        <v>67.55</v>
      </c>
      <c r="N35">
        <v>147.31</v>
      </c>
      <c r="O35">
        <v>56.79</v>
      </c>
      <c r="P35">
        <v>216.58</v>
      </c>
      <c r="Q35">
        <v>25.32</v>
      </c>
      <c r="R35">
        <v>63790</v>
      </c>
      <c r="S35">
        <v>15.83</v>
      </c>
    </row>
    <row r="36" spans="2:19" x14ac:dyDescent="0.35">
      <c r="B36" s="2">
        <v>45504</v>
      </c>
      <c r="C36">
        <v>44.29</v>
      </c>
      <c r="D36">
        <v>550.80999999999995</v>
      </c>
      <c r="E36">
        <v>226.55</v>
      </c>
      <c r="F36">
        <v>28.76</v>
      </c>
      <c r="G36">
        <v>471.07</v>
      </c>
      <c r="H36">
        <v>22.58</v>
      </c>
      <c r="I36">
        <v>77.739999999999995</v>
      </c>
      <c r="J36">
        <v>94.81</v>
      </c>
      <c r="K36">
        <v>68.459999999999994</v>
      </c>
      <c r="L36">
        <v>60.22</v>
      </c>
      <c r="M36">
        <v>70.97</v>
      </c>
      <c r="N36">
        <v>149.97</v>
      </c>
      <c r="O36">
        <v>57.42</v>
      </c>
      <c r="P36">
        <v>223.86</v>
      </c>
      <c r="Q36">
        <v>25.68</v>
      </c>
      <c r="R36">
        <v>65685</v>
      </c>
      <c r="S36">
        <v>15.98</v>
      </c>
    </row>
    <row r="37" spans="2:19" x14ac:dyDescent="0.35">
      <c r="B37" s="2">
        <v>45503</v>
      </c>
      <c r="C37">
        <v>43.45</v>
      </c>
      <c r="D37">
        <v>542</v>
      </c>
      <c r="E37">
        <v>222.52</v>
      </c>
      <c r="F37">
        <v>28.92</v>
      </c>
      <c r="G37">
        <v>457.53</v>
      </c>
      <c r="H37">
        <v>22.07</v>
      </c>
      <c r="I37">
        <v>74.459999999999994</v>
      </c>
      <c r="J37">
        <v>93.85</v>
      </c>
      <c r="K37">
        <v>67.86</v>
      </c>
      <c r="L37">
        <v>58.88</v>
      </c>
      <c r="M37">
        <v>68.94</v>
      </c>
      <c r="N37">
        <v>147.66</v>
      </c>
      <c r="O37">
        <v>56.86</v>
      </c>
      <c r="P37">
        <v>222.57</v>
      </c>
      <c r="Q37">
        <v>25.33</v>
      </c>
      <c r="R37">
        <v>66385</v>
      </c>
      <c r="S37">
        <v>15.76</v>
      </c>
    </row>
    <row r="38" spans="2:19" x14ac:dyDescent="0.35">
      <c r="B38" s="2">
        <v>45502</v>
      </c>
      <c r="C38">
        <v>43.57</v>
      </c>
      <c r="D38">
        <v>544.76</v>
      </c>
      <c r="E38">
        <v>220.32</v>
      </c>
      <c r="F38">
        <v>28.9</v>
      </c>
      <c r="G38">
        <v>463.9</v>
      </c>
      <c r="H38">
        <v>22.14</v>
      </c>
      <c r="I38">
        <v>75.19</v>
      </c>
      <c r="J38">
        <v>93.49</v>
      </c>
      <c r="K38">
        <v>67.61</v>
      </c>
      <c r="L38">
        <v>59.03</v>
      </c>
      <c r="M38">
        <v>68.849999999999994</v>
      </c>
      <c r="N38">
        <v>148.08000000000001</v>
      </c>
      <c r="O38">
        <v>56.84</v>
      </c>
      <c r="P38">
        <v>221.73</v>
      </c>
      <c r="Q38">
        <v>25.56</v>
      </c>
      <c r="R38">
        <v>67860</v>
      </c>
      <c r="S38">
        <v>15.8</v>
      </c>
    </row>
    <row r="39" spans="2:19" x14ac:dyDescent="0.35">
      <c r="B39" s="2">
        <v>45499</v>
      </c>
      <c r="C39">
        <v>43.72</v>
      </c>
      <c r="D39">
        <v>544.44000000000005</v>
      </c>
      <c r="E39">
        <v>220.63</v>
      </c>
      <c r="F39">
        <v>28.82</v>
      </c>
      <c r="G39">
        <v>462.97</v>
      </c>
      <c r="H39">
        <v>22.24</v>
      </c>
      <c r="I39">
        <v>76.11</v>
      </c>
      <c r="J39">
        <v>92.99</v>
      </c>
      <c r="K39">
        <v>68.12</v>
      </c>
      <c r="L39">
        <v>59.26</v>
      </c>
      <c r="M39">
        <v>68.69</v>
      </c>
      <c r="N39">
        <v>148.13</v>
      </c>
      <c r="O39">
        <v>56.82</v>
      </c>
      <c r="P39">
        <v>224.22</v>
      </c>
      <c r="Q39">
        <v>25.52</v>
      </c>
      <c r="R39">
        <v>68775</v>
      </c>
      <c r="S39">
        <v>15.8</v>
      </c>
    </row>
    <row r="40" spans="2:19" x14ac:dyDescent="0.35">
      <c r="B40" s="2">
        <v>45498</v>
      </c>
      <c r="C40">
        <v>43.24</v>
      </c>
      <c r="D40">
        <v>538.41</v>
      </c>
      <c r="E40">
        <v>218.33</v>
      </c>
      <c r="F40">
        <v>28.84</v>
      </c>
      <c r="G40">
        <v>458.27</v>
      </c>
      <c r="H40">
        <v>22.47</v>
      </c>
      <c r="I40">
        <v>77.459999999999994</v>
      </c>
      <c r="J40">
        <v>92.27</v>
      </c>
      <c r="K40">
        <v>67.17</v>
      </c>
      <c r="L40">
        <v>58.58</v>
      </c>
      <c r="M40">
        <v>67.78</v>
      </c>
      <c r="N40">
        <v>146.5</v>
      </c>
      <c r="O40">
        <v>55.77</v>
      </c>
      <c r="P40">
        <v>220.57</v>
      </c>
      <c r="Q40">
        <v>25.39</v>
      </c>
      <c r="R40">
        <v>64695</v>
      </c>
      <c r="S40">
        <v>15.66</v>
      </c>
    </row>
    <row r="41" spans="2:19" x14ac:dyDescent="0.35">
      <c r="B41" s="2">
        <v>45497</v>
      </c>
      <c r="C41">
        <v>43.35</v>
      </c>
      <c r="D41">
        <v>541.23</v>
      </c>
      <c r="E41">
        <v>221.8</v>
      </c>
      <c r="F41">
        <v>28.84</v>
      </c>
      <c r="G41">
        <v>463.38</v>
      </c>
      <c r="H41">
        <v>22.42</v>
      </c>
      <c r="I41">
        <v>76.81</v>
      </c>
      <c r="J41">
        <v>91.52</v>
      </c>
      <c r="K41">
        <v>67.400000000000006</v>
      </c>
      <c r="L41">
        <v>58.62</v>
      </c>
      <c r="M41">
        <v>68.86</v>
      </c>
      <c r="N41">
        <v>147.22999999999999</v>
      </c>
      <c r="O41">
        <v>55.46</v>
      </c>
      <c r="P41">
        <v>217.85</v>
      </c>
      <c r="Q41">
        <v>25.7</v>
      </c>
      <c r="R41">
        <v>65700</v>
      </c>
      <c r="S41">
        <v>15.72</v>
      </c>
    </row>
    <row r="42" spans="2:19" x14ac:dyDescent="0.35">
      <c r="B42" s="2">
        <v>45496</v>
      </c>
      <c r="C42">
        <v>43.81</v>
      </c>
      <c r="D42">
        <v>553.78</v>
      </c>
      <c r="E42">
        <v>222.58</v>
      </c>
      <c r="F42">
        <v>28.85</v>
      </c>
      <c r="G42">
        <v>480.62</v>
      </c>
      <c r="H42">
        <v>22.43</v>
      </c>
      <c r="I42">
        <v>76.62</v>
      </c>
      <c r="J42">
        <v>92.52</v>
      </c>
      <c r="K42">
        <v>68.03</v>
      </c>
      <c r="L42">
        <v>59.49</v>
      </c>
      <c r="M42">
        <v>70.239999999999995</v>
      </c>
      <c r="N42">
        <v>150.29</v>
      </c>
      <c r="O42">
        <v>55.75</v>
      </c>
      <c r="P42">
        <v>222.63</v>
      </c>
      <c r="Q42">
        <v>25.99</v>
      </c>
      <c r="R42">
        <v>65565</v>
      </c>
      <c r="S42">
        <v>15.98</v>
      </c>
    </row>
    <row r="43" spans="2:19" x14ac:dyDescent="0.35">
      <c r="B43" s="2">
        <v>45495</v>
      </c>
      <c r="C43">
        <v>44.27</v>
      </c>
      <c r="D43">
        <v>554.65</v>
      </c>
      <c r="E43">
        <v>221.8</v>
      </c>
      <c r="F43">
        <v>28.8</v>
      </c>
      <c r="G43">
        <v>482.32</v>
      </c>
      <c r="H43">
        <v>22.64</v>
      </c>
      <c r="I43">
        <v>77.62</v>
      </c>
      <c r="J43">
        <v>92.65</v>
      </c>
      <c r="K43">
        <v>68.62</v>
      </c>
      <c r="L43">
        <v>59.84</v>
      </c>
      <c r="M43">
        <v>70.3</v>
      </c>
      <c r="N43">
        <v>150.77000000000001</v>
      </c>
      <c r="O43">
        <v>56.63</v>
      </c>
      <c r="P43">
        <v>220.29</v>
      </c>
      <c r="Q43">
        <v>26.36</v>
      </c>
      <c r="R43">
        <v>68340</v>
      </c>
      <c r="S43">
        <v>16.010000000000002</v>
      </c>
    </row>
    <row r="44" spans="2:19" x14ac:dyDescent="0.35">
      <c r="B44" s="2">
        <v>45492</v>
      </c>
      <c r="C44">
        <v>43.93</v>
      </c>
      <c r="D44">
        <v>548.99</v>
      </c>
      <c r="E44">
        <v>221.73</v>
      </c>
      <c r="F44">
        <v>28.82</v>
      </c>
      <c r="G44">
        <v>475.24</v>
      </c>
      <c r="H44">
        <v>22.58</v>
      </c>
      <c r="I44">
        <v>78</v>
      </c>
      <c r="J44">
        <v>92.92</v>
      </c>
      <c r="K44">
        <v>67.67</v>
      </c>
      <c r="L44">
        <v>59.54</v>
      </c>
      <c r="M44">
        <v>69.959999999999994</v>
      </c>
      <c r="N44">
        <v>149.18</v>
      </c>
      <c r="O44">
        <v>56.18</v>
      </c>
      <c r="P44">
        <v>216.84</v>
      </c>
      <c r="Q44">
        <v>25.82</v>
      </c>
      <c r="R44">
        <v>67480</v>
      </c>
      <c r="S44">
        <v>15.89</v>
      </c>
    </row>
    <row r="45" spans="2:19" x14ac:dyDescent="0.35">
      <c r="B45" s="2">
        <v>45491</v>
      </c>
      <c r="C45">
        <v>44.36</v>
      </c>
      <c r="D45">
        <v>552.66</v>
      </c>
      <c r="E45">
        <v>225.78</v>
      </c>
      <c r="F45">
        <v>28.74</v>
      </c>
      <c r="G45">
        <v>479.49</v>
      </c>
      <c r="H45">
        <v>22.89</v>
      </c>
      <c r="I45">
        <v>79.900000000000006</v>
      </c>
      <c r="J45">
        <v>93.47</v>
      </c>
      <c r="K45">
        <v>68.08</v>
      </c>
      <c r="L45">
        <v>60.19</v>
      </c>
      <c r="M45">
        <v>70.400000000000006</v>
      </c>
      <c r="N45">
        <v>150.24</v>
      </c>
      <c r="O45">
        <v>57.15</v>
      </c>
      <c r="P45">
        <v>217.95</v>
      </c>
      <c r="Q45">
        <v>26.01</v>
      </c>
      <c r="R45">
        <v>63650</v>
      </c>
      <c r="S45">
        <v>15.97</v>
      </c>
    </row>
    <row r="46" spans="2:19" x14ac:dyDescent="0.35">
      <c r="B46" s="2">
        <v>45490</v>
      </c>
      <c r="C46">
        <v>44.75</v>
      </c>
      <c r="D46">
        <v>556.94000000000005</v>
      </c>
      <c r="E46">
        <v>227.23</v>
      </c>
      <c r="F46">
        <v>28.61</v>
      </c>
      <c r="G46">
        <v>481.77</v>
      </c>
      <c r="H46">
        <v>23.06</v>
      </c>
      <c r="I46">
        <v>80.62</v>
      </c>
      <c r="J46">
        <v>94.19</v>
      </c>
      <c r="K46">
        <v>68.64</v>
      </c>
      <c r="L46">
        <v>60.74</v>
      </c>
      <c r="M46">
        <v>71.48</v>
      </c>
      <c r="N46">
        <v>151.6</v>
      </c>
      <c r="O46">
        <v>57.09</v>
      </c>
      <c r="P46">
        <v>222.25</v>
      </c>
      <c r="Q46">
        <v>26.25</v>
      </c>
      <c r="R46">
        <v>64730</v>
      </c>
      <c r="S46">
        <v>16.07</v>
      </c>
    </row>
    <row r="47" spans="2:19" x14ac:dyDescent="0.35">
      <c r="B47" s="2">
        <v>45489</v>
      </c>
      <c r="C47">
        <v>45.41</v>
      </c>
      <c r="D47">
        <v>564.86</v>
      </c>
      <c r="E47">
        <v>228.29</v>
      </c>
      <c r="F47">
        <v>28.74</v>
      </c>
      <c r="G47">
        <v>496.34</v>
      </c>
      <c r="H47">
        <v>23.06</v>
      </c>
      <c r="I47">
        <v>79.06</v>
      </c>
      <c r="J47">
        <v>94.17</v>
      </c>
      <c r="K47">
        <v>69.010000000000005</v>
      </c>
      <c r="L47">
        <v>61.86</v>
      </c>
      <c r="M47">
        <v>71.900000000000006</v>
      </c>
      <c r="N47">
        <v>153.30000000000001</v>
      </c>
      <c r="O47">
        <v>57.36</v>
      </c>
      <c r="P47">
        <v>224.6</v>
      </c>
      <c r="Q47">
        <v>26.61</v>
      </c>
      <c r="R47">
        <v>65450</v>
      </c>
      <c r="S47">
        <v>16.27</v>
      </c>
    </row>
    <row r="48" spans="2:19" x14ac:dyDescent="0.35">
      <c r="B48" s="2">
        <v>45488</v>
      </c>
      <c r="C48">
        <v>45.12</v>
      </c>
      <c r="D48">
        <v>561.53</v>
      </c>
      <c r="E48">
        <v>223.83</v>
      </c>
      <c r="F48">
        <v>28.74</v>
      </c>
      <c r="G48">
        <v>496.15</v>
      </c>
      <c r="H48">
        <v>23.12</v>
      </c>
      <c r="I48">
        <v>80.12</v>
      </c>
      <c r="J48">
        <v>92.86</v>
      </c>
      <c r="K48">
        <v>68.75</v>
      </c>
      <c r="L48">
        <v>61.4</v>
      </c>
      <c r="M48">
        <v>71.06</v>
      </c>
      <c r="N48">
        <v>152.41</v>
      </c>
      <c r="O48">
        <v>57.16</v>
      </c>
      <c r="P48">
        <v>217.19</v>
      </c>
      <c r="Q48">
        <v>26.61</v>
      </c>
      <c r="R48">
        <v>63700</v>
      </c>
      <c r="S48">
        <v>16.190000000000001</v>
      </c>
    </row>
    <row r="49" spans="2:19" x14ac:dyDescent="0.35">
      <c r="B49" s="2">
        <v>45485</v>
      </c>
      <c r="C49">
        <v>45.59</v>
      </c>
      <c r="D49">
        <v>559.99</v>
      </c>
      <c r="E49">
        <v>223.11</v>
      </c>
      <c r="F49">
        <v>28.69</v>
      </c>
      <c r="G49">
        <v>494.82</v>
      </c>
      <c r="H49">
        <v>23.29</v>
      </c>
      <c r="I49">
        <v>80.25</v>
      </c>
      <c r="J49">
        <v>93.94</v>
      </c>
      <c r="K49">
        <v>69.5</v>
      </c>
      <c r="L49">
        <v>61.84</v>
      </c>
      <c r="M49">
        <v>71.400000000000006</v>
      </c>
      <c r="N49">
        <v>152.4</v>
      </c>
      <c r="O49">
        <v>57.07</v>
      </c>
      <c r="P49">
        <v>213.14</v>
      </c>
      <c r="Q49">
        <v>27.22</v>
      </c>
      <c r="R49">
        <v>57845</v>
      </c>
      <c r="S49">
        <v>16.21</v>
      </c>
    </row>
    <row r="50" spans="2:19" x14ac:dyDescent="0.35">
      <c r="B50" s="2">
        <v>45484</v>
      </c>
      <c r="C50">
        <v>45.38</v>
      </c>
      <c r="D50">
        <v>556.48</v>
      </c>
      <c r="E50">
        <v>223.25</v>
      </c>
      <c r="F50">
        <v>28.79</v>
      </c>
      <c r="G50">
        <v>491.93</v>
      </c>
      <c r="H50">
        <v>23.38</v>
      </c>
      <c r="I50">
        <v>80.94</v>
      </c>
      <c r="J50">
        <v>93.54</v>
      </c>
      <c r="K50">
        <v>68.680000000000007</v>
      </c>
      <c r="L50">
        <v>61.72</v>
      </c>
      <c r="M50">
        <v>71.010000000000005</v>
      </c>
      <c r="N50">
        <v>151.27000000000001</v>
      </c>
      <c r="O50">
        <v>56.89</v>
      </c>
      <c r="P50">
        <v>210.68</v>
      </c>
      <c r="Q50">
        <v>26.94</v>
      </c>
      <c r="R50">
        <v>57580</v>
      </c>
      <c r="S50">
        <v>16.12</v>
      </c>
    </row>
    <row r="51" spans="2:19" x14ac:dyDescent="0.35">
      <c r="B51" s="2">
        <v>45483</v>
      </c>
      <c r="C51">
        <v>45.03</v>
      </c>
      <c r="D51">
        <v>561.32000000000005</v>
      </c>
      <c r="E51">
        <v>219.36</v>
      </c>
      <c r="F51">
        <v>28.94</v>
      </c>
      <c r="G51">
        <v>502.96</v>
      </c>
      <c r="H51">
        <v>23.3</v>
      </c>
      <c r="I51">
        <v>80.48</v>
      </c>
      <c r="J51">
        <v>92.64</v>
      </c>
      <c r="K51">
        <v>68.349999999999994</v>
      </c>
      <c r="L51">
        <v>61.64</v>
      </c>
      <c r="M51">
        <v>71.28</v>
      </c>
      <c r="N51">
        <v>152.02000000000001</v>
      </c>
      <c r="O51">
        <v>56.74</v>
      </c>
      <c r="P51">
        <v>203.37</v>
      </c>
      <c r="Q51">
        <v>26.38</v>
      </c>
      <c r="R51">
        <v>57625</v>
      </c>
      <c r="S51">
        <v>16.18</v>
      </c>
    </row>
    <row r="52" spans="2:19" x14ac:dyDescent="0.35">
      <c r="B52" s="2">
        <v>45482</v>
      </c>
      <c r="C52">
        <v>44.85</v>
      </c>
      <c r="D52">
        <v>555.82000000000005</v>
      </c>
      <c r="E52">
        <v>218.56</v>
      </c>
      <c r="F52">
        <v>28.97</v>
      </c>
      <c r="G52">
        <v>497.77</v>
      </c>
      <c r="H52">
        <v>23.3</v>
      </c>
      <c r="I52">
        <v>79.77</v>
      </c>
      <c r="J52">
        <v>92.35</v>
      </c>
      <c r="K52">
        <v>67.510000000000005</v>
      </c>
      <c r="L52">
        <v>61.11</v>
      </c>
      <c r="M52">
        <v>70</v>
      </c>
      <c r="N52">
        <v>150.43</v>
      </c>
      <c r="O52">
        <v>56.85</v>
      </c>
      <c r="P52">
        <v>201.4</v>
      </c>
      <c r="Q52">
        <v>26.5</v>
      </c>
      <c r="R52">
        <v>58160</v>
      </c>
      <c r="S52">
        <v>16.059999999999999</v>
      </c>
    </row>
    <row r="53" spans="2:19" x14ac:dyDescent="0.35">
      <c r="B53" s="2">
        <v>45481</v>
      </c>
      <c r="C53">
        <v>44.66</v>
      </c>
      <c r="D53">
        <v>555.28</v>
      </c>
      <c r="E53">
        <v>218.19</v>
      </c>
      <c r="F53">
        <v>28.93</v>
      </c>
      <c r="G53">
        <v>497.34</v>
      </c>
      <c r="H53">
        <v>23.46</v>
      </c>
      <c r="I53">
        <v>80.42</v>
      </c>
      <c r="J53">
        <v>92.76</v>
      </c>
      <c r="K53">
        <v>68.05</v>
      </c>
      <c r="L53">
        <v>61.05</v>
      </c>
      <c r="M53">
        <v>69.62</v>
      </c>
      <c r="N53">
        <v>150.34</v>
      </c>
      <c r="O53">
        <v>56.63</v>
      </c>
      <c r="P53">
        <v>202.28</v>
      </c>
      <c r="Q53">
        <v>26.23</v>
      </c>
      <c r="R53">
        <v>56755</v>
      </c>
      <c r="S53">
        <v>16.07</v>
      </c>
    </row>
    <row r="54" spans="2:19" x14ac:dyDescent="0.35">
      <c r="B54" s="2">
        <v>45478</v>
      </c>
      <c r="C54">
        <v>44.66</v>
      </c>
      <c r="D54">
        <v>554.64</v>
      </c>
      <c r="E54">
        <v>220.93</v>
      </c>
      <c r="F54">
        <v>28.88</v>
      </c>
      <c r="G54">
        <v>496.16</v>
      </c>
      <c r="H54">
        <v>23.78</v>
      </c>
      <c r="I54">
        <v>81.31</v>
      </c>
      <c r="J54">
        <v>92.56</v>
      </c>
      <c r="K54">
        <v>68.39</v>
      </c>
      <c r="L54">
        <v>60.78</v>
      </c>
      <c r="M54">
        <v>69.959999999999994</v>
      </c>
      <c r="N54">
        <v>150.5</v>
      </c>
      <c r="O54">
        <v>56.66</v>
      </c>
      <c r="P54">
        <v>200.87</v>
      </c>
      <c r="Q54">
        <v>26.44</v>
      </c>
      <c r="R54">
        <v>56685</v>
      </c>
      <c r="S54">
        <v>15.78</v>
      </c>
    </row>
    <row r="55" spans="2:19" x14ac:dyDescent="0.35">
      <c r="B55" s="2">
        <v>45476</v>
      </c>
      <c r="C55">
        <v>44.67</v>
      </c>
      <c r="D55">
        <v>551.46</v>
      </c>
      <c r="E55">
        <v>217.99</v>
      </c>
      <c r="F55">
        <v>28.98</v>
      </c>
      <c r="G55">
        <v>491.04</v>
      </c>
      <c r="H55">
        <v>23.69</v>
      </c>
      <c r="I55">
        <v>81.27</v>
      </c>
      <c r="J55">
        <v>91.8</v>
      </c>
      <c r="K55">
        <v>67.83</v>
      </c>
      <c r="L55">
        <v>60.11</v>
      </c>
      <c r="M55">
        <v>69.489999999999995</v>
      </c>
      <c r="N55">
        <v>149.59</v>
      </c>
      <c r="O55">
        <v>56.41</v>
      </c>
      <c r="P55">
        <v>201.83</v>
      </c>
      <c r="Q55">
        <v>26.9</v>
      </c>
      <c r="R55">
        <v>59825</v>
      </c>
      <c r="S55">
        <v>15.86</v>
      </c>
    </row>
    <row r="56" spans="2:19" x14ac:dyDescent="0.35">
      <c r="B56" s="2">
        <v>45475</v>
      </c>
      <c r="C56">
        <v>44.02</v>
      </c>
      <c r="D56">
        <v>549.01</v>
      </c>
      <c r="E56">
        <v>215.56</v>
      </c>
      <c r="F56">
        <v>29.1</v>
      </c>
      <c r="G56">
        <v>486.98</v>
      </c>
      <c r="H56">
        <v>23.56</v>
      </c>
      <c r="I56">
        <v>81.11</v>
      </c>
      <c r="J56">
        <v>90.61</v>
      </c>
      <c r="K56">
        <v>66.989999999999995</v>
      </c>
      <c r="L56">
        <v>59.35</v>
      </c>
      <c r="M56">
        <v>68.86</v>
      </c>
      <c r="N56">
        <v>148.58000000000001</v>
      </c>
      <c r="O56">
        <v>56.17</v>
      </c>
      <c r="P56">
        <v>201.88</v>
      </c>
      <c r="Q56">
        <v>26.43</v>
      </c>
      <c r="R56">
        <v>62185</v>
      </c>
      <c r="S56">
        <v>15.78</v>
      </c>
    </row>
    <row r="57" spans="2:19" x14ac:dyDescent="0.35">
      <c r="B57" s="2">
        <v>45474</v>
      </c>
      <c r="C57">
        <v>43.86</v>
      </c>
      <c r="D57">
        <v>545.34</v>
      </c>
      <c r="E57">
        <v>215.57</v>
      </c>
      <c r="F57">
        <v>29.14</v>
      </c>
      <c r="G57">
        <v>481.92</v>
      </c>
      <c r="H57">
        <v>23.53</v>
      </c>
      <c r="I57">
        <v>81.540000000000006</v>
      </c>
      <c r="J57">
        <v>89.91</v>
      </c>
      <c r="K57">
        <v>67.17</v>
      </c>
      <c r="L57">
        <v>59.21</v>
      </c>
      <c r="M57">
        <v>67.790000000000006</v>
      </c>
      <c r="N57">
        <v>147.81</v>
      </c>
      <c r="O57">
        <v>56.18</v>
      </c>
      <c r="P57">
        <v>201.19</v>
      </c>
      <c r="Q57">
        <v>26.08</v>
      </c>
      <c r="R57">
        <v>63695</v>
      </c>
      <c r="S57">
        <v>15.78</v>
      </c>
    </row>
    <row r="58" spans="2:19" x14ac:dyDescent="0.35">
      <c r="B58" s="2">
        <v>45471</v>
      </c>
      <c r="C58">
        <v>43.76</v>
      </c>
      <c r="D58">
        <v>544.22</v>
      </c>
      <c r="E58">
        <v>215.01</v>
      </c>
      <c r="F58">
        <v>29.13</v>
      </c>
      <c r="G58">
        <v>479.11</v>
      </c>
      <c r="H58">
        <v>23.23</v>
      </c>
      <c r="I58">
        <v>79.59</v>
      </c>
      <c r="J58">
        <v>91.78</v>
      </c>
      <c r="K58">
        <v>66.77</v>
      </c>
      <c r="L58">
        <v>59.2</v>
      </c>
      <c r="M58">
        <v>68.239999999999995</v>
      </c>
      <c r="N58">
        <v>147.49</v>
      </c>
      <c r="O58">
        <v>55.78</v>
      </c>
      <c r="P58">
        <v>202.89</v>
      </c>
      <c r="Q58">
        <v>25.99</v>
      </c>
      <c r="R58">
        <v>61024.23</v>
      </c>
      <c r="S58">
        <v>15.8</v>
      </c>
    </row>
    <row r="59" spans="2:19" x14ac:dyDescent="0.35">
      <c r="B59" s="2">
        <v>45470</v>
      </c>
      <c r="C59">
        <v>43.65</v>
      </c>
      <c r="D59">
        <v>546.37</v>
      </c>
      <c r="E59">
        <v>214.99</v>
      </c>
      <c r="F59">
        <v>29.13</v>
      </c>
      <c r="G59">
        <v>481.61</v>
      </c>
      <c r="H59">
        <v>23.33</v>
      </c>
      <c r="I59">
        <v>79.92</v>
      </c>
      <c r="J59">
        <v>93.52</v>
      </c>
      <c r="K59">
        <v>66.86</v>
      </c>
      <c r="L59">
        <v>59.02</v>
      </c>
      <c r="M59">
        <v>67.650000000000006</v>
      </c>
      <c r="N59">
        <v>147.74</v>
      </c>
      <c r="O59">
        <v>55.8</v>
      </c>
      <c r="P59">
        <v>202.06</v>
      </c>
      <c r="Q59">
        <v>25.89</v>
      </c>
      <c r="R59">
        <v>61365</v>
      </c>
      <c r="S59">
        <v>15.87</v>
      </c>
    </row>
    <row r="60" spans="2:19" x14ac:dyDescent="0.35">
      <c r="B60" s="2">
        <v>45469</v>
      </c>
      <c r="C60">
        <v>43.67</v>
      </c>
      <c r="D60">
        <v>545.51</v>
      </c>
      <c r="E60">
        <v>212.58</v>
      </c>
      <c r="F60">
        <v>29.17</v>
      </c>
      <c r="G60">
        <v>480.37</v>
      </c>
      <c r="H60">
        <v>23.21</v>
      </c>
      <c r="I60">
        <v>78.75</v>
      </c>
      <c r="J60">
        <v>93.15</v>
      </c>
      <c r="K60">
        <v>66.930000000000007</v>
      </c>
      <c r="L60">
        <v>58.56</v>
      </c>
      <c r="M60">
        <v>67.31</v>
      </c>
      <c r="N60">
        <v>147.69999999999999</v>
      </c>
      <c r="O60">
        <v>55.22</v>
      </c>
      <c r="P60">
        <v>200.03</v>
      </c>
      <c r="Q60">
        <v>26.52</v>
      </c>
      <c r="R60">
        <v>60940</v>
      </c>
      <c r="S60">
        <v>15.84</v>
      </c>
    </row>
    <row r="61" spans="2:19" x14ac:dyDescent="0.35">
      <c r="B61" s="2">
        <v>45468</v>
      </c>
      <c r="C61">
        <v>43.79</v>
      </c>
      <c r="D61">
        <v>544.83000000000004</v>
      </c>
      <c r="E61">
        <v>214.56</v>
      </c>
      <c r="F61">
        <v>29.03</v>
      </c>
      <c r="G61">
        <v>479.38</v>
      </c>
      <c r="H61">
        <v>23.17</v>
      </c>
      <c r="I61">
        <v>78.900000000000006</v>
      </c>
      <c r="J61">
        <v>94.5</v>
      </c>
      <c r="K61">
        <v>67.53</v>
      </c>
      <c r="L61">
        <v>58.73</v>
      </c>
      <c r="M61">
        <v>67.56</v>
      </c>
      <c r="N61">
        <v>147.78</v>
      </c>
      <c r="O61">
        <v>55.18</v>
      </c>
      <c r="P61">
        <v>200.56</v>
      </c>
      <c r="Q61">
        <v>26.51</v>
      </c>
      <c r="R61">
        <v>62055</v>
      </c>
      <c r="S61">
        <v>15.88</v>
      </c>
    </row>
    <row r="62" spans="2:19" x14ac:dyDescent="0.35">
      <c r="B62" s="2">
        <v>45467</v>
      </c>
      <c r="C62">
        <v>43.92</v>
      </c>
      <c r="D62">
        <v>542.74</v>
      </c>
      <c r="E62">
        <v>215.63</v>
      </c>
      <c r="F62">
        <v>29</v>
      </c>
      <c r="G62">
        <v>473.96</v>
      </c>
      <c r="H62">
        <v>23.39</v>
      </c>
      <c r="I62">
        <v>79.7</v>
      </c>
      <c r="J62">
        <v>94.34</v>
      </c>
      <c r="K62">
        <v>67.66</v>
      </c>
      <c r="L62">
        <v>58.64</v>
      </c>
      <c r="M62">
        <v>66.510000000000005</v>
      </c>
      <c r="N62">
        <v>147.27000000000001</v>
      </c>
      <c r="O62">
        <v>55.13</v>
      </c>
      <c r="P62">
        <v>201.22</v>
      </c>
      <c r="Q62">
        <v>26.72</v>
      </c>
      <c r="R62">
        <v>59145</v>
      </c>
      <c r="S62">
        <v>15.82</v>
      </c>
    </row>
    <row r="63" spans="2:19" x14ac:dyDescent="0.35">
      <c r="B63" s="2">
        <v>45464</v>
      </c>
      <c r="C63">
        <v>43.95</v>
      </c>
      <c r="D63">
        <v>544.51</v>
      </c>
      <c r="E63">
        <v>214.78</v>
      </c>
      <c r="F63">
        <v>29.1</v>
      </c>
      <c r="G63">
        <v>480.18</v>
      </c>
      <c r="H63">
        <v>23.2</v>
      </c>
      <c r="I63">
        <v>78.650000000000006</v>
      </c>
      <c r="J63">
        <v>93.96</v>
      </c>
      <c r="K63">
        <v>67.06</v>
      </c>
      <c r="L63">
        <v>58.78</v>
      </c>
      <c r="M63">
        <v>66.010000000000005</v>
      </c>
      <c r="N63">
        <v>147.22999999999999</v>
      </c>
      <c r="O63">
        <v>54.69</v>
      </c>
      <c r="P63">
        <v>200.35</v>
      </c>
      <c r="Q63">
        <v>26.42</v>
      </c>
      <c r="R63">
        <v>64260</v>
      </c>
      <c r="S63">
        <v>15.85</v>
      </c>
    </row>
    <row r="64" spans="2:19" x14ac:dyDescent="0.35">
      <c r="B64" s="2">
        <v>45463</v>
      </c>
      <c r="C64">
        <v>44.27</v>
      </c>
      <c r="D64">
        <v>547</v>
      </c>
      <c r="E64">
        <v>218.16</v>
      </c>
      <c r="F64">
        <v>29.03</v>
      </c>
      <c r="G64">
        <v>481.47</v>
      </c>
      <c r="H64">
        <v>23.39</v>
      </c>
      <c r="I64">
        <v>79.41</v>
      </c>
      <c r="J64">
        <v>93.96</v>
      </c>
      <c r="K64">
        <v>68.64</v>
      </c>
      <c r="L64">
        <v>58.93</v>
      </c>
      <c r="M64">
        <v>66.48</v>
      </c>
      <c r="N64">
        <v>147.72</v>
      </c>
      <c r="O64">
        <v>54.95</v>
      </c>
      <c r="P64">
        <v>199.9</v>
      </c>
      <c r="Q64">
        <v>26.88</v>
      </c>
      <c r="R64">
        <v>65100</v>
      </c>
      <c r="S64">
        <v>15.88</v>
      </c>
    </row>
    <row r="65" spans="2:19" x14ac:dyDescent="0.35">
      <c r="B65" s="2">
        <v>45461</v>
      </c>
      <c r="C65">
        <v>44.35</v>
      </c>
      <c r="D65">
        <v>548.49</v>
      </c>
      <c r="E65">
        <v>215.47</v>
      </c>
      <c r="F65">
        <v>28.91</v>
      </c>
      <c r="G65">
        <v>485.21</v>
      </c>
      <c r="H65">
        <v>23.34</v>
      </c>
      <c r="I65">
        <v>78.67</v>
      </c>
      <c r="J65">
        <v>94.59</v>
      </c>
      <c r="K65">
        <v>68.47</v>
      </c>
      <c r="L65">
        <v>58.96</v>
      </c>
      <c r="M65">
        <v>66.66</v>
      </c>
      <c r="N65">
        <v>147.96</v>
      </c>
      <c r="O65">
        <v>55.51</v>
      </c>
      <c r="P65">
        <v>200.75</v>
      </c>
      <c r="Q65">
        <v>26.56</v>
      </c>
      <c r="R65">
        <v>64475</v>
      </c>
      <c r="S65">
        <v>15.93</v>
      </c>
    </row>
    <row r="66" spans="2:19" x14ac:dyDescent="0.35">
      <c r="B66" s="2">
        <v>45460</v>
      </c>
      <c r="C66">
        <v>44</v>
      </c>
      <c r="D66">
        <v>547.1</v>
      </c>
      <c r="E66">
        <v>214.61</v>
      </c>
      <c r="F66">
        <v>28.92</v>
      </c>
      <c r="G66">
        <v>485.06</v>
      </c>
      <c r="H66">
        <v>23.15</v>
      </c>
      <c r="I66">
        <v>77.790000000000006</v>
      </c>
      <c r="J66">
        <v>93.73</v>
      </c>
      <c r="K66">
        <v>68.13</v>
      </c>
      <c r="L66">
        <v>58.3</v>
      </c>
      <c r="M66">
        <v>66.61</v>
      </c>
      <c r="N66">
        <v>147.47</v>
      </c>
      <c r="O66">
        <v>55.25</v>
      </c>
      <c r="P66">
        <v>200.4</v>
      </c>
      <c r="Q66">
        <v>26.5</v>
      </c>
      <c r="R66">
        <v>66865</v>
      </c>
      <c r="S66">
        <v>15.87</v>
      </c>
    </row>
    <row r="67" spans="2:19" x14ac:dyDescent="0.35">
      <c r="B67" s="2">
        <v>45457</v>
      </c>
      <c r="C67">
        <v>43.76</v>
      </c>
      <c r="D67">
        <v>542.78</v>
      </c>
      <c r="E67">
        <v>215.73</v>
      </c>
      <c r="F67">
        <v>28.99</v>
      </c>
      <c r="G67">
        <v>479.19</v>
      </c>
      <c r="H67">
        <v>23.07</v>
      </c>
      <c r="I67">
        <v>76.08</v>
      </c>
      <c r="J67">
        <v>94.67</v>
      </c>
      <c r="K67">
        <v>67.59</v>
      </c>
      <c r="L67">
        <v>57.99</v>
      </c>
      <c r="M67">
        <v>67.13</v>
      </c>
      <c r="N67">
        <v>146.58000000000001</v>
      </c>
      <c r="O67">
        <v>55.17</v>
      </c>
      <c r="P67">
        <v>198.73</v>
      </c>
      <c r="Q67">
        <v>26.17</v>
      </c>
      <c r="R67">
        <v>65640</v>
      </c>
      <c r="S67">
        <v>15.81</v>
      </c>
    </row>
    <row r="68" spans="2:19" x14ac:dyDescent="0.35">
      <c r="B68" s="2">
        <v>45456</v>
      </c>
      <c r="C68">
        <v>43.64</v>
      </c>
      <c r="D68">
        <v>542.45000000000005</v>
      </c>
      <c r="E68">
        <v>212.97</v>
      </c>
      <c r="F68">
        <v>28.86</v>
      </c>
      <c r="G68">
        <v>476.72</v>
      </c>
      <c r="H68">
        <v>23.16</v>
      </c>
      <c r="I68">
        <v>75.739999999999995</v>
      </c>
      <c r="J68">
        <v>93.88</v>
      </c>
      <c r="K68">
        <v>68.709999999999994</v>
      </c>
      <c r="L68">
        <v>57.8</v>
      </c>
      <c r="M68">
        <v>67.150000000000006</v>
      </c>
      <c r="N68">
        <v>147.01</v>
      </c>
      <c r="O68">
        <v>54.6</v>
      </c>
      <c r="P68">
        <v>201.94</v>
      </c>
      <c r="Q68">
        <v>26.39</v>
      </c>
      <c r="R68">
        <v>66860</v>
      </c>
      <c r="S68">
        <v>15.81</v>
      </c>
    </row>
    <row r="69" spans="2:19" x14ac:dyDescent="0.35">
      <c r="B69" s="2">
        <v>45455</v>
      </c>
      <c r="C69">
        <v>43.69</v>
      </c>
      <c r="D69">
        <v>541.36</v>
      </c>
      <c r="E69">
        <v>214.72</v>
      </c>
      <c r="F69">
        <v>28.75</v>
      </c>
      <c r="G69">
        <v>474.15</v>
      </c>
      <c r="H69">
        <v>23.14</v>
      </c>
      <c r="I69">
        <v>75.98</v>
      </c>
      <c r="J69">
        <v>92.52</v>
      </c>
      <c r="K69">
        <v>69.78</v>
      </c>
      <c r="L69">
        <v>57.94</v>
      </c>
      <c r="M69">
        <v>68.39</v>
      </c>
      <c r="N69">
        <v>147.33000000000001</v>
      </c>
      <c r="O69">
        <v>54.67</v>
      </c>
      <c r="P69">
        <v>203.72</v>
      </c>
      <c r="Q69">
        <v>26.41</v>
      </c>
      <c r="R69">
        <v>67875</v>
      </c>
      <c r="S69">
        <v>15.78</v>
      </c>
    </row>
    <row r="70" spans="2:19" x14ac:dyDescent="0.35">
      <c r="B70" s="2">
        <v>45454</v>
      </c>
      <c r="C70">
        <v>43.35</v>
      </c>
      <c r="D70">
        <v>536.95000000000005</v>
      </c>
      <c r="E70">
        <v>214.15</v>
      </c>
      <c r="F70">
        <v>28.88</v>
      </c>
      <c r="G70">
        <v>468.02</v>
      </c>
      <c r="H70">
        <v>23.06</v>
      </c>
      <c r="I70">
        <v>75.510000000000005</v>
      </c>
      <c r="J70">
        <v>91.83</v>
      </c>
      <c r="K70">
        <v>68.7</v>
      </c>
      <c r="L70">
        <v>57.21</v>
      </c>
      <c r="M70">
        <v>68.06</v>
      </c>
      <c r="N70">
        <v>145.97</v>
      </c>
      <c r="O70">
        <v>54.26</v>
      </c>
      <c r="P70">
        <v>200.64</v>
      </c>
      <c r="Q70">
        <v>26.47</v>
      </c>
      <c r="R70">
        <v>67735</v>
      </c>
      <c r="S70">
        <v>15.65</v>
      </c>
    </row>
    <row r="71" spans="2:19" x14ac:dyDescent="0.35">
      <c r="B71" s="2">
        <v>45453</v>
      </c>
      <c r="C71">
        <v>43.45</v>
      </c>
      <c r="D71">
        <v>535.66</v>
      </c>
      <c r="E71">
        <v>213.54</v>
      </c>
      <c r="F71">
        <v>28.84</v>
      </c>
      <c r="G71">
        <v>464.83</v>
      </c>
      <c r="H71">
        <v>23.09</v>
      </c>
      <c r="I71">
        <v>75.459999999999994</v>
      </c>
      <c r="J71">
        <v>90.89</v>
      </c>
      <c r="K71">
        <v>69.540000000000006</v>
      </c>
      <c r="L71">
        <v>57.88</v>
      </c>
      <c r="M71">
        <v>69.34</v>
      </c>
      <c r="N71">
        <v>147.36000000000001</v>
      </c>
      <c r="O71">
        <v>54.15</v>
      </c>
      <c r="P71">
        <v>201.89</v>
      </c>
      <c r="Q71">
        <v>26.75</v>
      </c>
      <c r="R71">
        <v>69875</v>
      </c>
      <c r="S71">
        <v>15.59</v>
      </c>
    </row>
    <row r="72" spans="2:19" x14ac:dyDescent="0.35">
      <c r="B72" s="2">
        <v>45450</v>
      </c>
      <c r="C72">
        <v>43.22</v>
      </c>
      <c r="D72">
        <v>534.01</v>
      </c>
      <c r="E72">
        <v>211.6</v>
      </c>
      <c r="F72">
        <v>28.77</v>
      </c>
      <c r="G72">
        <v>462.96</v>
      </c>
      <c r="H72">
        <v>22.76</v>
      </c>
      <c r="I72">
        <v>73.02</v>
      </c>
      <c r="J72">
        <v>91.5</v>
      </c>
      <c r="K72">
        <v>69.75</v>
      </c>
      <c r="L72">
        <v>57.5</v>
      </c>
      <c r="M72">
        <v>68.73</v>
      </c>
      <c r="N72">
        <v>147.03</v>
      </c>
      <c r="O72">
        <v>53.99</v>
      </c>
      <c r="P72">
        <v>201.2</v>
      </c>
      <c r="Q72">
        <v>26.5</v>
      </c>
      <c r="R72">
        <v>69755</v>
      </c>
      <c r="S72">
        <v>15.59</v>
      </c>
    </row>
    <row r="73" spans="2:19" x14ac:dyDescent="0.35">
      <c r="B73" s="2">
        <v>45449</v>
      </c>
      <c r="C73">
        <v>43.58</v>
      </c>
      <c r="D73">
        <v>534.66</v>
      </c>
      <c r="E73">
        <v>219.43</v>
      </c>
      <c r="F73">
        <v>28.53</v>
      </c>
      <c r="G73">
        <v>463.37</v>
      </c>
      <c r="H73">
        <v>23.09</v>
      </c>
      <c r="I73">
        <v>73.260000000000005</v>
      </c>
      <c r="J73">
        <v>93.21</v>
      </c>
      <c r="K73">
        <v>70.67</v>
      </c>
      <c r="L73">
        <v>57.95</v>
      </c>
      <c r="M73">
        <v>69.239999999999995</v>
      </c>
      <c r="N73">
        <v>147.65</v>
      </c>
      <c r="O73">
        <v>53.36</v>
      </c>
      <c r="P73">
        <v>203.59</v>
      </c>
      <c r="Q73">
        <v>27.19</v>
      </c>
      <c r="R73">
        <v>70960</v>
      </c>
      <c r="S73">
        <v>15.67</v>
      </c>
    </row>
    <row r="74" spans="2:19" x14ac:dyDescent="0.35">
      <c r="B74" s="2">
        <v>45448</v>
      </c>
      <c r="C74">
        <v>43.38</v>
      </c>
      <c r="D74">
        <v>534.66999999999996</v>
      </c>
      <c r="E74">
        <v>217.82</v>
      </c>
      <c r="F74">
        <v>28.57</v>
      </c>
      <c r="G74">
        <v>463.53</v>
      </c>
      <c r="H74">
        <v>22.79</v>
      </c>
      <c r="I74">
        <v>71.89</v>
      </c>
      <c r="J74">
        <v>93.35</v>
      </c>
      <c r="K74">
        <v>70.39</v>
      </c>
      <c r="L74">
        <v>57.56</v>
      </c>
      <c r="M74">
        <v>69.28</v>
      </c>
      <c r="N74">
        <v>147.56</v>
      </c>
      <c r="O74">
        <v>53.12</v>
      </c>
      <c r="P74">
        <v>205.06</v>
      </c>
      <c r="Q74">
        <v>27.2</v>
      </c>
      <c r="R74">
        <v>71890</v>
      </c>
      <c r="S74">
        <v>15.67</v>
      </c>
    </row>
    <row r="75" spans="2:19" x14ac:dyDescent="0.35">
      <c r="B75" s="2">
        <v>45447</v>
      </c>
      <c r="C75">
        <v>42.83</v>
      </c>
      <c r="D75">
        <v>528.39</v>
      </c>
      <c r="E75">
        <v>215.27</v>
      </c>
      <c r="F75">
        <v>28.53</v>
      </c>
      <c r="G75">
        <v>454.37</v>
      </c>
      <c r="H75">
        <v>22.71</v>
      </c>
      <c r="I75">
        <v>71.09</v>
      </c>
      <c r="J75">
        <v>92.67</v>
      </c>
      <c r="K75">
        <v>69.72</v>
      </c>
      <c r="L75">
        <v>56.37</v>
      </c>
      <c r="M75">
        <v>69.48</v>
      </c>
      <c r="N75">
        <v>146.03</v>
      </c>
      <c r="O75">
        <v>51.46</v>
      </c>
      <c r="P75">
        <v>201.97</v>
      </c>
      <c r="Q75">
        <v>26.97</v>
      </c>
      <c r="R75">
        <v>71085</v>
      </c>
      <c r="S75">
        <v>15.53</v>
      </c>
    </row>
    <row r="76" spans="2:19" x14ac:dyDescent="0.35">
      <c r="B76" s="2">
        <v>45446</v>
      </c>
      <c r="C76">
        <v>43.51</v>
      </c>
      <c r="D76">
        <v>527.79999999999995</v>
      </c>
      <c r="E76">
        <v>217.22</v>
      </c>
      <c r="F76">
        <v>28.52</v>
      </c>
      <c r="G76">
        <v>453.13</v>
      </c>
      <c r="H76">
        <v>22.94</v>
      </c>
      <c r="I76">
        <v>71.83</v>
      </c>
      <c r="J76">
        <v>91.6</v>
      </c>
      <c r="K76">
        <v>69.94</v>
      </c>
      <c r="L76">
        <v>57.69</v>
      </c>
      <c r="M76">
        <v>69.400000000000006</v>
      </c>
      <c r="N76">
        <v>146.06</v>
      </c>
      <c r="O76">
        <v>54.8</v>
      </c>
      <c r="P76">
        <v>204.61</v>
      </c>
      <c r="Q76">
        <v>26.76</v>
      </c>
      <c r="R76">
        <v>69660</v>
      </c>
      <c r="S76">
        <v>15.51</v>
      </c>
    </row>
    <row r="77" spans="2:19" x14ac:dyDescent="0.35">
      <c r="B77" s="2">
        <v>45443</v>
      </c>
      <c r="C77">
        <v>43.08</v>
      </c>
      <c r="D77">
        <v>527.37</v>
      </c>
      <c r="E77">
        <v>215.3</v>
      </c>
      <c r="F77">
        <v>28.67</v>
      </c>
      <c r="G77">
        <v>450.71</v>
      </c>
      <c r="H77">
        <v>23.27</v>
      </c>
      <c r="I77">
        <v>74.819999999999993</v>
      </c>
      <c r="J77">
        <v>90.45</v>
      </c>
      <c r="K77">
        <v>69.849999999999994</v>
      </c>
      <c r="L77">
        <v>56.9</v>
      </c>
      <c r="M77">
        <v>68.97</v>
      </c>
      <c r="N77">
        <v>145.71</v>
      </c>
      <c r="O77">
        <v>53.01</v>
      </c>
      <c r="P77">
        <v>205.77</v>
      </c>
      <c r="Q77">
        <v>26.63</v>
      </c>
      <c r="R77">
        <v>67633.73</v>
      </c>
      <c r="S77">
        <v>15.47</v>
      </c>
    </row>
    <row r="78" spans="2:19" x14ac:dyDescent="0.35">
      <c r="B78" s="2">
        <v>45442</v>
      </c>
      <c r="C78">
        <v>43.45</v>
      </c>
      <c r="D78">
        <v>522.61</v>
      </c>
      <c r="E78">
        <v>216.57</v>
      </c>
      <c r="F78">
        <v>28.69</v>
      </c>
      <c r="G78">
        <v>451.55</v>
      </c>
      <c r="H78">
        <v>23.38</v>
      </c>
      <c r="I78">
        <v>75.53</v>
      </c>
      <c r="J78">
        <v>89.84</v>
      </c>
      <c r="K78">
        <v>69.209999999999994</v>
      </c>
      <c r="L78">
        <v>57.23</v>
      </c>
      <c r="M78">
        <v>68.06</v>
      </c>
      <c r="N78">
        <v>144.63</v>
      </c>
      <c r="O78">
        <v>53.03</v>
      </c>
      <c r="P78">
        <v>204.05</v>
      </c>
      <c r="Q78">
        <v>27.15</v>
      </c>
      <c r="R78">
        <v>68675</v>
      </c>
      <c r="S78">
        <v>15.37</v>
      </c>
    </row>
    <row r="79" spans="2:19" x14ac:dyDescent="0.35">
      <c r="B79" s="2">
        <v>45441</v>
      </c>
      <c r="C79">
        <v>43.53</v>
      </c>
      <c r="D79">
        <v>526.1</v>
      </c>
      <c r="E79">
        <v>216.16</v>
      </c>
      <c r="F79">
        <v>28.78</v>
      </c>
      <c r="G79">
        <v>456.44</v>
      </c>
      <c r="H79">
        <v>23.69</v>
      </c>
      <c r="I79">
        <v>76.569999999999993</v>
      </c>
      <c r="J79">
        <v>88.98</v>
      </c>
      <c r="K79">
        <v>68.56</v>
      </c>
      <c r="L79">
        <v>57.48</v>
      </c>
      <c r="M79">
        <v>67.47</v>
      </c>
      <c r="N79">
        <v>144.82</v>
      </c>
      <c r="O79">
        <v>53.28</v>
      </c>
      <c r="P79">
        <v>202.13</v>
      </c>
      <c r="Q79">
        <v>27.12</v>
      </c>
      <c r="R79">
        <v>67185</v>
      </c>
      <c r="S79">
        <v>15.4</v>
      </c>
    </row>
    <row r="80" spans="2:19" x14ac:dyDescent="0.35">
      <c r="B80" s="2">
        <v>45440</v>
      </c>
      <c r="C80">
        <v>44.08</v>
      </c>
      <c r="D80">
        <v>529.80999999999995</v>
      </c>
      <c r="E80">
        <v>218.19</v>
      </c>
      <c r="F80">
        <v>28.62</v>
      </c>
      <c r="G80">
        <v>459.68</v>
      </c>
      <c r="H80">
        <v>23.94</v>
      </c>
      <c r="I80">
        <v>77.66</v>
      </c>
      <c r="J80">
        <v>90.07</v>
      </c>
      <c r="K80">
        <v>69.59</v>
      </c>
      <c r="L80">
        <v>58.48</v>
      </c>
      <c r="M80">
        <v>68.849999999999994</v>
      </c>
      <c r="N80">
        <v>146.34</v>
      </c>
      <c r="O80">
        <v>53.56</v>
      </c>
      <c r="P80">
        <v>205.16</v>
      </c>
      <c r="Q80">
        <v>27.56</v>
      </c>
      <c r="R80">
        <v>68455</v>
      </c>
      <c r="S80">
        <v>15.52</v>
      </c>
    </row>
    <row r="81" spans="2:19" x14ac:dyDescent="0.35">
      <c r="B81" s="2">
        <v>45436</v>
      </c>
      <c r="C81">
        <v>44.2</v>
      </c>
      <c r="D81">
        <v>529.44000000000005</v>
      </c>
      <c r="E81">
        <v>215.92</v>
      </c>
      <c r="F81">
        <v>28.66</v>
      </c>
      <c r="G81">
        <v>457.95</v>
      </c>
      <c r="H81">
        <v>23.52</v>
      </c>
      <c r="I81">
        <v>75.349999999999994</v>
      </c>
      <c r="J81">
        <v>91.38</v>
      </c>
      <c r="K81">
        <v>69.72</v>
      </c>
      <c r="L81">
        <v>58.57</v>
      </c>
      <c r="M81">
        <v>68.459999999999994</v>
      </c>
      <c r="N81">
        <v>146.31</v>
      </c>
      <c r="O81">
        <v>54.07</v>
      </c>
      <c r="P81">
        <v>205.44</v>
      </c>
      <c r="Q81">
        <v>27.58</v>
      </c>
      <c r="R81">
        <v>69475</v>
      </c>
      <c r="S81">
        <v>15.53</v>
      </c>
    </row>
    <row r="82" spans="2:19" x14ac:dyDescent="0.35">
      <c r="B82" s="2">
        <v>45435</v>
      </c>
      <c r="C82">
        <v>44.06</v>
      </c>
      <c r="D82">
        <v>525.96</v>
      </c>
      <c r="E82">
        <v>215.72</v>
      </c>
      <c r="F82">
        <v>28.75</v>
      </c>
      <c r="G82">
        <v>453.66</v>
      </c>
      <c r="H82">
        <v>23.36</v>
      </c>
      <c r="I82">
        <v>74.45</v>
      </c>
      <c r="J82">
        <v>91.11</v>
      </c>
      <c r="K82">
        <v>69.180000000000007</v>
      </c>
      <c r="L82">
        <v>58.28</v>
      </c>
      <c r="M82">
        <v>67.72</v>
      </c>
      <c r="N82">
        <v>145.30000000000001</v>
      </c>
      <c r="O82">
        <v>53.81</v>
      </c>
      <c r="P82">
        <v>203.19</v>
      </c>
      <c r="Q82">
        <v>27.63</v>
      </c>
      <c r="R82">
        <v>67205</v>
      </c>
      <c r="S82">
        <v>15.45</v>
      </c>
    </row>
    <row r="83" spans="2:19" x14ac:dyDescent="0.35">
      <c r="B83" s="2">
        <v>45434</v>
      </c>
      <c r="C83">
        <v>44.4</v>
      </c>
      <c r="D83">
        <v>529.83000000000004</v>
      </c>
      <c r="E83">
        <v>220.11</v>
      </c>
      <c r="F83">
        <v>28.69</v>
      </c>
      <c r="G83">
        <v>455.71</v>
      </c>
      <c r="H83">
        <v>23.48</v>
      </c>
      <c r="I83">
        <v>74.87</v>
      </c>
      <c r="J83">
        <v>91.7</v>
      </c>
      <c r="K83">
        <v>69.5</v>
      </c>
      <c r="L83">
        <v>58.46</v>
      </c>
      <c r="M83">
        <v>68.02</v>
      </c>
      <c r="N83">
        <v>146.31</v>
      </c>
      <c r="O83">
        <v>53.29</v>
      </c>
      <c r="P83">
        <v>206.58</v>
      </c>
      <c r="Q83">
        <v>28.2</v>
      </c>
      <c r="R83">
        <v>69815</v>
      </c>
      <c r="S83">
        <v>15.52</v>
      </c>
    </row>
    <row r="84" spans="2:19" x14ac:dyDescent="0.35">
      <c r="B84" s="2">
        <v>45433</v>
      </c>
      <c r="C84">
        <v>44.53</v>
      </c>
      <c r="D84">
        <v>531.36</v>
      </c>
      <c r="E84">
        <v>224.23</v>
      </c>
      <c r="F84">
        <v>28.6</v>
      </c>
      <c r="G84">
        <v>455.8</v>
      </c>
      <c r="H84">
        <v>23.82</v>
      </c>
      <c r="I84">
        <v>76.16</v>
      </c>
      <c r="J84">
        <v>91.59</v>
      </c>
      <c r="K84">
        <v>70.05</v>
      </c>
      <c r="L84">
        <v>58.53</v>
      </c>
      <c r="M84">
        <v>68.819999999999993</v>
      </c>
      <c r="N84">
        <v>147.02000000000001</v>
      </c>
      <c r="O84">
        <v>53.21</v>
      </c>
      <c r="P84">
        <v>208.34</v>
      </c>
      <c r="Q84">
        <v>28.56</v>
      </c>
      <c r="R84">
        <v>69500</v>
      </c>
      <c r="S84">
        <v>15.57</v>
      </c>
    </row>
    <row r="85" spans="2:19" x14ac:dyDescent="0.35">
      <c r="B85" s="2">
        <v>45432</v>
      </c>
      <c r="C85">
        <v>44.79</v>
      </c>
      <c r="D85">
        <v>530.05999999999995</v>
      </c>
      <c r="E85">
        <v>224.56</v>
      </c>
      <c r="F85">
        <v>28.6</v>
      </c>
      <c r="G85">
        <v>454.91</v>
      </c>
      <c r="H85">
        <v>23.92</v>
      </c>
      <c r="I85">
        <v>76.73</v>
      </c>
      <c r="J85">
        <v>91.12</v>
      </c>
      <c r="K85">
        <v>70.06</v>
      </c>
      <c r="L85">
        <v>58.7</v>
      </c>
      <c r="M85">
        <v>69.22</v>
      </c>
      <c r="N85">
        <v>146.78</v>
      </c>
      <c r="O85">
        <v>53.12</v>
      </c>
      <c r="P85">
        <v>208.54</v>
      </c>
      <c r="Q85">
        <v>29.01</v>
      </c>
      <c r="R85">
        <v>70435</v>
      </c>
      <c r="S85">
        <v>15.55</v>
      </c>
    </row>
    <row r="86" spans="2:19" x14ac:dyDescent="0.35">
      <c r="B86" s="2">
        <v>45429</v>
      </c>
      <c r="C86">
        <v>44.89</v>
      </c>
      <c r="D86">
        <v>529.45000000000005</v>
      </c>
      <c r="E86">
        <v>223.66</v>
      </c>
      <c r="F86">
        <v>28.56</v>
      </c>
      <c r="G86">
        <v>451.76</v>
      </c>
      <c r="H86">
        <v>23.71</v>
      </c>
      <c r="I86">
        <v>76.97</v>
      </c>
      <c r="J86">
        <v>91.39</v>
      </c>
      <c r="K86">
        <v>70.09</v>
      </c>
      <c r="L86">
        <v>58.8</v>
      </c>
      <c r="M86">
        <v>68.73</v>
      </c>
      <c r="N86">
        <v>146.72999999999999</v>
      </c>
      <c r="O86">
        <v>52.97</v>
      </c>
      <c r="P86">
        <v>208.08</v>
      </c>
      <c r="Q86">
        <v>29.33</v>
      </c>
      <c r="R86">
        <v>67365</v>
      </c>
      <c r="S86">
        <v>15.53</v>
      </c>
    </row>
    <row r="87" spans="2:19" x14ac:dyDescent="0.35">
      <c r="B87" s="2">
        <v>45428</v>
      </c>
      <c r="C87">
        <v>44.57</v>
      </c>
      <c r="D87">
        <v>528.69000000000005</v>
      </c>
      <c r="E87">
        <v>220.03</v>
      </c>
      <c r="F87">
        <v>28.56</v>
      </c>
      <c r="G87">
        <v>451.98</v>
      </c>
      <c r="H87">
        <v>23.47</v>
      </c>
      <c r="I87">
        <v>76.25</v>
      </c>
      <c r="J87">
        <v>92.01</v>
      </c>
      <c r="K87">
        <v>69.900000000000006</v>
      </c>
      <c r="L87">
        <v>58.61</v>
      </c>
      <c r="M87">
        <v>68.27</v>
      </c>
      <c r="N87">
        <v>146.44</v>
      </c>
      <c r="O87">
        <v>52.53</v>
      </c>
      <c r="P87">
        <v>207.93</v>
      </c>
      <c r="Q87">
        <v>29.16</v>
      </c>
      <c r="R87">
        <v>65445</v>
      </c>
      <c r="S87">
        <v>15.53</v>
      </c>
    </row>
    <row r="88" spans="2:19" x14ac:dyDescent="0.35">
      <c r="B88" s="2">
        <v>45427</v>
      </c>
      <c r="C88">
        <v>44.4</v>
      </c>
      <c r="D88">
        <v>529.78</v>
      </c>
      <c r="E88">
        <v>220.89</v>
      </c>
      <c r="F88">
        <v>28.49</v>
      </c>
      <c r="G88">
        <v>452.9</v>
      </c>
      <c r="H88">
        <v>23.41</v>
      </c>
      <c r="I88">
        <v>75.88</v>
      </c>
      <c r="J88">
        <v>92.1</v>
      </c>
      <c r="K88">
        <v>70.31</v>
      </c>
      <c r="L88">
        <v>58.78</v>
      </c>
      <c r="M88">
        <v>68.97</v>
      </c>
      <c r="N88">
        <v>146.80000000000001</v>
      </c>
      <c r="O88">
        <v>52.33</v>
      </c>
      <c r="P88">
        <v>209.44</v>
      </c>
      <c r="Q88">
        <v>28.33</v>
      </c>
      <c r="R88">
        <v>66495</v>
      </c>
      <c r="S88">
        <v>15.57</v>
      </c>
    </row>
    <row r="89" spans="2:19" x14ac:dyDescent="0.35">
      <c r="B89" s="2">
        <v>45426</v>
      </c>
      <c r="C89">
        <v>44.02</v>
      </c>
      <c r="D89">
        <v>523.29999999999995</v>
      </c>
      <c r="E89">
        <v>218.09</v>
      </c>
      <c r="F89">
        <v>28.67</v>
      </c>
      <c r="G89">
        <v>445.93</v>
      </c>
      <c r="H89">
        <v>23.33</v>
      </c>
      <c r="I89">
        <v>75.209999999999994</v>
      </c>
      <c r="J89">
        <v>90.86</v>
      </c>
      <c r="K89">
        <v>69.55</v>
      </c>
      <c r="L89">
        <v>58.19</v>
      </c>
      <c r="M89">
        <v>68.209999999999994</v>
      </c>
      <c r="N89">
        <v>145.13999999999999</v>
      </c>
      <c r="O89">
        <v>52.15</v>
      </c>
      <c r="P89">
        <v>206.86</v>
      </c>
      <c r="Q89">
        <v>28.01</v>
      </c>
      <c r="R89">
        <v>61835</v>
      </c>
      <c r="S89">
        <v>15.4</v>
      </c>
    </row>
    <row r="90" spans="2:19" x14ac:dyDescent="0.35">
      <c r="B90" s="2">
        <v>45425</v>
      </c>
      <c r="C90">
        <v>43.8</v>
      </c>
      <c r="D90">
        <v>520.91</v>
      </c>
      <c r="E90">
        <v>216.26</v>
      </c>
      <c r="F90">
        <v>28.73</v>
      </c>
      <c r="G90">
        <v>443.08</v>
      </c>
      <c r="H90">
        <v>23.43</v>
      </c>
      <c r="I90">
        <v>76.13</v>
      </c>
      <c r="J90">
        <v>90.35</v>
      </c>
      <c r="K90">
        <v>68.97</v>
      </c>
      <c r="L90">
        <v>57.64</v>
      </c>
      <c r="M90">
        <v>67.680000000000007</v>
      </c>
      <c r="N90">
        <v>144.29</v>
      </c>
      <c r="O90">
        <v>51.72</v>
      </c>
      <c r="P90">
        <v>204.74</v>
      </c>
      <c r="Q90">
        <v>28.36</v>
      </c>
      <c r="R90">
        <v>63480</v>
      </c>
      <c r="S90">
        <v>15.34</v>
      </c>
    </row>
    <row r="91" spans="2:19" x14ac:dyDescent="0.35">
      <c r="B91" s="2">
        <v>45422</v>
      </c>
      <c r="C91">
        <v>43.46</v>
      </c>
      <c r="D91">
        <v>520.84</v>
      </c>
      <c r="E91">
        <v>218.71</v>
      </c>
      <c r="F91">
        <v>28.74</v>
      </c>
      <c r="G91">
        <v>442.06</v>
      </c>
      <c r="H91">
        <v>23.28</v>
      </c>
      <c r="I91">
        <v>75.3</v>
      </c>
      <c r="J91">
        <v>90.12</v>
      </c>
      <c r="K91">
        <v>68.930000000000007</v>
      </c>
      <c r="L91">
        <v>57.51</v>
      </c>
      <c r="M91">
        <v>67.95</v>
      </c>
      <c r="N91">
        <v>144.38</v>
      </c>
      <c r="O91">
        <v>51.37</v>
      </c>
      <c r="P91">
        <v>204.31</v>
      </c>
      <c r="Q91">
        <v>27.77</v>
      </c>
      <c r="R91">
        <v>60950</v>
      </c>
      <c r="S91">
        <v>15.33</v>
      </c>
    </row>
    <row r="92" spans="2:19" x14ac:dyDescent="0.35">
      <c r="B92" s="2">
        <v>45421</v>
      </c>
      <c r="C92">
        <v>43.37</v>
      </c>
      <c r="D92">
        <v>520.16999999999996</v>
      </c>
      <c r="E92">
        <v>216.95</v>
      </c>
      <c r="F92">
        <v>28.7</v>
      </c>
      <c r="G92">
        <v>441.02</v>
      </c>
      <c r="H92">
        <v>23.32</v>
      </c>
      <c r="I92">
        <v>76.52</v>
      </c>
      <c r="J92">
        <v>90.63</v>
      </c>
      <c r="K92">
        <v>68.62</v>
      </c>
      <c r="L92">
        <v>57.47</v>
      </c>
      <c r="M92">
        <v>68.34</v>
      </c>
      <c r="N92">
        <v>144.13999999999999</v>
      </c>
      <c r="O92">
        <v>51.57</v>
      </c>
      <c r="P92">
        <v>205.86</v>
      </c>
      <c r="Q92">
        <v>27.4</v>
      </c>
      <c r="R92">
        <v>62840</v>
      </c>
      <c r="S92">
        <v>15.33</v>
      </c>
    </row>
    <row r="93" spans="2:19" x14ac:dyDescent="0.35">
      <c r="B93" s="2">
        <v>45420</v>
      </c>
      <c r="C93">
        <v>43.2</v>
      </c>
      <c r="D93">
        <v>517.19000000000005</v>
      </c>
      <c r="E93">
        <v>213.58</v>
      </c>
      <c r="F93">
        <v>28.8</v>
      </c>
      <c r="G93">
        <v>440.06</v>
      </c>
      <c r="H93">
        <v>23.23</v>
      </c>
      <c r="I93">
        <v>76.11</v>
      </c>
      <c r="J93">
        <v>90.19</v>
      </c>
      <c r="K93">
        <v>68.02</v>
      </c>
      <c r="L93">
        <v>57.61</v>
      </c>
      <c r="M93">
        <v>68.040000000000006</v>
      </c>
      <c r="N93">
        <v>143.31</v>
      </c>
      <c r="O93">
        <v>52.02</v>
      </c>
      <c r="P93">
        <v>203.78</v>
      </c>
      <c r="Q93">
        <v>26.82</v>
      </c>
      <c r="R93">
        <v>62460</v>
      </c>
      <c r="S93">
        <v>15.27</v>
      </c>
    </row>
    <row r="94" spans="2:19" x14ac:dyDescent="0.35">
      <c r="B94" s="2">
        <v>45419</v>
      </c>
      <c r="C94">
        <v>43.24</v>
      </c>
      <c r="D94">
        <v>517.14</v>
      </c>
      <c r="E94">
        <v>214.21</v>
      </c>
      <c r="F94">
        <v>28.76</v>
      </c>
      <c r="G94">
        <v>440.32</v>
      </c>
      <c r="H94">
        <v>23.35</v>
      </c>
      <c r="I94">
        <v>75.5</v>
      </c>
      <c r="J94">
        <v>90.74</v>
      </c>
      <c r="K94">
        <v>67.77</v>
      </c>
      <c r="L94">
        <v>57.49</v>
      </c>
      <c r="M94">
        <v>68.91</v>
      </c>
      <c r="N94">
        <v>143.32</v>
      </c>
      <c r="O94">
        <v>51.91</v>
      </c>
      <c r="P94">
        <v>204.97</v>
      </c>
      <c r="Q94">
        <v>26.92</v>
      </c>
      <c r="R94">
        <v>63365</v>
      </c>
      <c r="S94">
        <v>15.28</v>
      </c>
    </row>
    <row r="95" spans="2:19" x14ac:dyDescent="0.35">
      <c r="B95" s="2">
        <v>45418</v>
      </c>
      <c r="C95">
        <v>43.55</v>
      </c>
      <c r="D95">
        <v>516.57000000000005</v>
      </c>
      <c r="E95">
        <v>215.2</v>
      </c>
      <c r="F95">
        <v>28.68</v>
      </c>
      <c r="G95">
        <v>440.25</v>
      </c>
      <c r="H95">
        <v>23.37</v>
      </c>
      <c r="I95">
        <v>75.66</v>
      </c>
      <c r="J95">
        <v>90.19</v>
      </c>
      <c r="K95">
        <v>67.33</v>
      </c>
      <c r="L95">
        <v>57.78</v>
      </c>
      <c r="M95">
        <v>69.67</v>
      </c>
      <c r="N95">
        <v>143.16999999999999</v>
      </c>
      <c r="O95">
        <v>52.37</v>
      </c>
      <c r="P95">
        <v>204.51</v>
      </c>
      <c r="Q95">
        <v>27.31</v>
      </c>
      <c r="R95">
        <v>63585</v>
      </c>
      <c r="S95">
        <v>15.26</v>
      </c>
    </row>
    <row r="96" spans="2:19" x14ac:dyDescent="0.35">
      <c r="B96" s="2">
        <v>45415</v>
      </c>
      <c r="C96">
        <v>43.63</v>
      </c>
      <c r="D96">
        <v>511.29</v>
      </c>
      <c r="E96">
        <v>212.96</v>
      </c>
      <c r="F96">
        <v>28.65</v>
      </c>
      <c r="G96">
        <v>435.48</v>
      </c>
      <c r="H96">
        <v>23.11</v>
      </c>
      <c r="I96">
        <v>75.13</v>
      </c>
      <c r="J96">
        <v>89.84</v>
      </c>
      <c r="K96">
        <v>66.790000000000006</v>
      </c>
      <c r="L96">
        <v>57.7</v>
      </c>
      <c r="M96">
        <v>69.260000000000005</v>
      </c>
      <c r="N96">
        <v>141.78</v>
      </c>
      <c r="O96">
        <v>52.73</v>
      </c>
      <c r="P96">
        <v>201.9</v>
      </c>
      <c r="Q96">
        <v>27.33</v>
      </c>
      <c r="R96">
        <v>62590</v>
      </c>
      <c r="S96">
        <v>15.15</v>
      </c>
    </row>
    <row r="97" spans="2:19" x14ac:dyDescent="0.35">
      <c r="B97" s="2">
        <v>45414</v>
      </c>
      <c r="C97">
        <v>43.25</v>
      </c>
      <c r="D97">
        <v>505.03</v>
      </c>
      <c r="E97">
        <v>213.13</v>
      </c>
      <c r="F97">
        <v>28.73</v>
      </c>
      <c r="G97">
        <v>426.9</v>
      </c>
      <c r="H97">
        <v>23.08</v>
      </c>
      <c r="I97">
        <v>75.930000000000007</v>
      </c>
      <c r="J97">
        <v>88.94</v>
      </c>
      <c r="K97">
        <v>66.19</v>
      </c>
      <c r="L97">
        <v>57.22</v>
      </c>
      <c r="M97">
        <v>68.47</v>
      </c>
      <c r="N97">
        <v>140.08000000000001</v>
      </c>
      <c r="O97">
        <v>52.98</v>
      </c>
      <c r="P97">
        <v>199.92</v>
      </c>
      <c r="Q97">
        <v>27.15</v>
      </c>
      <c r="R97">
        <v>59765</v>
      </c>
      <c r="S97">
        <v>15.01</v>
      </c>
    </row>
    <row r="98" spans="2:19" x14ac:dyDescent="0.35">
      <c r="B98" s="2">
        <v>45413</v>
      </c>
      <c r="C98">
        <v>42.22</v>
      </c>
      <c r="D98">
        <v>500.35</v>
      </c>
      <c r="E98">
        <v>213.79</v>
      </c>
      <c r="F98">
        <v>28.95</v>
      </c>
      <c r="G98">
        <v>421.52</v>
      </c>
      <c r="H98">
        <v>23</v>
      </c>
      <c r="I98">
        <v>75.930000000000007</v>
      </c>
      <c r="J98">
        <v>88.56</v>
      </c>
      <c r="K98">
        <v>65.540000000000006</v>
      </c>
      <c r="L98">
        <v>56.39</v>
      </c>
      <c r="M98">
        <v>67.11</v>
      </c>
      <c r="N98">
        <v>138.6</v>
      </c>
      <c r="O98">
        <v>52.41</v>
      </c>
      <c r="P98">
        <v>196.31</v>
      </c>
      <c r="Q98">
        <v>25.68</v>
      </c>
      <c r="R98">
        <v>57355</v>
      </c>
      <c r="S98">
        <v>14.89</v>
      </c>
    </row>
    <row r="99" spans="2:19" x14ac:dyDescent="0.35">
      <c r="B99" s="2">
        <v>45412</v>
      </c>
      <c r="C99">
        <v>42.17</v>
      </c>
      <c r="D99">
        <v>501.98</v>
      </c>
      <c r="E99">
        <v>211.87</v>
      </c>
      <c r="F99">
        <v>28.98</v>
      </c>
      <c r="G99">
        <v>424.59</v>
      </c>
      <c r="H99">
        <v>23.34</v>
      </c>
      <c r="I99">
        <v>78.38</v>
      </c>
      <c r="J99">
        <v>88.22</v>
      </c>
      <c r="K99">
        <v>65.62</v>
      </c>
      <c r="L99">
        <v>56.42</v>
      </c>
      <c r="M99">
        <v>67.27</v>
      </c>
      <c r="N99">
        <v>139.16999999999999</v>
      </c>
      <c r="O99">
        <v>52.35</v>
      </c>
      <c r="P99">
        <v>195.9</v>
      </c>
      <c r="Q99">
        <v>25.49</v>
      </c>
      <c r="R99">
        <v>59400</v>
      </c>
      <c r="S99">
        <v>14.91</v>
      </c>
    </row>
    <row r="100" spans="2:19" x14ac:dyDescent="0.35">
      <c r="B100" s="2">
        <v>45411</v>
      </c>
      <c r="C100">
        <v>42.74</v>
      </c>
      <c r="D100">
        <v>510.06</v>
      </c>
      <c r="E100">
        <v>216.18</v>
      </c>
      <c r="F100">
        <v>28.8</v>
      </c>
      <c r="G100">
        <v>432.75</v>
      </c>
      <c r="H100">
        <v>23.64</v>
      </c>
      <c r="I100">
        <v>79.5</v>
      </c>
      <c r="J100">
        <v>88.98</v>
      </c>
      <c r="K100">
        <v>66.599999999999994</v>
      </c>
      <c r="L100">
        <v>57.1</v>
      </c>
      <c r="M100">
        <v>67.739999999999995</v>
      </c>
      <c r="N100">
        <v>141.22999999999999</v>
      </c>
      <c r="O100">
        <v>52.53</v>
      </c>
      <c r="P100">
        <v>199.96</v>
      </c>
      <c r="Q100">
        <v>26.11</v>
      </c>
      <c r="R100">
        <v>63450</v>
      </c>
      <c r="S100">
        <v>15.08</v>
      </c>
    </row>
    <row r="101" spans="2:19" x14ac:dyDescent="0.35">
      <c r="B101" s="2">
        <v>45408</v>
      </c>
      <c r="C101">
        <v>42.32</v>
      </c>
      <c r="D101">
        <v>508.26</v>
      </c>
      <c r="E101">
        <v>216.62</v>
      </c>
      <c r="F101">
        <v>28.89</v>
      </c>
      <c r="G101">
        <v>431</v>
      </c>
      <c r="H101">
        <v>23.66</v>
      </c>
      <c r="I101">
        <v>80.39</v>
      </c>
      <c r="J101">
        <v>88.24</v>
      </c>
      <c r="K101">
        <v>66.39</v>
      </c>
      <c r="L101">
        <v>56.51</v>
      </c>
      <c r="M101">
        <v>67.13</v>
      </c>
      <c r="N101">
        <v>140.80000000000001</v>
      </c>
      <c r="O101">
        <v>52.32</v>
      </c>
      <c r="P101">
        <v>198.36</v>
      </c>
      <c r="Q101">
        <v>25.87</v>
      </c>
      <c r="R101">
        <v>64302.05</v>
      </c>
      <c r="S101">
        <v>15.03</v>
      </c>
    </row>
    <row r="102" spans="2:19" x14ac:dyDescent="0.35">
      <c r="B102" s="2">
        <v>45407</v>
      </c>
      <c r="C102">
        <v>41.84</v>
      </c>
      <c r="D102">
        <v>503.49</v>
      </c>
      <c r="E102">
        <v>215.92</v>
      </c>
      <c r="F102">
        <v>28.76</v>
      </c>
      <c r="G102">
        <v>424.45</v>
      </c>
      <c r="H102">
        <v>23.64</v>
      </c>
      <c r="I102">
        <v>80.44</v>
      </c>
      <c r="J102">
        <v>87.78</v>
      </c>
      <c r="K102">
        <v>65.89</v>
      </c>
      <c r="L102">
        <v>56.1</v>
      </c>
      <c r="M102">
        <v>66.56</v>
      </c>
      <c r="N102">
        <v>139.44999999999999</v>
      </c>
      <c r="O102">
        <v>52.29</v>
      </c>
      <c r="P102">
        <v>196.48</v>
      </c>
      <c r="Q102">
        <v>25.44</v>
      </c>
      <c r="R102">
        <v>64700</v>
      </c>
      <c r="S102">
        <v>14.92</v>
      </c>
    </row>
    <row r="103" spans="2:19" x14ac:dyDescent="0.35">
      <c r="B103" s="2">
        <v>45406</v>
      </c>
      <c r="C103">
        <v>41.71</v>
      </c>
      <c r="D103">
        <v>505.41</v>
      </c>
      <c r="E103">
        <v>214.64</v>
      </c>
      <c r="F103">
        <v>28.82</v>
      </c>
      <c r="G103">
        <v>426.51</v>
      </c>
      <c r="H103">
        <v>23.51</v>
      </c>
      <c r="I103">
        <v>79.64</v>
      </c>
      <c r="J103">
        <v>88.4</v>
      </c>
      <c r="K103">
        <v>66.010000000000005</v>
      </c>
      <c r="L103">
        <v>56.01</v>
      </c>
      <c r="M103">
        <v>67.61</v>
      </c>
      <c r="N103">
        <v>139.94999999999999</v>
      </c>
      <c r="O103">
        <v>52.01</v>
      </c>
      <c r="P103">
        <v>197.68</v>
      </c>
      <c r="Q103">
        <v>25.27</v>
      </c>
      <c r="R103">
        <v>63880</v>
      </c>
      <c r="S103">
        <v>14.98</v>
      </c>
    </row>
    <row r="104" spans="2:19" x14ac:dyDescent="0.35">
      <c r="B104" s="2">
        <v>45405</v>
      </c>
      <c r="C104">
        <v>41.58</v>
      </c>
      <c r="D104">
        <v>505.65</v>
      </c>
      <c r="E104">
        <v>215.04</v>
      </c>
      <c r="F104">
        <v>28.79</v>
      </c>
      <c r="G104">
        <v>425.07</v>
      </c>
      <c r="H104">
        <v>23.54</v>
      </c>
      <c r="I104">
        <v>79.98</v>
      </c>
      <c r="J104">
        <v>89.03</v>
      </c>
      <c r="K104">
        <v>66.319999999999993</v>
      </c>
      <c r="L104">
        <v>56.02</v>
      </c>
      <c r="M104">
        <v>67.319999999999993</v>
      </c>
      <c r="N104">
        <v>140.06</v>
      </c>
      <c r="O104">
        <v>52.01</v>
      </c>
      <c r="P104">
        <v>198.57</v>
      </c>
      <c r="Q104">
        <v>24.8</v>
      </c>
      <c r="R104">
        <v>66435</v>
      </c>
      <c r="S104">
        <v>15</v>
      </c>
    </row>
    <row r="105" spans="2:19" x14ac:dyDescent="0.35">
      <c r="B105" s="2">
        <v>45404</v>
      </c>
      <c r="C105">
        <v>41.24</v>
      </c>
      <c r="D105">
        <v>499.72</v>
      </c>
      <c r="E105">
        <v>215.57</v>
      </c>
      <c r="F105">
        <v>28.91</v>
      </c>
      <c r="G105">
        <v>418.82</v>
      </c>
      <c r="H105">
        <v>23.44</v>
      </c>
      <c r="I105">
        <v>78.78</v>
      </c>
      <c r="J105">
        <v>89</v>
      </c>
      <c r="K105">
        <v>65.400000000000006</v>
      </c>
      <c r="L105">
        <v>55.67</v>
      </c>
      <c r="M105">
        <v>67.17</v>
      </c>
      <c r="N105">
        <v>138.51</v>
      </c>
      <c r="O105">
        <v>51.89</v>
      </c>
      <c r="P105">
        <v>195.3</v>
      </c>
      <c r="Q105">
        <v>24.42</v>
      </c>
      <c r="R105">
        <v>66610</v>
      </c>
      <c r="S105">
        <v>14.88</v>
      </c>
    </row>
    <row r="106" spans="2:19" x14ac:dyDescent="0.35">
      <c r="B106" s="2">
        <v>45401</v>
      </c>
      <c r="C106">
        <v>40.89</v>
      </c>
      <c r="D106">
        <v>495.16</v>
      </c>
      <c r="E106">
        <v>221.03</v>
      </c>
      <c r="F106">
        <v>28.9</v>
      </c>
      <c r="G106">
        <v>414.65</v>
      </c>
      <c r="H106">
        <v>23.44</v>
      </c>
      <c r="I106">
        <v>78.849999999999994</v>
      </c>
      <c r="J106">
        <v>89.15</v>
      </c>
      <c r="K106">
        <v>64.680000000000007</v>
      </c>
      <c r="L106">
        <v>55.18</v>
      </c>
      <c r="M106">
        <v>66.489999999999995</v>
      </c>
      <c r="N106">
        <v>137.31</v>
      </c>
      <c r="O106">
        <v>51.33</v>
      </c>
      <c r="P106">
        <v>193.14</v>
      </c>
      <c r="Q106">
        <v>24.01</v>
      </c>
      <c r="R106">
        <v>64355</v>
      </c>
      <c r="S106">
        <v>14.79</v>
      </c>
    </row>
    <row r="107" spans="2:19" x14ac:dyDescent="0.35">
      <c r="B107" s="2">
        <v>45400</v>
      </c>
      <c r="C107">
        <v>41.01</v>
      </c>
      <c r="D107">
        <v>499.52</v>
      </c>
      <c r="E107">
        <v>220.34</v>
      </c>
      <c r="F107">
        <v>28.9</v>
      </c>
      <c r="G107">
        <v>423.41</v>
      </c>
      <c r="H107">
        <v>23.33</v>
      </c>
      <c r="I107">
        <v>78.78</v>
      </c>
      <c r="J107">
        <v>88.83</v>
      </c>
      <c r="K107">
        <v>64.52</v>
      </c>
      <c r="L107">
        <v>55.51</v>
      </c>
      <c r="M107">
        <v>66.89</v>
      </c>
      <c r="N107">
        <v>138.11000000000001</v>
      </c>
      <c r="O107">
        <v>51.07</v>
      </c>
      <c r="P107">
        <v>192.84</v>
      </c>
      <c r="Q107">
        <v>24.08</v>
      </c>
      <c r="R107">
        <v>63660</v>
      </c>
      <c r="S107">
        <v>14.86</v>
      </c>
    </row>
    <row r="108" spans="2:19" x14ac:dyDescent="0.35">
      <c r="B108" s="2">
        <v>45399</v>
      </c>
      <c r="C108">
        <v>40.9</v>
      </c>
      <c r="D108">
        <v>500.55</v>
      </c>
      <c r="E108">
        <v>219.59</v>
      </c>
      <c r="F108">
        <v>28.84</v>
      </c>
      <c r="G108">
        <v>425.84</v>
      </c>
      <c r="H108">
        <v>23.34</v>
      </c>
      <c r="I108">
        <v>78.91</v>
      </c>
      <c r="J108">
        <v>89.28</v>
      </c>
      <c r="K108">
        <v>64.67</v>
      </c>
      <c r="L108">
        <v>55.38</v>
      </c>
      <c r="M108">
        <v>67.09</v>
      </c>
      <c r="N108">
        <v>138.52000000000001</v>
      </c>
      <c r="O108">
        <v>50.97</v>
      </c>
      <c r="P108">
        <v>193</v>
      </c>
      <c r="Q108">
        <v>23.65</v>
      </c>
      <c r="R108">
        <v>61130</v>
      </c>
      <c r="S108">
        <v>14.9</v>
      </c>
    </row>
    <row r="109" spans="2:19" x14ac:dyDescent="0.35">
      <c r="B109" s="2">
        <v>45398</v>
      </c>
      <c r="C109">
        <v>40.83</v>
      </c>
      <c r="D109">
        <v>503.53</v>
      </c>
      <c r="E109">
        <v>221.22</v>
      </c>
      <c r="F109">
        <v>28.93</v>
      </c>
      <c r="G109">
        <v>431.1</v>
      </c>
      <c r="H109">
        <v>23.71</v>
      </c>
      <c r="I109">
        <v>81.33</v>
      </c>
      <c r="J109">
        <v>88.3</v>
      </c>
      <c r="K109">
        <v>64.45</v>
      </c>
      <c r="L109">
        <v>55.48</v>
      </c>
      <c r="M109">
        <v>67.81</v>
      </c>
      <c r="N109">
        <v>138.97999999999999</v>
      </c>
      <c r="O109">
        <v>51.15</v>
      </c>
      <c r="P109">
        <v>195.06</v>
      </c>
      <c r="Q109">
        <v>23.67</v>
      </c>
      <c r="R109">
        <v>62920</v>
      </c>
      <c r="S109">
        <v>14.93</v>
      </c>
    </row>
    <row r="110" spans="2:19" x14ac:dyDescent="0.35">
      <c r="B110" s="2">
        <v>45397</v>
      </c>
      <c r="C110">
        <v>41.34</v>
      </c>
      <c r="D110">
        <v>504.45</v>
      </c>
      <c r="E110">
        <v>220.95</v>
      </c>
      <c r="F110">
        <v>28.89</v>
      </c>
      <c r="G110">
        <v>431.06</v>
      </c>
      <c r="H110">
        <v>23.75</v>
      </c>
      <c r="I110">
        <v>81.650000000000006</v>
      </c>
      <c r="J110">
        <v>88.89</v>
      </c>
      <c r="K110">
        <v>64.97</v>
      </c>
      <c r="L110">
        <v>56.25</v>
      </c>
      <c r="M110">
        <v>68.77</v>
      </c>
      <c r="N110">
        <v>139.55000000000001</v>
      </c>
      <c r="O110">
        <v>51.26</v>
      </c>
      <c r="P110">
        <v>195.78</v>
      </c>
      <c r="Q110">
        <v>23.92</v>
      </c>
      <c r="R110">
        <v>63560</v>
      </c>
      <c r="S110">
        <v>14.98</v>
      </c>
    </row>
    <row r="111" spans="2:19" x14ac:dyDescent="0.35">
      <c r="B111" s="2">
        <v>45394</v>
      </c>
      <c r="C111">
        <v>41.6</v>
      </c>
      <c r="D111">
        <v>510.85</v>
      </c>
      <c r="E111">
        <v>216.89</v>
      </c>
      <c r="F111">
        <v>28.84</v>
      </c>
      <c r="G111">
        <v>438.27</v>
      </c>
      <c r="H111">
        <v>23.72</v>
      </c>
      <c r="I111">
        <v>81.53</v>
      </c>
      <c r="J111">
        <v>90.29</v>
      </c>
      <c r="K111">
        <v>65.069999999999993</v>
      </c>
      <c r="L111">
        <v>56.82</v>
      </c>
      <c r="M111">
        <v>69.06</v>
      </c>
      <c r="N111">
        <v>140.99</v>
      </c>
      <c r="O111">
        <v>51.67</v>
      </c>
      <c r="P111">
        <v>198.69</v>
      </c>
      <c r="Q111">
        <v>23.84</v>
      </c>
      <c r="R111">
        <v>67170</v>
      </c>
      <c r="S111">
        <v>15.12</v>
      </c>
    </row>
    <row r="112" spans="2:19" x14ac:dyDescent="0.35">
      <c r="B112" s="2">
        <v>45393</v>
      </c>
      <c r="C112">
        <v>42.42</v>
      </c>
      <c r="D112">
        <v>518</v>
      </c>
      <c r="E112">
        <v>219.8</v>
      </c>
      <c r="F112">
        <v>28.61</v>
      </c>
      <c r="G112">
        <v>445.37</v>
      </c>
      <c r="H112">
        <v>23.69</v>
      </c>
      <c r="I112">
        <v>81.55</v>
      </c>
      <c r="J112">
        <v>89.81</v>
      </c>
      <c r="K112">
        <v>66.209999999999994</v>
      </c>
      <c r="L112">
        <v>58</v>
      </c>
      <c r="M112">
        <v>69.989999999999995</v>
      </c>
      <c r="N112">
        <v>143.22</v>
      </c>
      <c r="O112">
        <v>52.35</v>
      </c>
      <c r="P112">
        <v>202.29</v>
      </c>
      <c r="Q112">
        <v>24.7</v>
      </c>
      <c r="R112">
        <v>70800</v>
      </c>
      <c r="S112">
        <v>15.25</v>
      </c>
    </row>
    <row r="113" spans="2:19" x14ac:dyDescent="0.35">
      <c r="B113" s="2">
        <v>45392</v>
      </c>
      <c r="C113">
        <v>42.28</v>
      </c>
      <c r="D113">
        <v>514.12</v>
      </c>
      <c r="E113">
        <v>215.61</v>
      </c>
      <c r="F113">
        <v>28.59</v>
      </c>
      <c r="G113">
        <v>438.37</v>
      </c>
      <c r="H113">
        <v>23.73</v>
      </c>
      <c r="I113">
        <v>82.09</v>
      </c>
      <c r="J113">
        <v>90.22</v>
      </c>
      <c r="K113">
        <v>66.17</v>
      </c>
      <c r="L113">
        <v>57.59</v>
      </c>
      <c r="M113">
        <v>69.38</v>
      </c>
      <c r="N113">
        <v>142.24</v>
      </c>
      <c r="O113">
        <v>52.22</v>
      </c>
      <c r="P113">
        <v>200.93</v>
      </c>
      <c r="Q113">
        <v>24.47</v>
      </c>
      <c r="R113">
        <v>70410</v>
      </c>
      <c r="S113">
        <v>15.19</v>
      </c>
    </row>
    <row r="114" spans="2:19" x14ac:dyDescent="0.35">
      <c r="B114" s="2">
        <v>45391</v>
      </c>
      <c r="C114">
        <v>42.75</v>
      </c>
      <c r="D114">
        <v>519.32000000000005</v>
      </c>
      <c r="E114">
        <v>217.67</v>
      </c>
      <c r="F114">
        <v>28.29</v>
      </c>
      <c r="G114">
        <v>442.23</v>
      </c>
      <c r="H114">
        <v>23.61</v>
      </c>
      <c r="I114">
        <v>81.150000000000006</v>
      </c>
      <c r="J114">
        <v>92.23</v>
      </c>
      <c r="K114">
        <v>66.959999999999994</v>
      </c>
      <c r="L114">
        <v>58.58</v>
      </c>
      <c r="M114">
        <v>70.48</v>
      </c>
      <c r="N114">
        <v>143.83000000000001</v>
      </c>
      <c r="O114">
        <v>52.42</v>
      </c>
      <c r="P114">
        <v>206.38</v>
      </c>
      <c r="Q114">
        <v>24.59</v>
      </c>
      <c r="R114">
        <v>69355</v>
      </c>
      <c r="S114">
        <v>15.35</v>
      </c>
    </row>
    <row r="115" spans="2:19" x14ac:dyDescent="0.35">
      <c r="B115" s="2">
        <v>45390</v>
      </c>
      <c r="C115">
        <v>42.38</v>
      </c>
      <c r="D115">
        <v>518.72</v>
      </c>
      <c r="E115">
        <v>216.48</v>
      </c>
      <c r="F115">
        <v>28.3</v>
      </c>
      <c r="G115">
        <v>440.6</v>
      </c>
      <c r="H115">
        <v>23.74</v>
      </c>
      <c r="I115">
        <v>82.2</v>
      </c>
      <c r="J115">
        <v>91.38</v>
      </c>
      <c r="K115">
        <v>67.099999999999994</v>
      </c>
      <c r="L115">
        <v>58.24</v>
      </c>
      <c r="M115">
        <v>70.22</v>
      </c>
      <c r="N115">
        <v>143.72</v>
      </c>
      <c r="O115">
        <v>52.38</v>
      </c>
      <c r="P115">
        <v>205.57</v>
      </c>
      <c r="Q115">
        <v>24.36</v>
      </c>
      <c r="R115">
        <v>72110</v>
      </c>
      <c r="S115">
        <v>15.32</v>
      </c>
    </row>
    <row r="116" spans="2:19" x14ac:dyDescent="0.35">
      <c r="B116" s="2">
        <v>45387</v>
      </c>
      <c r="C116">
        <v>42.12</v>
      </c>
      <c r="D116">
        <v>518.42999999999995</v>
      </c>
      <c r="E116">
        <v>215.14</v>
      </c>
      <c r="F116">
        <v>28.34</v>
      </c>
      <c r="G116">
        <v>440.47</v>
      </c>
      <c r="H116">
        <v>23.75</v>
      </c>
      <c r="I116">
        <v>82.4</v>
      </c>
      <c r="J116">
        <v>91.39</v>
      </c>
      <c r="K116">
        <v>66.760000000000005</v>
      </c>
      <c r="L116">
        <v>57.84</v>
      </c>
      <c r="M116">
        <v>69.87</v>
      </c>
      <c r="N116">
        <v>143.56</v>
      </c>
      <c r="O116">
        <v>52.02</v>
      </c>
      <c r="P116">
        <v>204.45</v>
      </c>
      <c r="Q116">
        <v>24.19</v>
      </c>
      <c r="R116">
        <v>67755</v>
      </c>
      <c r="S116">
        <v>15.32</v>
      </c>
    </row>
    <row r="117" spans="2:19" x14ac:dyDescent="0.35">
      <c r="B117" s="2">
        <v>45386</v>
      </c>
      <c r="C117">
        <v>41.99</v>
      </c>
      <c r="D117">
        <v>513.07000000000005</v>
      </c>
      <c r="E117">
        <v>211.52</v>
      </c>
      <c r="F117">
        <v>28.31</v>
      </c>
      <c r="G117">
        <v>435.34</v>
      </c>
      <c r="H117">
        <v>23.63</v>
      </c>
      <c r="I117">
        <v>82.27</v>
      </c>
      <c r="J117">
        <v>92.68</v>
      </c>
      <c r="K117">
        <v>66.59</v>
      </c>
      <c r="L117">
        <v>57.58</v>
      </c>
      <c r="M117">
        <v>69.67</v>
      </c>
      <c r="N117">
        <v>142.30000000000001</v>
      </c>
      <c r="O117">
        <v>51.57</v>
      </c>
      <c r="P117">
        <v>203.77</v>
      </c>
      <c r="Q117">
        <v>24.32</v>
      </c>
      <c r="R117">
        <v>68840</v>
      </c>
      <c r="S117">
        <v>15.25</v>
      </c>
    </row>
    <row r="118" spans="2:19" x14ac:dyDescent="0.35">
      <c r="B118" s="2">
        <v>45385</v>
      </c>
      <c r="C118">
        <v>42.14</v>
      </c>
      <c r="D118">
        <v>519.41</v>
      </c>
      <c r="E118">
        <v>212.74</v>
      </c>
      <c r="F118">
        <v>28.31</v>
      </c>
      <c r="G118">
        <v>442.1</v>
      </c>
      <c r="H118">
        <v>23.57</v>
      </c>
      <c r="I118">
        <v>81.25</v>
      </c>
      <c r="J118">
        <v>92.02</v>
      </c>
      <c r="K118">
        <v>67.11</v>
      </c>
      <c r="L118">
        <v>57.76</v>
      </c>
      <c r="M118">
        <v>70.400000000000006</v>
      </c>
      <c r="N118">
        <v>143.93</v>
      </c>
      <c r="O118">
        <v>51.68</v>
      </c>
      <c r="P118">
        <v>205.83</v>
      </c>
      <c r="Q118">
        <v>24.45</v>
      </c>
      <c r="R118">
        <v>66305</v>
      </c>
      <c r="S118">
        <v>15.35</v>
      </c>
    </row>
    <row r="119" spans="2:19" x14ac:dyDescent="0.35">
      <c r="B119" s="2">
        <v>45384</v>
      </c>
      <c r="C119">
        <v>42.08</v>
      </c>
      <c r="D119">
        <v>518.84</v>
      </c>
      <c r="E119">
        <v>210.89</v>
      </c>
      <c r="F119">
        <v>28.44</v>
      </c>
      <c r="G119">
        <v>441.11</v>
      </c>
      <c r="H119">
        <v>23.29</v>
      </c>
      <c r="I119">
        <v>80.790000000000006</v>
      </c>
      <c r="J119">
        <v>92.04</v>
      </c>
      <c r="K119">
        <v>66.64</v>
      </c>
      <c r="L119">
        <v>57.64</v>
      </c>
      <c r="M119">
        <v>69.92</v>
      </c>
      <c r="N119">
        <v>143.5</v>
      </c>
      <c r="O119">
        <v>51.57</v>
      </c>
      <c r="P119">
        <v>204.49</v>
      </c>
      <c r="Q119">
        <v>24.6</v>
      </c>
      <c r="R119">
        <v>66550</v>
      </c>
      <c r="S119">
        <v>15.32</v>
      </c>
    </row>
    <row r="120" spans="2:19" x14ac:dyDescent="0.35">
      <c r="B120" s="2">
        <v>45383</v>
      </c>
      <c r="C120">
        <v>41.94</v>
      </c>
      <c r="D120">
        <v>522.16</v>
      </c>
      <c r="E120">
        <v>207.82</v>
      </c>
      <c r="F120">
        <v>28.48</v>
      </c>
      <c r="G120">
        <v>444.95</v>
      </c>
      <c r="H120">
        <v>23.08</v>
      </c>
      <c r="I120">
        <v>79.67</v>
      </c>
      <c r="J120">
        <v>92.55</v>
      </c>
      <c r="K120">
        <v>67.22</v>
      </c>
      <c r="L120">
        <v>57.42</v>
      </c>
      <c r="M120">
        <v>70.28</v>
      </c>
      <c r="N120">
        <v>144.5</v>
      </c>
      <c r="O120">
        <v>51.49</v>
      </c>
      <c r="P120">
        <v>208.32</v>
      </c>
      <c r="Q120">
        <v>24.4</v>
      </c>
      <c r="R120">
        <v>70380</v>
      </c>
      <c r="S120">
        <v>15.38</v>
      </c>
    </row>
    <row r="121" spans="2:19" x14ac:dyDescent="0.35">
      <c r="B121" s="2">
        <v>45379</v>
      </c>
      <c r="C121">
        <v>41.77</v>
      </c>
      <c r="D121">
        <v>523.07000000000005</v>
      </c>
      <c r="E121">
        <v>205.72</v>
      </c>
      <c r="F121">
        <v>28.37</v>
      </c>
      <c r="G121">
        <v>444.01</v>
      </c>
      <c r="H121">
        <v>22.97</v>
      </c>
      <c r="I121">
        <v>78.73</v>
      </c>
      <c r="J121">
        <v>94.62</v>
      </c>
      <c r="K121">
        <v>67.34</v>
      </c>
      <c r="L121">
        <v>57.57</v>
      </c>
      <c r="M121">
        <v>71.349999999999994</v>
      </c>
      <c r="N121">
        <v>144.91</v>
      </c>
      <c r="O121">
        <v>51.59</v>
      </c>
      <c r="P121">
        <v>210.3</v>
      </c>
      <c r="Q121">
        <v>24.07</v>
      </c>
      <c r="R121">
        <v>71530</v>
      </c>
      <c r="S121">
        <v>15.44</v>
      </c>
    </row>
    <row r="122" spans="2:19" x14ac:dyDescent="0.35">
      <c r="B122" s="2">
        <v>45378</v>
      </c>
      <c r="C122">
        <v>41.63</v>
      </c>
      <c r="D122">
        <v>523.16999999999996</v>
      </c>
      <c r="E122">
        <v>203.1</v>
      </c>
      <c r="F122">
        <v>28.29</v>
      </c>
      <c r="G122">
        <v>444.83</v>
      </c>
      <c r="H122">
        <v>22.7</v>
      </c>
      <c r="I122">
        <v>77.510000000000005</v>
      </c>
      <c r="J122">
        <v>94.7</v>
      </c>
      <c r="K122">
        <v>67.459999999999994</v>
      </c>
      <c r="L122">
        <v>57.45</v>
      </c>
      <c r="M122">
        <v>71.61</v>
      </c>
      <c r="N122">
        <v>144.91</v>
      </c>
      <c r="O122">
        <v>51.09</v>
      </c>
      <c r="P122">
        <v>209.64</v>
      </c>
      <c r="Q122">
        <v>23.81</v>
      </c>
      <c r="R122">
        <v>68635</v>
      </c>
      <c r="S122">
        <v>15.44</v>
      </c>
    </row>
    <row r="123" spans="2:19" x14ac:dyDescent="0.35">
      <c r="B123" s="2">
        <v>45377</v>
      </c>
      <c r="C123">
        <v>41.52</v>
      </c>
      <c r="D123">
        <v>518.80999999999995</v>
      </c>
      <c r="E123">
        <v>201.64</v>
      </c>
      <c r="F123">
        <v>28.27</v>
      </c>
      <c r="G123">
        <v>443.32</v>
      </c>
      <c r="H123">
        <v>22.72</v>
      </c>
      <c r="I123">
        <v>77.290000000000006</v>
      </c>
      <c r="J123">
        <v>93.77</v>
      </c>
      <c r="K123">
        <v>67.05</v>
      </c>
      <c r="L123">
        <v>57.23</v>
      </c>
      <c r="M123">
        <v>71.3</v>
      </c>
      <c r="N123">
        <v>143.81</v>
      </c>
      <c r="O123">
        <v>50.76</v>
      </c>
      <c r="P123">
        <v>205.17</v>
      </c>
      <c r="Q123">
        <v>23.84</v>
      </c>
      <c r="R123">
        <v>69440</v>
      </c>
      <c r="S123">
        <v>15.36</v>
      </c>
    </row>
    <row r="124" spans="2:19" x14ac:dyDescent="0.35">
      <c r="B124" s="2">
        <v>45376</v>
      </c>
      <c r="C124">
        <v>41.61</v>
      </c>
      <c r="D124">
        <v>519.77</v>
      </c>
      <c r="E124">
        <v>200.99</v>
      </c>
      <c r="F124">
        <v>28.25</v>
      </c>
      <c r="G124">
        <v>444.76</v>
      </c>
      <c r="H124">
        <v>22.9</v>
      </c>
      <c r="I124">
        <v>77.760000000000005</v>
      </c>
      <c r="J124">
        <v>93.51</v>
      </c>
      <c r="K124">
        <v>66.95</v>
      </c>
      <c r="L124">
        <v>57.37</v>
      </c>
      <c r="M124">
        <v>70.989999999999995</v>
      </c>
      <c r="N124">
        <v>144</v>
      </c>
      <c r="O124">
        <v>50.54</v>
      </c>
      <c r="P124">
        <v>205.54</v>
      </c>
      <c r="Q124">
        <v>23.71</v>
      </c>
      <c r="R124">
        <v>71130</v>
      </c>
      <c r="S124">
        <v>15.4</v>
      </c>
    </row>
    <row r="125" spans="2:19" x14ac:dyDescent="0.35">
      <c r="B125" s="2">
        <v>45373</v>
      </c>
      <c r="C125">
        <v>41.61</v>
      </c>
      <c r="D125">
        <v>521.21</v>
      </c>
      <c r="E125">
        <v>200.35</v>
      </c>
      <c r="F125">
        <v>28.32</v>
      </c>
      <c r="G125">
        <v>446.38</v>
      </c>
      <c r="H125">
        <v>22.71</v>
      </c>
      <c r="I125">
        <v>76.680000000000007</v>
      </c>
      <c r="J125">
        <v>93.98</v>
      </c>
      <c r="K125">
        <v>66.88</v>
      </c>
      <c r="L125">
        <v>57.23</v>
      </c>
      <c r="M125">
        <v>71.819999999999993</v>
      </c>
      <c r="N125">
        <v>144.4</v>
      </c>
      <c r="O125">
        <v>50.49</v>
      </c>
      <c r="P125">
        <v>205.07</v>
      </c>
      <c r="Q125">
        <v>23.68</v>
      </c>
      <c r="R125">
        <v>63975</v>
      </c>
      <c r="S125">
        <v>15.4</v>
      </c>
    </row>
    <row r="126" spans="2:19" x14ac:dyDescent="0.35">
      <c r="B126" s="2">
        <v>45372</v>
      </c>
      <c r="C126">
        <v>41.88</v>
      </c>
      <c r="D126">
        <v>522.20000000000005</v>
      </c>
      <c r="E126">
        <v>201.97</v>
      </c>
      <c r="F126">
        <v>28.17</v>
      </c>
      <c r="G126">
        <v>445.87</v>
      </c>
      <c r="H126">
        <v>22.87</v>
      </c>
      <c r="I126">
        <v>76.819999999999993</v>
      </c>
      <c r="J126">
        <v>93.09</v>
      </c>
      <c r="K126">
        <v>67.040000000000006</v>
      </c>
      <c r="L126">
        <v>57.47</v>
      </c>
      <c r="M126">
        <v>71.83</v>
      </c>
      <c r="N126">
        <v>144.66999999999999</v>
      </c>
      <c r="O126">
        <v>50.53</v>
      </c>
      <c r="P126">
        <v>207.94</v>
      </c>
      <c r="Q126">
        <v>24.02</v>
      </c>
      <c r="R126">
        <v>65415</v>
      </c>
      <c r="S126">
        <v>15.4</v>
      </c>
    </row>
    <row r="127" spans="2:19" x14ac:dyDescent="0.35">
      <c r="B127" s="2">
        <v>45371</v>
      </c>
      <c r="C127">
        <v>41.85</v>
      </c>
      <c r="D127">
        <v>520.48</v>
      </c>
      <c r="E127">
        <v>202.18</v>
      </c>
      <c r="F127">
        <v>27.98</v>
      </c>
      <c r="G127">
        <v>443.77</v>
      </c>
      <c r="H127">
        <v>22.9</v>
      </c>
      <c r="I127">
        <v>77.25</v>
      </c>
      <c r="J127">
        <v>92.89</v>
      </c>
      <c r="K127">
        <v>67.209999999999994</v>
      </c>
      <c r="L127">
        <v>57.24</v>
      </c>
      <c r="M127">
        <v>71.47</v>
      </c>
      <c r="N127">
        <v>144.21</v>
      </c>
      <c r="O127">
        <v>50.42</v>
      </c>
      <c r="P127">
        <v>206.1</v>
      </c>
      <c r="Q127">
        <v>24.13</v>
      </c>
      <c r="R127">
        <v>65990</v>
      </c>
      <c r="S127">
        <v>15.37</v>
      </c>
    </row>
    <row r="128" spans="2:19" x14ac:dyDescent="0.35">
      <c r="B128" s="2">
        <v>45370</v>
      </c>
      <c r="C128">
        <v>41.52</v>
      </c>
      <c r="D128">
        <v>515.71</v>
      </c>
      <c r="E128">
        <v>199.8</v>
      </c>
      <c r="F128">
        <v>28.11</v>
      </c>
      <c r="G128">
        <v>438.57</v>
      </c>
      <c r="H128">
        <v>22.96</v>
      </c>
      <c r="I128">
        <v>78.430000000000007</v>
      </c>
      <c r="J128">
        <v>92.92</v>
      </c>
      <c r="K128">
        <v>66.41</v>
      </c>
      <c r="L128">
        <v>56.6</v>
      </c>
      <c r="M128">
        <v>70.92</v>
      </c>
      <c r="N128">
        <v>142.87</v>
      </c>
      <c r="O128">
        <v>50.14</v>
      </c>
      <c r="P128">
        <v>202.1</v>
      </c>
      <c r="Q128">
        <v>23.91</v>
      </c>
      <c r="R128">
        <v>64595</v>
      </c>
      <c r="S128">
        <v>15.27</v>
      </c>
    </row>
    <row r="129" spans="2:19" x14ac:dyDescent="0.35">
      <c r="B129" s="2">
        <v>45369</v>
      </c>
      <c r="C129">
        <v>41.69</v>
      </c>
      <c r="D129">
        <v>512.86</v>
      </c>
      <c r="E129">
        <v>200.03</v>
      </c>
      <c r="F129">
        <v>28.04</v>
      </c>
      <c r="G129">
        <v>437.48</v>
      </c>
      <c r="H129">
        <v>22.97</v>
      </c>
      <c r="I129">
        <v>77.98</v>
      </c>
      <c r="J129">
        <v>92.66</v>
      </c>
      <c r="K129">
        <v>66.3</v>
      </c>
      <c r="L129">
        <v>56.81</v>
      </c>
      <c r="M129">
        <v>70.650000000000006</v>
      </c>
      <c r="N129">
        <v>142.16999999999999</v>
      </c>
      <c r="O129">
        <v>50.7</v>
      </c>
      <c r="P129">
        <v>201.25</v>
      </c>
      <c r="Q129">
        <v>24.03</v>
      </c>
      <c r="R129">
        <v>67180</v>
      </c>
      <c r="S129">
        <v>15.21</v>
      </c>
    </row>
    <row r="130" spans="2:19" x14ac:dyDescent="0.35">
      <c r="B130" s="2">
        <v>45366</v>
      </c>
      <c r="C130">
        <v>41.6</v>
      </c>
      <c r="D130">
        <v>509.83</v>
      </c>
      <c r="E130">
        <v>199.71</v>
      </c>
      <c r="F130">
        <v>27.98</v>
      </c>
      <c r="G130">
        <v>433.92</v>
      </c>
      <c r="H130">
        <v>22.76</v>
      </c>
      <c r="I130">
        <v>76.33</v>
      </c>
      <c r="J130">
        <v>92.94</v>
      </c>
      <c r="K130">
        <v>66.69</v>
      </c>
      <c r="L130">
        <v>56.76</v>
      </c>
      <c r="M130">
        <v>69.569999999999993</v>
      </c>
      <c r="N130">
        <v>141.74</v>
      </c>
      <c r="O130">
        <v>50.52</v>
      </c>
      <c r="P130">
        <v>202.41</v>
      </c>
      <c r="Q130">
        <v>23.99</v>
      </c>
      <c r="R130">
        <v>69165</v>
      </c>
      <c r="S130">
        <v>15.16</v>
      </c>
    </row>
    <row r="131" spans="2:19" x14ac:dyDescent="0.35">
      <c r="B131" s="2">
        <v>45365</v>
      </c>
      <c r="C131">
        <v>41.76</v>
      </c>
      <c r="D131">
        <v>514.95000000000005</v>
      </c>
      <c r="E131">
        <v>200.35</v>
      </c>
      <c r="F131">
        <v>27.95</v>
      </c>
      <c r="G131">
        <v>439.14</v>
      </c>
      <c r="H131">
        <v>22.68</v>
      </c>
      <c r="I131">
        <v>76.3</v>
      </c>
      <c r="J131">
        <v>92.97</v>
      </c>
      <c r="K131">
        <v>67.12</v>
      </c>
      <c r="L131">
        <v>57.23</v>
      </c>
      <c r="M131">
        <v>69.06</v>
      </c>
      <c r="N131">
        <v>142.4</v>
      </c>
      <c r="O131">
        <v>50.71</v>
      </c>
      <c r="P131">
        <v>202.03</v>
      </c>
      <c r="Q131">
        <v>24.14</v>
      </c>
      <c r="R131">
        <v>69600</v>
      </c>
      <c r="S131">
        <v>15.24</v>
      </c>
    </row>
    <row r="132" spans="2:19" x14ac:dyDescent="0.35">
      <c r="B132" s="2">
        <v>45364</v>
      </c>
      <c r="C132">
        <v>41.99</v>
      </c>
      <c r="D132">
        <v>515.97</v>
      </c>
      <c r="E132">
        <v>201.19</v>
      </c>
      <c r="F132">
        <v>27.8</v>
      </c>
      <c r="G132">
        <v>440.25</v>
      </c>
      <c r="H132">
        <v>22.61</v>
      </c>
      <c r="I132">
        <v>75.09</v>
      </c>
      <c r="J132">
        <v>94.42</v>
      </c>
      <c r="K132">
        <v>67.62</v>
      </c>
      <c r="L132">
        <v>57.29</v>
      </c>
      <c r="M132">
        <v>69.37</v>
      </c>
      <c r="N132">
        <v>143.03</v>
      </c>
      <c r="O132">
        <v>50.43</v>
      </c>
      <c r="P132">
        <v>205.71</v>
      </c>
      <c r="Q132">
        <v>24.64</v>
      </c>
      <c r="R132">
        <v>73915</v>
      </c>
      <c r="S132">
        <v>15.31</v>
      </c>
    </row>
    <row r="133" spans="2:19" x14ac:dyDescent="0.35">
      <c r="B133" s="2">
        <v>45363</v>
      </c>
      <c r="C133">
        <v>42.23</v>
      </c>
      <c r="D133">
        <v>516.78</v>
      </c>
      <c r="E133">
        <v>199.79</v>
      </c>
      <c r="F133">
        <v>27.83</v>
      </c>
      <c r="G133">
        <v>443.66</v>
      </c>
      <c r="H133">
        <v>22.3</v>
      </c>
      <c r="I133">
        <v>73.349999999999994</v>
      </c>
      <c r="J133">
        <v>94.88</v>
      </c>
      <c r="K133">
        <v>67.5</v>
      </c>
      <c r="L133">
        <v>57.65</v>
      </c>
      <c r="M133">
        <v>69.98</v>
      </c>
      <c r="N133">
        <v>143.16</v>
      </c>
      <c r="O133">
        <v>51.69</v>
      </c>
      <c r="P133">
        <v>204.91</v>
      </c>
      <c r="Q133">
        <v>24.56</v>
      </c>
      <c r="R133">
        <v>71800</v>
      </c>
      <c r="S133">
        <v>15.33</v>
      </c>
    </row>
    <row r="134" spans="2:19" x14ac:dyDescent="0.35">
      <c r="B134" s="2">
        <v>45362</v>
      </c>
      <c r="C134">
        <v>41.87</v>
      </c>
      <c r="D134">
        <v>511.28</v>
      </c>
      <c r="E134">
        <v>202</v>
      </c>
      <c r="F134">
        <v>27.81</v>
      </c>
      <c r="G134">
        <v>437.39</v>
      </c>
      <c r="H134">
        <v>22.36</v>
      </c>
      <c r="I134">
        <v>73.62</v>
      </c>
      <c r="J134">
        <v>95.68</v>
      </c>
      <c r="K134">
        <v>66.849999999999994</v>
      </c>
      <c r="L134">
        <v>57.2</v>
      </c>
      <c r="M134">
        <v>69.599999999999994</v>
      </c>
      <c r="N134">
        <v>141.66999999999999</v>
      </c>
      <c r="O134">
        <v>51.9</v>
      </c>
      <c r="P134">
        <v>205.19</v>
      </c>
      <c r="Q134">
        <v>24.04</v>
      </c>
      <c r="R134">
        <v>72660</v>
      </c>
      <c r="S134">
        <v>15.27</v>
      </c>
    </row>
    <row r="135" spans="2:19" x14ac:dyDescent="0.35">
      <c r="B135" s="2">
        <v>45359</v>
      </c>
      <c r="C135">
        <v>41.76</v>
      </c>
      <c r="D135">
        <v>511.72</v>
      </c>
      <c r="E135">
        <v>201.63</v>
      </c>
      <c r="F135">
        <v>27.78</v>
      </c>
      <c r="G135">
        <v>439.02</v>
      </c>
      <c r="H135">
        <v>22.17</v>
      </c>
      <c r="I135">
        <v>73.36</v>
      </c>
      <c r="J135">
        <v>95.73</v>
      </c>
      <c r="K135">
        <v>66.84</v>
      </c>
      <c r="L135">
        <v>57.39</v>
      </c>
      <c r="M135">
        <v>71.180000000000007</v>
      </c>
      <c r="N135">
        <v>142.08000000000001</v>
      </c>
      <c r="O135">
        <v>52.28</v>
      </c>
      <c r="P135">
        <v>206.83</v>
      </c>
      <c r="Q135">
        <v>23.47</v>
      </c>
      <c r="R135">
        <v>69805</v>
      </c>
      <c r="S135">
        <v>15.27</v>
      </c>
    </row>
    <row r="136" spans="2:19" x14ac:dyDescent="0.35">
      <c r="B136" s="2">
        <v>45358</v>
      </c>
      <c r="C136">
        <v>41.83</v>
      </c>
      <c r="D136">
        <v>514.80999999999995</v>
      </c>
      <c r="E136">
        <v>199.94</v>
      </c>
      <c r="F136">
        <v>27.77</v>
      </c>
      <c r="G136">
        <v>445.45</v>
      </c>
      <c r="H136">
        <v>22.24</v>
      </c>
      <c r="I136">
        <v>74.23</v>
      </c>
      <c r="J136">
        <v>95.9</v>
      </c>
      <c r="K136">
        <v>67.14</v>
      </c>
      <c r="L136">
        <v>57.57</v>
      </c>
      <c r="M136">
        <v>71.34</v>
      </c>
      <c r="N136">
        <v>142.84</v>
      </c>
      <c r="O136">
        <v>52.29</v>
      </c>
      <c r="P136">
        <v>206.96</v>
      </c>
      <c r="Q136">
        <v>23.33</v>
      </c>
      <c r="R136">
        <v>68365</v>
      </c>
      <c r="S136">
        <v>15.31</v>
      </c>
    </row>
    <row r="137" spans="2:19" x14ac:dyDescent="0.35">
      <c r="B137" s="2">
        <v>45357</v>
      </c>
      <c r="C137">
        <v>41.63</v>
      </c>
      <c r="D137">
        <v>509.75</v>
      </c>
      <c r="E137">
        <v>198.81</v>
      </c>
      <c r="F137">
        <v>27.91</v>
      </c>
      <c r="G137">
        <v>438.79</v>
      </c>
      <c r="H137">
        <v>22.18</v>
      </c>
      <c r="I137">
        <v>74.34</v>
      </c>
      <c r="J137">
        <v>95.99</v>
      </c>
      <c r="K137">
        <v>66.11</v>
      </c>
      <c r="L137">
        <v>56.98</v>
      </c>
      <c r="M137">
        <v>71.37</v>
      </c>
      <c r="N137">
        <v>141.32</v>
      </c>
      <c r="O137">
        <v>52.11</v>
      </c>
      <c r="P137">
        <v>205.25</v>
      </c>
      <c r="Q137">
        <v>23.53</v>
      </c>
      <c r="R137">
        <v>67760</v>
      </c>
      <c r="S137">
        <v>15.21</v>
      </c>
    </row>
    <row r="138" spans="2:19" x14ac:dyDescent="0.35">
      <c r="B138" s="2">
        <v>45356</v>
      </c>
      <c r="C138">
        <v>41.12</v>
      </c>
      <c r="D138">
        <v>507.18</v>
      </c>
      <c r="E138">
        <v>197.19</v>
      </c>
      <c r="F138">
        <v>28.01</v>
      </c>
      <c r="G138">
        <v>436.05</v>
      </c>
      <c r="H138">
        <v>22</v>
      </c>
      <c r="I138">
        <v>73.45</v>
      </c>
      <c r="J138">
        <v>95.43</v>
      </c>
      <c r="K138">
        <v>65.41</v>
      </c>
      <c r="L138">
        <v>56.17</v>
      </c>
      <c r="M138">
        <v>70.3</v>
      </c>
      <c r="N138">
        <v>140.27000000000001</v>
      </c>
      <c r="O138">
        <v>51.72</v>
      </c>
      <c r="P138">
        <v>203.73</v>
      </c>
      <c r="Q138">
        <v>23.03</v>
      </c>
      <c r="R138">
        <v>62425</v>
      </c>
      <c r="S138">
        <v>15.12</v>
      </c>
    </row>
    <row r="139" spans="2:19" x14ac:dyDescent="0.35">
      <c r="B139" s="2">
        <v>45355</v>
      </c>
      <c r="C139">
        <v>41.4</v>
      </c>
      <c r="D139">
        <v>512.29999999999995</v>
      </c>
      <c r="E139">
        <v>196.01</v>
      </c>
      <c r="F139">
        <v>28.04</v>
      </c>
      <c r="G139">
        <v>444.02</v>
      </c>
      <c r="H139">
        <v>22.17</v>
      </c>
      <c r="I139">
        <v>74.010000000000005</v>
      </c>
      <c r="J139">
        <v>94.09</v>
      </c>
      <c r="K139">
        <v>65.680000000000007</v>
      </c>
      <c r="L139">
        <v>56.64</v>
      </c>
      <c r="M139">
        <v>69.92</v>
      </c>
      <c r="N139">
        <v>141.37</v>
      </c>
      <c r="O139">
        <v>51.91</v>
      </c>
      <c r="P139">
        <v>205.7</v>
      </c>
      <c r="Q139">
        <v>23.39</v>
      </c>
      <c r="R139">
        <v>68480</v>
      </c>
      <c r="S139">
        <v>15.18</v>
      </c>
    </row>
    <row r="140" spans="2:19" x14ac:dyDescent="0.35">
      <c r="B140" s="2">
        <v>45352</v>
      </c>
      <c r="C140">
        <v>41.57</v>
      </c>
      <c r="D140">
        <v>512.85</v>
      </c>
      <c r="E140">
        <v>192.89</v>
      </c>
      <c r="F140">
        <v>28.04</v>
      </c>
      <c r="G140">
        <v>445.61</v>
      </c>
      <c r="H140">
        <v>22.1</v>
      </c>
      <c r="I140">
        <v>74.959999999999994</v>
      </c>
      <c r="J140">
        <v>94.47</v>
      </c>
      <c r="K140">
        <v>65.77</v>
      </c>
      <c r="L140">
        <v>56.48</v>
      </c>
      <c r="M140">
        <v>70.33</v>
      </c>
      <c r="N140">
        <v>141.54</v>
      </c>
      <c r="O140">
        <v>51.92</v>
      </c>
      <c r="P140">
        <v>205.89</v>
      </c>
      <c r="Q140">
        <v>23.92</v>
      </c>
      <c r="R140">
        <v>63825</v>
      </c>
      <c r="S140">
        <v>15.2</v>
      </c>
    </row>
    <row r="141" spans="2:19" x14ac:dyDescent="0.35">
      <c r="B141" s="2">
        <v>45351</v>
      </c>
      <c r="C141">
        <v>41.02</v>
      </c>
      <c r="D141">
        <v>508.08</v>
      </c>
      <c r="E141">
        <v>189.31</v>
      </c>
      <c r="F141">
        <v>28.09</v>
      </c>
      <c r="G141">
        <v>439</v>
      </c>
      <c r="H141">
        <v>21.99</v>
      </c>
      <c r="I141">
        <v>73.36</v>
      </c>
      <c r="J141">
        <v>94.18</v>
      </c>
      <c r="K141">
        <v>65.22</v>
      </c>
      <c r="L141">
        <v>55.84</v>
      </c>
      <c r="M141">
        <v>69.12</v>
      </c>
      <c r="N141">
        <v>140.28</v>
      </c>
      <c r="O141">
        <v>51.16</v>
      </c>
      <c r="P141">
        <v>203.73</v>
      </c>
      <c r="Q141">
        <v>23.42</v>
      </c>
      <c r="R141">
        <v>62760</v>
      </c>
      <c r="S141">
        <v>15.09</v>
      </c>
    </row>
    <row r="142" spans="2:19" x14ac:dyDescent="0.35">
      <c r="B142" s="2">
        <v>45350</v>
      </c>
      <c r="C142">
        <v>40.93</v>
      </c>
      <c r="D142">
        <v>506.26</v>
      </c>
      <c r="E142">
        <v>188.34</v>
      </c>
      <c r="F142">
        <v>28.03</v>
      </c>
      <c r="G142">
        <v>435.27</v>
      </c>
      <c r="H142">
        <v>22.02</v>
      </c>
      <c r="I142">
        <v>73.62</v>
      </c>
      <c r="J142">
        <v>93.52</v>
      </c>
      <c r="K142">
        <v>65.19</v>
      </c>
      <c r="L142">
        <v>55.76</v>
      </c>
      <c r="M142">
        <v>68.67</v>
      </c>
      <c r="N142">
        <v>139.71</v>
      </c>
      <c r="O142">
        <v>51.06</v>
      </c>
      <c r="P142">
        <v>202.32</v>
      </c>
      <c r="Q142">
        <v>23.46</v>
      </c>
      <c r="R142">
        <v>60870</v>
      </c>
      <c r="S142">
        <v>15.04</v>
      </c>
    </row>
    <row r="143" spans="2:19" x14ac:dyDescent="0.35">
      <c r="B143" s="2">
        <v>45349</v>
      </c>
      <c r="C143">
        <v>41.57</v>
      </c>
      <c r="D143">
        <v>506.93</v>
      </c>
      <c r="E143">
        <v>188</v>
      </c>
      <c r="F143">
        <v>28.01</v>
      </c>
      <c r="G143">
        <v>437.6</v>
      </c>
      <c r="H143">
        <v>22.11</v>
      </c>
      <c r="I143">
        <v>73.849999999999994</v>
      </c>
      <c r="J143">
        <v>92.93</v>
      </c>
      <c r="K143">
        <v>65.52</v>
      </c>
      <c r="L143">
        <v>56.17</v>
      </c>
      <c r="M143">
        <v>69.180000000000007</v>
      </c>
      <c r="N143">
        <v>140.15</v>
      </c>
      <c r="O143">
        <v>51.625</v>
      </c>
      <c r="P143">
        <v>204</v>
      </c>
      <c r="Q143">
        <v>24.32</v>
      </c>
      <c r="R143">
        <v>57620</v>
      </c>
      <c r="S143">
        <v>15.05</v>
      </c>
    </row>
    <row r="144" spans="2:19" x14ac:dyDescent="0.35">
      <c r="B144" s="2">
        <v>45348</v>
      </c>
      <c r="C144">
        <v>41.44</v>
      </c>
      <c r="D144">
        <v>505.99</v>
      </c>
      <c r="E144">
        <v>188.2</v>
      </c>
      <c r="F144">
        <v>27.99</v>
      </c>
      <c r="G144">
        <v>436.55</v>
      </c>
      <c r="H144">
        <v>21.94</v>
      </c>
      <c r="I144">
        <v>72.790000000000006</v>
      </c>
      <c r="J144">
        <v>93.59</v>
      </c>
      <c r="K144">
        <v>65.41</v>
      </c>
      <c r="L144">
        <v>56.23</v>
      </c>
      <c r="M144">
        <v>69</v>
      </c>
      <c r="N144">
        <v>139.79</v>
      </c>
      <c r="O144">
        <v>51.56</v>
      </c>
      <c r="P144">
        <v>201.15</v>
      </c>
      <c r="Q144">
        <v>23.91</v>
      </c>
      <c r="R144">
        <v>55290</v>
      </c>
      <c r="S144">
        <v>15.04</v>
      </c>
    </row>
    <row r="145" spans="2:19" x14ac:dyDescent="0.35">
      <c r="B145" s="2">
        <v>45345</v>
      </c>
      <c r="C145">
        <v>41.58</v>
      </c>
      <c r="D145">
        <v>507.85</v>
      </c>
      <c r="E145">
        <v>188.62</v>
      </c>
      <c r="F145">
        <v>28.04</v>
      </c>
      <c r="G145">
        <v>436.78</v>
      </c>
      <c r="H145">
        <v>21.74</v>
      </c>
      <c r="I145">
        <v>71.92</v>
      </c>
      <c r="J145">
        <v>93.87</v>
      </c>
      <c r="K145">
        <v>65.48</v>
      </c>
      <c r="L145">
        <v>56.43</v>
      </c>
      <c r="M145">
        <v>69.010000000000005</v>
      </c>
      <c r="N145">
        <v>140.33000000000001</v>
      </c>
      <c r="O145">
        <v>51.8</v>
      </c>
      <c r="P145">
        <v>199.89</v>
      </c>
      <c r="Q145">
        <v>24.12</v>
      </c>
      <c r="R145">
        <v>51750</v>
      </c>
      <c r="S145">
        <v>15.09</v>
      </c>
    </row>
    <row r="146" spans="2:19" x14ac:dyDescent="0.35">
      <c r="B146" s="2">
        <v>45344</v>
      </c>
      <c r="C146">
        <v>41.57</v>
      </c>
      <c r="D146">
        <v>507.5</v>
      </c>
      <c r="E146">
        <v>187.56</v>
      </c>
      <c r="F146">
        <v>28.02</v>
      </c>
      <c r="G146">
        <v>438.07</v>
      </c>
      <c r="H146">
        <v>22.06</v>
      </c>
      <c r="I146">
        <v>73.599999999999994</v>
      </c>
      <c r="J146">
        <v>92.63</v>
      </c>
      <c r="K146">
        <v>65.400000000000006</v>
      </c>
      <c r="L146">
        <v>56.56</v>
      </c>
      <c r="M146">
        <v>68.900000000000006</v>
      </c>
      <c r="N146">
        <v>140.18</v>
      </c>
      <c r="O146">
        <v>51.73</v>
      </c>
      <c r="P146">
        <v>199.44</v>
      </c>
      <c r="Q146">
        <v>23.95</v>
      </c>
      <c r="R146">
        <v>52040</v>
      </c>
      <c r="S146">
        <v>15.05</v>
      </c>
    </row>
    <row r="147" spans="2:19" x14ac:dyDescent="0.35">
      <c r="B147" s="2">
        <v>45343</v>
      </c>
      <c r="C147">
        <v>41.21</v>
      </c>
      <c r="D147">
        <v>497.21</v>
      </c>
      <c r="E147">
        <v>187.48</v>
      </c>
      <c r="F147">
        <v>28.02</v>
      </c>
      <c r="G147">
        <v>425.61</v>
      </c>
      <c r="H147">
        <v>22</v>
      </c>
      <c r="I147">
        <v>73.2</v>
      </c>
      <c r="J147">
        <v>92.18</v>
      </c>
      <c r="K147">
        <v>64.75</v>
      </c>
      <c r="L147">
        <v>56.09</v>
      </c>
      <c r="M147">
        <v>67.790000000000006</v>
      </c>
      <c r="N147">
        <v>137.69999999999999</v>
      </c>
      <c r="O147">
        <v>51.18</v>
      </c>
      <c r="P147">
        <v>197.94</v>
      </c>
      <c r="Q147">
        <v>23.59</v>
      </c>
      <c r="R147">
        <v>50955</v>
      </c>
      <c r="S147">
        <v>14.88</v>
      </c>
    </row>
    <row r="148" spans="2:19" x14ac:dyDescent="0.35">
      <c r="B148" s="2">
        <v>45342</v>
      </c>
      <c r="C148">
        <v>41.17</v>
      </c>
      <c r="D148">
        <v>496.76</v>
      </c>
      <c r="E148">
        <v>187.47</v>
      </c>
      <c r="F148">
        <v>28.05</v>
      </c>
      <c r="G148">
        <v>427.32</v>
      </c>
      <c r="H148">
        <v>21.91</v>
      </c>
      <c r="I148">
        <v>72.42</v>
      </c>
      <c r="J148">
        <v>92.84</v>
      </c>
      <c r="K148">
        <v>64.67</v>
      </c>
      <c r="L148">
        <v>56.31</v>
      </c>
      <c r="M148">
        <v>67.930000000000007</v>
      </c>
      <c r="N148">
        <v>137.61000000000001</v>
      </c>
      <c r="O148">
        <v>51.56</v>
      </c>
      <c r="P148">
        <v>198.88</v>
      </c>
      <c r="Q148">
        <v>22.92</v>
      </c>
      <c r="R148">
        <v>52090</v>
      </c>
      <c r="S148">
        <v>14.88</v>
      </c>
    </row>
    <row r="149" spans="2:19" x14ac:dyDescent="0.35">
      <c r="B149" s="2">
        <v>45338</v>
      </c>
      <c r="C149">
        <v>41.09</v>
      </c>
      <c r="D149">
        <v>499.51</v>
      </c>
      <c r="E149">
        <v>186.34</v>
      </c>
      <c r="F149">
        <v>28.09</v>
      </c>
      <c r="G149">
        <v>430.57</v>
      </c>
      <c r="H149">
        <v>22.03</v>
      </c>
      <c r="I149">
        <v>73.41</v>
      </c>
      <c r="J149">
        <v>92.76</v>
      </c>
      <c r="K149">
        <v>64.34</v>
      </c>
      <c r="L149">
        <v>56.01</v>
      </c>
      <c r="M149">
        <v>67.63</v>
      </c>
      <c r="N149">
        <v>138.04</v>
      </c>
      <c r="O149">
        <v>51.2</v>
      </c>
      <c r="P149">
        <v>201.66</v>
      </c>
      <c r="Q149">
        <v>23.07</v>
      </c>
      <c r="R149">
        <v>52025</v>
      </c>
      <c r="S149">
        <v>14.91</v>
      </c>
    </row>
    <row r="150" spans="2:19" x14ac:dyDescent="0.35">
      <c r="B150" s="2">
        <v>45337</v>
      </c>
      <c r="C150">
        <v>40.89</v>
      </c>
      <c r="D150">
        <v>502.01</v>
      </c>
      <c r="E150">
        <v>185.66</v>
      </c>
      <c r="F150">
        <v>28.08</v>
      </c>
      <c r="G150">
        <v>434.51</v>
      </c>
      <c r="H150">
        <v>21.98</v>
      </c>
      <c r="I150">
        <v>72.84</v>
      </c>
      <c r="J150">
        <v>93.3</v>
      </c>
      <c r="K150">
        <v>64.239999999999995</v>
      </c>
      <c r="L150">
        <v>56.01</v>
      </c>
      <c r="M150">
        <v>67.64</v>
      </c>
      <c r="N150">
        <v>138.55000000000001</v>
      </c>
      <c r="O150">
        <v>51.08</v>
      </c>
      <c r="P150">
        <v>204.44</v>
      </c>
      <c r="Q150">
        <v>22.76</v>
      </c>
      <c r="R150">
        <v>51955</v>
      </c>
      <c r="S150">
        <v>14.97</v>
      </c>
    </row>
    <row r="151" spans="2:19" x14ac:dyDescent="0.35">
      <c r="B151" s="2">
        <v>45336</v>
      </c>
      <c r="C151">
        <v>40.64</v>
      </c>
      <c r="D151">
        <v>498.57</v>
      </c>
      <c r="E151">
        <v>184.42</v>
      </c>
      <c r="F151">
        <v>28.19</v>
      </c>
      <c r="G151">
        <v>433.22</v>
      </c>
      <c r="H151">
        <v>21.93</v>
      </c>
      <c r="I151">
        <v>71.55</v>
      </c>
      <c r="J151">
        <v>92.82</v>
      </c>
      <c r="K151">
        <v>63.54</v>
      </c>
      <c r="L151">
        <v>55.79</v>
      </c>
      <c r="M151">
        <v>67</v>
      </c>
      <c r="N151">
        <v>137.38</v>
      </c>
      <c r="O151">
        <v>50.81</v>
      </c>
      <c r="P151">
        <v>199.13</v>
      </c>
      <c r="Q151">
        <v>22.67</v>
      </c>
      <c r="R151">
        <v>51990</v>
      </c>
      <c r="S151">
        <v>14.88</v>
      </c>
    </row>
    <row r="152" spans="2:19" x14ac:dyDescent="0.35">
      <c r="B152" s="2">
        <v>45335</v>
      </c>
      <c r="C152">
        <v>40.06</v>
      </c>
      <c r="D152">
        <v>494.08</v>
      </c>
      <c r="E152">
        <v>184.53</v>
      </c>
      <c r="F152">
        <v>28.24</v>
      </c>
      <c r="G152">
        <v>428.55</v>
      </c>
      <c r="H152">
        <v>22.14</v>
      </c>
      <c r="I152">
        <v>72.650000000000006</v>
      </c>
      <c r="J152">
        <v>92.35</v>
      </c>
      <c r="K152">
        <v>62.66</v>
      </c>
      <c r="L152">
        <v>54.93</v>
      </c>
      <c r="M152">
        <v>66.739999999999995</v>
      </c>
      <c r="N152">
        <v>135.93</v>
      </c>
      <c r="O152">
        <v>49.97</v>
      </c>
      <c r="P152">
        <v>194.61</v>
      </c>
      <c r="Q152">
        <v>22.2</v>
      </c>
      <c r="R152">
        <v>49640</v>
      </c>
      <c r="S152">
        <v>14.78</v>
      </c>
    </row>
    <row r="153" spans="2:19" x14ac:dyDescent="0.35">
      <c r="B153" s="2">
        <v>45334</v>
      </c>
      <c r="C153">
        <v>40.81</v>
      </c>
      <c r="D153">
        <v>500.98</v>
      </c>
      <c r="E153">
        <v>187.11</v>
      </c>
      <c r="F153">
        <v>28.02</v>
      </c>
      <c r="G153">
        <v>435.34</v>
      </c>
      <c r="H153">
        <v>22.27</v>
      </c>
      <c r="I153">
        <v>72.11</v>
      </c>
      <c r="J153">
        <v>93.96</v>
      </c>
      <c r="K153">
        <v>63.9</v>
      </c>
      <c r="L153">
        <v>55.98</v>
      </c>
      <c r="M153">
        <v>66.97</v>
      </c>
      <c r="N153">
        <v>138</v>
      </c>
      <c r="O153">
        <v>50.28</v>
      </c>
      <c r="P153">
        <v>202.96</v>
      </c>
      <c r="Q153">
        <v>22.72</v>
      </c>
      <c r="R153">
        <v>50465</v>
      </c>
      <c r="S153">
        <v>14.96</v>
      </c>
    </row>
    <row r="154" spans="2:19" x14ac:dyDescent="0.35">
      <c r="B154" s="2">
        <v>45331</v>
      </c>
      <c r="C154">
        <v>40.630000000000003</v>
      </c>
      <c r="D154">
        <v>501.2</v>
      </c>
      <c r="E154">
        <v>187.6</v>
      </c>
      <c r="F154">
        <v>27.99</v>
      </c>
      <c r="G154">
        <v>437.05</v>
      </c>
      <c r="H154">
        <v>22.26</v>
      </c>
      <c r="I154">
        <v>71.67</v>
      </c>
      <c r="J154">
        <v>93.85</v>
      </c>
      <c r="K154">
        <v>63.85</v>
      </c>
      <c r="L154">
        <v>55.79</v>
      </c>
      <c r="M154">
        <v>66.63</v>
      </c>
      <c r="N154">
        <v>137.9</v>
      </c>
      <c r="O154">
        <v>50.72</v>
      </c>
      <c r="P154">
        <v>199.34</v>
      </c>
      <c r="Q154">
        <v>22.36</v>
      </c>
      <c r="R154">
        <v>47770</v>
      </c>
      <c r="S154">
        <v>14.96</v>
      </c>
    </row>
    <row r="155" spans="2:19" x14ac:dyDescent="0.35">
      <c r="B155" s="2">
        <v>45330</v>
      </c>
      <c r="C155">
        <v>40.47</v>
      </c>
      <c r="D155">
        <v>498.32</v>
      </c>
      <c r="E155">
        <v>188.33</v>
      </c>
      <c r="F155">
        <v>28.01</v>
      </c>
      <c r="G155">
        <v>432.79</v>
      </c>
      <c r="H155">
        <v>22.2</v>
      </c>
      <c r="I155">
        <v>71.52</v>
      </c>
      <c r="J155">
        <v>94.04</v>
      </c>
      <c r="K155">
        <v>63.63</v>
      </c>
      <c r="L155">
        <v>55.52</v>
      </c>
      <c r="M155">
        <v>66.39</v>
      </c>
      <c r="N155">
        <v>137.22999999999999</v>
      </c>
      <c r="O155">
        <v>50.5</v>
      </c>
      <c r="P155">
        <v>196.15</v>
      </c>
      <c r="Q155">
        <v>22.1</v>
      </c>
      <c r="R155">
        <v>45750</v>
      </c>
      <c r="S155">
        <v>14.91</v>
      </c>
    </row>
    <row r="156" spans="2:19" x14ac:dyDescent="0.35">
      <c r="B156" s="2">
        <v>45329</v>
      </c>
      <c r="C156">
        <v>40.68</v>
      </c>
      <c r="D156">
        <v>498.1</v>
      </c>
      <c r="E156">
        <v>188.5</v>
      </c>
      <c r="F156">
        <v>27.98</v>
      </c>
      <c r="G156">
        <v>431.99</v>
      </c>
      <c r="H156">
        <v>22.08</v>
      </c>
      <c r="I156">
        <v>69.42</v>
      </c>
      <c r="J156">
        <v>94.59</v>
      </c>
      <c r="K156">
        <v>63.63</v>
      </c>
      <c r="L156">
        <v>55.68</v>
      </c>
      <c r="M156">
        <v>66.56</v>
      </c>
      <c r="N156">
        <v>137.15</v>
      </c>
      <c r="O156">
        <v>50.89</v>
      </c>
      <c r="P156">
        <v>193.22</v>
      </c>
      <c r="Q156">
        <v>22.62</v>
      </c>
      <c r="R156">
        <v>44410</v>
      </c>
      <c r="S156">
        <v>14.92</v>
      </c>
    </row>
    <row r="157" spans="2:19" x14ac:dyDescent="0.35">
      <c r="B157" s="2">
        <v>45328</v>
      </c>
      <c r="C157">
        <v>40.71</v>
      </c>
      <c r="D157">
        <v>493.98</v>
      </c>
      <c r="E157">
        <v>188.55</v>
      </c>
      <c r="F157">
        <v>28.01</v>
      </c>
      <c r="G157">
        <v>427.59</v>
      </c>
      <c r="H157">
        <v>21.98</v>
      </c>
      <c r="I157">
        <v>68.81</v>
      </c>
      <c r="J157">
        <v>95.05</v>
      </c>
      <c r="K157">
        <v>63.84</v>
      </c>
      <c r="L157">
        <v>55.36</v>
      </c>
      <c r="M157">
        <v>66.180000000000007</v>
      </c>
      <c r="N157">
        <v>136.37</v>
      </c>
      <c r="O157">
        <v>50.78</v>
      </c>
      <c r="P157">
        <v>193.67</v>
      </c>
      <c r="Q157">
        <v>23.13</v>
      </c>
      <c r="R157">
        <v>43305</v>
      </c>
      <c r="S157">
        <v>14.88</v>
      </c>
    </row>
    <row r="158" spans="2:19" x14ac:dyDescent="0.35">
      <c r="B158" s="2">
        <v>45327</v>
      </c>
      <c r="C158">
        <v>39.729999999999997</v>
      </c>
      <c r="D158">
        <v>492.55</v>
      </c>
      <c r="E158">
        <v>187.57</v>
      </c>
      <c r="F158">
        <v>28.09</v>
      </c>
      <c r="G158">
        <v>428.45</v>
      </c>
      <c r="H158">
        <v>21.9</v>
      </c>
      <c r="I158">
        <v>68.180000000000007</v>
      </c>
      <c r="J158">
        <v>94.13</v>
      </c>
      <c r="K158">
        <v>63.33</v>
      </c>
      <c r="L158">
        <v>54.69</v>
      </c>
      <c r="M158">
        <v>66.19</v>
      </c>
      <c r="N158">
        <v>135.84</v>
      </c>
      <c r="O158">
        <v>50.11</v>
      </c>
      <c r="P158">
        <v>191.94</v>
      </c>
      <c r="Q158">
        <v>21.88</v>
      </c>
      <c r="R158">
        <v>42555</v>
      </c>
      <c r="S158">
        <v>14.81</v>
      </c>
    </row>
    <row r="159" spans="2:19" x14ac:dyDescent="0.35">
      <c r="B159" s="2">
        <v>45324</v>
      </c>
      <c r="C159">
        <v>39.630000000000003</v>
      </c>
      <c r="D159">
        <v>494.35</v>
      </c>
      <c r="E159">
        <v>188.61</v>
      </c>
      <c r="F159">
        <v>27.94</v>
      </c>
      <c r="G159">
        <v>429.01</v>
      </c>
      <c r="H159">
        <v>21.81</v>
      </c>
      <c r="I159">
        <v>67.510000000000005</v>
      </c>
      <c r="J159">
        <v>96.07</v>
      </c>
      <c r="K159">
        <v>63.7</v>
      </c>
      <c r="L159">
        <v>54.8</v>
      </c>
      <c r="M159">
        <v>66.510000000000005</v>
      </c>
      <c r="N159">
        <v>136.44999999999999</v>
      </c>
      <c r="O159">
        <v>50.375</v>
      </c>
      <c r="P159">
        <v>194.41</v>
      </c>
      <c r="Q159">
        <v>21.41</v>
      </c>
      <c r="R159">
        <v>43185</v>
      </c>
      <c r="S159">
        <v>14.89</v>
      </c>
    </row>
    <row r="160" spans="2:19" x14ac:dyDescent="0.35">
      <c r="B160" s="2">
        <v>45323</v>
      </c>
      <c r="C160">
        <v>39.909999999999997</v>
      </c>
      <c r="D160">
        <v>489.2</v>
      </c>
      <c r="E160">
        <v>190.41</v>
      </c>
      <c r="F160">
        <v>27.69</v>
      </c>
      <c r="G160">
        <v>421.88</v>
      </c>
      <c r="H160">
        <v>22.06</v>
      </c>
      <c r="I160">
        <v>69.069999999999993</v>
      </c>
      <c r="J160">
        <v>98.24</v>
      </c>
      <c r="K160">
        <v>64.319999999999993</v>
      </c>
      <c r="L160">
        <v>54.68</v>
      </c>
      <c r="M160">
        <v>66.92</v>
      </c>
      <c r="N160">
        <v>135.75</v>
      </c>
      <c r="O160">
        <v>50.23</v>
      </c>
      <c r="P160">
        <v>195.44</v>
      </c>
      <c r="Q160">
        <v>21.86</v>
      </c>
      <c r="R160">
        <v>43275</v>
      </c>
      <c r="S160">
        <v>14.75</v>
      </c>
    </row>
    <row r="161" spans="2:19" x14ac:dyDescent="0.35">
      <c r="B161" s="2">
        <v>45322</v>
      </c>
      <c r="C161">
        <v>39.64</v>
      </c>
      <c r="D161">
        <v>482.88</v>
      </c>
      <c r="E161">
        <v>188.45</v>
      </c>
      <c r="F161">
        <v>27.83</v>
      </c>
      <c r="G161">
        <v>416.97</v>
      </c>
      <c r="H161">
        <v>22.33</v>
      </c>
      <c r="I161">
        <v>70.92</v>
      </c>
      <c r="J161">
        <v>96.66</v>
      </c>
      <c r="K161">
        <v>63.69</v>
      </c>
      <c r="L161">
        <v>54.06</v>
      </c>
      <c r="M161">
        <v>66.209999999999994</v>
      </c>
      <c r="N161">
        <v>134.19999999999999</v>
      </c>
      <c r="O161">
        <v>49.89</v>
      </c>
      <c r="P161">
        <v>192.88</v>
      </c>
      <c r="Q161">
        <v>21.76</v>
      </c>
      <c r="R161">
        <v>42815</v>
      </c>
      <c r="S161">
        <v>14.75</v>
      </c>
    </row>
    <row r="162" spans="2:19" x14ac:dyDescent="0.35">
      <c r="B162" s="2">
        <v>45321</v>
      </c>
      <c r="C162">
        <v>39.79</v>
      </c>
      <c r="D162">
        <v>490.89</v>
      </c>
      <c r="E162">
        <v>188.59</v>
      </c>
      <c r="F162">
        <v>27.76</v>
      </c>
      <c r="G162">
        <v>425.3</v>
      </c>
      <c r="H162">
        <v>22.57</v>
      </c>
      <c r="I162">
        <v>72.81</v>
      </c>
      <c r="J162">
        <v>95.72</v>
      </c>
      <c r="K162">
        <v>64.17</v>
      </c>
      <c r="L162">
        <v>54.38</v>
      </c>
      <c r="M162">
        <v>65.930000000000007</v>
      </c>
      <c r="N162">
        <v>135.99</v>
      </c>
      <c r="O162">
        <v>49.52</v>
      </c>
      <c r="P162">
        <v>197.71</v>
      </c>
      <c r="Q162">
        <v>21.93</v>
      </c>
      <c r="R162">
        <v>43890</v>
      </c>
      <c r="S162">
        <v>14.84</v>
      </c>
    </row>
    <row r="163" spans="2:19" x14ac:dyDescent="0.35">
      <c r="B163" s="2">
        <v>45320</v>
      </c>
      <c r="C163">
        <v>40.17</v>
      </c>
      <c r="D163">
        <v>491.27</v>
      </c>
      <c r="E163">
        <v>188.33</v>
      </c>
      <c r="F163">
        <v>27.78</v>
      </c>
      <c r="G163">
        <v>428.15</v>
      </c>
      <c r="H163">
        <v>22.42</v>
      </c>
      <c r="I163">
        <v>72.05</v>
      </c>
      <c r="J163">
        <v>94.86</v>
      </c>
      <c r="K163">
        <v>64.14</v>
      </c>
      <c r="L163">
        <v>54.68</v>
      </c>
      <c r="M163">
        <v>66.17</v>
      </c>
      <c r="N163">
        <v>136.11000000000001</v>
      </c>
      <c r="O163">
        <v>49.98</v>
      </c>
      <c r="P163">
        <v>199.41</v>
      </c>
      <c r="Q163">
        <v>22.29</v>
      </c>
      <c r="R163">
        <v>43530</v>
      </c>
      <c r="S163">
        <v>14.84</v>
      </c>
    </row>
    <row r="164" spans="2:19" x14ac:dyDescent="0.35">
      <c r="B164" s="2">
        <v>45317</v>
      </c>
      <c r="C164">
        <v>40.159999999999997</v>
      </c>
      <c r="D164">
        <v>487.41</v>
      </c>
      <c r="E164">
        <v>187.01</v>
      </c>
      <c r="F164">
        <v>27.78</v>
      </c>
      <c r="G164">
        <v>423.81</v>
      </c>
      <c r="H164">
        <v>22.61</v>
      </c>
      <c r="I164">
        <v>73.099999999999994</v>
      </c>
      <c r="J164">
        <v>93.78</v>
      </c>
      <c r="K164">
        <v>63.93</v>
      </c>
      <c r="L164">
        <v>54.27</v>
      </c>
      <c r="M164">
        <v>65.39</v>
      </c>
      <c r="N164">
        <v>135.07</v>
      </c>
      <c r="O164">
        <v>49.19</v>
      </c>
      <c r="P164">
        <v>195.98</v>
      </c>
      <c r="Q164">
        <v>22.6</v>
      </c>
      <c r="R164">
        <v>42390</v>
      </c>
      <c r="S164">
        <v>14.76</v>
      </c>
    </row>
    <row r="165" spans="2:19" x14ac:dyDescent="0.35">
      <c r="B165" s="2">
        <v>45316</v>
      </c>
      <c r="C165">
        <v>40.15</v>
      </c>
      <c r="D165">
        <v>488.03</v>
      </c>
      <c r="E165">
        <v>187.14</v>
      </c>
      <c r="F165">
        <v>27.78</v>
      </c>
      <c r="G165">
        <v>426.35</v>
      </c>
      <c r="H165">
        <v>22.51</v>
      </c>
      <c r="I165">
        <v>72.23</v>
      </c>
      <c r="J165">
        <v>93.96</v>
      </c>
      <c r="K165">
        <v>63.36</v>
      </c>
      <c r="L165">
        <v>54.06</v>
      </c>
      <c r="M165">
        <v>65.92</v>
      </c>
      <c r="N165">
        <v>134.94999999999999</v>
      </c>
      <c r="O165">
        <v>49.11</v>
      </c>
      <c r="P165">
        <v>195.97</v>
      </c>
      <c r="Q165">
        <v>22.75</v>
      </c>
      <c r="R165">
        <v>39750</v>
      </c>
      <c r="S165">
        <v>14.76</v>
      </c>
    </row>
    <row r="166" spans="2:19" x14ac:dyDescent="0.35">
      <c r="B166" s="2">
        <v>45315</v>
      </c>
      <c r="C166">
        <v>40.049999999999997</v>
      </c>
      <c r="D166">
        <v>485.39</v>
      </c>
      <c r="E166">
        <v>186.4</v>
      </c>
      <c r="F166">
        <v>27.7</v>
      </c>
      <c r="G166">
        <v>425.83</v>
      </c>
      <c r="H166">
        <v>22.34</v>
      </c>
      <c r="I166">
        <v>70.540000000000006</v>
      </c>
      <c r="J166">
        <v>93.35</v>
      </c>
      <c r="K166">
        <v>63.07</v>
      </c>
      <c r="L166">
        <v>54.04</v>
      </c>
      <c r="M166">
        <v>66.17</v>
      </c>
      <c r="N166">
        <v>134.41999999999999</v>
      </c>
      <c r="O166">
        <v>49.2</v>
      </c>
      <c r="P166">
        <v>194.36</v>
      </c>
      <c r="Q166">
        <v>22.77</v>
      </c>
      <c r="R166">
        <v>39700</v>
      </c>
      <c r="S166">
        <v>14.69</v>
      </c>
    </row>
    <row r="167" spans="2:19" x14ac:dyDescent="0.35">
      <c r="B167" s="2">
        <v>45314</v>
      </c>
      <c r="C167">
        <v>39.54</v>
      </c>
      <c r="D167">
        <v>484.86</v>
      </c>
      <c r="E167">
        <v>187.95</v>
      </c>
      <c r="F167">
        <v>27.78</v>
      </c>
      <c r="G167">
        <v>423.48</v>
      </c>
      <c r="H167">
        <v>22.15</v>
      </c>
      <c r="I167">
        <v>69.66</v>
      </c>
      <c r="J167">
        <v>93.9</v>
      </c>
      <c r="K167">
        <v>62.45</v>
      </c>
      <c r="L167">
        <v>53.74</v>
      </c>
      <c r="M167">
        <v>66.09</v>
      </c>
      <c r="N167">
        <v>134.11000000000001</v>
      </c>
      <c r="O167">
        <v>48.68</v>
      </c>
      <c r="P167">
        <v>195.97</v>
      </c>
      <c r="Q167">
        <v>22.11</v>
      </c>
      <c r="R167">
        <v>39235</v>
      </c>
      <c r="S167">
        <v>14.67</v>
      </c>
    </row>
    <row r="168" spans="2:19" x14ac:dyDescent="0.35">
      <c r="B168" s="2">
        <v>45313</v>
      </c>
      <c r="C168">
        <v>39.32</v>
      </c>
      <c r="D168">
        <v>483.45</v>
      </c>
      <c r="E168">
        <v>187.22</v>
      </c>
      <c r="F168">
        <v>27.71</v>
      </c>
      <c r="G168">
        <v>421.73</v>
      </c>
      <c r="H168">
        <v>22.03</v>
      </c>
      <c r="I168">
        <v>69.69</v>
      </c>
      <c r="J168">
        <v>94.65</v>
      </c>
      <c r="K168">
        <v>62.6</v>
      </c>
      <c r="L168">
        <v>53.74</v>
      </c>
      <c r="M168">
        <v>66.680000000000007</v>
      </c>
      <c r="N168">
        <v>133.94</v>
      </c>
      <c r="O168">
        <v>49.77</v>
      </c>
      <c r="P168">
        <v>196.54</v>
      </c>
      <c r="Q168">
        <v>21.14</v>
      </c>
      <c r="R168">
        <v>40180</v>
      </c>
      <c r="S168">
        <v>14.67</v>
      </c>
    </row>
    <row r="169" spans="2:19" x14ac:dyDescent="0.35">
      <c r="B169" s="2">
        <v>45310</v>
      </c>
      <c r="C169">
        <v>39.630000000000003</v>
      </c>
      <c r="D169">
        <v>482.43</v>
      </c>
      <c r="E169">
        <v>187.93</v>
      </c>
      <c r="F169">
        <v>27.7</v>
      </c>
      <c r="G169">
        <v>421.18</v>
      </c>
      <c r="H169">
        <v>21.94</v>
      </c>
      <c r="I169">
        <v>68.819999999999993</v>
      </c>
      <c r="J169">
        <v>94.09</v>
      </c>
      <c r="K169">
        <v>62.49</v>
      </c>
      <c r="L169">
        <v>53.95</v>
      </c>
      <c r="M169">
        <v>65.900000000000006</v>
      </c>
      <c r="N169">
        <v>133.63</v>
      </c>
      <c r="O169">
        <v>49.59</v>
      </c>
      <c r="P169">
        <v>192.43</v>
      </c>
      <c r="Q169">
        <v>21.68</v>
      </c>
      <c r="R169">
        <v>41585</v>
      </c>
      <c r="S169">
        <v>14.65</v>
      </c>
    </row>
    <row r="170" spans="2:19" x14ac:dyDescent="0.35">
      <c r="B170" s="2">
        <v>45309</v>
      </c>
      <c r="C170">
        <v>39.270000000000003</v>
      </c>
      <c r="D170">
        <v>476.49</v>
      </c>
      <c r="E170">
        <v>187.37</v>
      </c>
      <c r="F170">
        <v>27.74</v>
      </c>
      <c r="G170">
        <v>412.99</v>
      </c>
      <c r="H170">
        <v>21.98</v>
      </c>
      <c r="I170">
        <v>69.06</v>
      </c>
      <c r="J170">
        <v>93.79</v>
      </c>
      <c r="K170">
        <v>62.47</v>
      </c>
      <c r="L170">
        <v>53.29</v>
      </c>
      <c r="M170">
        <v>65.73</v>
      </c>
      <c r="N170">
        <v>132.25</v>
      </c>
      <c r="O170">
        <v>49.08</v>
      </c>
      <c r="P170">
        <v>190.6</v>
      </c>
      <c r="Q170">
        <v>21.53</v>
      </c>
      <c r="R170">
        <v>40880</v>
      </c>
      <c r="S170">
        <v>14.54</v>
      </c>
    </row>
    <row r="171" spans="2:19" x14ac:dyDescent="0.35">
      <c r="B171" s="2">
        <v>45308</v>
      </c>
      <c r="C171">
        <v>39.04</v>
      </c>
      <c r="D171">
        <v>472.29</v>
      </c>
      <c r="E171">
        <v>185.84</v>
      </c>
      <c r="F171">
        <v>27.71</v>
      </c>
      <c r="G171">
        <v>407.21</v>
      </c>
      <c r="H171">
        <v>21.84</v>
      </c>
      <c r="I171">
        <v>67.94</v>
      </c>
      <c r="J171">
        <v>94.67</v>
      </c>
      <c r="K171">
        <v>61.92</v>
      </c>
      <c r="L171">
        <v>52.7</v>
      </c>
      <c r="M171">
        <v>65.12</v>
      </c>
      <c r="N171">
        <v>131.15</v>
      </c>
      <c r="O171">
        <v>48.83</v>
      </c>
      <c r="P171">
        <v>189.48</v>
      </c>
      <c r="Q171">
        <v>21.45</v>
      </c>
      <c r="R171">
        <v>42810</v>
      </c>
      <c r="S171">
        <v>14.46</v>
      </c>
    </row>
    <row r="172" spans="2:19" x14ac:dyDescent="0.35">
      <c r="B172" s="2">
        <v>45307</v>
      </c>
      <c r="C172">
        <v>39.57</v>
      </c>
      <c r="D172">
        <v>474.93</v>
      </c>
      <c r="E172">
        <v>187.91</v>
      </c>
      <c r="F172">
        <v>27.69</v>
      </c>
      <c r="G172">
        <v>409.52</v>
      </c>
      <c r="H172">
        <v>21.87</v>
      </c>
      <c r="I172">
        <v>67.25</v>
      </c>
      <c r="J172">
        <v>94.82</v>
      </c>
      <c r="K172">
        <v>62.41</v>
      </c>
      <c r="L172">
        <v>53.34</v>
      </c>
      <c r="M172">
        <v>65.94</v>
      </c>
      <c r="N172">
        <v>132.01</v>
      </c>
      <c r="O172">
        <v>49.4</v>
      </c>
      <c r="P172">
        <v>190.84</v>
      </c>
      <c r="Q172">
        <v>22.02</v>
      </c>
      <c r="R172">
        <v>43295</v>
      </c>
      <c r="S172">
        <v>14.54</v>
      </c>
    </row>
    <row r="173" spans="2:19" x14ac:dyDescent="0.35">
      <c r="B173" s="2">
        <v>45303</v>
      </c>
      <c r="C173">
        <v>40.409999999999997</v>
      </c>
      <c r="D173">
        <v>476.68</v>
      </c>
      <c r="E173">
        <v>189.71</v>
      </c>
      <c r="F173">
        <v>27.45</v>
      </c>
      <c r="G173">
        <v>409.56</v>
      </c>
      <c r="H173">
        <v>22.06</v>
      </c>
      <c r="I173">
        <v>68.02</v>
      </c>
      <c r="J173">
        <v>96.52</v>
      </c>
      <c r="K173">
        <v>63.62</v>
      </c>
      <c r="L173">
        <v>54.55</v>
      </c>
      <c r="M173">
        <v>66.430000000000007</v>
      </c>
      <c r="N173">
        <v>132.93</v>
      </c>
      <c r="O173">
        <v>49.96</v>
      </c>
      <c r="P173">
        <v>193.23</v>
      </c>
      <c r="Q173">
        <v>22.73</v>
      </c>
      <c r="R173">
        <v>43690</v>
      </c>
      <c r="S173">
        <v>14.64</v>
      </c>
    </row>
    <row r="174" spans="2:19" x14ac:dyDescent="0.35">
      <c r="B174" s="2">
        <v>45302</v>
      </c>
      <c r="C174">
        <v>40.22</v>
      </c>
      <c r="D174">
        <v>476.35</v>
      </c>
      <c r="E174">
        <v>187.87</v>
      </c>
      <c r="F174">
        <v>27.42</v>
      </c>
      <c r="G174">
        <v>409.35</v>
      </c>
      <c r="H174">
        <v>21.98</v>
      </c>
      <c r="I174">
        <v>67.650000000000006</v>
      </c>
      <c r="J174">
        <v>96.71</v>
      </c>
      <c r="K174">
        <v>63.44</v>
      </c>
      <c r="L174">
        <v>54.24</v>
      </c>
      <c r="M174">
        <v>65.8</v>
      </c>
      <c r="N174">
        <v>132.82</v>
      </c>
      <c r="O174">
        <v>49.19</v>
      </c>
      <c r="P174">
        <v>193.55</v>
      </c>
      <c r="Q174">
        <v>22.83</v>
      </c>
      <c r="R174">
        <v>46350</v>
      </c>
      <c r="S174">
        <v>14.61</v>
      </c>
    </row>
    <row r="175" spans="2:19" x14ac:dyDescent="0.35">
      <c r="B175" s="2">
        <v>45301</v>
      </c>
      <c r="C175">
        <v>40.049999999999997</v>
      </c>
      <c r="D175">
        <v>476.56</v>
      </c>
      <c r="E175">
        <v>187.5</v>
      </c>
      <c r="F175">
        <v>27.4</v>
      </c>
      <c r="G175">
        <v>408.5</v>
      </c>
      <c r="H175">
        <v>21.82</v>
      </c>
      <c r="I175">
        <v>66.56</v>
      </c>
      <c r="J175">
        <v>96.17</v>
      </c>
      <c r="K175">
        <v>63.72</v>
      </c>
      <c r="L175">
        <v>54.12</v>
      </c>
      <c r="M175">
        <v>65.22</v>
      </c>
      <c r="N175">
        <v>132.83000000000001</v>
      </c>
      <c r="O175">
        <v>49.15</v>
      </c>
      <c r="P175">
        <v>195.08</v>
      </c>
      <c r="Q175">
        <v>22.49</v>
      </c>
      <c r="R175">
        <v>46325</v>
      </c>
      <c r="S175">
        <v>14.59</v>
      </c>
    </row>
    <row r="176" spans="2:19" x14ac:dyDescent="0.35">
      <c r="B176" s="2">
        <v>45300</v>
      </c>
      <c r="C176">
        <v>40.090000000000003</v>
      </c>
      <c r="D176">
        <v>473.88</v>
      </c>
      <c r="E176">
        <v>187.93</v>
      </c>
      <c r="F176">
        <v>27.45</v>
      </c>
      <c r="G176">
        <v>405.75</v>
      </c>
      <c r="H176">
        <v>21.97</v>
      </c>
      <c r="I176">
        <v>67.39</v>
      </c>
      <c r="J176">
        <v>96.62</v>
      </c>
      <c r="K176">
        <v>63.45</v>
      </c>
      <c r="L176">
        <v>54.23</v>
      </c>
      <c r="M176">
        <v>64.069999999999993</v>
      </c>
      <c r="N176">
        <v>132.06</v>
      </c>
      <c r="O176">
        <v>48.85</v>
      </c>
      <c r="P176">
        <v>194.97</v>
      </c>
      <c r="Q176">
        <v>22.48</v>
      </c>
      <c r="R176">
        <v>47045</v>
      </c>
      <c r="S176">
        <v>14.54</v>
      </c>
    </row>
    <row r="177" spans="2:19" x14ac:dyDescent="0.35">
      <c r="B177" s="2">
        <v>45299</v>
      </c>
      <c r="C177">
        <v>40.56</v>
      </c>
      <c r="D177">
        <v>474.6</v>
      </c>
      <c r="E177">
        <v>187.87</v>
      </c>
      <c r="F177">
        <v>27.36</v>
      </c>
      <c r="G177">
        <v>404.95</v>
      </c>
      <c r="H177">
        <v>21.81</v>
      </c>
      <c r="I177">
        <v>66.400000000000006</v>
      </c>
      <c r="J177">
        <v>97.24</v>
      </c>
      <c r="K177">
        <v>64.09</v>
      </c>
      <c r="L177">
        <v>54.99</v>
      </c>
      <c r="M177">
        <v>64.459999999999994</v>
      </c>
      <c r="N177">
        <v>132.59</v>
      </c>
      <c r="O177">
        <v>49.09</v>
      </c>
      <c r="P177">
        <v>196.73</v>
      </c>
      <c r="Q177">
        <v>22.94</v>
      </c>
      <c r="R177">
        <v>47305</v>
      </c>
      <c r="S177">
        <v>14.58</v>
      </c>
    </row>
    <row r="178" spans="2:19" x14ac:dyDescent="0.35">
      <c r="B178" s="2">
        <v>45296</v>
      </c>
      <c r="C178">
        <v>40.49</v>
      </c>
      <c r="D178">
        <v>467.92</v>
      </c>
      <c r="E178">
        <v>189.35</v>
      </c>
      <c r="F178">
        <v>27.41</v>
      </c>
      <c r="G178">
        <v>396.75</v>
      </c>
      <c r="H178">
        <v>22.13</v>
      </c>
      <c r="I178">
        <v>69.03</v>
      </c>
      <c r="J178">
        <v>96.29</v>
      </c>
      <c r="K178">
        <v>63.37</v>
      </c>
      <c r="L178">
        <v>54.54</v>
      </c>
      <c r="M178">
        <v>63.53</v>
      </c>
      <c r="N178">
        <v>130.86000000000001</v>
      </c>
      <c r="O178">
        <v>49.09</v>
      </c>
      <c r="P178">
        <v>193.25</v>
      </c>
      <c r="Q178">
        <v>23.23</v>
      </c>
      <c r="R178">
        <v>44385</v>
      </c>
      <c r="S178">
        <v>14.44</v>
      </c>
    </row>
    <row r="179" spans="2:19" x14ac:dyDescent="0.35">
      <c r="B179" s="2">
        <v>45295</v>
      </c>
      <c r="C179">
        <v>40.43</v>
      </c>
      <c r="D179">
        <v>467.28</v>
      </c>
      <c r="E179">
        <v>189.32</v>
      </c>
      <c r="F179">
        <v>27.41</v>
      </c>
      <c r="G179">
        <v>396.28</v>
      </c>
      <c r="H179">
        <v>22.02</v>
      </c>
      <c r="I179">
        <v>67.569999999999993</v>
      </c>
      <c r="J179">
        <v>97.22</v>
      </c>
      <c r="K179">
        <v>63.49</v>
      </c>
      <c r="L179">
        <v>54.34</v>
      </c>
      <c r="M179">
        <v>63.06</v>
      </c>
      <c r="N179">
        <v>130.69999999999999</v>
      </c>
      <c r="O179">
        <v>49.01</v>
      </c>
      <c r="P179">
        <v>193.82</v>
      </c>
      <c r="Q179">
        <v>23.36</v>
      </c>
      <c r="R179">
        <v>44630</v>
      </c>
      <c r="S179">
        <v>14.44</v>
      </c>
    </row>
    <row r="180" spans="2:19" x14ac:dyDescent="0.35">
      <c r="B180" s="2">
        <v>45294</v>
      </c>
      <c r="C180">
        <v>40.5</v>
      </c>
      <c r="D180">
        <v>468.79</v>
      </c>
      <c r="E180">
        <v>189.13</v>
      </c>
      <c r="F180">
        <v>27.41</v>
      </c>
      <c r="G180">
        <v>398.33</v>
      </c>
      <c r="H180">
        <v>22.14</v>
      </c>
      <c r="I180">
        <v>68.19</v>
      </c>
      <c r="J180">
        <v>98.72</v>
      </c>
      <c r="K180">
        <v>63.13</v>
      </c>
      <c r="L180">
        <v>54.3</v>
      </c>
      <c r="M180">
        <v>63.21</v>
      </c>
      <c r="N180">
        <v>130.85</v>
      </c>
      <c r="O180">
        <v>48.59</v>
      </c>
      <c r="P180">
        <v>194.2</v>
      </c>
      <c r="Q180">
        <v>23.67</v>
      </c>
      <c r="R180">
        <v>43080</v>
      </c>
      <c r="S180">
        <v>14.49</v>
      </c>
    </row>
    <row r="181" spans="2:19" x14ac:dyDescent="0.35">
      <c r="B181" s="2">
        <v>45293</v>
      </c>
      <c r="C181">
        <v>40.619999999999997</v>
      </c>
      <c r="D181">
        <v>472.65</v>
      </c>
      <c r="E181">
        <v>190.72</v>
      </c>
      <c r="F181">
        <v>27.32</v>
      </c>
      <c r="G181">
        <v>402.59</v>
      </c>
      <c r="H181">
        <v>21.86</v>
      </c>
      <c r="I181">
        <v>65.77</v>
      </c>
      <c r="J181">
        <v>98.31</v>
      </c>
      <c r="K181">
        <v>63.67</v>
      </c>
      <c r="L181">
        <v>54.92</v>
      </c>
      <c r="M181">
        <v>63.56</v>
      </c>
      <c r="N181">
        <v>131.91</v>
      </c>
      <c r="O181">
        <v>48.67</v>
      </c>
      <c r="P181">
        <v>199.52</v>
      </c>
      <c r="Q181">
        <v>23.24</v>
      </c>
      <c r="R181">
        <v>45330</v>
      </c>
      <c r="S181">
        <v>14.55</v>
      </c>
    </row>
    <row r="182" spans="2:19" x14ac:dyDescent="0.35">
      <c r="B182" s="2">
        <v>45289</v>
      </c>
      <c r="C182">
        <v>41.1</v>
      </c>
      <c r="D182">
        <v>475.31</v>
      </c>
      <c r="E182">
        <v>191.17</v>
      </c>
      <c r="F182">
        <v>27.09</v>
      </c>
      <c r="G182">
        <v>409.52</v>
      </c>
      <c r="H182">
        <v>22.04</v>
      </c>
      <c r="I182">
        <v>66.650000000000006</v>
      </c>
      <c r="J182">
        <v>98.88</v>
      </c>
      <c r="K182">
        <v>64.48</v>
      </c>
      <c r="L182">
        <v>55.41</v>
      </c>
      <c r="M182">
        <v>64.14</v>
      </c>
      <c r="N182">
        <v>133.02000000000001</v>
      </c>
      <c r="O182">
        <v>48.81</v>
      </c>
      <c r="P182">
        <v>200.71</v>
      </c>
      <c r="Q182">
        <v>24.03</v>
      </c>
      <c r="R182">
        <v>42485</v>
      </c>
      <c r="S182">
        <v>14.65</v>
      </c>
    </row>
    <row r="183" spans="2:19" x14ac:dyDescent="0.35">
      <c r="B183" s="2">
        <v>45288</v>
      </c>
      <c r="C183">
        <v>40.99</v>
      </c>
      <c r="D183">
        <v>476.69</v>
      </c>
      <c r="E183">
        <v>191.47</v>
      </c>
      <c r="F183">
        <v>27.04</v>
      </c>
      <c r="G183">
        <v>411.3</v>
      </c>
      <c r="H183">
        <v>22.16</v>
      </c>
      <c r="I183">
        <v>67.180000000000007</v>
      </c>
      <c r="J183">
        <v>99.78</v>
      </c>
      <c r="K183">
        <v>64.42</v>
      </c>
      <c r="L183">
        <v>55.5</v>
      </c>
      <c r="M183">
        <v>64.040000000000006</v>
      </c>
      <c r="N183">
        <v>133.28</v>
      </c>
      <c r="O183">
        <v>49.02</v>
      </c>
      <c r="P183">
        <v>204.04</v>
      </c>
      <c r="Q183">
        <v>23.88</v>
      </c>
      <c r="R183">
        <v>42515</v>
      </c>
      <c r="S183">
        <v>14.68</v>
      </c>
    </row>
    <row r="184" spans="2:19" x14ac:dyDescent="0.35">
      <c r="B184" s="2">
        <v>45287</v>
      </c>
      <c r="C184">
        <v>40.74</v>
      </c>
      <c r="D184">
        <v>476.51</v>
      </c>
      <c r="E184">
        <v>192.59</v>
      </c>
      <c r="F184">
        <v>26.95</v>
      </c>
      <c r="G184">
        <v>411.5</v>
      </c>
      <c r="H184">
        <v>22.35</v>
      </c>
      <c r="I184">
        <v>68.92</v>
      </c>
      <c r="J184">
        <v>100.51</v>
      </c>
      <c r="K184">
        <v>64.86</v>
      </c>
      <c r="L184">
        <v>55.35</v>
      </c>
      <c r="M184">
        <v>63.66</v>
      </c>
      <c r="N184">
        <v>133.36000000000001</v>
      </c>
      <c r="O184">
        <v>48.84</v>
      </c>
      <c r="P184">
        <v>204.82</v>
      </c>
      <c r="Q184">
        <v>23.25</v>
      </c>
      <c r="R184">
        <v>43565</v>
      </c>
      <c r="S184">
        <v>14.7</v>
      </c>
    </row>
    <row r="185" spans="2:19" x14ac:dyDescent="0.35">
      <c r="B185" s="2">
        <v>45286</v>
      </c>
      <c r="C185">
        <v>40.520000000000003</v>
      </c>
      <c r="D185">
        <v>475.65</v>
      </c>
      <c r="E185">
        <v>191.72</v>
      </c>
      <c r="F185">
        <v>27.09</v>
      </c>
      <c r="G185">
        <v>410.88</v>
      </c>
      <c r="H185">
        <v>22.45</v>
      </c>
      <c r="I185">
        <v>70.209999999999994</v>
      </c>
      <c r="J185">
        <v>98.76</v>
      </c>
      <c r="K185">
        <v>64.5</v>
      </c>
      <c r="L185">
        <v>54.93</v>
      </c>
      <c r="M185">
        <v>63.31</v>
      </c>
      <c r="N185">
        <v>132.97999999999999</v>
      </c>
      <c r="O185">
        <v>48.53</v>
      </c>
      <c r="P185">
        <v>204.1</v>
      </c>
      <c r="Q185">
        <v>23.22</v>
      </c>
      <c r="R185">
        <v>42150</v>
      </c>
      <c r="S185">
        <v>14.64</v>
      </c>
    </row>
    <row r="186" spans="2:19" x14ac:dyDescent="0.35">
      <c r="B186" s="2">
        <v>45282</v>
      </c>
      <c r="C186">
        <v>40.26</v>
      </c>
      <c r="D186">
        <v>473.65</v>
      </c>
      <c r="E186">
        <v>190.27</v>
      </c>
      <c r="F186">
        <v>27.15</v>
      </c>
      <c r="G186">
        <v>408.38</v>
      </c>
      <c r="H186">
        <v>22.23</v>
      </c>
      <c r="I186">
        <v>68.69</v>
      </c>
      <c r="J186">
        <v>98.474999999999994</v>
      </c>
      <c r="K186">
        <v>64.099999999999994</v>
      </c>
      <c r="L186">
        <v>54.45</v>
      </c>
      <c r="M186">
        <v>63.33</v>
      </c>
      <c r="N186">
        <v>132.43</v>
      </c>
      <c r="O186">
        <v>48.36</v>
      </c>
      <c r="P186">
        <v>201.48</v>
      </c>
      <c r="Q186">
        <v>23.05</v>
      </c>
      <c r="R186">
        <v>43765</v>
      </c>
      <c r="S186">
        <v>15.02</v>
      </c>
    </row>
    <row r="187" spans="2:19" x14ac:dyDescent="0.35">
      <c r="B187" s="2">
        <v>45281</v>
      </c>
      <c r="C187">
        <v>40.4</v>
      </c>
      <c r="D187">
        <v>472.7</v>
      </c>
      <c r="E187">
        <v>189.43</v>
      </c>
      <c r="F187">
        <v>27.16</v>
      </c>
      <c r="G187">
        <v>407.77</v>
      </c>
      <c r="H187">
        <v>22.27</v>
      </c>
      <c r="I187">
        <v>69.03</v>
      </c>
      <c r="J187">
        <v>98.93</v>
      </c>
      <c r="K187">
        <v>64.06</v>
      </c>
      <c r="L187">
        <v>54.31</v>
      </c>
      <c r="M187">
        <v>63.13</v>
      </c>
      <c r="N187">
        <v>132.16</v>
      </c>
      <c r="O187">
        <v>48.16</v>
      </c>
      <c r="P187">
        <v>199.62</v>
      </c>
      <c r="Q187">
        <v>23.71</v>
      </c>
      <c r="R187">
        <v>43860</v>
      </c>
      <c r="S187">
        <v>15.02</v>
      </c>
    </row>
    <row r="188" spans="2:19" x14ac:dyDescent="0.35">
      <c r="B188" s="2">
        <v>45280</v>
      </c>
      <c r="C188">
        <v>39.630000000000003</v>
      </c>
      <c r="D188">
        <v>468.26</v>
      </c>
      <c r="E188">
        <v>188.1</v>
      </c>
      <c r="F188">
        <v>27.34</v>
      </c>
      <c r="G188">
        <v>403.08</v>
      </c>
      <c r="H188">
        <v>22.23</v>
      </c>
      <c r="I188">
        <v>68.790000000000006</v>
      </c>
      <c r="J188">
        <v>99.56</v>
      </c>
      <c r="K188">
        <v>63.12</v>
      </c>
      <c r="L188">
        <v>53.42</v>
      </c>
      <c r="M188">
        <v>62.05</v>
      </c>
      <c r="N188">
        <v>130.63</v>
      </c>
      <c r="O188">
        <v>47.4</v>
      </c>
      <c r="P188">
        <v>196.28</v>
      </c>
      <c r="Q188">
        <v>22.91</v>
      </c>
      <c r="R188">
        <v>43630</v>
      </c>
      <c r="S188">
        <v>14.92</v>
      </c>
    </row>
    <row r="189" spans="2:19" x14ac:dyDescent="0.35">
      <c r="B189" s="2">
        <v>45279</v>
      </c>
      <c r="C189">
        <v>40.479999999999997</v>
      </c>
      <c r="D189">
        <v>474.84</v>
      </c>
      <c r="E189">
        <v>189.13</v>
      </c>
      <c r="F189">
        <v>27.22</v>
      </c>
      <c r="G189">
        <v>409.16</v>
      </c>
      <c r="H189">
        <v>22.49</v>
      </c>
      <c r="I189">
        <v>69.36</v>
      </c>
      <c r="J189">
        <v>98.89</v>
      </c>
      <c r="K189">
        <v>63.87</v>
      </c>
      <c r="L189">
        <v>54.89</v>
      </c>
      <c r="M189">
        <v>63.24</v>
      </c>
      <c r="N189">
        <v>133.47999999999999</v>
      </c>
      <c r="O189">
        <v>48.72</v>
      </c>
      <c r="P189">
        <v>200.93</v>
      </c>
      <c r="Q189">
        <v>24.2</v>
      </c>
      <c r="R189">
        <v>42360</v>
      </c>
      <c r="S189">
        <v>15.03</v>
      </c>
    </row>
    <row r="190" spans="2:19" x14ac:dyDescent="0.35">
      <c r="B190" s="2">
        <v>45278</v>
      </c>
      <c r="C190">
        <v>40.200000000000003</v>
      </c>
      <c r="D190">
        <v>471.97</v>
      </c>
      <c r="E190">
        <v>187.85</v>
      </c>
      <c r="F190">
        <v>27.34</v>
      </c>
      <c r="G190">
        <v>407.08</v>
      </c>
      <c r="H190">
        <v>22.32</v>
      </c>
      <c r="I190">
        <v>68.09</v>
      </c>
      <c r="J190">
        <v>98.36</v>
      </c>
      <c r="K190">
        <v>63.21</v>
      </c>
      <c r="L190">
        <v>54.52</v>
      </c>
      <c r="M190">
        <v>63.05</v>
      </c>
      <c r="N190">
        <v>132.56</v>
      </c>
      <c r="O190">
        <v>48.454999999999998</v>
      </c>
      <c r="P190">
        <v>197.11</v>
      </c>
      <c r="Q190">
        <v>23.88</v>
      </c>
      <c r="R190">
        <v>42105</v>
      </c>
      <c r="S190">
        <v>14.96</v>
      </c>
    </row>
    <row r="191" spans="2:19" x14ac:dyDescent="0.35">
      <c r="B191" s="2">
        <v>45275</v>
      </c>
      <c r="C191">
        <v>41.07</v>
      </c>
      <c r="D191">
        <v>469.33</v>
      </c>
      <c r="E191">
        <v>187</v>
      </c>
      <c r="F191">
        <v>29.09</v>
      </c>
      <c r="G191">
        <v>405.34</v>
      </c>
      <c r="H191">
        <v>23.25</v>
      </c>
      <c r="I191">
        <v>67.150000000000006</v>
      </c>
      <c r="J191">
        <v>99.15</v>
      </c>
      <c r="K191">
        <v>63.48</v>
      </c>
      <c r="L191">
        <v>54.37</v>
      </c>
      <c r="M191">
        <v>63.17</v>
      </c>
      <c r="N191">
        <v>131.94999999999999</v>
      </c>
      <c r="O191">
        <v>48.3</v>
      </c>
      <c r="P191">
        <v>197.04</v>
      </c>
      <c r="Q191">
        <v>24.13</v>
      </c>
      <c r="R191">
        <v>42440</v>
      </c>
      <c r="S191">
        <v>14.92</v>
      </c>
    </row>
    <row r="192" spans="2:19" x14ac:dyDescent="0.35">
      <c r="B192" s="2">
        <v>45274</v>
      </c>
      <c r="C192">
        <v>41.31</v>
      </c>
      <c r="D192">
        <v>472.01</v>
      </c>
      <c r="E192">
        <v>188.73</v>
      </c>
      <c r="F192">
        <v>28.9</v>
      </c>
      <c r="G192">
        <v>403.39</v>
      </c>
      <c r="H192">
        <v>23.21</v>
      </c>
      <c r="I192">
        <v>67.16</v>
      </c>
      <c r="J192">
        <v>99.04</v>
      </c>
      <c r="K192">
        <v>64.19</v>
      </c>
      <c r="L192">
        <v>54.69</v>
      </c>
      <c r="M192">
        <v>63.72</v>
      </c>
      <c r="N192">
        <v>132.36000000000001</v>
      </c>
      <c r="O192">
        <v>48.35</v>
      </c>
      <c r="P192">
        <v>198.71</v>
      </c>
      <c r="Q192">
        <v>24.18</v>
      </c>
      <c r="R192">
        <v>43140</v>
      </c>
      <c r="S192">
        <v>14.96</v>
      </c>
    </row>
    <row r="193" spans="2:19" x14ac:dyDescent="0.35">
      <c r="B193" s="2">
        <v>45273</v>
      </c>
      <c r="C193">
        <v>40.770000000000003</v>
      </c>
      <c r="D193">
        <v>470.5</v>
      </c>
      <c r="E193">
        <v>187.63</v>
      </c>
      <c r="F193">
        <v>29.17</v>
      </c>
      <c r="G193">
        <v>403.74</v>
      </c>
      <c r="H193">
        <v>22.83</v>
      </c>
      <c r="I193">
        <v>65.33</v>
      </c>
      <c r="J193">
        <v>96.84</v>
      </c>
      <c r="K193">
        <v>63.46</v>
      </c>
      <c r="L193">
        <v>53.93</v>
      </c>
      <c r="M193">
        <v>64.010000000000005</v>
      </c>
      <c r="N193">
        <v>131.66999999999999</v>
      </c>
      <c r="O193">
        <v>47.96</v>
      </c>
      <c r="P193">
        <v>193.33</v>
      </c>
      <c r="Q193">
        <v>23.87</v>
      </c>
      <c r="R193">
        <v>43210</v>
      </c>
      <c r="S193">
        <v>14.87</v>
      </c>
    </row>
    <row r="194" spans="2:19" x14ac:dyDescent="0.35">
      <c r="B194" s="2">
        <v>45272</v>
      </c>
      <c r="C194">
        <v>40.39</v>
      </c>
      <c r="D194">
        <v>464.1</v>
      </c>
      <c r="E194">
        <v>183.49</v>
      </c>
      <c r="F194">
        <v>29.42</v>
      </c>
      <c r="G194">
        <v>398.67</v>
      </c>
      <c r="H194">
        <v>22.57</v>
      </c>
      <c r="I194">
        <v>64.25</v>
      </c>
      <c r="J194">
        <v>94.62</v>
      </c>
      <c r="K194">
        <v>62.58</v>
      </c>
      <c r="L194">
        <v>53.14</v>
      </c>
      <c r="M194">
        <v>63.05</v>
      </c>
      <c r="N194">
        <v>129.75</v>
      </c>
      <c r="O194">
        <v>47.38</v>
      </c>
      <c r="P194">
        <v>187</v>
      </c>
      <c r="Q194">
        <v>23.95</v>
      </c>
      <c r="R194">
        <v>41455</v>
      </c>
      <c r="S194">
        <v>14.68</v>
      </c>
    </row>
    <row r="195" spans="2:19" x14ac:dyDescent="0.35">
      <c r="B195" s="2">
        <v>45271</v>
      </c>
      <c r="C195">
        <v>40.39</v>
      </c>
      <c r="D195">
        <v>461.99</v>
      </c>
      <c r="E195">
        <v>183.59</v>
      </c>
      <c r="F195">
        <v>29.5</v>
      </c>
      <c r="G195">
        <v>395.52</v>
      </c>
      <c r="H195">
        <v>22.92</v>
      </c>
      <c r="I195">
        <v>66.8</v>
      </c>
      <c r="J195">
        <v>94.34</v>
      </c>
      <c r="K195">
        <v>62.47</v>
      </c>
      <c r="L195">
        <v>53.21</v>
      </c>
      <c r="M195">
        <v>63.14</v>
      </c>
      <c r="N195">
        <v>129.41</v>
      </c>
      <c r="O195">
        <v>47.56</v>
      </c>
      <c r="P195">
        <v>187.19</v>
      </c>
      <c r="Q195">
        <v>23.79</v>
      </c>
      <c r="R195">
        <v>41035</v>
      </c>
      <c r="S195">
        <v>14.63</v>
      </c>
    </row>
    <row r="196" spans="2:19" x14ac:dyDescent="0.35">
      <c r="B196" s="2">
        <v>45268</v>
      </c>
      <c r="C196">
        <v>40.21</v>
      </c>
      <c r="D196">
        <v>460.2</v>
      </c>
      <c r="E196">
        <v>185.64</v>
      </c>
      <c r="F196">
        <v>29.46</v>
      </c>
      <c r="G196">
        <v>392.17</v>
      </c>
      <c r="H196">
        <v>23</v>
      </c>
      <c r="I196">
        <v>66.53</v>
      </c>
      <c r="J196">
        <v>94.54</v>
      </c>
      <c r="K196">
        <v>62.38</v>
      </c>
      <c r="L196">
        <v>52.99</v>
      </c>
      <c r="M196">
        <v>62.78</v>
      </c>
      <c r="N196">
        <v>128.91999999999999</v>
      </c>
      <c r="O196">
        <v>47.31</v>
      </c>
      <c r="P196">
        <v>186.8</v>
      </c>
      <c r="Q196">
        <v>23.7</v>
      </c>
      <c r="R196">
        <v>44910</v>
      </c>
      <c r="S196">
        <v>14.6</v>
      </c>
    </row>
    <row r="197" spans="2:19" x14ac:dyDescent="0.35">
      <c r="B197" s="2">
        <v>45267</v>
      </c>
      <c r="C197">
        <v>40.409999999999997</v>
      </c>
      <c r="D197">
        <v>458.23</v>
      </c>
      <c r="E197">
        <v>188.15</v>
      </c>
      <c r="F197">
        <v>29.35</v>
      </c>
      <c r="G197">
        <v>390.43</v>
      </c>
      <c r="H197">
        <v>22.9</v>
      </c>
      <c r="I197">
        <v>65.11</v>
      </c>
      <c r="J197">
        <v>95.32</v>
      </c>
      <c r="K197">
        <v>62.04</v>
      </c>
      <c r="L197">
        <v>53.01</v>
      </c>
      <c r="M197">
        <v>63.15</v>
      </c>
      <c r="N197">
        <v>128.46</v>
      </c>
      <c r="O197">
        <v>47.46</v>
      </c>
      <c r="P197">
        <v>185.39</v>
      </c>
      <c r="Q197">
        <v>24.03</v>
      </c>
      <c r="R197">
        <v>43700</v>
      </c>
      <c r="S197">
        <v>14.59</v>
      </c>
    </row>
    <row r="198" spans="2:19" x14ac:dyDescent="0.35">
      <c r="B198" s="2">
        <v>45266</v>
      </c>
      <c r="C198">
        <v>40.25</v>
      </c>
      <c r="D198">
        <v>454.76</v>
      </c>
      <c r="E198">
        <v>187.84</v>
      </c>
      <c r="F198">
        <v>29.51</v>
      </c>
      <c r="G198">
        <v>385.05</v>
      </c>
      <c r="H198">
        <v>22.86</v>
      </c>
      <c r="I198">
        <v>64.760000000000005</v>
      </c>
      <c r="J198">
        <v>95.87</v>
      </c>
      <c r="K198">
        <v>61.82</v>
      </c>
      <c r="L198">
        <v>52.72</v>
      </c>
      <c r="M198">
        <v>62.67</v>
      </c>
      <c r="N198">
        <v>127.54</v>
      </c>
      <c r="O198">
        <v>47.34</v>
      </c>
      <c r="P198">
        <v>184.06</v>
      </c>
      <c r="Q198">
        <v>23.95</v>
      </c>
      <c r="R198">
        <v>44215</v>
      </c>
      <c r="S198">
        <v>14.52</v>
      </c>
    </row>
    <row r="199" spans="2:19" x14ac:dyDescent="0.35">
      <c r="B199" s="2">
        <v>45265</v>
      </c>
      <c r="C199">
        <v>40.299999999999997</v>
      </c>
      <c r="D199">
        <v>456.6</v>
      </c>
      <c r="E199">
        <v>187.15</v>
      </c>
      <c r="F199">
        <v>29.44</v>
      </c>
      <c r="G199">
        <v>387.29</v>
      </c>
      <c r="H199">
        <v>23.43</v>
      </c>
      <c r="I199">
        <v>67.58</v>
      </c>
      <c r="J199">
        <v>94.61</v>
      </c>
      <c r="K199">
        <v>61.81</v>
      </c>
      <c r="L199">
        <v>52.78</v>
      </c>
      <c r="M199">
        <v>62.02</v>
      </c>
      <c r="N199">
        <v>127.84</v>
      </c>
      <c r="O199">
        <v>47.27</v>
      </c>
      <c r="P199">
        <v>184.39</v>
      </c>
      <c r="Q199">
        <v>23.94</v>
      </c>
      <c r="R199">
        <v>44290</v>
      </c>
      <c r="S199">
        <v>14.53</v>
      </c>
    </row>
    <row r="200" spans="2:19" x14ac:dyDescent="0.35">
      <c r="B200" s="2">
        <v>45264</v>
      </c>
      <c r="C200">
        <v>40.44</v>
      </c>
      <c r="D200">
        <v>456.69</v>
      </c>
      <c r="E200">
        <v>187.86</v>
      </c>
      <c r="F200">
        <v>29.33</v>
      </c>
      <c r="G200">
        <v>386.32</v>
      </c>
      <c r="H200">
        <v>23.64</v>
      </c>
      <c r="I200">
        <v>68.47</v>
      </c>
      <c r="J200">
        <v>92.614999999999995</v>
      </c>
      <c r="K200">
        <v>61.87</v>
      </c>
      <c r="L200">
        <v>52.88</v>
      </c>
      <c r="M200">
        <v>62.25</v>
      </c>
      <c r="N200">
        <v>128.04</v>
      </c>
      <c r="O200">
        <v>46.84</v>
      </c>
      <c r="P200">
        <v>186.89</v>
      </c>
      <c r="Q200">
        <v>24.31</v>
      </c>
      <c r="R200">
        <v>42280</v>
      </c>
      <c r="S200">
        <v>14.5</v>
      </c>
    </row>
    <row r="201" spans="2:19" x14ac:dyDescent="0.35">
      <c r="B201" s="2">
        <v>45261</v>
      </c>
      <c r="C201">
        <v>40.799999999999997</v>
      </c>
      <c r="D201">
        <v>459.1</v>
      </c>
      <c r="E201">
        <v>192.01</v>
      </c>
      <c r="F201">
        <v>29.2</v>
      </c>
      <c r="G201">
        <v>389.94</v>
      </c>
      <c r="H201">
        <v>23.8</v>
      </c>
      <c r="I201">
        <v>69.239999999999995</v>
      </c>
      <c r="J201">
        <v>92.99</v>
      </c>
      <c r="K201">
        <v>62.21</v>
      </c>
      <c r="L201">
        <v>53.35</v>
      </c>
      <c r="M201">
        <v>63.21</v>
      </c>
      <c r="N201">
        <v>128.76</v>
      </c>
      <c r="O201">
        <v>46.4</v>
      </c>
      <c r="P201">
        <v>184.91</v>
      </c>
      <c r="Q201">
        <v>24.89</v>
      </c>
      <c r="R201">
        <v>39225</v>
      </c>
      <c r="S201">
        <v>14.57</v>
      </c>
    </row>
    <row r="202" spans="2:19" x14ac:dyDescent="0.35">
      <c r="B202" s="2">
        <v>45260</v>
      </c>
      <c r="C202">
        <v>40.630000000000003</v>
      </c>
      <c r="D202">
        <v>456.4</v>
      </c>
      <c r="E202">
        <v>188.75</v>
      </c>
      <c r="F202">
        <v>29.29</v>
      </c>
      <c r="G202">
        <v>388.83</v>
      </c>
      <c r="H202">
        <v>23.91</v>
      </c>
      <c r="I202">
        <v>70.14</v>
      </c>
      <c r="J202">
        <v>91.56</v>
      </c>
      <c r="K202">
        <v>61.62</v>
      </c>
      <c r="L202">
        <v>52.88</v>
      </c>
      <c r="M202">
        <v>62.61</v>
      </c>
      <c r="N202">
        <v>127.78</v>
      </c>
      <c r="O202">
        <v>46.02</v>
      </c>
      <c r="P202">
        <v>179.66</v>
      </c>
      <c r="Q202">
        <v>25.16</v>
      </c>
      <c r="R202">
        <v>38190</v>
      </c>
      <c r="S202">
        <v>14.47</v>
      </c>
    </row>
    <row r="203" spans="2:19" x14ac:dyDescent="0.35">
      <c r="B203" s="2">
        <v>45259</v>
      </c>
      <c r="C203">
        <v>40.51</v>
      </c>
      <c r="D203">
        <v>454.61</v>
      </c>
      <c r="E203">
        <v>189.54</v>
      </c>
      <c r="F203">
        <v>29.08</v>
      </c>
      <c r="G203">
        <v>389.81</v>
      </c>
      <c r="H203">
        <v>24.32</v>
      </c>
      <c r="I203">
        <v>72.52</v>
      </c>
      <c r="J203">
        <v>92.63</v>
      </c>
      <c r="K203">
        <v>61.76</v>
      </c>
      <c r="L203">
        <v>52.84</v>
      </c>
      <c r="M203">
        <v>62.49</v>
      </c>
      <c r="N203">
        <v>127.43</v>
      </c>
      <c r="O203">
        <v>45.63</v>
      </c>
      <c r="P203">
        <v>178.98</v>
      </c>
      <c r="Q203">
        <v>25.06</v>
      </c>
      <c r="R203">
        <v>38065</v>
      </c>
      <c r="S203">
        <v>14.46</v>
      </c>
    </row>
    <row r="204" spans="2:19" x14ac:dyDescent="0.35">
      <c r="B204" s="2">
        <v>45258</v>
      </c>
      <c r="C204">
        <v>40.74</v>
      </c>
      <c r="D204">
        <v>454.93</v>
      </c>
      <c r="E204">
        <v>189.26</v>
      </c>
      <c r="F204">
        <v>29.05</v>
      </c>
      <c r="G204">
        <v>390.19</v>
      </c>
      <c r="H204">
        <v>24.15</v>
      </c>
      <c r="I204">
        <v>71.260000000000005</v>
      </c>
      <c r="J204">
        <v>91.48</v>
      </c>
      <c r="K204">
        <v>61.48</v>
      </c>
      <c r="L204">
        <v>52.91</v>
      </c>
      <c r="M204">
        <v>62.55</v>
      </c>
      <c r="N204">
        <v>127.41</v>
      </c>
      <c r="O204">
        <v>45.49</v>
      </c>
      <c r="P204">
        <v>178.04</v>
      </c>
      <c r="Q204">
        <v>25.71</v>
      </c>
      <c r="R204">
        <v>38885</v>
      </c>
      <c r="S204">
        <v>14.44</v>
      </c>
    </row>
    <row r="205" spans="2:19" x14ac:dyDescent="0.35">
      <c r="B205" s="2">
        <v>45257</v>
      </c>
      <c r="C205">
        <v>40.409999999999997</v>
      </c>
      <c r="D205">
        <v>454.48</v>
      </c>
      <c r="E205">
        <v>186.77</v>
      </c>
      <c r="F205">
        <v>29.15</v>
      </c>
      <c r="G205">
        <v>389.17</v>
      </c>
      <c r="H205">
        <v>23.86</v>
      </c>
      <c r="I205">
        <v>69.959999999999994</v>
      </c>
      <c r="J205">
        <v>91.3</v>
      </c>
      <c r="K205">
        <v>61.48</v>
      </c>
      <c r="L205">
        <v>52.33</v>
      </c>
      <c r="M205">
        <v>62.56</v>
      </c>
      <c r="N205">
        <v>127.31</v>
      </c>
      <c r="O205">
        <v>45.09</v>
      </c>
      <c r="P205">
        <v>178.73</v>
      </c>
      <c r="Q205">
        <v>26.02</v>
      </c>
      <c r="R205">
        <v>37210</v>
      </c>
      <c r="S205">
        <v>14.41</v>
      </c>
    </row>
    <row r="206" spans="2:19" x14ac:dyDescent="0.35">
      <c r="B206" s="2">
        <v>45254</v>
      </c>
      <c r="C206">
        <v>40.6</v>
      </c>
      <c r="D206">
        <v>455.3</v>
      </c>
      <c r="E206">
        <v>185.52</v>
      </c>
      <c r="F206">
        <v>29.21</v>
      </c>
      <c r="G206">
        <v>389.51</v>
      </c>
      <c r="H206">
        <v>24.02</v>
      </c>
      <c r="I206">
        <v>70.819999999999993</v>
      </c>
      <c r="J206">
        <v>89.8</v>
      </c>
      <c r="K206">
        <v>61.67</v>
      </c>
      <c r="L206">
        <v>52.38</v>
      </c>
      <c r="M206">
        <v>62.61</v>
      </c>
      <c r="N206">
        <v>127.52</v>
      </c>
      <c r="O206">
        <v>45.19</v>
      </c>
      <c r="P206">
        <v>179.33</v>
      </c>
      <c r="Q206">
        <v>26.36</v>
      </c>
      <c r="R206">
        <v>38122.839999999997</v>
      </c>
      <c r="S206">
        <v>14.4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44.26</v>
      </c>
      <c r="D209" s="17">
        <f t="shared" si="0"/>
        <v>559.09</v>
      </c>
      <c r="E209" s="17">
        <f t="shared" si="0"/>
        <v>236.33</v>
      </c>
      <c r="F209" s="17">
        <f t="shared" si="0"/>
        <v>28.22</v>
      </c>
      <c r="G209" s="17">
        <f t="shared" si="0"/>
        <v>473.22</v>
      </c>
      <c r="H209" s="17">
        <f t="shared" si="0"/>
        <v>21.62</v>
      </c>
      <c r="I209" s="17">
        <f t="shared" si="0"/>
        <v>69.89</v>
      </c>
      <c r="J209" s="17">
        <f t="shared" si="0"/>
        <v>100.14</v>
      </c>
      <c r="K209" s="17">
        <f t="shared" si="0"/>
        <v>69.319999999999993</v>
      </c>
      <c r="L209" s="17">
        <f t="shared" si="0"/>
        <v>59.9</v>
      </c>
      <c r="M209" s="17">
        <f t="shared" si="0"/>
        <v>70.25</v>
      </c>
      <c r="N209" s="17">
        <f t="shared" si="0"/>
        <v>152.36000000000001</v>
      </c>
      <c r="O209" s="17">
        <f t="shared" si="0"/>
        <v>57.76</v>
      </c>
      <c r="P209" s="17">
        <f t="shared" si="0"/>
        <v>211.61</v>
      </c>
      <c r="Q209" s="17">
        <f t="shared" si="0"/>
        <v>25.71</v>
      </c>
      <c r="R209" s="17">
        <f t="shared" ref="R209:S209" si="2">R6</f>
        <v>58580</v>
      </c>
      <c r="S209" s="17">
        <f t="shared" si="2"/>
        <v>16.3</v>
      </c>
    </row>
    <row r="210" spans="2:19" x14ac:dyDescent="0.35">
      <c r="B210" t="s">
        <v>80</v>
      </c>
      <c r="C210" s="17">
        <f>AVERAGE(C6:C35)</f>
        <v>44.005000000000003</v>
      </c>
      <c r="D210" s="17">
        <f t="shared" ref="D210:Q210" si="3">AVERAGE(D6:D35)</f>
        <v>547.52833333333331</v>
      </c>
      <c r="E210" s="17">
        <f t="shared" si="3"/>
        <v>229.37433333333331</v>
      </c>
      <c r="F210" s="17">
        <f t="shared" si="3"/>
        <v>28.320333333333334</v>
      </c>
      <c r="G210" s="17">
        <f t="shared" si="3"/>
        <v>463.30233333333337</v>
      </c>
      <c r="H210" s="17">
        <f t="shared" si="3"/>
        <v>21.940999999999995</v>
      </c>
      <c r="I210" s="17">
        <f t="shared" si="3"/>
        <v>73.751666666666651</v>
      </c>
      <c r="J210" s="17">
        <f t="shared" si="3"/>
        <v>97.984000000000052</v>
      </c>
      <c r="K210" s="17">
        <f t="shared" si="3"/>
        <v>68.535000000000011</v>
      </c>
      <c r="L210" s="17">
        <f t="shared" si="3"/>
        <v>59.441666666666656</v>
      </c>
      <c r="M210" s="17">
        <f t="shared" si="3"/>
        <v>68.746333333333325</v>
      </c>
      <c r="N210" s="17">
        <f t="shared" si="3"/>
        <v>149.24633333333335</v>
      </c>
      <c r="O210" s="17">
        <f t="shared" si="3"/>
        <v>56.547499999999978</v>
      </c>
      <c r="P210" s="17">
        <f t="shared" si="3"/>
        <v>211.58133333333336</v>
      </c>
      <c r="Q210" s="17">
        <f t="shared" si="3"/>
        <v>25.801666666666669</v>
      </c>
      <c r="R210" s="17">
        <f t="shared" ref="R210:S210" si="4">AVERAGE(R6:R35)</f>
        <v>59194.5</v>
      </c>
      <c r="S210" s="17">
        <f t="shared" si="4"/>
        <v>16.048000000000002</v>
      </c>
    </row>
    <row r="211" spans="2:19" x14ac:dyDescent="0.35">
      <c r="B211" t="s">
        <v>81</v>
      </c>
      <c r="C211" s="17">
        <f>AVERAGE(C6:C65)</f>
        <v>44.125</v>
      </c>
      <c r="D211" s="17">
        <f t="shared" ref="D211:Q211" si="5">AVERAGE(D6:D65)</f>
        <v>548.89866666666649</v>
      </c>
      <c r="E211" s="17">
        <f t="shared" si="5"/>
        <v>224.60533333333331</v>
      </c>
      <c r="F211" s="17">
        <f t="shared" si="5"/>
        <v>28.615166666666671</v>
      </c>
      <c r="G211" s="17">
        <f t="shared" si="5"/>
        <v>472.5055000000001</v>
      </c>
      <c r="H211" s="17">
        <f t="shared" si="5"/>
        <v>22.491333333333333</v>
      </c>
      <c r="I211" s="17">
        <f t="shared" si="5"/>
        <v>76.382333333333307</v>
      </c>
      <c r="J211" s="17">
        <f t="shared" si="5"/>
        <v>95.51900000000002</v>
      </c>
      <c r="K211" s="17">
        <f t="shared" si="5"/>
        <v>68.231000000000009</v>
      </c>
      <c r="L211" s="17">
        <f t="shared" si="5"/>
        <v>59.642166666666661</v>
      </c>
      <c r="M211" s="17">
        <f t="shared" si="5"/>
        <v>68.960833333333341</v>
      </c>
      <c r="N211" s="17">
        <f t="shared" si="5"/>
        <v>149.27633333333335</v>
      </c>
      <c r="O211" s="17">
        <f t="shared" si="5"/>
        <v>56.412916666666653</v>
      </c>
      <c r="P211" s="17">
        <f t="shared" si="5"/>
        <v>211.07316666666668</v>
      </c>
      <c r="Q211" s="17">
        <f t="shared" si="5"/>
        <v>26.024833333333341</v>
      </c>
      <c r="R211" s="17">
        <f t="shared" ref="R211:S211" si="6">AVERAGE(R6:R65)</f>
        <v>61042.820500000002</v>
      </c>
      <c r="S211" s="17">
        <f t="shared" si="6"/>
        <v>15.987500000000001</v>
      </c>
    </row>
    <row r="212" spans="2:19" x14ac:dyDescent="0.35">
      <c r="B212" t="s">
        <v>82</v>
      </c>
      <c r="C212" s="17">
        <f>AVERAGE(C6:C206)</f>
        <v>42.351890547263686</v>
      </c>
      <c r="D212" s="17">
        <f t="shared" ref="D212:Q212" si="7">AVERAGE(D6:D206)</f>
        <v>515.11278606965152</v>
      </c>
      <c r="E212" s="17">
        <f t="shared" si="7"/>
        <v>207.95636815920381</v>
      </c>
      <c r="F212" s="17">
        <f t="shared" si="7"/>
        <v>28.400447761194009</v>
      </c>
      <c r="G212" s="17">
        <f t="shared" si="7"/>
        <v>442.5942786069653</v>
      </c>
      <c r="H212" s="17">
        <f t="shared" si="7"/>
        <v>22.723034825870638</v>
      </c>
      <c r="I212" s="17">
        <f t="shared" si="7"/>
        <v>74.360298507462701</v>
      </c>
      <c r="J212" s="17">
        <f t="shared" si="7"/>
        <v>93.981592039801015</v>
      </c>
      <c r="K212" s="17">
        <f t="shared" si="7"/>
        <v>66.395373134328395</v>
      </c>
      <c r="L212" s="17">
        <f t="shared" si="7"/>
        <v>57.075970149253735</v>
      </c>
      <c r="M212" s="17">
        <f t="shared" si="7"/>
        <v>67.732487562189021</v>
      </c>
      <c r="N212" s="17">
        <f t="shared" si="7"/>
        <v>141.92338308457715</v>
      </c>
      <c r="O212" s="17">
        <f t="shared" si="7"/>
        <v>52.446169154228855</v>
      </c>
      <c r="P212" s="17">
        <f t="shared" si="7"/>
        <v>202.6708457711444</v>
      </c>
      <c r="Q212" s="17">
        <f t="shared" si="7"/>
        <v>24.956965174129355</v>
      </c>
      <c r="R212" s="17">
        <f t="shared" ref="R212:S212" si="8">AVERAGE(R6:R206)</f>
        <v>57916.183333333342</v>
      </c>
      <c r="S212" s="17">
        <f t="shared" si="8"/>
        <v>15.328159203980103</v>
      </c>
    </row>
    <row r="213" spans="2:19" x14ac:dyDescent="0.35">
      <c r="B213" t="s">
        <v>83</v>
      </c>
      <c r="C213" s="69">
        <f>C209/C210</f>
        <v>1.0057947960459037</v>
      </c>
      <c r="D213" s="69">
        <f t="shared" ref="D213:Q213" si="9">D209/D210</f>
        <v>1.0211161066246193</v>
      </c>
      <c r="E213" s="69">
        <f t="shared" si="9"/>
        <v>1.0303245204709044</v>
      </c>
      <c r="F213" s="69">
        <f t="shared" si="9"/>
        <v>0.99645719800849797</v>
      </c>
      <c r="G213" s="69">
        <f t="shared" si="9"/>
        <v>1.0214064682025488</v>
      </c>
      <c r="H213" s="69">
        <f t="shared" si="9"/>
        <v>0.98536985552162648</v>
      </c>
      <c r="I213" s="69">
        <f t="shared" si="9"/>
        <v>0.94763960136494108</v>
      </c>
      <c r="J213" s="69">
        <f t="shared" si="9"/>
        <v>1.0220035924232522</v>
      </c>
      <c r="K213" s="69">
        <f t="shared" si="9"/>
        <v>1.0114540016050191</v>
      </c>
      <c r="L213" s="69">
        <f t="shared" si="9"/>
        <v>1.0077106406841443</v>
      </c>
      <c r="M213" s="69">
        <f t="shared" si="9"/>
        <v>1.0218726816945389</v>
      </c>
      <c r="N213" s="69">
        <f t="shared" si="9"/>
        <v>1.020862600756244</v>
      </c>
      <c r="O213" s="69">
        <f t="shared" si="9"/>
        <v>1.0214421504045275</v>
      </c>
      <c r="P213" s="69">
        <f t="shared" si="9"/>
        <v>1.000135487692676</v>
      </c>
      <c r="Q213" s="69">
        <f t="shared" si="9"/>
        <v>0.99644725792907429</v>
      </c>
      <c r="R213" s="69">
        <f t="shared" ref="R213:S213" si="10">R209/R210</f>
        <v>0.98961896797844395</v>
      </c>
      <c r="S213" s="69">
        <f t="shared" si="10"/>
        <v>1.0157028913260218</v>
      </c>
    </row>
    <row r="214" spans="2:19" x14ac:dyDescent="0.35">
      <c r="B214" t="s">
        <v>84</v>
      </c>
      <c r="C214" s="69">
        <f t="shared" ref="C214:Q215" si="11">C210/C211</f>
        <v>0.99728045325779047</v>
      </c>
      <c r="D214" s="69">
        <f t="shared" si="11"/>
        <v>0.99750348576786518</v>
      </c>
      <c r="E214" s="69">
        <f t="shared" si="11"/>
        <v>1.0212327994586059</v>
      </c>
      <c r="F214" s="69">
        <f t="shared" si="11"/>
        <v>0.98969660611214316</v>
      </c>
      <c r="G214" s="69">
        <f t="shared" si="11"/>
        <v>0.9805226253098287</v>
      </c>
      <c r="H214" s="69">
        <f t="shared" si="11"/>
        <v>0.97553131576607266</v>
      </c>
      <c r="I214" s="69">
        <f t="shared" si="11"/>
        <v>0.9655592261735918</v>
      </c>
      <c r="J214" s="69">
        <f t="shared" si="11"/>
        <v>1.0258063840701852</v>
      </c>
      <c r="K214" s="69">
        <f t="shared" si="11"/>
        <v>1.0044554528000469</v>
      </c>
      <c r="L214" s="69">
        <f t="shared" si="11"/>
        <v>0.99663828443522895</v>
      </c>
      <c r="M214" s="69">
        <f t="shared" si="11"/>
        <v>0.9968895387478397</v>
      </c>
      <c r="N214" s="69">
        <f t="shared" si="11"/>
        <v>0.99979903043349139</v>
      </c>
      <c r="O214" s="69">
        <f t="shared" si="11"/>
        <v>1.0023856829479063</v>
      </c>
      <c r="P214" s="69">
        <f t="shared" si="11"/>
        <v>1.002407537986433</v>
      </c>
      <c r="Q214" s="69">
        <f t="shared" si="11"/>
        <v>0.99142485702758243</v>
      </c>
      <c r="R214" s="69">
        <f t="shared" ref="R214:S214" si="12">R210/R211</f>
        <v>0.96972091910464719</v>
      </c>
      <c r="S214" s="69">
        <f t="shared" si="12"/>
        <v>1.0037842064112588</v>
      </c>
    </row>
    <row r="215" spans="2:19" x14ac:dyDescent="0.35">
      <c r="B215" t="s">
        <v>85</v>
      </c>
      <c r="C215" s="69">
        <f t="shared" si="11"/>
        <v>1.0418661228536554</v>
      </c>
      <c r="D215" s="69">
        <f t="shared" si="11"/>
        <v>1.0655892874545083</v>
      </c>
      <c r="E215" s="69">
        <f t="shared" si="11"/>
        <v>1.0800598958401872</v>
      </c>
      <c r="F215" s="69">
        <f t="shared" si="11"/>
        <v>1.0075604056414227</v>
      </c>
      <c r="G215" s="69">
        <f t="shared" si="11"/>
        <v>1.0675815816851006</v>
      </c>
      <c r="H215" s="69">
        <f t="shared" si="11"/>
        <v>0.98980323296105199</v>
      </c>
      <c r="I215" s="69">
        <f t="shared" si="11"/>
        <v>1.0271923979120079</v>
      </c>
      <c r="J215" s="69">
        <f t="shared" si="11"/>
        <v>1.0163586073275703</v>
      </c>
      <c r="K215" s="69">
        <f t="shared" si="11"/>
        <v>1.0276469094007175</v>
      </c>
      <c r="L215" s="69">
        <f t="shared" si="11"/>
        <v>1.0449610669902294</v>
      </c>
      <c r="M215" s="69">
        <f t="shared" si="11"/>
        <v>1.0181352525996703</v>
      </c>
      <c r="N215" s="69">
        <f t="shared" si="11"/>
        <v>1.0518092937819437</v>
      </c>
      <c r="O215" s="69">
        <f t="shared" si="11"/>
        <v>1.0756346474186276</v>
      </c>
      <c r="P215" s="69">
        <f t="shared" si="11"/>
        <v>1.0414579653208245</v>
      </c>
      <c r="Q215" s="69">
        <f t="shared" si="11"/>
        <v>1.0427883819908901</v>
      </c>
      <c r="R215" s="69">
        <f t="shared" ref="R215:S215" si="13">R211/R212</f>
        <v>1.0539855526851878</v>
      </c>
      <c r="S215" s="69">
        <f t="shared" si="13"/>
        <v>1.043015001817615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17.7294354415451</v>
      </c>
      <c r="C18">
        <v>9.3523184782613296</v>
      </c>
      <c r="D18">
        <v>10.6136771274683</v>
      </c>
      <c r="E18">
        <v>3.4249933686835998</v>
      </c>
      <c r="F18">
        <v>5.8571846323276002</v>
      </c>
      <c r="G18">
        <v>36.3024533004522</v>
      </c>
      <c r="H18">
        <v>17.637359747727199</v>
      </c>
    </row>
    <row r="19" spans="1:8" x14ac:dyDescent="0.35">
      <c r="A19" s="2">
        <v>44196</v>
      </c>
      <c r="B19">
        <v>16.661770328992599</v>
      </c>
      <c r="C19">
        <v>10.426078296822199</v>
      </c>
      <c r="D19">
        <v>9.4969733856448908</v>
      </c>
      <c r="E19">
        <v>3.29178786303856</v>
      </c>
      <c r="F19">
        <v>5.43711195126955</v>
      </c>
      <c r="G19">
        <v>33.696952888762503</v>
      </c>
      <c r="H19">
        <v>17.494770758291999</v>
      </c>
    </row>
    <row r="20" spans="1:8" x14ac:dyDescent="0.35">
      <c r="A20" s="2">
        <v>44561</v>
      </c>
      <c r="B20">
        <v>22.2767073851685</v>
      </c>
      <c r="C20">
        <v>13.6402697448185</v>
      </c>
      <c r="D20">
        <v>12.014339788810901</v>
      </c>
      <c r="E20">
        <v>3.9214201681790399</v>
      </c>
      <c r="F20">
        <v>7.0205959121054402</v>
      </c>
      <c r="G20">
        <v>46.998380093409402</v>
      </c>
      <c r="H20">
        <v>21.276244951159601</v>
      </c>
    </row>
    <row r="21" spans="1:8" x14ac:dyDescent="0.35">
      <c r="A21" s="2">
        <v>44925</v>
      </c>
      <c r="B21">
        <v>22.968710461533099</v>
      </c>
      <c r="C21">
        <v>12.750313440204099</v>
      </c>
      <c r="D21">
        <v>11.61375885438</v>
      </c>
      <c r="E21">
        <v>3.3667363390282801</v>
      </c>
      <c r="F21">
        <v>7.3048194369873798</v>
      </c>
      <c r="G21">
        <v>46.023785873774003</v>
      </c>
      <c r="H21">
        <v>20.372399428440598</v>
      </c>
    </row>
    <row r="22" spans="1:8" x14ac:dyDescent="0.35">
      <c r="A22" s="2">
        <v>45289</v>
      </c>
      <c r="B22">
        <v>24.344986761993699</v>
      </c>
      <c r="C22">
        <v>16.324300082232199</v>
      </c>
      <c r="D22">
        <v>12.003397498320901</v>
      </c>
      <c r="E22">
        <v>3.3790113832953699</v>
      </c>
      <c r="F22">
        <v>7.6955513164799596</v>
      </c>
      <c r="G22">
        <v>54.701388000209299</v>
      </c>
      <c r="H22">
        <v>19.112050980175098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5.9884631603759342E-2</v>
      </c>
      <c r="C26" s="58" cm="1">
        <f t="array" ref="C26">(C22/INDEX(C3:C22,MATCH(TRUE,INDEX(ISNUMBER(C3:C22),0),0)))^(1/C24)-1</f>
        <v>0.12988959921025178</v>
      </c>
      <c r="D26" s="58" cm="1">
        <f t="array" ref="D26">(D22/INDEX(D3:D22,MATCH(TRUE,INDEX(ISNUMBER(D3:D22),0),0)))^(1/D24)-1</f>
        <v>3.2577464697822522E-2</v>
      </c>
      <c r="E26" s="58" cm="1">
        <f t="array" ref="E26">(E22/INDEX(E3:E22,MATCH(TRUE,INDEX(ISNUMBER(E3:E22),0),0)))^(1/E24)-1</f>
        <v>1.6608700656862041E-2</v>
      </c>
      <c r="F26" s="58" cm="1">
        <f t="array" ref="F26">(F22/INDEX(F3:F22,MATCH(TRUE,INDEX(ISNUMBER(F3:F22),0),0)))^(1/F24)-1</f>
        <v>4.4591361504227045E-2</v>
      </c>
      <c r="G26" s="58" cm="1">
        <f t="array" ref="G26">(G22/INDEX(G3:G22,MATCH(TRUE,INDEX(ISNUMBER(G3:G22),0),0)))^(1/G24)-1</f>
        <v>6.0166172239930704E-2</v>
      </c>
      <c r="H26" s="58" cm="1">
        <f t="array" ref="H26">(H22/INDEX(H3:H22,MATCH(TRUE,INDEX(ISNUMBER(H3:H22),0),0)))^(1/H24)-1</f>
        <v>7.2171382515967997E-2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6225745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11596,20.3723994284406,19.1120509801751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24533004522,33.6969528887625,46.9983800934094,46.023785873774,54.7013880002093],"URTH^FMA_EPS(NTMA,-20AY,0,CY,,\"PORTAGG\",\"MEANR\")":[null,null,null,null,null,null,null,null,4.55913632412374,4.8298105677889,4.68122041716609,4.46290846961937,4.5468408308106,5.24375165960342,5.92417007591415,5.8571846323276,5.43711195126955,7.02059591210544,7.30481943698738,7.69555131647996]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49933686836,3.29178786303856,3.92142016817904,3.36673633902828,3.37901138329537]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4683,9.49697338564489,12.0143397888109,11.61375885438,12.0033974983209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5,22.9687104615331,24.3449867619937],"SPY^JULIAN(FMA_EPS(NTMA,-20AY,0,CY,,\"PORTAGG\",\"MEANR\").DATES)":[38352,38716,39080,39447,39813,40178,40543,40907,41274,41639,42004,42369,42734,43098,43465,43830,44196,44561,44925,45289],"BIGPX^FG_PRICE(0,-200D)":[16.3,16.22,16.11,15.95,15.95,16.12,16.13,16.13,16.34,16.28,16.28,16.35,16.33,16.38,16.23,16.35,16.29,16.29,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],"BTC00-USA^FG_PRICE(0,-200D)":[58580.0,57860.0,58195.0,57410.0,53695.0,56215.0,58355.0,58240.0,58980.0,59275.0,58950.0,62055.0,63330.0,63815.0,60350.0,61730.0,59670.0,59200.0,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],"FXI^FG_PRICE(0,-200D)":[25.71,25.72,25.46,25.52,25.5,25.85,25.98,26.0,26.46,26.33,26.14,26.56,26.27,26.48,26.07,26.27,26.0,26.6,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],"IWM^FG_PRICE(0,-200D)":[211.61,208.92,208.31,208.48,207.9,211.93,212.99,213.35,220.08,218.81,217.26,218.74,220.45,220.38,213.56,215.46,212.69,215.2,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],"INDA^FG_PRICE(0,-200D)":[57.76,57.125,57.04,56.95,56.51,57.24,57.55,57.28,57.72,57.27,57.15,57.17,57.19,57.08,56.78,56.92,56.59,56.49,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],"URTH^FG_PRICE(0,-200D)":[152.36,151.21,149.74,149.33,147.75,150.19,150.72,151.01,154.18,152.96,152.86,153.59,153.36,153.8,151.49,152.87,152.0,152.22,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],"EWJ^FG_PRICE(0,-200D)":[70.25,69.56,69.14,69.33,68.09,70.58,70.16,70.89,71.97,71.54,71.42,71.73,71.03,71.93,70.31,70.83,70.02,70.36,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],"EMXC^FG_PRICE(0,-200D)":[59.9,59.25,58.9,59.1,58.41,59.61,59.3,59.3,60.66,60.69,60.79,61.0,60.93,61.29,60.16,61.06,60.94,61.15,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],"VGK^FG_PRICE(0,-200D)":[69.32,68.84,68.47,68.8,68.35,69.26,69.42,69.6,70.93,70.77,70.55,70.85,70.55,70.77,69.58,69.99,69.4,69.59,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],"TLT^FG_PRICE(0,-200D)":[100.14,100.61,100.69,99.99,99.56,99.57,99.01,97.75,96.49,97.53,97.85,97.97,98.14,98.39,97.75,98.73,98.67,97.89,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],"USO^FG_PRICE(0,-200D)":[69.89,67.85,66.96,69.27,68.93,69.89,69.61,71.09,74.34,76.77,75.48,76.49,77.83,75.55,73.58,72.6,73.83,74.38,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],"DBC^FG_PRICE(0,-200D)":[21.62,21.21,21.02,21.33,21.27,21.56,21.51,21.67,22.11,22.36,22.11,22.38,22.49,22.26,21.87,21.89,22.0,22.09,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,23.0,22.9,22.86,23.43,23.64,23.8,23.91,24.32,24.15,23.86,24.02],"QQQ^FG_PRICE(0,-200D)":[473.22,468.62,458.66,454.46,448.69,461.04,460.61,461.81,476.27,470.66,471.35,476.76,475.34,480.0,474.85,482.5,480.26,481.27,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],"UUP^FG_PRICE(0,-200D)":[28.22,28.34,28.31,28.3,28.18,28.14,28.18,28.32,28.27,28.19,28.09,27.93,28.02,27.96,28.2,28.07,28.16,28.26,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],"GLD^FG_PRICE(0,-200D)":[236.33,232.25,232.62,231.6,230.63,232.35,230.43,230.29,231.29,232.95,231.75,233.39,232.76,232.02,229.37,232.15,232.46,231.61,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],"SPY^FG_PRICE(0,-200D)":[559.09,554.42,548.79,546.41,540.36,549.61,550.95,552.08,563.68,558.35,558.3,561.56,560.79,562.13,556.22,560.62,558.7,559.61,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],"VWO^FG_PRICE(0,-200D)":[44.26,43.97,43.7,43.8,43.5,44.14,44.02,44.04,44.72,44.6,44.54,44.83,44.78,45.07,44.43,44.96,44.75,45.19,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],"VWO^JULIAN(P_PRICE(0,-200D).DATES)":[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],"FXI^P_PRICE(0)/P_PRICE_LOW_PR(0,,,USD,,,\"PRICE\",\"INTRA\",\"52W\")-1":0.23250234,"FXI^P_PRICE(0)/P_PRICE_HIGH_PR(0,,,USD,,,\"PRICE\",\"INTRA\",\"52W\")":0.87064,"FXI^FG_TOTAL_RETURNC(0,-6AM)":5.0177693,"FXI^FG_TOTAL_RETURNC(0,-3AM)":-2.6505113,"IWM^P_PRICE(0)/P_PRICE_LOW_PR(0,,,USD,,,\"PRICE\",\"INTRA\",\"52W\")-1":0.30890083,"IWM^P_PRICE(0)/P_PRICE_HIGH_PR(0,,,USD,,,\"PRICE\",\"INTRA\",\"52W\")":0.92555654,"IWM^FG_TOTAL_RETURNC(0,-6AM)":3.8191319,"IWM^FG_TOTAL_RETURNC(0,-3AM)":3.8729668,"QQQ^P_PRICE(0)/P_PRICE_LOW_PR(0,,,USD,,,\"PRICE\",\"INTRA\",\"52W\")-1":0.38226962,"QQQ^P_PRICE(0)/P_PRICE_HIGH_PR(0,,,USD,,,\"PRICE\",\"INTRA\",\"52W\")":0.9398237,"QQQ^FG_TOTAL_RETURNC(0,-6AM)":6.9741726,"QQQ^FG_TOTAL_RETURNC(0,-3AM)":-0.03578663,"EMXC^P_PRICE(0)/P_PRICE_LOW_PR(0,,,USD,,,\"PRICE\",\"INTRA\",\"52W\")-1":0.25405633,"EMXC^P_PRICE(0)/P_PRICE_HIGH_PR(0,,,USD,,,\"PRICE\",\"INTRA\",\"52W\")":0.9633323,"EMXC^FG_TOTAL_RETURNC(0,-6AM)":4.7946095,"EMXC^FG_TOTAL_RETURNC(0,-3AM)":3.382814,"INDA^P_PRICE(0)/P_PRICE_LOW_PR(0,,,USD,,,\"PRICE\",\"INTRA\",\"52W\")-1":0.35364425,"INDA^P_PRICE(0)/P_PRICE_HIGH_PR(0,,,USD,,,\"PRICE\",\"INTRA\",\"52W\")":0.99982685,"INDA^FG_TOTAL_RETURNC(0,-6AM)":11.74308,"INDA^FG_TOTAL_RETURNC(0,-3AM)":5.652094,"SPY^P_PRICE(0)/P_PRICE_LOW_PR(0,,,USD,,,\"PRICE\",\"INTRA\",\"52W\")-1":0.36626685,"SPY^P_PRICE(0)/P_PRICE_HIGH_PR(0,,,USD,,,\"PRICE\",\"INTRA\",\"52W\")":0.9892598,"SPY^FG_TOTAL_RETURNC(0,-6AM)":8.876276,"SPY^FG_TOTAL_RETURNC(0,-3AM)":3.6087275,"EWJ^P_PRICE(0)/P_PRICE_LOW_PR(0,,,USD,,,\"PRICE\",\"INTRA\",\"52W\")-1":0.22814679,"EWJ^P_PRICE(0)/P_PRICE_HIGH_PR(0,,,USD,,,\"PRICE\",\"INTRA\",\"52W\")":0.9713101,"EWJ^FG_TOTAL_RETURNC(0,-6AM)":1.1360645,"EWJ^FG_TOTAL_RETURNC(0,-3AM)":2.7197003,"URTH^P_PRICE(0)/P_PRICE_LOW_PR(0,,,USD,,,\"PRICE\",\"INTRA\",\"52W\")-1":0.3283348,"URTH^P_PRICE(0)/P_PRICE_HIGH_PR(0,,,USD,,,\"PRICE\",\"INTRA\",\"52W\")":0.98749113,"URTH^FG_TOTAL_RETURNC(0,-6AM)":7.2935104,"URTH^FG_TOTAL_RETURNC(0,-3AM)":3.4141064,"VWO^P_PRICE(0)/P_PRICE_LOW_PR(0,,,USD,,,\"PRICE\",\"INTRA\",\"52W\")-1":0.18168461,"VWO^P_PRICE(0)/P_PRICE_HIGH_PR(0,,,USD,,,\"PRICE\",\"INTRA\",\"52W\")":0.96796066,"VWO^FG_TOTAL_RETURNC(0,-6AM)":5.310726,"VWO^FG_TOTAL_RETURNC(0,-3AM)":1.6974092,"VGK^P_PRICE(0)/P_PRICE_LOW_PR(0,,,USD,,,\"PRICE\",\"INTRA\",\"52W\")-1":0.25899017,"VGK^P_PRICE(0)/P_PRICE_HIGH_PR(0,,,USD,,,\"PRICE\",\"INTRA\",\"52W\")":0.9748277,"VGK^FG_TOTAL_RETURNC(0,-6AM)":4.8554063,"VGK^FG_TOTAL_RETURNC(0,-3AM)":0.86911917,"EWI^P_PRICE(0)/P_PRICE_LOW_PR(0,,,USD,,,\"PRICE\",\"INTRA\",\"52W\")-1":0.3127693,"EWI^P_PRICE(0)/P_PRICE_HIGH_PR(0,,,USD,,,\"PRICE\",\"INTRA\",\"52W\")":0.967488,"EWI^FG_TOTAL_RETURNC(0,-6AM)":5.324638,"EWI^FG_TOTAL_RETURNC(0,-3AM)":2.3374557,"EWD^P_PRICE(0)/P_PRICE_LOW_PR(0,,,USD,,,\"PRICE\",\"INTRA\",\"52W\")-1":0.33224714,"EWD^P_PRICE(0)/P_PRICE_HIGH_PR(0,,,USD,,,\"PRICE\",\"INTRA\",\"52W\")":0.95849943,"EWD^FG_TOTAL_RETURNC(0,-6AM)":0.45639277,"EWD^FG_TOTAL_RETURNC(0,-3AM)":-2.6202917,"EWN^P_PRICE(0)/P_PRICE_LOW_PR(0,,,USD,,,\"PRICE\",\"INTRA\",\"52W\")-1":0.35271418,"EWN^P_PRICE(0)/P_PRICE_HIGH_PR(0,,,USD,,,\"PRICE\",\"INTRA\",\"52W\")":0.92570245,"EWN^FG_TOTAL_RETURNC(0,-6AM)":1.1281133,"EWN^FG_TOTAL_RETURNC(0,-3AM)":-5.7230654,"EWQ^P_PRICE(0)/P_PRICE_LOW_PR(0,,,USD,,,\"PRICE\",\"INTRA\",\"52W\")-1":0.1583482,"EWQ^P_PRICE(0)/P_PRICE_HIGH_PR(0,,,USD,,,\"PRICE\",\"INTRA\",\"52W\")":0.9152583,"EWQ^FG_TOTAL_RETURNC(0,-6AM)":-3.4468174,"EWQ^FG_TOTAL_RETURNC(0,-3AM)":-2.207166,"EWU^P_PRICE(0)/P_PRICE_LOW_PR(0,,,USD,,,\"PRICE\",\"INTRA\",\"52W\")-1":0.22063708,"EWU^P_PRICE(0)/P_PRICE_HIGH_PR(0,,,USD,,,\"PRICE\",\"INTRA\",\"52W\")":0.97638005,"EWU^FG_TOTAL_RETURNC(0,-6AM)":11.50558,"EWU^FG_TOTAL_RETURNC(0,-3AM)":3.9852977,"EWL^P_PRICE(0)/P_PRICE_LOW_PR(0,,,USD,,,\"PRICE\",\"INTRA\",\"52W\")-1":0.22912157,"EWL^P_PRICE(0)/P_PRICE_HIGH_PR(0,,,USD,,,\"PRICE\",\"INTRA\",\"52W\")":0.9630398,"EWL^FG_TOTAL_RETURNC(0,-6AM)":7.0004344,"EWL^FG_TOTAL_RETURNC(0,-3AM)":4.139471,"EWG^P_PRICE(0)/P_PRICE_LOW_PR(0,,,USD,,,\"PRICE\",\"INTRA\",\"52W\")-1":0.30054653,"EWG^P_PRICE(0)/P_PRICE_HIGH_PR(0,,,USD,,,\"PRICE\",\"INTRA\",\"52W\")":0.9811436,"EWG^FG_TOTAL_RETURNC(0,-6AM)":4.782045,"EWG^FG_TOTAL_RETURNC(0,-3AM)":2.488041,"EWC^P_PRICE(0)/P_PRICE_LOW_PR(0,,,USD,,,\"PRICE\",\"INTRA\",\"52W\")-1":0.2862146,"EWC^P_PRICE(0)/P_PRICE_HIGH_PR(0,,,USD,,,\"PRICE\",\"INTRA\",\"52W\")":0.99727726,"EWC^FG_TOTAL_RETURNC(0,-6AM)":7.8332186,"EWC^FG_TOTAL_RETURNC(0,-3AM)":8.865536,"EWA^P_PRICE(0)/P_PRICE_LOW_PR(0,,,USD,,,\"PRICE\",\"INTRA\",\"52W\")-1":0.273216,"EWA^P_PRICE(0)/P_PRICE_HIGH_PR(0,,,USD,,,\"PRICE\",\"INTRA\",\"52W\")":0.9961759,"EWA^FG_TOTAL_RETURNC(0,-6AM)":8.798063,"EWA^FG_TOTAL_RETURNC(0,-3AM)":6.76229,"ENZL^P_PRICE(0)/P_PRICE_LOW_PR(0,,,USD,,,\"PRICE\",\"INTRA\",\"52W\")-1":0.22324824,"ENZL^P_PRICE(0)/P_PRICE_HIGH_PR(0,,,USD,,,\"PRICE\",\"INTRA\",\"52W\")":0.99821,"ENZL^FG_TOTAL_RETURNC(0,-6AM)":10.25635,"ENZL^FG_TOTAL_RETURNC(0,-3AM)":8.401728,"FXI^PERCENT_CHANGE(FMA_EPS(+1,0,,,,\"PORTAGG\",\"MEAN\"),FMA_EPS(+1,-3AM,,,,\"PORTAGG\",\"MEAN\"))":7.70737299135659,"FXI^PERCENT_CHANGE(FMA_EPS(+1,0,,,,\"PORTAGG\",\"MEAN\"),FMA_EPS(+1,-1AM,,,,\"PORTAGG\",\"MEAN\"))":3.63964395972137,"FXI^FMA_PCT_ABOVE_MAVG(200,0,,,,\"PORTAGG\")":27.4509803921569,"IWM^PERCENT_CHANGE(FMA_EPS(+1,0,,,,\"PORTAGG\",\"MEAN\"),FMA_EPS(+1,-3AM,,,,\"PORTAGG\",\"MEAN\"))":-13.0058054122031,"IWM^PERCENT_CHANGE(FMA_EPS(+1,0,,,,\"PORTAGG\",\"MEAN\"),FMA_EPS(+1,-1AM,,,,\"PORTAGG\",\"MEAN\"))":0.874672496563687,"IWM^FMA_PCT_ABOVE_MAVG(200,0,,,,\"PORTAGG\")":52.8078310149408,"QQQ^PERCENT_CHANGE(FMA_EPS(+1,0,,,,\"PORTAGG\",\"MEAN\"),FMA_EPS(+1,-3AM,,,,\"PORTAGG\",\"MEAN\"))":-4.43644044602911,"QQQ^PERCENT_CHANGE(FMA_EPS(+1,0,,,,\"PORTAGG\",\"MEAN\"),FMA_EPS(+1,-1AM,,,,\"PORTAGG\",\"MEAN\"))":0.616427075721871,"QQQ^FMA_PCT_ABOVE_MAVG(200,0,,,,\"PORTAGG\")":56.8627450980392,"EMXC^PERCENT_CHANGE(FMA_EPS(+1,0,,,,\"PORTAGG\",\"MEAN\"),FMA_EPS(+1,-3AM,,,,\"PORTAGG\",\"MEAN\"))":0.310686782544054,"EMXC^PERCENT_CHANGE(FMA_EPS(+1,0,,,,\"PORTAGG\",\"MEAN\"),FMA_EPS(+1,-1AM,,,,\"PORTAGG\",\"MEAN\"))":-1.30133357097861,"EMXC^FMA_PCT_ABOVE_MAVG(200,0,,,,\"PORTAGG\")":60.2055800293686,"INDA^PERCENT_CHANGE(FMA_EPS(+1,0,,,,\"PORTAGG\",\"MEAN\"),FMA_EPS(+1,-3AM,,,,\"PORTAGG\",\"MEAN\"))":-5.09865168385973,"INDA^PERCENT_CHANGE(FMA_EPS(+1,0,,,,\"PORTAGG\",\"MEAN\"),FMA_EPS(+1,-1AM,,,,\"PORTAGG\",\"MEAN\"))":-2.55761760984541,"INDA^FMA_PCT_ABOVE_MAVG(200,0,,,,\"PORTAGG\")":85.5263157894737,"SPY^PERCENT_CHANGE(FMA_EPS(+1,0,,,,\"PORTAGG\",\"MEAN\"),FMA_EPS(+1,-3AM,,,,\"PORTAGG\",\"MEAN\"))":-0.843111062389374,"SPY^PERCENT_CHANGE(FMA_EPS(+1,0,,,,\"PORTAGG\",\"MEAN\"),FMA_EPS(+1,-1AM,,,,\"PORTAGG\",\"MEAN\"))":0.211495215127141,"SPY^FMA_PCT_ABOVE_MAVG(200,0,,,,\"PORTAGG\")":67.4650698602794,"EWJ^PERCENT_CHANGE(FMA_EPS(+1,0,,,,\"PORTAGG\",\"MEAN\"),FMA_EPS(+1,-3AM,,,,\"PORTAGG\",\"MEAN\"))":10.3040607911509,"EWJ^PERCENT_CHANGE(FMA_EPS(+1,0,,,,\"PORTAGG\",\"MEAN\"),FMA_EPS(+1,-1AM,,,,\"PORTAGG\",\"MEAN\"))":1.54321458427339,"EWJ^FMA_PCT_ABOVE_MAVG(200,0,,,,\"PORTAGG\")":50.251256281407,"URTH^PERCENT_CHANGE(FMA_EPS(+1,0,,,,\"PORTAGG\",\"MEAN\"),FMA_EPS(+1,-3AM,,,,\"PORTAGG\",\"MEAN\"))":1.0580574896692,"URTH^PERCENT_CHANGE(FMA_EPS(+1,0,,,,\"PORTAGG\",\"MEAN\"),FMA_EPS(+1,-1AM,,,,\"PORTAGG\",\"MEAN\"))":0.711826351093961,"URTH^FMA_PCT_ABOVE_MAVG(200,0,,,,\"PORTAGG\")":61.0953058321479,"VWO^PERCENT_CHANGE(FMA_EPS(+1,0,,,,\"PORTAGG\",\"MEAN\"),FMA_EPS(+1,-3AM,,,,\"PORTAGG\",\"MEAN\"))":-1.44265145578191,"VWO^PERCENT_CHANGE(FMA_EPS(+1,0,,,,\"PORTAGG\",\"MEAN\"),FMA_EPS(+1,-1AM,,,,\"PORTAGG\",\"MEAN\"))":0.0,"VWO^FMA_PCT_ABOVE_MAVG(200,0,,,,\"PORTAGG\")":40.8780903665814,"VGK^PERCENT_CHANGE(FMA_EPS(+1,0,,,,\"PORTAGG\",\"MEAN\"),FMA_EPS(+1,-3AM,,,,\"PORTAGG\",\"MEAN\"))":-2.96610938651039,"VGK^PERCENT_CHANGE(FMA_EPS(+1,0,,,,\"PORTAGG\",\"MEAN\"),FMA_EPS(+1,-1AM,,,,\"PORTAGG\",\"MEAN\"))":0.0,"VGK^FMA_PCT_ABOVE_MAVG(200,0,,,,\"PORTAGG\")":63.370253164557,"EWI^PERCENT_CHANGE(FMA_EPS(+1,0,,,,\"PORTAGG\",\"MEAN\"),FMA_EPS(+1,-3AM,,,,\"PORTAGG\",\"MEAN\"))":-0.964657554670715,"EWI^PERCENT_CHANGE(FMA_EPS(+1,0,,,,\"PORTAGG\",\"MEAN\"),FMA_EPS(+1,-1AM,,,,\"PORTAGG\",\"MEAN\"))":0.380169286559939,"EWI^FMA_PCT_ABOVE_MAVG(200,0,,,,\"PORTAGG\")":60.0,"EWD^PERCENT_CHANGE(FMA_EPS(+1,0,,,,\"PORTAGG\",\"MEAN\"),FMA_EPS(+1,-3AM,,,,\"PORTAGG\",\"MEAN\"))":-5.41039432113931,"EWD^PERCENT_CHANGE(FMA_EPS(+1,0,,,,\"PORTAGG\",\"MEAN\"),FMA_EPS(+1,-1AM,,,,\"PORTAGG\",\"MEAN\"))":-1.26627560566812,"EWD^FMA_PCT_ABOVE_MAVG(200,0,,,,\"PORTAGG\")":55.5555555555556,"EWN^PERCENT_CHANGE(FMA_EPS(+1,0,,,,\"PORTAGG\",\"MEAN\"),FMA_EPS(+1,-3AM,,,,\"PORTAGG\",\"MEAN\"))":2.20044717217294,"EWN^PERCENT_CHANGE(FMA_EPS(+1,0,,,,\"PORTAGG\",\"MEAN\"),FMA_EPS(+1,-1AM,,,,\"PORTAGG\",\"MEAN\"))":0.566487561079756,"EWN^FMA_PCT_ABOVE_MAVG(200,0,,,,\"PORTAGG\")":48.1481481481481,"EWQ^PERCENT_CHANGE(FMA_EPS(+1,0,,,,\"PORTAGG\",\"MEAN\"),FMA_EPS(+1,-3AM,,,,\"PORTAGG\",\"MEAN\"))":-0.097229838564926,"EWQ^PERCENT_CHANGE(FMA_EPS(+1,0,,,,\"PORTAGG\",\"MEAN\"),FMA_EPS(+1,-1AM,,,,\"PORTAGG\",\"MEAN\"))":1.23106721442903,"EWQ^FMA_PCT_ABOVE_MAVG(200,0,,,,\"PORTAGG\")":47.5409836065574,"EWU^PERCENT_CHANGE(FMA_EPS(+1,0,,,,\"PORTAGG\",\"MEAN\"),FMA_EPS(+1,-3AM,,,,\"PORTAGG\",\"MEAN\"))":1.67680281008081,"EWU^PERCENT_CHANGE(FMA_EPS(+1,0,,,,\"PORTAGG\",\"MEAN\"),FMA_EPS(+1,-1AM,,,,\"PORTAGG\",\"MEAN\"))":1.9643195299943,"EWU^FMA_PCT_ABOVE_MAVG(200,0,,,,\"PORTAGG\")":62.8205128205128,"EWL^PERCENT_CHANGE(FMA_EPS(+1,0,,,,\"PORTAGG\",\"MEAN\"),FMA_EPS(+1,-3AM,,,,\"PORTAGG\",\"MEAN\"))":5.04914467793071,"EWL^PERCENT_CHANGE(FMA_EPS(+1,0,,,,\"PORTAGG\",\"MEAN\"),FMA_EPS(+1,-1AM,,,,\"PORTAGG\",\"MEAN\"))":2.16283701720098,"EWL^FMA_PCT_ABOVE_MAVG(200,0,,,,\"PORTAGG\")":54.3478260869565,"EWG^PERCENT_CHANGE(FMA_EPS(+1,0,,,,\"PORTAGG\",\"MEAN\"),FMA_EPS(+1,-3AM,,,,\"PORTAGG\",\"MEAN\"))":-0.72657552485765,"EWG^PERCENT_CHANGE(FMA_EPS(+1,0,,,,\"PORTAGG\",\"MEAN\"),FMA_EPS(+1,-1AM,,,,\"PORTAGG\",\"MEAN\"))":-0.389536294403233,"EWG^FMA_PCT_ABOVE_MAVG(200,0,,,,\"PORTAGG\")":56.140350877193,"EWC^PERCENT_CHANGE(FMA_EPS(+1,0,,,,\"PORTAGG\",\"MEAN\"),FMA_EPS(+1,-3AM,,,,\"PORTAGG\",\"MEAN\"))":1.86751821460101,"EWC^PERCENT_CHANGE(FMA_EPS(+1,0,,,,\"PORTAGG\",\"MEAN\"),FMA_EPS(+1,-1AM,,,,\"PORTAGG\",\"MEAN\"))":1.20543739761032,"EWC^FMA_PCT_ABOVE_MAVG(200,0,,,,\"PORTAGG\")":67.4418604651163,"EWA^PERCENT_CHANGE(FMA_EPS(+1,0,,,,\"PORTAGG\",\"MEAN\"),FMA_EPS(+1,-3AM,,,,\"PORTAGG\",\"MEAN\"))":-0.329789374259602,"EWA^PERCENT_CHANGE(FMA_EPS(+1,0,,,,\"PORTAGG\",\"MEAN\"),FMA_EPS(+1,-1AM,,,,\"PORTAGG\",\"MEAN\"))":2.29829185099024,"EWA^FMA_PCT_ABOVE_MAVG(200,0,,,,\"PORTAGG\")":63.7931034482759,"ENZL^PERCENT_CHANGE(FMA_EPS(+1,0,,,,\"PORTAGG\",\"MEAN\"),FMA_EPS(+1,-3AM,,,,\"PORTAGG\",\"MEAN\"))":8.58224867719887,"ENZL^PERCENT_CHANGE(FMA_EPS(+1,0,,,,\"PORTAGG\",\"MEAN\"),FMA_EPS(+1,-1AM,,,,\"PORTAGG\",\"MEAN\"))":14.6786282752647,"ENZL^FMA_PCT_ABOVE_MAVG(200,0,,,,\"PORTAGG\")":57.6923076923077,"FXI^SIZE(FG_CONSTITUENTS)":52,"FXI^FMA_COS_DOWN(\"EPS\",\"1M\",+1,0,,,\"PORTAGG\",\"MEANR\")":21.0,"FXI^FMA_COS_UP(\"EPS\",\"1M\",+1,0,,,\"PORTAGG\",\"MEANR\")":24.0,"IWM^SIZE(FG_CONSTITUENTS)":1961,"IWM^FMA_COS_DOWN(\"EPS\",\"1M\",+1,0,,,\"PORTAGG\",\"MEANR\")":435.0,"IWM^FMA_COS_UP(\"EPS\",\"1M\",+1,0,,,\"PORTAGG\",\"MEANR\")":378.0,"QQQ^SIZE(FG_CONSTITUENTS)":102,"QQQ^FMA_COS_DOWN(\"EPS\",\"1M\",+1,0,,,\"PORTAGG\",\"MEANR\")":26.0,"QQQ^FMA_COS_UP(\"EPS\",\"1M\",+1,0,,,\"PORTAGG\",\"MEANR\")":37.0,"EMXC^SIZE(FG_CONSTITUENTS)":697,"EMXC^FMA_COS_DOWN(\"EPS\",\"1M\",+1,0,,,\"PORTAGG\",\"MEANR\")":255.0,"EMXC^FMA_COS_UP(\"EPS\",\"1M\",+1,0,,,\"PORTAGG\",\"MEANR\")":276.0,"INDA^SIZE(FG_CONSTITUENTS)":153,"INDA^FMA_COS_DOWN(\"EPS\",\"1M\",+1,0,,,\"PORTAGG\",\"MEANR\")":56.0,"INDA^FMA_COS_UP(\"EPS\",\"1M\",+1,0,,,\"PORTAGG\",\"MEANR\")":53.0,"SPY^SIZE(FG_CONSTITUENTS)":503,"SPY^FMA_COS_DOWN(\"EPS\",\"1M\",+1,0,,,\"PORTAGG\",\"MEANR\")":163.0,"SPY^FMA_COS_UP(\"EPS\",\"1M\",+1,0,,,\"PORTAGG\",\"MEANR\")":167.0,"EWJ^SIZE(FG_CONSTITUENTS)":199,"EWJ^FMA_COS_DOWN(\"EPS\",\"1M\",+1,0,,,\"PORTAGG\",\"MEANR\")":79.0,"EWJ^FMA_COS_UP(\"EPS\",\"1M\",+1,0,,,\"PORTAGG\",\"MEANR\")":106.0,"URTH^SIZE(FG_CONSTITUENTS)":1412,"URTH^FMA_COS_DOWN(\"EPS\",\"1M\",+1,0,,,\"PORTAGG\",\"MEANR\")":515.0,"URTH^FMA_COS_UP(\"EPS\",\"1M\",+1,0,,,\"PORTAGG\",\"MEANR\")":540.0,"VWO^SIZE(FG_CONSTITUENTS(20240229))":4692,"VWO^FMA_COS_DOWN(\"EPS\",\"1M\",+1,0,,,\"PORTAGG\",\"MEANR\")":1193.0,"VWO^FMA_COS_UP(\"EPS\",\"1M\",+1,0,,,\"PORTAGG\",\"MEANR\")":970.0,"VGK^SIZE(FG_CONSTITUENTS)":1287,"VGK^FMA_COS_DOWN(\"EPS\",\"1M\",+1,0,,,\"PORTAGG\",\"MEANR\")":600.0,"VGK^FMA_COS_UP(\"EPS\",\"1M\",+1,0,,,\"PORTAGG\",\"MEANR\")":427.0,"EWI^SIZE(FG_CONSTITUENTS)":26,"EWI^FMA_COS_DOWN(\"EPS\",\"1M\",+1,0,,,\"PORTAGG\",\"MEANR\")":6.0,"EWI^FMA_COS_UP(\"EPS\",\"1M\",+1,0,,,\"PORTAGG\",\"MEANR\")":11.0,"EWD^SIZE(FG_CONSTITUENTS)":47,"EWD^FMA_COS_DOWN(\"EPS\",\"1M\",+1,0,,,\"PORTAGG\",\"MEANR\")":18.0,"EWD^FMA_COS_UP(\"EPS\",\"1M\",+1,0,,,\"PORTAGG\",\"MEANR\")":13.0,"EWN^SIZE(FG_CONSTITUENTS)":54,"EWN^FMA_COS_DOWN(\"EPS\",\"1M\",+1,0,,,\"PORTAGG\",\"MEANR\")":18.0,"EWN^FMA_COS_UP(\"EPS\",\"1M\",+1,0,,,\"PORTAGG\",\"MEANR\")":15.0,"EWQ^SIZE(FG_CONSTITUENTS)":61,"EWQ^FMA_COS_DOWN(\"EPS\",\"1M\",+1,0,,,\"PORTAGG\",\"MEANR\")":25.0,"EWQ^FMA_COS_UP(\"EPS\",\"1M\",+1,0,,,\"PORTAGG\",\"MEANR\")":19.0,"EWU^SIZE(FG_CONSTITUENTS)":79,"EWU^FMA_COS_DOWN(\"EPS\",\"1M\",+1,0,,,\"PORTAGG\",\"MEANR\")":34.0,"EWU^FMA_COS_UP(\"EPS\",\"1M\",+1,0,,,\"PORTAGG\",\"MEANR\")":32.0,"EWL^SIZE(FG_CONSTITUENTS)":48,"EWL^FMA_COS_DOWN(\"EPS\",\"1M\",+1,0,,,\"PORTAGG\",\"MEANR\")":17.0,"EWL^FMA_COS_UP(\"EPS\",\"1M\",+1,0,,,\"PORTAGG\",\"MEANR\")":22.0,"EWG^SIZE(FG_CONSTITUENTS)":57,"EWG^FMA_COS_DOWN(\"EPS\",\"1M\",+1,0,,,\"PORTAGG\",\"MEANR\")":24.0,"EWG^FMA_COS_UP(\"EPS\",\"1M\",+1,0,,,\"PORTAGG\",\"MEANR\")":24.0,"EWC^SIZE(FG_CONSTITUENTS)":86,"EWC^FMA_COS_DOWN(\"EPS\",\"1M\",+1,0,,,\"PORTAGG\",\"MEANR\")":39.0,"EWC^FMA_COS_UP(\"EPS\",\"1M\",+1,0,,,\"PORTAGG\",\"MEANR\")":24.0,"EWA^SIZE(FG_CONSTITUENTS)":58,"EWA^FMA_COS_DOWN(\"EPS\",\"1M\",+1,0,,,\"PORTAGG\",\"MEANR\")":30.0,"EWA^FMA_COS_UP(\"EPS\",\"1M\",+1,0,,,\"PORTAGG\",\"MEANR\")":23.0,"ENZL^SIZE(FG_CONSTITUENTS)":26,"ENZL^FMA_COS_DOWN(\"EPS\",\"1M\",+1,0,,,\"PORTAGG\",\"MEANR\")":14.0,"ENZL^FMA_COS_UP(\"EPS\",\"1M\",+1,0,,,\"PORTAGG\",\"MEANR\")":8.0,"EWI^FG_COMPANY_NAME":"iShares MSCI Italy ETF","EWD^FG_COMPANY_NAME":"iShares MSCI Sweden ETF","EWN^FG_COMPANY_NAME":"iShares MSCI Netherlands ETF","EWQ^FG_COMPANY_NAME":"iShares MSCI France ETF","SPY^FG_COMPANY_NAME":"SPDR S&P 500 ETF Trust","QQQ^FG_COMPANY_NAME":"Invesco QQQ Trust Series I","EWU^FG_COMPANY_NAME":"iShares MSCI United Kingdom ETF","EWL^FG_COMPANY_NAME":"iShares MSCI Switzerland ETF","EWJ^FG_COMPANY_NAME":"iShares MSCI Japan ETF","EWG^FG_COMPANY_NAME":"iShares MSCI Germany ETF","EWC^FG_COMPANY_NAME":"iShares MSCI Canada ETF","EWA^FG_COMPANY_NAME":"iShares MSCI Australia ETF","ENZL^FG_COMPANY_NAME":"iShares MSCI New Zealand ETF","BIGPX^P_PRICE(-1AM)/P_PRICE_HIGH_PR(-1AM,,,,,,\"PRICE\",\"INTRA\",\"52W\")":0.9674247,"BIGPX^FG_TOTAL_RETURNC(-1AM,-7AM)":5.2139044,"BIGPX^FG_TOTAL_RETURNC(-1AM,-4AM)":2.6744962,"BIGPX^FG_TOTAL_RETURNC(-1AM,-2AM)":-2.8994381,"BTC00-USA^FG_PRICE(-1AM)/MAX(FG_PRICE(-1AM,-13AM,D))":0.800919975647703,"BTC00-USA^P_FUT_TOTAL_RETURN(-1AM,-7AM,,'')":14.102037338652,"BTC00-USA^P_FUT_TOTAL_RETURN(-1AM,-4AM,,'')":-3.36302997121942,"BTC00-USA^P_FUT_TOTAL_RETURN(-1AM,-2AM,,'')":1.25471629487559,"FXI^P_PRICE(-1AM)/P_PRICE_HIGH_PR(-1AM,,,,,,\"PRICE\",\"INTRA\",\"52W\")":0.8686082,"FXI^FG_TOTAL_RETURNC(-1AM,-7AM)":13.257801,"FXI^FG_TOTAL_RETURNC(-1AM,-4AM)":-7.338232,"FXI^FG_TOTAL_RETURNC(-1AM,-2AM)":-5.7678165,"EWJ^P_PRICE(-1AM)/P_PRICE_HIGH_PR(-1AM,,,,,,\"PRICE\",\"INTRA\",\"52W\")":0.9120933,"EWJ^FG_TOTAL_RETURNC(-1AM,-7AM)":-1.118052,"EWJ^FG_TOTAL_RETURNC(-1AM,-4AM)":-2.5441587,"EWJ^FG_TOTAL_RETURNC(-1AM,-2AM)":-7.9411745,"EMXC^P_PRICE(-1AM)/P_PRICE_HIGH_PR(-1AM,,,,,,\"PRICE\",\"INTRA\",\"52W\")":0.94419426,"EMXC^FG_TOTAL_RETURNC(-1AM,-7AM)":5.7768583,"EMXC^FG_TOTAL_RETURNC(-1AM,-4AM)":2.9627562,"EMXC^FG_TOTAL_RETURNC(-1AM,-2AM)":-5.061454,"VGK^P_PRICE(-1AM)/P_PRICE_HIGH_PR(-1AM,,,,,,\"PRICE\",\"INTRA\",\"52W\")":0.94092673,"VGK^FG_TOTAL_RETURNC(-1AM,-7AM)":6.256819,"VGK^FG_TOTAL_RETURNC(-1AM,-4AM)":-2.0410776,"VGK^FG_TOTAL_RETURNC(-1AM,-2AM)":-4.3165445,"TLT^P_PRICE(-1AM)/P_PRICE_HIGH_PR(-1AM,,,,,,\"PRICE\",\"INTRA\",\"52W\")":0.96062446,"TLT^FG_TOTAL_RETURNC(-1AM,-7AM)":4.881716,"TLT^FG_TOTAL_RETURNC(-1AM,-4AM)":8.267057,"TLT^FG_TOTAL_RETURNC(-1AM,-2AM)":3.1819701,"USO^P_PRICE(-1AM)/P_PRICE_HIGH_PR(-1AM,,,,,,\"PRICE\",\"INTRA\",\"52W\")":0.94269264,"USO^FG_TOTAL_RETURNC(-1AM,-7AM)":9.0417385,"USO^FG_TOTAL_RETURNC(-1AM,-4AM)":4.422307,"USO^FG_TOTAL_RETURNC(-1AM,-2AM)":-2.018696,"DBC^P_PRICE(-1AM)/P_PRICE_HIGH_PR(-1AM,,,,,,\"PRICE\",\"INTRA\",\"52W\")":0.8786579,"DBC^FG_TOTAL_RETURNC(-1AM,-7AM)":1.122582,"DBC^FG_TOTAL_RETURNC(-1AM,-4AM)":-3.264606,"DBC^FG_TOTAL_RETURNC(-1AM,-2AM)":-3.3061445,"QQQ^P_PRICE(-1AM)/P_PRICE_HIGH_PR(-1AM,,,,,,\"PRICE\",\"INTRA\",\"52W\")":0.896449,"QQQ^FG_TOTAL_RETURNC(-1AM,-7AM)":3.987193,"QQQ^FG_TOTAL_RETURNC(-1AM,-4AM)":2.2723675,"QQQ^FG_TOTAL_RETURNC(-1AM,-2AM)":-8.778948,"UUP^P_PRICE(-1AM)/P_PRICE_HIGH_PR(-1AM,,,,,,\"PRICE\",\"INTRA\",\"52W\")":0.9471241,"UUP^FG_TOTAL_RETURNC(-1AM,-7AM)":1.9628763,"UUP^FG_TOTAL_RETURNC(-1AM,-4AM)":-0.59151053,"UUP^FG_TOTAL_RETURNC(-1AM,-2AM)":-0.41826963,"GLD^P_PRICE(-1AM)/P_PRICE_HIGH_PR(-1AM,,,,,,\"PRICE\",\"INTRA\",\"52W\")":0.99460053,"GLD^FG_TOTAL_RETURNC(-1AM,-7AM)":22.072578,"GLD^FG_TOTAL_RETURNC(-1AM,-4AM)":4.435098,"GLD^FG_TOTAL_RETURNC(-1AM,-2AM)":2.3755074,"SPY^P_PRICE(-1AM)/P_PRICE_HIGH_PR(-1AM,,,,,,\"PRICE\",\"INTRA\",\"52W\")":0.9435736,"SPY^FG_TOTAL_RETURNC(-1AM,-7AM)":7.1233153,"SPY^FG_TOTAL_RETURNC(-1AM,-4AM)":2.7172804,"SPY^FG_TOTAL_RETURNC(-1AM,-2AM)":-4.771507,"VWO^P_PRICE(-1AM)/P_PRICE_HIGH_PR(-1AM,,,,,,\"PRICE\",\"INTRA\",\"52W\")":0.9565884,"VWO^FG_TOTAL_RETURNC(-1AM,-7AM)":7.694733,"VWO^FG_TOTAL_RETURNC(-1AM,-4AM)":1.0344863,"VWO^FG_TOTAL_RETURNC(-1AM,-2AM)":-4.0579023,"BIGPX^P_PRICE(0)/P_PRICE_HIGH_PR(0,,,USD,,,\"PRICE\",\"INTRA\",\"52W\")":0.995116,"BIGPX^FG_TOTAL_RETURNC(0,-6AM)":6.327462,"BIGPX^FG_TOTAL_RETURNC(0,-3AM)":3.2953024,"BIGPX^FG_TOTAL_RETURNC(0,-1AM)":3.5578132,"BTC00-USA^FG_PRICE(0)/MAX(FG_PRICE(0,-12AM,D))":0.792531962389231,"BTC00-USA^P_FUT_TOTAL_RETURN(0,-6AM,,'')":-20.1120391908406,"BTC00-USA^P_FUT_TOTAL_RETURN(0,-3AM,,'')":-14.1576888013826,"BTC00-USA^P_FUT_TOTAL_RETURN(0,-1AM,,'')":-1.66113751860678,"FXI^FG_TOTAL_RETURNC(0,-1AM)":0.23391247,"EWJ^FG_TOTAL_RETURNC(0,-1AM)":6.8766117,"EMXC^FG_TOTAL_RETURNC(0,-1AM)":2.0269156,"VGK^FG_TOTAL_RETURNC(0,-1AM)":4.2405963,"TLT^P_PRICE(0)/P_PRICE_HIGH_PR(0,,,USD,,,\"PRICE\",\"INTRA\",\"52W\")":0.98918355,"TLT^FG_TOTAL_RETURNC(0,-6AM)":7.6678157,"TLT^FG_TOTAL_RETURNC(0,-3AM)":9.293806,"TLT^FG_TOTAL_RETURNC(0,-1AM)":3.985536,"USO^P_PRICE(0)/P_PRICE_HIGH_PR(0,,,USD,,,\"PRICE\",\"INTRA\",\"52W\")":0.8379091,"USO^FG_TOTAL_RETURNC(0,-6AM)":-4.717106,"USO^FG_TOTAL_RETURNC(0,-3AM)":-8.015275,"USO^FG_TOTAL_RETURNC(0,-1AM)":-11.115349,"DBC^P_PRICE(0)/P_PRICE_HIGH_PR(0,,,USD,,,\"PRICE\",\"INTRA\",\"52W\")":0.84354275,"DBC^FG_TOTAL_RETURNC(0,-6AM)":-3.04932,"DBC^FG_TOTAL_RETURNC(0,-3AM)":-6.568706,"DBC^FG_TOTAL_RETURNC(0,-1AM)":-3.9964437,"QQQ^FG_TOTAL_RETURNC(0,-1AM)":4.8384905,"UUP^P_PRICE(0)/P_PRICE_HIGH_PR(0,,,USD,,,\"PRICE\",\"INTRA\",\"52W\")":0.93552125,"UUP^FG_TOTAL_RETURNC(0,-6AM)":1.4013648,"UUP^FG_TOTAL_RETURNC(0,-3AM)":-1.8434823,"UUP^FG_TOTAL_RETURNC(0,-1AM)":-1.2250602,"GLD^P_PRICE(0)/P_PRICE_HIGH_PR(0,,,USD,,,\"PRICE\",\"INTRA\",\"52W\")":0.9994925,"GLD^FG_TOTAL_RETURNC(0,-6AM)":18.289207,"GLD^FG_TOTAL_RETURNC(0,-3AM)":10.064268,"GLD^FG_TOTAL_RETURNC(0,-1AM)":3.4674525,"SPY^FG_TOTAL_RETURNC(0,-1AM)":4.8418283,"VWO^FG_TOTAL_RETURNC(0,-1AM)":1.1888385,"BIGPX^FG_COMPANY_NAME":"BlackRock 60/40 Target Allocation Fund, Institutional","BTC00-USA^FG_COMPANY_NAME":"Bitcoin (CME) Continuous","FXI^FG_COMPANY_NAME":"iShares China Large-Cap ETF","EMXC^FG_COMPANY_NAME":"iShares MSCI Emerging Markets ex China ETF","VGK^FG_COMPANY_NAME":"Vanguard FTSE Europe ETF","TLT^FG_COMPANY_NAME":"iShares 20+ Year Treasury Bond ETF","USO^FG_COMPANY_NAME":"United States Oil Fund LP","DBC^FG_COMPANY_NAME":"Invesco DB Commodity Index Tracking Fund","UUP^FG_COMPANY_NAME":"Invesco DB US Dollar Index Bullish Fund","GLD^FG_COMPANY_NAME":"SPDR Gold Shares","VWO^FG_COMPANY_NAME":"Vanguard FTSE Emerging Markets ETF","TRYCN10Y-FDS^FG_YIELD(0,,,,\"YTM\")":2.106,"TRYIN10Y-FDS^FG_YIELD(0,,,,\"YTM\")":6.8295,"TRYUS10Y-FDS^FG_YIELD(0,,,,\"YTM\")":3.6801,"TRYJP10Y-FDS^FG_YIELD(0,,,,\"YTM\")":0.8642,"FXI^FG_FCF_YIELD_NTM(0)":7.82417158440165,"FXI^FMA_DIV_YLD(NTMA,NOW,NOW,M,\"PORTAGG\",\"MEANR\")":3.72996014401495,"FXI^FG_PE_NTM(0,,,90,0)":6.92434490128286,"FXI^FG_PE(0)":9.49738911853466,"INDA^FG_FCF_YIELD_NTM(0)":2.60774743625585,"INDA^FMA_DIV_YLD(NTMA,NOW,NOW,M,\"PORTAGG\",\"MEANR\")":1.22630749545167,"INDA^FG_PE_NTM(0,,,90,0)":24.5212043267368,"INDA^FG_PE(0)":26.7023372889877,"URTH^FG_FCF_YIELD_NTM(0)":4.39485504302793,"URTH^FMA_DIV_YLD(NTMA,NOW,NOW,M,\"PORTAGG\",\"MEANR\")":1.88703849567962,"URTH^FG_PE_NTM(0,,,90,0)":18.0686360058237,"URTH^FG_PE(0)":21.5480093564046,"VWO^FG_FCF_YIELD_NTM(0)":5.46191937147909,"VWO^FMA_DIV_YLD(NTMA,NOW,NOW,M,\"PORTAGG\",\"MEANR\")":2.94305335410804,"VWO^FG_PE_NTM(0,,,90,0)":12.8760659329158,"VWO^FG_PE(0)":15.1582445076425,"EWJ^FG_FCF_YIELD_NTM(0)":4.16397976987282,"EWJ^FMA_DIV_YLD(NTMA,NOW,NOW,M,\"PORTAGG\",\"MEANR\")":2.37520994994013,"EWJ^FG_PE_NTM(0,,,90,0)":13.7924347699297,"EWJ^FG_PE(0)":16.2946947626654,"QQQ^FG_FCF_YIELD_NTM(0)":3.61888000641045,"QQQ^FMA_DIV_YLD(NTMA,NOW,NOW,M,\"PORTAGG\",\"MEANR\")":0.835811934474651,"QQQ^FG_PE_NTM(0,,,90,0)":25.8375847254087,"QQQ^FG_PE(0)":32.3486978894225,"SPY^FG_FCF_YIELD_NTM(0)":4.11062745234044,"SPY^FMA_DIV_YLD(NTMA,NOW,NOW,M,\"PORTAGG\",\"MEANR\")":1.37396165186428,"SPY^FG_PE_NTM(0,,,90,0)":20.8026400513372,"SPY^FG_PE(0)":25.2602203340809,"INDA^FG_COMPANY_NAME":"iShares MSCI India ETF","URTH^FG_COMPANY_NAME":"iShares MSCI World ETF"}]]></FdsFormulaCache>
</file>

<file path=customXml/itemProps1.xml><?xml version="1.0" encoding="utf-8"?>
<ds:datastoreItem xmlns:ds="http://schemas.openxmlformats.org/officeDocument/2006/customXml" ds:itemID="{F64B6E8E-E9AE-4E5F-8019-FB1D717D9A5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2024-09-13T11:09:05Z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