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Refresh\"/>
    </mc:Choice>
  </mc:AlternateContent>
  <xr:revisionPtr revIDLastSave="0" documentId="13_ncr:1_{95B0B5F2-88AA-4806-B6C2-EBB1B778C108}" xr6:coauthVersionLast="47" xr6:coauthVersionMax="47" xr10:uidLastSave="{00000000-0000-0000-0000-000000000000}"/>
  <bookViews>
    <workbookView xWindow="25490" yWindow="-110" windowWidth="29020" windowHeight="15700" firstSheet="1" activeTab="4" xr2:uid="{00000000-000D-0000-FFFF-FFFF00000000}"/>
  </bookViews>
  <sheets>
    <sheet name="__FDSCACHE__" sheetId="2" state="veryHidden" r:id="rId1"/>
    <sheet name="Assumption" sheetId="8" r:id="rId2"/>
    <sheet name="Aset class Rankings" sheetId="59" r:id="rId3"/>
    <sheet name="Asset class" sheetId="60" r:id="rId4"/>
    <sheet name="OUTPUT_COUNTRY" sheetId="40" r:id="rId5"/>
    <sheet name="PORTFOLIO" sheetId="55" r:id="rId6"/>
    <sheet name="OUTPUT_PPT" sheetId="49" r:id="rId7"/>
    <sheet name="mnemonics" sheetId="20" r:id="rId8"/>
    <sheet name="Value -2 " sheetId="1" r:id="rId9"/>
    <sheet name="LIQIDITY 2" sheetId="28" r:id="rId10"/>
    <sheet name="Quality - 2" sheetId="39" r:id="rId11"/>
    <sheet name="Momnetum ranking" sheetId="12" r:id="rId12"/>
    <sheet name="Safety" sheetId="13" r:id="rId13"/>
    <sheet name="Timing" sheetId="56" r:id="rId14"/>
    <sheet name="Leading Indicator" sheetId="52" r:id="rId15"/>
    <sheet name="t -PE" sheetId="46" r:id="rId16"/>
    <sheet name="Forwa Pe" sheetId="47" r:id="rId17"/>
    <sheet name="DY " sheetId="7" r:id="rId18"/>
    <sheet name="Monthly Returns" sheetId="5" r:id="rId19"/>
    <sheet name="Yearly returns" sheetId="15" r:id="rId20"/>
    <sheet name="Index earnings" sheetId="18" r:id="rId21"/>
    <sheet name="GDP_GROWTH" sheetId="45" r:id="rId22"/>
    <sheet name="Currency- 2" sheetId="42" r:id="rId23"/>
    <sheet name="Chart1" sheetId="36" state="hidden" r:id="rId24"/>
    <sheet name="CAD" sheetId="43" r:id="rId25"/>
    <sheet name="Country Int rates " sheetId="9" r:id="rId26"/>
    <sheet name="Index ROE" sheetId="38" r:id="rId27"/>
    <sheet name="Economic Momentum" sheetId="48" r:id="rId28"/>
    <sheet name="Market Capitalisation" sheetId="57" r:id="rId29"/>
  </sheets>
  <definedNames>
    <definedName name="_xlnm._FilterDatabase" localSheetId="11" hidden="1">'Momnetum ranking'!$A$2:$AK$18</definedName>
    <definedName name="_xlnm._FilterDatabase" localSheetId="4" hidden="1">OUTPUT_COUNTRY!$B$4:$N$14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57" l="1" a="1"/>
  <c r="D14" i="57" a="1"/>
  <c r="G14" i="57" a="1"/>
  <c r="D13" i="57" a="1"/>
  <c r="G13" i="57" a="1"/>
  <c r="D12" i="57" a="1"/>
  <c r="G12" i="57" a="1"/>
  <c r="D11" i="57" a="1"/>
  <c r="G11" i="57" a="1"/>
  <c r="D10" i="57" a="1"/>
  <c r="G10" i="57" a="1"/>
  <c r="D9" i="57" a="1"/>
  <c r="G9" i="57" a="1"/>
  <c r="D8" i="57" a="1"/>
  <c r="G8" i="57" a="1"/>
  <c r="D7" i="57" a="1"/>
  <c r="G7" i="57" a="1"/>
  <c r="D6" i="57" a="1"/>
  <c r="G6" i="57" a="1"/>
  <c r="D5" i="57" a="1"/>
  <c r="G5" i="57" a="1"/>
  <c r="G4" i="57" a="1"/>
  <c r="D3" i="57" a="1"/>
  <c r="G3" i="57" a="1"/>
  <c r="D2" i="57" a="1"/>
  <c r="G2" i="57" a="1"/>
  <c r="B17" i="57" a="1"/>
  <c r="D4" i="57" a="1"/>
  <c r="E17" i="57" a="1"/>
  <c r="D17" i="57" a="1"/>
  <c r="D17" i="57" l="1"/>
  <c r="E17" i="57"/>
  <c r="D4" i="57"/>
  <c r="B17" i="57"/>
  <c r="G2" i="57"/>
  <c r="D2" i="57"/>
  <c r="G3" i="57"/>
  <c r="D3" i="57"/>
  <c r="G4" i="57"/>
  <c r="G5" i="57"/>
  <c r="D5" i="57"/>
  <c r="G6" i="57"/>
  <c r="D6" i="57"/>
  <c r="G7" i="57"/>
  <c r="D7" i="57"/>
  <c r="G8" i="57"/>
  <c r="D8" i="57"/>
  <c r="G9" i="57"/>
  <c r="D9" i="57"/>
  <c r="G10" i="57"/>
  <c r="D10" i="57"/>
  <c r="G11" i="57"/>
  <c r="D11" i="57"/>
  <c r="G12" i="57"/>
  <c r="D12" i="57"/>
  <c r="G13" i="57"/>
  <c r="D13" i="57"/>
  <c r="G14" i="57"/>
  <c r="D14" i="57"/>
  <c r="G17" i="57"/>
  <c r="M16" i="48" a="1"/>
  <c r="M14" i="48" a="1"/>
  <c r="M13" i="48" a="1"/>
  <c r="M12" i="48" a="1"/>
  <c r="M11" i="48" a="1"/>
  <c r="M10" i="48" a="1"/>
  <c r="M8" i="48" a="1"/>
  <c r="M7" i="48" a="1"/>
  <c r="M5" i="48" a="1"/>
  <c r="M9" i="48" a="1"/>
  <c r="M6" i="48" a="1"/>
  <c r="M4" i="48" a="1"/>
  <c r="M4" i="48" l="1"/>
  <c r="M6" i="48"/>
  <c r="M9" i="48"/>
  <c r="M5" i="48"/>
  <c r="M7" i="48"/>
  <c r="M8" i="48"/>
  <c r="M10" i="48"/>
  <c r="M11" i="48"/>
  <c r="M12" i="48"/>
  <c r="M13" i="48"/>
  <c r="M14" i="48"/>
  <c r="M16" i="48"/>
  <c r="Y2" i="12" l="1"/>
  <c r="F24" i="8"/>
  <c r="E24" i="8"/>
  <c r="H12" i="43" a="1"/>
  <c r="H4" i="43" a="1"/>
  <c r="G15" i="42" a="1"/>
  <c r="G13" i="42" a="1"/>
  <c r="G11" i="42" a="1"/>
  <c r="G9" i="42" a="1"/>
  <c r="G7" i="42" a="1"/>
  <c r="G5" i="42" a="1"/>
  <c r="G3" i="42" a="1"/>
  <c r="C2" i="18" a="1"/>
  <c r="A2" i="15" a="1"/>
  <c r="M2" i="7" a="1"/>
  <c r="K2" i="47" a="1"/>
  <c r="I2" i="46" a="1"/>
  <c r="C12" i="52" a="1"/>
  <c r="C10" i="52" a="1"/>
  <c r="C8" i="52" a="1"/>
  <c r="C6" i="52" a="1"/>
  <c r="C4" i="52" a="1"/>
  <c r="S16" i="56" a="1"/>
  <c r="S12" i="56" a="1"/>
  <c r="S8" i="56" a="1"/>
  <c r="G17" i="56" a="1"/>
  <c r="G13" i="56" a="1"/>
  <c r="G9" i="56" a="1"/>
  <c r="G5" i="56" a="1"/>
  <c r="B6" i="56" a="1"/>
  <c r="R23" i="12" a="1"/>
  <c r="K22" i="12" a="1"/>
  <c r="M20" i="12" a="1"/>
  <c r="O18" i="12" a="1"/>
  <c r="Q14" i="12" a="1"/>
  <c r="S12" i="12" a="1"/>
  <c r="L11" i="12" a="1"/>
  <c r="N9" i="12" a="1"/>
  <c r="P7" i="12" a="1"/>
  <c r="R5" i="12" a="1"/>
  <c r="K4" i="12" a="1"/>
  <c r="G21" i="12" a="1"/>
  <c r="F14" i="12" a="1"/>
  <c r="E9" i="12" a="1"/>
  <c r="G3" i="12" a="1"/>
  <c r="J14" i="39" a="1"/>
  <c r="H11" i="39" a="1"/>
  <c r="F8" i="39" a="1"/>
  <c r="C5" i="39" a="1"/>
  <c r="M11" i="28" a="1"/>
  <c r="L6" i="28" a="1"/>
  <c r="G13" i="28" a="1"/>
  <c r="G5" i="28" a="1"/>
  <c r="D11" i="28" a="1"/>
  <c r="D3" i="28" a="1"/>
  <c r="J20" i="1" a="1"/>
  <c r="H15" i="1" a="1"/>
  <c r="F13" i="1" a="1"/>
  <c r="K10" i="1" a="1"/>
  <c r="I8" i="1" a="1"/>
  <c r="G6" i="1" a="1"/>
  <c r="L3" i="1" a="1"/>
  <c r="C7" i="1" a="1"/>
  <c r="D5" i="49" a="1"/>
  <c r="C17" i="40" a="1"/>
  <c r="H11" i="60" a="1"/>
  <c r="H7" i="60" a="1"/>
  <c r="H3" i="60" a="1"/>
  <c r="G4" i="43" a="1"/>
  <c r="F13" i="42" a="1"/>
  <c r="F5" i="42" a="1"/>
  <c r="B2" i="18" a="1"/>
  <c r="L2" i="7" a="1"/>
  <c r="H2" i="46" a="1"/>
  <c r="J11" i="52" a="1"/>
  <c r="J7" i="52" a="1"/>
  <c r="J3" i="52" a="1"/>
  <c r="V15" i="56" a="1"/>
  <c r="V7" i="56" a="1"/>
  <c r="J12" i="56" a="1"/>
  <c r="C26" i="56" a="1"/>
  <c r="B5" i="56" a="1"/>
  <c r="S21" i="12" a="1"/>
  <c r="J20" i="48" a="1"/>
  <c r="M2" i="38" a="1"/>
  <c r="AK4" i="9" a="1"/>
  <c r="U4" i="9" a="1"/>
  <c r="E4" i="9" a="1"/>
  <c r="G12" i="43" a="1"/>
  <c r="F15" i="42" a="1"/>
  <c r="F11" i="42" a="1"/>
  <c r="F9" i="42" a="1"/>
  <c r="F7" i="42" a="1"/>
  <c r="F3" i="42" a="1"/>
  <c r="N2" i="5" a="1"/>
  <c r="J2" i="47" a="1"/>
  <c r="J9" i="52" a="1"/>
  <c r="J5" i="52" a="1"/>
  <c r="V11" i="56" a="1"/>
  <c r="J16" i="56" a="1"/>
  <c r="J8" i="56" a="1"/>
  <c r="Q23" i="12" a="1"/>
  <c r="L20" i="12" a="1"/>
  <c r="N18" i="12" a="1"/>
  <c r="H15" i="43" a="1"/>
  <c r="H7" i="43" a="1"/>
  <c r="C5" i="43" a="1"/>
  <c r="E14" i="42" a="1"/>
  <c r="E12" i="42" a="1"/>
  <c r="E10" i="42" a="1"/>
  <c r="E8" i="42" a="1"/>
  <c r="E6" i="42" a="1"/>
  <c r="E4" i="42" a="1"/>
  <c r="I2" i="18" a="1"/>
  <c r="G2" i="15" a="1"/>
  <c r="E2" i="5" a="1"/>
  <c r="C2" i="7" a="1"/>
  <c r="A2" i="47" a="1"/>
  <c r="I12" i="52" a="1"/>
  <c r="I10" i="52" a="1"/>
  <c r="I8" i="52" a="1"/>
  <c r="I6" i="52" a="1"/>
  <c r="I4" i="52" a="1"/>
  <c r="U17" i="56" a="1"/>
  <c r="U13" i="56" a="1"/>
  <c r="U9" i="56" a="1"/>
  <c r="U5" i="56" a="1"/>
  <c r="I14" i="56" a="1"/>
  <c r="I10" i="56" a="1"/>
  <c r="I6" i="56" a="1"/>
  <c r="B12" i="56" a="1"/>
  <c r="C8" i="13" a="1"/>
  <c r="Q22" i="12" a="1"/>
  <c r="S20" i="12" a="1"/>
  <c r="L19" i="12" a="1"/>
  <c r="N15" i="12" a="1"/>
  <c r="P13" i="12" a="1"/>
  <c r="R11" i="12" a="1"/>
  <c r="K10" i="12" a="1"/>
  <c r="M8" i="12" a="1"/>
  <c r="O6" i="12" a="1"/>
  <c r="Q4" i="12" a="1"/>
  <c r="G23" i="12" a="1"/>
  <c r="F18" i="12" a="1"/>
  <c r="E11" i="12" a="1"/>
  <c r="G5" i="12" a="1"/>
  <c r="B8" i="12" a="1"/>
  <c r="J4" i="39" a="1"/>
  <c r="F14" i="39" a="1"/>
  <c r="C11" i="39" a="1"/>
  <c r="M13" i="28" a="1"/>
  <c r="L8" i="28" a="1"/>
  <c r="K3" i="28" a="1"/>
  <c r="G8" i="28" a="1"/>
  <c r="D14" i="28" a="1"/>
  <c r="D6" i="28" a="1"/>
  <c r="O6" i="1" a="1"/>
  <c r="G19" i="1" a="1"/>
  <c r="L13" i="1" a="1"/>
  <c r="J11" i="1" a="1"/>
  <c r="H9" i="1" a="1"/>
  <c r="F7" i="1" a="1"/>
  <c r="K4" i="1" a="1"/>
  <c r="C13" i="1" a="1"/>
  <c r="D11" i="49" a="1"/>
  <c r="C13" i="55" a="1"/>
  <c r="C7" i="40" a="1"/>
  <c r="F9" i="60" a="1"/>
  <c r="F5" i="60" a="1"/>
  <c r="J8" i="48" a="1"/>
  <c r="C2" i="38" a="1"/>
  <c r="AA4" i="9" a="1"/>
  <c r="K4" i="9" a="1"/>
  <c r="J19" i="48" a="1"/>
  <c r="AE4" i="9" a="1"/>
  <c r="G5" i="43" a="1"/>
  <c r="D15" i="42" a="1"/>
  <c r="G10" i="42" a="1"/>
  <c r="I5" i="42" a="1"/>
  <c r="E3" i="42" a="1"/>
  <c r="H2" i="5" a="1"/>
  <c r="L2" i="46" a="1"/>
  <c r="E7" i="52" a="1"/>
  <c r="S17" i="56" a="1"/>
  <c r="J15" i="56" a="1"/>
  <c r="H6" i="56" a="1"/>
  <c r="P21" i="12" a="1"/>
  <c r="O15" i="12" a="1"/>
  <c r="N13" i="12" a="1"/>
  <c r="N11" i="12" a="1"/>
  <c r="M9" i="12" a="1"/>
  <c r="N5" i="12" a="1"/>
  <c r="F19" i="12" a="1"/>
  <c r="B6" i="12" a="1"/>
  <c r="F9" i="39" a="1"/>
  <c r="M10" i="28" a="1"/>
  <c r="G10" i="28" a="1"/>
  <c r="E6" i="28" a="1"/>
  <c r="O5" i="1" a="1"/>
  <c r="H13" i="1" a="1"/>
  <c r="G8" i="1" a="1"/>
  <c r="G3" i="1" a="1"/>
  <c r="C15" i="55" a="1"/>
  <c r="G4" i="60" a="1"/>
  <c r="I2" i="38" a="1"/>
  <c r="L4" i="9" a="1"/>
  <c r="G14" i="43" a="1"/>
  <c r="I12" i="42" a="1"/>
  <c r="C8" i="42" a="1"/>
  <c r="L2" i="15" a="1"/>
  <c r="B2" i="7" a="1"/>
  <c r="G9" i="52" a="1"/>
  <c r="J4" i="52" a="1"/>
  <c r="T12" i="56" a="1"/>
  <c r="T7" i="56" a="1"/>
  <c r="G11" i="56" a="1"/>
  <c r="B8" i="56" a="1"/>
  <c r="P23" i="12" a="1"/>
  <c r="O19" i="12" a="1"/>
  <c r="M7" i="12" a="1"/>
  <c r="N3" i="12" a="1"/>
  <c r="F11" i="12" a="1"/>
  <c r="F5" i="12" a="1"/>
  <c r="H13" i="39" a="1"/>
  <c r="J16" i="48" a="1"/>
  <c r="AD4" i="9" a="1"/>
  <c r="C15" i="42" a="1"/>
  <c r="F10" i="42" a="1"/>
  <c r="H5" i="42" a="1"/>
  <c r="D3" i="42" a="1"/>
  <c r="G2" i="5" a="1"/>
  <c r="K2" i="46" a="1"/>
  <c r="I11" i="52" a="1"/>
  <c r="D7" i="52" a="1"/>
  <c r="V16" i="56" a="1"/>
  <c r="I15" i="56" a="1"/>
  <c r="J6" i="48" a="1"/>
  <c r="H8" i="43" a="1"/>
  <c r="I13" i="42" a="1"/>
  <c r="E11" i="42" a="1"/>
  <c r="H6" i="42" a="1"/>
  <c r="F2" i="18" a="1"/>
  <c r="E2" i="47" a="1"/>
  <c r="G10" i="52" a="1"/>
  <c r="F3" i="52" a="1"/>
  <c r="T9" i="56" a="1"/>
  <c r="G8" i="56" a="1"/>
  <c r="C9" i="13" a="1"/>
  <c r="N20" i="12" a="1"/>
  <c r="L18" i="12" a="1"/>
  <c r="L14" i="12" a="1"/>
  <c r="L12" i="12" a="1"/>
  <c r="L10" i="12" a="1"/>
  <c r="L6" i="12" a="1"/>
  <c r="F21" i="12" a="1"/>
  <c r="G7" i="12" a="1"/>
  <c r="J7" i="39" a="1"/>
  <c r="K13" i="28" a="1"/>
  <c r="H13" i="28" a="1"/>
  <c r="AL4" i="9" a="1"/>
  <c r="R4" i="9" a="1"/>
  <c r="C3" i="43" a="1"/>
  <c r="J8" i="42" a="1"/>
  <c r="D4" i="42" a="1"/>
  <c r="I2" i="7" a="1"/>
  <c r="J12" i="52" a="1"/>
  <c r="D8" i="52" a="1"/>
  <c r="H5" i="52" a="1"/>
  <c r="S14" i="56" a="1"/>
  <c r="I17" i="56" a="1"/>
  <c r="I12" i="56" a="1"/>
  <c r="B15" i="56" a="1"/>
  <c r="N22" i="12" a="1"/>
  <c r="K8" i="12" a="1"/>
  <c r="L4" i="12" a="1"/>
  <c r="F13" i="12" a="1"/>
  <c r="B12" i="12" a="1"/>
  <c r="H2" i="39" a="1"/>
  <c r="C10" i="39" a="1"/>
  <c r="K7" i="28" a="1"/>
  <c r="G4" i="28" a="1"/>
  <c r="O11" i="1" a="1"/>
  <c r="G14" i="1" a="1"/>
  <c r="J6" i="1" a="1"/>
  <c r="C6" i="1" a="1"/>
  <c r="C13" i="40" a="1"/>
  <c r="E6" i="60" a="1"/>
  <c r="E15" i="42" a="1"/>
  <c r="J6" i="42" a="1"/>
  <c r="C4" i="42" a="1"/>
  <c r="F2" i="5" a="1"/>
  <c r="L2" i="47" a="1"/>
  <c r="H7" i="52" a="1"/>
  <c r="C5" i="52" a="1"/>
  <c r="U10" i="56" a="1"/>
  <c r="S5" i="56" a="1"/>
  <c r="G7" i="56" a="1"/>
  <c r="K21" i="12" a="1"/>
  <c r="M14" i="12" a="1"/>
  <c r="S11" i="12" a="1"/>
  <c r="P9" i="12" a="1"/>
  <c r="K5" i="12" a="1"/>
  <c r="F23" i="12" a="1"/>
  <c r="E8" i="12" a="1"/>
  <c r="H6" i="28" a="1"/>
  <c r="O13" i="1" a="1"/>
  <c r="K8" i="1" a="1"/>
  <c r="H3" i="1" a="1"/>
  <c r="D14" i="49" a="1"/>
  <c r="E8" i="60" a="1"/>
  <c r="J15" i="48" a="1"/>
  <c r="W4" i="9" a="1"/>
  <c r="H6" i="43" a="1"/>
  <c r="F12" i="42" a="1"/>
  <c r="H9" i="42" a="1"/>
  <c r="N2" i="15" a="1"/>
  <c r="C2" i="46" a="1"/>
  <c r="F10" i="52" a="1"/>
  <c r="H4" i="52" a="1"/>
  <c r="G12" i="56" a="1"/>
  <c r="B7" i="56" a="1"/>
  <c r="M23" i="12" a="1"/>
  <c r="P18" i="12" a="1"/>
  <c r="L7" i="12" a="1"/>
  <c r="B10" i="12" a="1"/>
  <c r="J2" i="39" a="1"/>
  <c r="F7" i="39" a="1"/>
  <c r="M15" i="28" a="1"/>
  <c r="L9" i="28" a="1"/>
  <c r="E10" i="28" a="1"/>
  <c r="K19" i="1" a="1"/>
  <c r="F14" i="1" a="1"/>
  <c r="H11" i="1" a="1"/>
  <c r="L5" i="1" a="1"/>
  <c r="G12" i="60" a="1"/>
  <c r="E3" i="60" a="1"/>
  <c r="I6" i="42" a="1"/>
  <c r="J3" i="42" a="1"/>
  <c r="G7" i="52" a="1"/>
  <c r="U15" i="56" a="1"/>
  <c r="T10" i="56" a="1"/>
  <c r="J17" i="56" a="1"/>
  <c r="J6" i="56" a="1"/>
  <c r="R20" i="12" a="1"/>
  <c r="K14" i="12" a="1"/>
  <c r="Q11" i="12" a="1"/>
  <c r="S4" i="12" a="1"/>
  <c r="E23" i="12" a="1"/>
  <c r="F7" i="12" a="1"/>
  <c r="H15" i="28" a="1"/>
  <c r="G6" i="28" a="1"/>
  <c r="O12" i="1" a="1"/>
  <c r="J19" i="1" a="1"/>
  <c r="J8" i="1" a="1"/>
  <c r="C12" i="55" a="1"/>
  <c r="G7" i="60" a="1"/>
  <c r="J14" i="48" a="1"/>
  <c r="V4" i="9" a="1"/>
  <c r="G6" i="43" a="1"/>
  <c r="J14" i="42" a="1"/>
  <c r="I2" i="47" a="1"/>
  <c r="B2" i="46" a="1"/>
  <c r="E2" i="38" a="1"/>
  <c r="G14" i="12" a="1"/>
  <c r="D2" i="5" a="1"/>
  <c r="O9" i="12" a="1"/>
  <c r="D13" i="49" a="1"/>
  <c r="D2" i="38" a="1"/>
  <c r="D12" i="42" a="1"/>
  <c r="M2" i="15" a="1"/>
  <c r="E10" i="52" a="1"/>
  <c r="AF4" i="9" a="1"/>
  <c r="I10" i="42" a="1"/>
  <c r="C5" i="42" a="1"/>
  <c r="J2" i="18" a="1"/>
  <c r="B2" i="15" a="1"/>
  <c r="D3" i="52" a="1"/>
  <c r="V12" i="56" a="1"/>
  <c r="V6" i="56" a="1"/>
  <c r="H14" i="56" a="1"/>
  <c r="C6" i="13" a="1"/>
  <c r="R21" i="12" a="1"/>
  <c r="K15" i="12" a="1"/>
  <c r="Q12" i="12" a="1"/>
  <c r="O10" i="12" a="1"/>
  <c r="S5" i="12" a="1"/>
  <c r="E19" i="12" a="1"/>
  <c r="F10" i="12" a="1"/>
  <c r="J10" i="39" a="1"/>
  <c r="C9" i="39" a="1"/>
  <c r="K12" i="28" a="1"/>
  <c r="L5" i="28" a="1"/>
  <c r="E14" i="28" a="1"/>
  <c r="D5" i="28" a="1"/>
  <c r="F15" i="1" a="1"/>
  <c r="K9" i="1" a="1"/>
  <c r="C8" i="1" a="1"/>
  <c r="C20" i="55" a="1"/>
  <c r="H9" i="60" a="1"/>
  <c r="E5" i="60" a="1"/>
  <c r="N2" i="38" a="1"/>
  <c r="H4" i="9" a="1"/>
  <c r="H10" i="43" a="1"/>
  <c r="C6" i="43" a="1"/>
  <c r="I7" i="42" a="1"/>
  <c r="M2" i="5" a="1"/>
  <c r="F2" i="7" a="1"/>
  <c r="F11" i="52" a="1"/>
  <c r="H8" i="52" a="1"/>
  <c r="B16" i="56" a="1"/>
  <c r="N19" i="12" a="1"/>
  <c r="L8" i="12" a="1"/>
  <c r="P3" i="12" a="1"/>
  <c r="F3" i="12" a="1"/>
  <c r="H3" i="39" a="1"/>
  <c r="H9" i="28" a="1"/>
  <c r="K20" i="1" a="1"/>
  <c r="H12" i="1" a="1"/>
  <c r="H4" i="1" a="1"/>
  <c r="C11" i="40" a="1"/>
  <c r="L2" i="38" a="1"/>
  <c r="E13" i="42" a="1"/>
  <c r="H10" i="42" a="1"/>
  <c r="J4" i="42" a="1"/>
  <c r="H2" i="18" a="1"/>
  <c r="J2" i="46" a="1"/>
  <c r="I5" i="52" a="1"/>
  <c r="C3" i="52" a="1"/>
  <c r="U12" i="56" a="1"/>
  <c r="U6" i="56" a="1"/>
  <c r="G14" i="56" a="1"/>
  <c r="I8" i="56" a="1"/>
  <c r="C5" i="13" a="1"/>
  <c r="Q21" i="12" a="1"/>
  <c r="S14" i="12" a="1"/>
  <c r="P12" i="12" a="1"/>
  <c r="N10" i="12" a="1"/>
  <c r="Q5" i="12" a="1"/>
  <c r="G18" i="12" a="1"/>
  <c r="E10" i="12" a="1"/>
  <c r="J9" i="39" a="1"/>
  <c r="C8" i="39" a="1"/>
  <c r="L11" i="28" a="1"/>
  <c r="K5" i="28" a="1"/>
  <c r="E4" i="28" a="1"/>
  <c r="L14" i="1" a="1"/>
  <c r="J9" i="1" a="1"/>
  <c r="L6" i="1" a="1"/>
  <c r="C19" i="55" a="1"/>
  <c r="G9" i="60" a="1"/>
  <c r="H4" i="60" a="1"/>
  <c r="AC4" i="9" a="1"/>
  <c r="G4" i="9" a="1"/>
  <c r="G10" i="43" a="1"/>
  <c r="C4" i="43" a="1"/>
  <c r="H7" i="42" a="1"/>
  <c r="L2" i="5" a="1"/>
  <c r="E2" i="7" a="1"/>
  <c r="E11" i="52" a="1"/>
  <c r="G8" i="52" a="1"/>
  <c r="B14" i="56" a="1"/>
  <c r="M19" i="12" a="1"/>
  <c r="S7" i="12" a="1"/>
  <c r="O3" i="12" a="1"/>
  <c r="E3" i="12" a="1"/>
  <c r="M4" i="28" a="1"/>
  <c r="G9" i="28" a="1"/>
  <c r="E13" i="28" a="1"/>
  <c r="I20" i="1" a="1"/>
  <c r="AJ4" i="9" a="1"/>
  <c r="G6" i="42" a="1"/>
  <c r="N2" i="18" a="1"/>
  <c r="G4" i="52" a="1"/>
  <c r="U14" i="56" a="1"/>
  <c r="U7" i="56" a="1"/>
  <c r="H13" i="56" a="1"/>
  <c r="J5" i="56" a="1"/>
  <c r="O21" i="12" a="1"/>
  <c r="Q18" i="12" a="1"/>
  <c r="Q10" i="12" a="1"/>
  <c r="Q7" i="12" a="1"/>
  <c r="G20" i="12" a="1"/>
  <c r="C13" i="39" a="1"/>
  <c r="G15" i="28" a="1"/>
  <c r="G3" i="28" a="1"/>
  <c r="E5" i="28" a="1"/>
  <c r="F20" i="1" a="1"/>
  <c r="G7" i="1" a="1"/>
  <c r="J3" i="1" a="1"/>
  <c r="J13" i="48" a="1"/>
  <c r="F4" i="9" a="1"/>
  <c r="H5" i="43" a="1"/>
  <c r="D14" i="42" a="1"/>
  <c r="D10" i="42" a="1"/>
  <c r="K2" i="5" a="1"/>
  <c r="H2" i="47" a="1"/>
  <c r="E12" i="52" a="1"/>
  <c r="F8" i="52" a="1"/>
  <c r="S7" i="56" a="1"/>
  <c r="C11" i="13" a="1"/>
  <c r="O13" i="12" a="1"/>
  <c r="G9" i="12" a="1"/>
  <c r="B11" i="12" a="1"/>
  <c r="H9" i="39" a="1"/>
  <c r="L10" i="28" a="1"/>
  <c r="I13" i="1" a="1"/>
  <c r="G10" i="1" a="1"/>
  <c r="C16" i="40" a="1"/>
  <c r="E10" i="60" a="1"/>
  <c r="E4" i="60" a="1"/>
  <c r="AI4" i="9" a="1"/>
  <c r="D4" i="9" a="1"/>
  <c r="F6" i="42" a="1"/>
  <c r="M2" i="18" a="1"/>
  <c r="F4" i="52" a="1"/>
  <c r="T14" i="56" a="1"/>
  <c r="I5" i="56" a="1"/>
  <c r="N21" i="12" a="1"/>
  <c r="M18" i="12" a="1"/>
  <c r="P10" i="12" a="1"/>
  <c r="O7" i="12" a="1"/>
  <c r="P4" i="12" a="1"/>
  <c r="F20" i="12" a="1"/>
  <c r="B9" i="12" a="1"/>
  <c r="C12" i="39" a="1"/>
  <c r="H14" i="28" a="1"/>
  <c r="D4" i="28" a="1"/>
  <c r="L19" i="1" a="1"/>
  <c r="K6" i="1" a="1"/>
  <c r="I3" i="1" a="1"/>
  <c r="D10" i="49" a="1"/>
  <c r="J12" i="48" a="1"/>
  <c r="H3" i="43" a="1"/>
  <c r="C14" i="42" a="1"/>
  <c r="C10" i="42" a="1"/>
  <c r="J2" i="5" a="1"/>
  <c r="G2" i="47" a="1"/>
  <c r="D12" i="52" a="1"/>
  <c r="E8" i="52" a="1"/>
  <c r="T6" i="56" a="1"/>
  <c r="H12" i="56" a="1"/>
  <c r="C10" i="13" a="1"/>
  <c r="M13" i="12" a="1"/>
  <c r="F9" i="12" a="1"/>
  <c r="H8" i="39" a="1"/>
  <c r="K10" i="28" a="1"/>
  <c r="F10" i="1" a="1"/>
  <c r="C15" i="40" a="1"/>
  <c r="G3" i="60" a="1"/>
  <c r="AH4" i="9" a="1"/>
  <c r="C4" i="9" a="1"/>
  <c r="D6" i="42" a="1"/>
  <c r="L2" i="18" a="1"/>
  <c r="E4" i="52" a="1"/>
  <c r="V13" i="56" a="1"/>
  <c r="J11" i="56" a="1"/>
  <c r="H5" i="56" a="1"/>
  <c r="M21" i="12" a="1"/>
  <c r="K18" i="12" a="1"/>
  <c r="M10" i="12" a="1"/>
  <c r="N7" i="12" a="1"/>
  <c r="O4" i="12" a="1"/>
  <c r="E20" i="12" a="1"/>
  <c r="G14" i="28" a="1"/>
  <c r="D18" i="28" a="1"/>
  <c r="E3" i="28" a="1"/>
  <c r="I19" i="1" a="1"/>
  <c r="G13" i="1" a="1"/>
  <c r="F3" i="1" a="1"/>
  <c r="D9" i="49" a="1"/>
  <c r="J11" i="48" a="1"/>
  <c r="G3" i="43" a="1"/>
  <c r="J13" i="42" a="1"/>
  <c r="J9" i="42" a="1"/>
  <c r="Q4" i="9" a="1"/>
  <c r="F8" i="42" a="1"/>
  <c r="G4" i="42" a="1"/>
  <c r="I2" i="15" a="1"/>
  <c r="I9" i="52" a="1"/>
  <c r="H9" i="56" a="1"/>
  <c r="R19" i="12" a="1"/>
  <c r="P14" i="12" a="1"/>
  <c r="P11" i="12" a="1"/>
  <c r="K6" i="12" a="1"/>
  <c r="K3" i="12" a="1"/>
  <c r="E13" i="12" a="1"/>
  <c r="F6" i="39" a="1"/>
  <c r="H7" i="28" a="1"/>
  <c r="D9" i="28" a="1"/>
  <c r="K14" i="1" a="1"/>
  <c r="F8" i="1" a="1"/>
  <c r="C16" i="55" a="1"/>
  <c r="E12" i="60" a="1"/>
  <c r="G2" i="38" a="1"/>
  <c r="H11" i="43" a="1"/>
  <c r="H15" i="42" a="1"/>
  <c r="I11" i="42" a="1"/>
  <c r="H2" i="7" a="1"/>
  <c r="E2" i="46" a="1"/>
  <c r="E6" i="52" a="1"/>
  <c r="V9" i="56" a="1"/>
  <c r="H8" i="56" a="1"/>
  <c r="B9" i="56" a="1"/>
  <c r="R22" i="12" a="1"/>
  <c r="Q8" i="12" a="1"/>
  <c r="G4" i="12" a="1"/>
  <c r="J6" i="39" a="1"/>
  <c r="K14" i="28" a="1"/>
  <c r="M5" i="28" a="1"/>
  <c r="I11" i="1" a="1"/>
  <c r="L4" i="1" a="1"/>
  <c r="C5" i="1" a="1"/>
  <c r="F6" i="60" a="1"/>
  <c r="P4" i="9" a="1"/>
  <c r="D8" i="42" a="1"/>
  <c r="F4" i="42" a="1"/>
  <c r="H2" i="15" a="1"/>
  <c r="H9" i="52" a="1"/>
  <c r="U16" i="56" a="1"/>
  <c r="H15" i="56" a="1"/>
  <c r="Q19" i="12" a="1"/>
  <c r="O14" i="12" a="1"/>
  <c r="O11" i="12" a="1"/>
  <c r="P5" i="12" a="1"/>
  <c r="G12" i="12" a="1"/>
  <c r="F5" i="39" a="1"/>
  <c r="G7" i="28" a="1"/>
  <c r="E8" i="28" a="1"/>
  <c r="O4" i="1" a="1"/>
  <c r="J14" i="1" a="1"/>
  <c r="G11" i="1" a="1"/>
  <c r="L7" i="1" a="1"/>
  <c r="G11" i="60" a="1"/>
  <c r="F2" i="38" a="1"/>
  <c r="G11" i="43" a="1"/>
  <c r="H11" i="42" a="1"/>
  <c r="J7" i="42" a="1"/>
  <c r="G2" i="7" a="1"/>
  <c r="D2" i="46" a="1"/>
  <c r="F9" i="52" a="1"/>
  <c r="D6" i="52" a="1"/>
  <c r="S9" i="56" a="1"/>
  <c r="J7" i="56" a="1"/>
  <c r="C16" i="13" a="1"/>
  <c r="P22" i="12" a="1"/>
  <c r="P8" i="12" a="1"/>
  <c r="F4" i="12" a="1"/>
  <c r="J5" i="39" a="1"/>
  <c r="C4" i="1" a="1"/>
  <c r="C14" i="55" a="1"/>
  <c r="O4" i="9" a="1"/>
  <c r="I3" i="42" a="1"/>
  <c r="F2" i="15" a="1"/>
  <c r="G5" i="52" a="1"/>
  <c r="T16" i="56" a="1"/>
  <c r="G15" i="56" a="1"/>
  <c r="P19" i="12" a="1"/>
  <c r="N14" i="12" a="1"/>
  <c r="M11" i="12" a="1"/>
  <c r="O5" i="12" a="1"/>
  <c r="G22" i="12" a="1"/>
  <c r="F12" i="12" a="1"/>
  <c r="F4" i="39" a="1"/>
  <c r="L13" i="28" a="1"/>
  <c r="L4" i="28" a="1"/>
  <c r="D8" i="28" a="1"/>
  <c r="O3" i="1" a="1"/>
  <c r="I14" i="1" a="1"/>
  <c r="F11" i="1" a="1"/>
  <c r="K7" i="1" a="1"/>
  <c r="J4" i="1" a="1"/>
  <c r="F11" i="60" a="1"/>
  <c r="H5" i="60" a="1"/>
  <c r="C11" i="43" a="1"/>
  <c r="F2" i="47" a="1"/>
  <c r="H10" i="52" a="1"/>
  <c r="D5" i="52" a="1"/>
  <c r="J13" i="56" a="1"/>
  <c r="C23" i="56" a="1"/>
  <c r="S6" i="12" a="1"/>
  <c r="G8" i="12" a="1"/>
  <c r="J12" i="39" a="1"/>
  <c r="C14" i="39" a="1"/>
  <c r="M7" i="28" a="1"/>
  <c r="I9" i="1" a="1"/>
  <c r="D8" i="49" a="1"/>
  <c r="F4" i="60" a="1"/>
  <c r="S11" i="56" a="1"/>
  <c r="M22" i="12" a="1"/>
  <c r="Q15" i="12" a="1"/>
  <c r="L3" i="12" a="1"/>
  <c r="H14" i="1" a="1"/>
  <c r="F5" i="1" a="1"/>
  <c r="H12" i="60" a="1"/>
  <c r="F3" i="60" a="1"/>
  <c r="C10" i="43" a="1"/>
  <c r="D2" i="47" a="1"/>
  <c r="D10" i="52" a="1"/>
  <c r="I13" i="56" a="1"/>
  <c r="B17" i="56" a="1"/>
  <c r="R6" i="12" a="1"/>
  <c r="C7" i="39" a="1"/>
  <c r="H3" i="28" a="1"/>
  <c r="F12" i="60" a="1"/>
  <c r="C9" i="43" a="1"/>
  <c r="C6" i="39" a="1"/>
  <c r="K13" i="1" a="1"/>
  <c r="G4" i="1" a="1"/>
  <c r="C11" i="42" a="1"/>
  <c r="C8" i="43" a="1"/>
  <c r="D2" i="15" a="1"/>
  <c r="B2" i="47" a="1"/>
  <c r="S10" i="56" a="1"/>
  <c r="B11" i="56" a="1"/>
  <c r="P6" i="12" a="1"/>
  <c r="C4" i="39" a="1"/>
  <c r="E15" i="28" a="1"/>
  <c r="O8" i="1" a="1"/>
  <c r="J13" i="1" a="1"/>
  <c r="D4" i="49" a="1"/>
  <c r="J4" i="9" a="1"/>
  <c r="J10" i="42" a="1"/>
  <c r="V8" i="56" a="1"/>
  <c r="H11" i="56" a="1"/>
  <c r="L21" i="12" a="1"/>
  <c r="H14" i="39" a="1"/>
  <c r="C3" i="39" a="1"/>
  <c r="D15" i="28" a="1"/>
  <c r="K3" i="1" a="1"/>
  <c r="H10" i="60" a="1"/>
  <c r="N2" i="46" a="1"/>
  <c r="E21" i="12" a="1"/>
  <c r="O7" i="1" a="1"/>
  <c r="J4" i="48" a="1"/>
  <c r="I4" i="42" a="1"/>
  <c r="C9" i="52" a="1"/>
  <c r="U8" i="56" a="1"/>
  <c r="C15" i="13" a="1"/>
  <c r="R14" i="12" a="1"/>
  <c r="S9" i="12" a="1"/>
  <c r="N6" i="12" a="1"/>
  <c r="F6" i="12" a="1"/>
  <c r="H12" i="39" a="1"/>
  <c r="C2" i="39" a="1"/>
  <c r="H8" i="1" a="1"/>
  <c r="K2" i="38" a="1"/>
  <c r="I9" i="42" a="1"/>
  <c r="I2" i="5" a="1"/>
  <c r="Q20" i="12" a="1"/>
  <c r="L15" i="28" a="1"/>
  <c r="D23" i="1" a="1"/>
  <c r="F10" i="60" a="1"/>
  <c r="E9" i="42" a="1"/>
  <c r="H4" i="42" a="1"/>
  <c r="T8" i="56" a="1"/>
  <c r="H10" i="56" a="1"/>
  <c r="R9" i="12" a="1"/>
  <c r="G19" i="12" a="1"/>
  <c r="H10" i="39" a="1"/>
  <c r="L20" i="1" a="1"/>
  <c r="J2" i="38" a="1"/>
  <c r="I15" i="42" a="1"/>
  <c r="G2" i="46" a="1"/>
  <c r="E3" i="52" a="1"/>
  <c r="H7" i="39" a="1"/>
  <c r="L3" i="28" a="1"/>
  <c r="C17" i="55" a="1"/>
  <c r="C2" i="5" a="1"/>
  <c r="G10" i="56" a="1"/>
  <c r="S13" i="12" a="1"/>
  <c r="Q9" i="12" a="1"/>
  <c r="J7" i="1" a="1"/>
  <c r="J10" i="48" a="1"/>
  <c r="S4" i="9" a="1"/>
  <c r="J11" i="42" a="1"/>
  <c r="J5" i="42" a="1"/>
  <c r="J2" i="15" a="1"/>
  <c r="K11" i="12" a="1"/>
  <c r="F8" i="12" a="1"/>
  <c r="J11" i="39" a="1"/>
  <c r="L7" i="28" a="1"/>
  <c r="O10" i="1" a="1"/>
  <c r="D7" i="49" a="1"/>
  <c r="J9" i="48" a="1"/>
  <c r="D11" i="42" a="1"/>
  <c r="D4" i="52" a="1"/>
  <c r="V10" i="56" a="1"/>
  <c r="L22" i="12" a="1"/>
  <c r="P15" i="12" a="1"/>
  <c r="G9" i="1" a="1"/>
  <c r="I4" i="1" a="1"/>
  <c r="N4" i="9" a="1"/>
  <c r="E2" i="15" a="1"/>
  <c r="C2" i="47" a="1"/>
  <c r="B13" i="56" a="1"/>
  <c r="S10" i="12" a="1"/>
  <c r="Q6" i="12" a="1"/>
  <c r="F22" i="12" a="1"/>
  <c r="J8" i="39" a="1"/>
  <c r="M6" i="28" a="1"/>
  <c r="E18" i="28" a="1"/>
  <c r="O9" i="1" a="1"/>
  <c r="F9" i="1" a="1"/>
  <c r="D6" i="49" a="1"/>
  <c r="J7" i="48" a="1"/>
  <c r="E5" i="42" a="1"/>
  <c r="E9" i="52" a="1"/>
  <c r="I11" i="56" a="1"/>
  <c r="M15" i="12" a="1"/>
  <c r="E7" i="12" a="1"/>
  <c r="F4" i="1" a="1"/>
  <c r="E11" i="60" a="1"/>
  <c r="M4" i="9" a="1"/>
  <c r="I3" i="52" a="1"/>
  <c r="R10" i="12" a="1"/>
  <c r="E22" i="12" a="1"/>
  <c r="J3" i="39" a="1"/>
  <c r="K6" i="28" a="1"/>
  <c r="L8" i="1" a="1"/>
  <c r="J5" i="48" a="1"/>
  <c r="D5" i="42" a="1"/>
  <c r="D9" i="52" a="1"/>
  <c r="L15" i="12" a="1"/>
  <c r="G6" i="12" a="1"/>
  <c r="C7" i="43" a="1"/>
  <c r="C2" i="15" a="1"/>
  <c r="H3" i="52" a="1"/>
  <c r="B10" i="56" a="1"/>
  <c r="K4" i="28" a="1"/>
  <c r="L12" i="1" a="1"/>
  <c r="C21" i="55" a="1"/>
  <c r="I4" i="9" a="1"/>
  <c r="J10" i="56" a="1"/>
  <c r="G10" i="60" a="1"/>
  <c r="B4" i="9" a="1"/>
  <c r="J15" i="42" a="1"/>
  <c r="M2" i="46" a="1"/>
  <c r="G3" i="52" a="1"/>
  <c r="M3" i="28" a="1"/>
  <c r="D13" i="28" a="1"/>
  <c r="K12" i="1" a="1"/>
  <c r="C18" i="55" a="1"/>
  <c r="J8" i="52" a="1"/>
  <c r="C14" i="13" a="1"/>
  <c r="M6" i="12" a="1"/>
  <c r="E6" i="12" a="1"/>
  <c r="E9" i="60" a="1"/>
  <c r="P20" i="12" a="1"/>
  <c r="K15" i="28" a="1"/>
  <c r="E12" i="28" a="1"/>
  <c r="J12" i="1" a="1"/>
  <c r="C15" i="1" a="1"/>
  <c r="H8" i="60" a="1"/>
  <c r="H2" i="38" a="1"/>
  <c r="I14" i="42" a="1"/>
  <c r="D9" i="42" a="1"/>
  <c r="I7" i="52" a="1"/>
  <c r="C13" i="13" a="1"/>
  <c r="H20" i="1" a="1"/>
  <c r="B2" i="38" a="1"/>
  <c r="H3" i="42" a="1"/>
  <c r="F2" i="46" a="1"/>
  <c r="G7" i="43" a="1"/>
  <c r="C7" i="42" a="1"/>
  <c r="A2" i="7" a="1"/>
  <c r="C12" i="13" a="1"/>
  <c r="S15" i="12" a="1"/>
  <c r="N8" i="12" a="1"/>
  <c r="E14" i="12" a="1"/>
  <c r="L10" i="1" a="1"/>
  <c r="C11" i="1" a="1"/>
  <c r="A2" i="38" a="1"/>
  <c r="G6" i="52" a="1"/>
  <c r="C7" i="13" a="1"/>
  <c r="H4" i="39" a="1"/>
  <c r="O15" i="1" a="1"/>
  <c r="J10" i="1" a="1"/>
  <c r="F8" i="60" a="1"/>
  <c r="H14" i="42" a="1"/>
  <c r="N2" i="47" a="1"/>
  <c r="H17" i="56" a="1"/>
  <c r="R15" i="12" a="1"/>
  <c r="G13" i="12" a="1"/>
  <c r="F13" i="39" a="1"/>
  <c r="H12" i="28" a="1"/>
  <c r="C10" i="1" a="1"/>
  <c r="AN4" i="9" a="1"/>
  <c r="C6" i="42" a="1"/>
  <c r="F6" i="52" a="1"/>
  <c r="C4" i="13" a="1"/>
  <c r="R7" i="12" a="1"/>
  <c r="O14" i="1" a="1"/>
  <c r="I10" i="1" a="1"/>
  <c r="G14" i="42" a="1"/>
  <c r="H11" i="28" a="1"/>
  <c r="G20" i="1" a="1"/>
  <c r="E7" i="60" a="1"/>
  <c r="C3" i="42" a="1"/>
  <c r="E5" i="52" a="1"/>
  <c r="G11" i="12" a="1"/>
  <c r="O23" i="12" a="1"/>
  <c r="G11" i="28" a="1"/>
  <c r="H6" i="60" a="1"/>
  <c r="D13" i="42" a="1"/>
  <c r="D15" i="49" a="1"/>
  <c r="G12" i="52" a="1"/>
  <c r="G10" i="12" a="1"/>
  <c r="Z4" i="9" a="1"/>
  <c r="T17" i="56" a="1"/>
  <c r="J14" i="56" a="1"/>
  <c r="L23" i="12" a="1"/>
  <c r="E5" i="12" a="1"/>
  <c r="F3" i="39" a="1"/>
  <c r="D12" i="49" a="1"/>
  <c r="G2" i="18" a="1"/>
  <c r="E4" i="12" a="1"/>
  <c r="H7" i="1" a="1"/>
  <c r="G5" i="60" a="1"/>
  <c r="Y4" i="9" a="1"/>
  <c r="O12" i="12" a="1"/>
  <c r="H12" i="42" a="1"/>
  <c r="N4" i="12" a="1"/>
  <c r="B15" i="12" a="1"/>
  <c r="S15" i="56" a="1"/>
  <c r="S22" i="12" a="1"/>
  <c r="M14" i="28" a="1"/>
  <c r="K15" i="1" a="1"/>
  <c r="C10" i="55" a="1"/>
  <c r="T4" i="9" a="1"/>
  <c r="O22" i="12" a="1"/>
  <c r="D11" i="52" a="1"/>
  <c r="C12" i="42" a="1"/>
  <c r="B13" i="12" a="1"/>
  <c r="H4" i="28" a="1"/>
  <c r="F6" i="1" a="1"/>
  <c r="G15" i="43" a="1"/>
  <c r="K12" i="12" a="1"/>
  <c r="M12" i="28" a="1"/>
  <c r="K5" i="1" a="1"/>
  <c r="K2" i="15" a="1"/>
  <c r="T13" i="56" a="1"/>
  <c r="H7" i="56" a="1"/>
  <c r="K20" i="12" a="1"/>
  <c r="R3" i="12" a="1"/>
  <c r="J5" i="1" a="1"/>
  <c r="C14" i="40" a="1"/>
  <c r="H14" i="43" a="1"/>
  <c r="I8" i="42" a="1"/>
  <c r="B2" i="5" a="1"/>
  <c r="J10" i="52" a="1"/>
  <c r="B5" i="12" a="1"/>
  <c r="L12" i="28" a="1"/>
  <c r="E11" i="28" a="1"/>
  <c r="G15" i="1" a="1"/>
  <c r="H13" i="43" a="1"/>
  <c r="S13" i="56" a="1"/>
  <c r="S19" i="12" a="1"/>
  <c r="Q3" i="12" a="1"/>
  <c r="D10" i="28" a="1"/>
  <c r="I5" i="1" a="1"/>
  <c r="H8" i="42" a="1"/>
  <c r="A2" i="5" a="1"/>
  <c r="G6" i="56" a="1"/>
  <c r="L9" i="12" a="1"/>
  <c r="B4" i="12" a="1"/>
  <c r="K11" i="28" a="1"/>
  <c r="I12" i="1" a="1"/>
  <c r="C12" i="40" a="1"/>
  <c r="G13" i="43" a="1"/>
  <c r="F7" i="52" a="1"/>
  <c r="U11" i="56" a="1"/>
  <c r="M3" i="12" a="1"/>
  <c r="E9" i="28" a="1"/>
  <c r="G12" i="1" a="1"/>
  <c r="H5" i="1" a="1"/>
  <c r="C10" i="40" a="1"/>
  <c r="G8" i="42" a="1"/>
  <c r="N2" i="7" a="1"/>
  <c r="K19" i="12" a="1"/>
  <c r="K9" i="12" a="1"/>
  <c r="E18" i="12" a="1"/>
  <c r="B3" i="12" a="1"/>
  <c r="M9" i="28" a="1"/>
  <c r="H9" i="43" a="1"/>
  <c r="T11" i="56" a="1"/>
  <c r="K9" i="28" a="1"/>
  <c r="E7" i="28" a="1"/>
  <c r="F12" i="1" a="1"/>
  <c r="G5" i="1" a="1"/>
  <c r="C9" i="40" a="1"/>
  <c r="C7" i="52" a="1"/>
  <c r="S6" i="56" a="1"/>
  <c r="C25" i="56" a="1"/>
  <c r="S18" i="12" a="1"/>
  <c r="S8" i="12" a="1"/>
  <c r="G15" i="12" a="1"/>
  <c r="J13" i="39" a="1"/>
  <c r="C14" i="1" a="1"/>
  <c r="G9" i="43" a="1"/>
  <c r="E7" i="42" a="1"/>
  <c r="K2" i="7" a="1"/>
  <c r="M8" i="28" a="1"/>
  <c r="D7" i="28" a="1"/>
  <c r="L11" i="1" a="1"/>
  <c r="C8" i="40" a="1"/>
  <c r="J6" i="52" a="1"/>
  <c r="V5" i="56" a="1"/>
  <c r="C24" i="56" a="1"/>
  <c r="R18" i="12" a="1"/>
  <c r="R8" i="12" a="1"/>
  <c r="F15" i="12" a="1"/>
  <c r="H6" i="39" a="1"/>
  <c r="G8" i="43" a="1"/>
  <c r="D7" i="42" a="1"/>
  <c r="J2" i="7" a="1"/>
  <c r="O8" i="12" a="1"/>
  <c r="K11" i="1" a="1"/>
  <c r="C12" i="1" a="1"/>
  <c r="C6" i="40" a="1"/>
  <c r="D2" i="7" a="1"/>
  <c r="H6" i="52" a="1"/>
  <c r="T5" i="56" a="1"/>
  <c r="E15" i="12" a="1"/>
  <c r="H5" i="39" a="1"/>
  <c r="K8" i="28" a="1"/>
  <c r="G8" i="60" a="1"/>
  <c r="M2" i="47" a="1"/>
  <c r="R13" i="12" a="1"/>
  <c r="F12" i="39" a="1"/>
  <c r="G12" i="28" a="1"/>
  <c r="C9" i="1" a="1"/>
  <c r="F7" i="60" a="1"/>
  <c r="AM4" i="9" a="1"/>
  <c r="F5" i="52" a="1"/>
  <c r="I16" i="56" a="1"/>
  <c r="S23" i="12" a="1"/>
  <c r="K7" i="12" a="1"/>
  <c r="E12" i="12" a="1"/>
  <c r="H10" i="1" a="1"/>
  <c r="C3" i="1" a="1"/>
  <c r="AG4" i="9" a="1"/>
  <c r="F14" i="42" a="1"/>
  <c r="A2" i="46" a="1"/>
  <c r="Q13" i="12" a="1"/>
  <c r="F11" i="39" a="1"/>
  <c r="L9" i="1" a="1"/>
  <c r="H16" i="56" a="1"/>
  <c r="L13" i="12" a="1"/>
  <c r="M5" i="12" a="1"/>
  <c r="D16" i="49" a="1"/>
  <c r="H13" i="42" a="1"/>
  <c r="H12" i="52" a="1"/>
  <c r="F10" i="39" a="1"/>
  <c r="AB4" i="9" a="1"/>
  <c r="V17" i="56" a="1"/>
  <c r="G16" i="56" a="1"/>
  <c r="K13" i="12" a="1"/>
  <c r="L5" i="12" a="1"/>
  <c r="H19" i="1" a="1"/>
  <c r="K2" i="18" a="1"/>
  <c r="N23" i="12" a="1"/>
  <c r="H10" i="28" a="1"/>
  <c r="I7" i="1" a="1"/>
  <c r="G6" i="60" a="1"/>
  <c r="C13" i="42" a="1"/>
  <c r="R12" i="12" a="1"/>
  <c r="F12" i="52" a="1"/>
  <c r="R4" i="12" a="1"/>
  <c r="F19" i="1" a="1"/>
  <c r="J12" i="42" a="1"/>
  <c r="H11" i="52" a="1"/>
  <c r="T15" i="56" a="1"/>
  <c r="K23" i="12" a="1"/>
  <c r="F2" i="39" a="1"/>
  <c r="H8" i="28" a="1"/>
  <c r="C11" i="55" a="1"/>
  <c r="E2" i="18" a="1"/>
  <c r="J9" i="56" a="1"/>
  <c r="L15" i="1" a="1"/>
  <c r="I6" i="1" a="1"/>
  <c r="X4" i="9" a="1"/>
  <c r="G11" i="52" a="1"/>
  <c r="N12" i="12" a="1"/>
  <c r="G12" i="42" a="1"/>
  <c r="D2" i="18" a="1"/>
  <c r="I9" i="56" a="1"/>
  <c r="M4" i="12" a="1"/>
  <c r="B14" i="12" a="1"/>
  <c r="H5" i="28" a="1"/>
  <c r="H6" i="1" a="1"/>
  <c r="A4" i="9" a="1"/>
  <c r="V14" i="56" a="1"/>
  <c r="O20" i="12" a="1"/>
  <c r="M12" i="12" a="1"/>
  <c r="L14" i="28" a="1"/>
  <c r="J15" i="1" a="1"/>
  <c r="C9" i="55" a="1"/>
  <c r="I7" i="56" a="1"/>
  <c r="S3" i="12" a="1"/>
  <c r="C9" i="42" a="1"/>
  <c r="A2" i="18" a="1"/>
  <c r="C11" i="52" a="1"/>
  <c r="B7" i="12" a="1"/>
  <c r="D12" i="28" a="1"/>
  <c r="I15" i="1" a="1"/>
  <c r="C18" i="40" a="1"/>
  <c r="C18" i="40" l="1"/>
  <c r="I15" i="1"/>
  <c r="D12" i="28"/>
  <c r="B7" i="12"/>
  <c r="C11" i="52"/>
  <c r="A2" i="18"/>
  <c r="C9" i="42"/>
  <c r="S3" i="12"/>
  <c r="I7" i="56"/>
  <c r="C9" i="55"/>
  <c r="J15" i="1"/>
  <c r="L14" i="28"/>
  <c r="M12" i="12"/>
  <c r="O20" i="12"/>
  <c r="V14" i="56"/>
  <c r="A10" i="9"/>
  <c r="A9" i="9"/>
  <c r="A12" i="9"/>
  <c r="A11" i="9"/>
  <c r="A8" i="9"/>
  <c r="A7" i="9"/>
  <c r="A5" i="9"/>
  <c r="A4" i="9"/>
  <c r="A13" i="9"/>
  <c r="A6" i="9"/>
  <c r="H6" i="1"/>
  <c r="H5" i="28"/>
  <c r="B14" i="12"/>
  <c r="M4" i="12"/>
  <c r="I9" i="56"/>
  <c r="D2" i="18"/>
  <c r="G12" i="42"/>
  <c r="N12" i="12"/>
  <c r="G11" i="52"/>
  <c r="X4" i="9"/>
  <c r="I6" i="1"/>
  <c r="L15" i="1"/>
  <c r="J9" i="56"/>
  <c r="E2" i="18"/>
  <c r="C11" i="55"/>
  <c r="H8" i="28"/>
  <c r="F2" i="39"/>
  <c r="K23" i="12"/>
  <c r="T15" i="56"/>
  <c r="H11" i="52"/>
  <c r="J12" i="42"/>
  <c r="F19" i="1"/>
  <c r="R4" i="12"/>
  <c r="F12" i="52"/>
  <c r="R12" i="12"/>
  <c r="C13" i="42"/>
  <c r="G6" i="60"/>
  <c r="I7" i="1"/>
  <c r="H10" i="28"/>
  <c r="N23" i="12"/>
  <c r="K2" i="18"/>
  <c r="H19" i="1"/>
  <c r="L5" i="12"/>
  <c r="K13" i="12"/>
  <c r="G16" i="56"/>
  <c r="V17" i="56"/>
  <c r="AB4" i="9"/>
  <c r="F10" i="39"/>
  <c r="H12" i="52"/>
  <c r="H13" i="42"/>
  <c r="D16" i="49"/>
  <c r="M5" i="12"/>
  <c r="L13" i="12"/>
  <c r="H16" i="56"/>
  <c r="L9" i="1"/>
  <c r="F11" i="39"/>
  <c r="Q13" i="12"/>
  <c r="A2" i="46"/>
  <c r="F14" i="42"/>
  <c r="AG4" i="9"/>
  <c r="C3" i="1"/>
  <c r="H10" i="1"/>
  <c r="E12" i="12"/>
  <c r="K7" i="12"/>
  <c r="S23" i="12"/>
  <c r="I16" i="56"/>
  <c r="F5" i="52"/>
  <c r="AM4" i="9"/>
  <c r="F7" i="60"/>
  <c r="C9" i="1"/>
  <c r="G12" i="28"/>
  <c r="F12" i="39"/>
  <c r="R13" i="12"/>
  <c r="M2" i="47"/>
  <c r="G8" i="60"/>
  <c r="K8" i="28"/>
  <c r="H5" i="39"/>
  <c r="E15" i="12"/>
  <c r="T5" i="56"/>
  <c r="H6" i="52"/>
  <c r="D2" i="7"/>
  <c r="C6" i="40"/>
  <c r="C12" i="1"/>
  <c r="K11" i="1"/>
  <c r="O8" i="12"/>
  <c r="J2" i="7"/>
  <c r="D7" i="42"/>
  <c r="G8" i="43"/>
  <c r="H6" i="39"/>
  <c r="F15" i="12"/>
  <c r="R8" i="12"/>
  <c r="R18" i="12"/>
  <c r="C24" i="56"/>
  <c r="V5" i="56"/>
  <c r="J6" i="52"/>
  <c r="C8" i="40"/>
  <c r="L11" i="1"/>
  <c r="D7" i="28"/>
  <c r="M8" i="28"/>
  <c r="K2" i="7"/>
  <c r="E7" i="42"/>
  <c r="G9" i="43"/>
  <c r="C14" i="1"/>
  <c r="J13" i="39"/>
  <c r="G15" i="12"/>
  <c r="S8" i="12"/>
  <c r="S18" i="12"/>
  <c r="C25" i="56"/>
  <c r="S6" i="56"/>
  <c r="C7" i="52"/>
  <c r="C9" i="40"/>
  <c r="G5" i="1"/>
  <c r="F12" i="1"/>
  <c r="E7" i="28"/>
  <c r="K9" i="28"/>
  <c r="T11" i="56"/>
  <c r="H9" i="43"/>
  <c r="M9" i="28"/>
  <c r="B3" i="12"/>
  <c r="E18" i="12"/>
  <c r="K9" i="12"/>
  <c r="K19" i="12"/>
  <c r="N2" i="7"/>
  <c r="G8" i="42"/>
  <c r="C10" i="40"/>
  <c r="H5" i="1"/>
  <c r="G12" i="1"/>
  <c r="E9" i="28"/>
  <c r="M3" i="12"/>
  <c r="U11" i="56"/>
  <c r="F7" i="52"/>
  <c r="G13" i="43"/>
  <c r="C12" i="40"/>
  <c r="I12" i="1"/>
  <c r="K11" i="28"/>
  <c r="B4" i="12"/>
  <c r="L9" i="12"/>
  <c r="G6" i="56"/>
  <c r="A2" i="5"/>
  <c r="H8" i="42"/>
  <c r="I5" i="1"/>
  <c r="D10" i="28"/>
  <c r="Q3" i="12"/>
  <c r="S19" i="12"/>
  <c r="S13" i="56"/>
  <c r="H13" i="43"/>
  <c r="G15" i="1"/>
  <c r="E11" i="28"/>
  <c r="L12" i="28"/>
  <c r="B5" i="12"/>
  <c r="J10" i="52"/>
  <c r="B2" i="5"/>
  <c r="I8" i="42"/>
  <c r="H14" i="43"/>
  <c r="C14" i="40"/>
  <c r="J5" i="1"/>
  <c r="R3" i="12"/>
  <c r="K20" i="12"/>
  <c r="H7" i="56"/>
  <c r="T13" i="56"/>
  <c r="K2" i="15"/>
  <c r="K5" i="1"/>
  <c r="M12" i="28"/>
  <c r="K12" i="12"/>
  <c r="G15" i="43"/>
  <c r="F6" i="1"/>
  <c r="H4" i="28"/>
  <c r="B13" i="12"/>
  <c r="C12" i="42"/>
  <c r="D11" i="52"/>
  <c r="O22" i="12"/>
  <c r="T4" i="9"/>
  <c r="C10" i="55"/>
  <c r="K15" i="1"/>
  <c r="M14" i="28"/>
  <c r="S22" i="12"/>
  <c r="S15" i="56"/>
  <c r="B15" i="12"/>
  <c r="N4" i="12"/>
  <c r="H12" i="42"/>
  <c r="O12" i="12"/>
  <c r="Y4" i="9"/>
  <c r="G5" i="60"/>
  <c r="H7" i="1"/>
  <c r="E4" i="12"/>
  <c r="G2" i="18"/>
  <c r="D12" i="49"/>
  <c r="F3" i="39"/>
  <c r="E5" i="12"/>
  <c r="L23" i="12"/>
  <c r="J14" i="56"/>
  <c r="T17" i="56"/>
  <c r="Z4" i="9"/>
  <c r="G10" i="12"/>
  <c r="G12" i="52"/>
  <c r="D15" i="49"/>
  <c r="D13" i="42"/>
  <c r="H6" i="60"/>
  <c r="G11" i="28"/>
  <c r="O23" i="12"/>
  <c r="G11" i="12"/>
  <c r="E5" i="52"/>
  <c r="C3" i="42"/>
  <c r="E7" i="60"/>
  <c r="G20" i="1"/>
  <c r="H11" i="28"/>
  <c r="G14" i="42"/>
  <c r="I10" i="1"/>
  <c r="O14" i="1"/>
  <c r="R7" i="12"/>
  <c r="C4" i="13"/>
  <c r="F6" i="52"/>
  <c r="C6" i="42"/>
  <c r="AN4" i="9"/>
  <c r="C10" i="1"/>
  <c r="H12" i="28"/>
  <c r="F13" i="39"/>
  <c r="G13" i="12"/>
  <c r="R15" i="12"/>
  <c r="H17" i="56"/>
  <c r="N2" i="47"/>
  <c r="H14" i="42"/>
  <c r="F8" i="60"/>
  <c r="J10" i="1"/>
  <c r="O15" i="1"/>
  <c r="H4" i="39"/>
  <c r="C7" i="13"/>
  <c r="G6" i="52"/>
  <c r="A2" i="38"/>
  <c r="C11" i="1"/>
  <c r="L10" i="1"/>
  <c r="E14" i="12"/>
  <c r="N8" i="12"/>
  <c r="S15" i="12"/>
  <c r="C12" i="13"/>
  <c r="A2" i="7"/>
  <c r="C7" i="42"/>
  <c r="G7" i="43"/>
  <c r="F2" i="46"/>
  <c r="H3" i="42"/>
  <c r="B2" i="38"/>
  <c r="H20" i="1"/>
  <c r="C13" i="13"/>
  <c r="I7" i="52"/>
  <c r="D9" i="42"/>
  <c r="I14" i="42"/>
  <c r="H2" i="38"/>
  <c r="H8" i="60"/>
  <c r="C15" i="1"/>
  <c r="J12" i="1"/>
  <c r="E12" i="28"/>
  <c r="K15" i="28"/>
  <c r="P20" i="12"/>
  <c r="E9" i="60"/>
  <c r="E6" i="12"/>
  <c r="M6" i="12"/>
  <c r="C14" i="13"/>
  <c r="J8" i="52"/>
  <c r="C18" i="55"/>
  <c r="K12" i="1"/>
  <c r="D13" i="28"/>
  <c r="M3" i="28"/>
  <c r="G3" i="52"/>
  <c r="M2" i="46"/>
  <c r="J15" i="42"/>
  <c r="B4" i="9"/>
  <c r="G10" i="60"/>
  <c r="J10" i="56"/>
  <c r="I4" i="9"/>
  <c r="C21" i="55"/>
  <c r="L12" i="1"/>
  <c r="K4" i="28"/>
  <c r="B10" i="56"/>
  <c r="H3" i="52"/>
  <c r="C2" i="15"/>
  <c r="C7" i="43"/>
  <c r="G6" i="12"/>
  <c r="L15" i="12"/>
  <c r="D9" i="52"/>
  <c r="D5" i="42"/>
  <c r="J5" i="48"/>
  <c r="L8" i="1"/>
  <c r="K6" i="28"/>
  <c r="J3" i="39"/>
  <c r="E22" i="12"/>
  <c r="R10" i="12"/>
  <c r="I3" i="52"/>
  <c r="M4" i="9"/>
  <c r="E11" i="60"/>
  <c r="F4" i="1"/>
  <c r="E7" i="12"/>
  <c r="M15" i="12"/>
  <c r="I11" i="56"/>
  <c r="E9" i="52"/>
  <c r="E5" i="42"/>
  <c r="J7" i="48"/>
  <c r="D6" i="49"/>
  <c r="F9" i="1"/>
  <c r="O9" i="1"/>
  <c r="E18" i="28"/>
  <c r="M6" i="28"/>
  <c r="J8" i="39"/>
  <c r="F22" i="12"/>
  <c r="Q6" i="12"/>
  <c r="S10" i="12"/>
  <c r="B13" i="56"/>
  <c r="C2" i="47"/>
  <c r="E2" i="15"/>
  <c r="N4" i="9"/>
  <c r="I4" i="1"/>
  <c r="G9" i="1"/>
  <c r="P15" i="12"/>
  <c r="L22" i="12"/>
  <c r="V10" i="56"/>
  <c r="D4" i="52"/>
  <c r="D11" i="42"/>
  <c r="J9" i="48"/>
  <c r="D7" i="49"/>
  <c r="O10" i="1"/>
  <c r="L7" i="28"/>
  <c r="J11" i="39"/>
  <c r="F8" i="12"/>
  <c r="K11" i="12"/>
  <c r="J2" i="15"/>
  <c r="J5" i="42"/>
  <c r="J11" i="42"/>
  <c r="S4" i="9"/>
  <c r="J10" i="48"/>
  <c r="J7" i="1"/>
  <c r="Q9" i="12"/>
  <c r="S13" i="12"/>
  <c r="G10" i="56"/>
  <c r="C2" i="5"/>
  <c r="C17" i="55"/>
  <c r="L3" i="28"/>
  <c r="H7" i="39"/>
  <c r="E3" i="52"/>
  <c r="G2" i="46"/>
  <c r="I15" i="42"/>
  <c r="J2" i="38"/>
  <c r="L20" i="1"/>
  <c r="H10" i="39"/>
  <c r="G19" i="12"/>
  <c r="R9" i="12"/>
  <c r="H10" i="56"/>
  <c r="T8" i="56"/>
  <c r="H4" i="42"/>
  <c r="E9" i="42"/>
  <c r="F10" i="60"/>
  <c r="D23" i="1"/>
  <c r="L15" i="28"/>
  <c r="Q20" i="12"/>
  <c r="I2" i="5"/>
  <c r="I9" i="42"/>
  <c r="K2" i="38"/>
  <c r="H8" i="1"/>
  <c r="C2" i="39"/>
  <c r="H12" i="39"/>
  <c r="F6" i="12"/>
  <c r="N6" i="12"/>
  <c r="S9" i="12"/>
  <c r="R14" i="12"/>
  <c r="C15" i="13"/>
  <c r="U8" i="56"/>
  <c r="C9" i="52"/>
  <c r="I4" i="42"/>
  <c r="J4" i="48"/>
  <c r="O7" i="1"/>
  <c r="E21" i="12"/>
  <c r="N2" i="46"/>
  <c r="H10" i="60"/>
  <c r="K3" i="1"/>
  <c r="D15" i="28"/>
  <c r="C3" i="39"/>
  <c r="H14" i="39"/>
  <c r="L21" i="12"/>
  <c r="H11" i="56"/>
  <c r="V8" i="56"/>
  <c r="J10" i="42"/>
  <c r="J4" i="9"/>
  <c r="D4" i="49"/>
  <c r="J13" i="1"/>
  <c r="O8" i="1"/>
  <c r="E15" i="28"/>
  <c r="C4" i="39"/>
  <c r="P6" i="12"/>
  <c r="B11" i="56"/>
  <c r="S10" i="56"/>
  <c r="B2" i="47"/>
  <c r="D2" i="15"/>
  <c r="C8" i="43"/>
  <c r="C11" i="42"/>
  <c r="G4" i="1"/>
  <c r="K13" i="1"/>
  <c r="C6" i="39"/>
  <c r="C9" i="43"/>
  <c r="F12" i="60"/>
  <c r="H3" i="28"/>
  <c r="C7" i="39"/>
  <c r="R6" i="12"/>
  <c r="B17" i="56"/>
  <c r="I13" i="56"/>
  <c r="D10" i="52"/>
  <c r="D2" i="47"/>
  <c r="C10" i="43"/>
  <c r="F3" i="60"/>
  <c r="H12" i="60"/>
  <c r="F5" i="1"/>
  <c r="H14" i="1"/>
  <c r="L3" i="12"/>
  <c r="Q15" i="12"/>
  <c r="M22" i="12"/>
  <c r="S11" i="56"/>
  <c r="F4" i="60"/>
  <c r="D8" i="49"/>
  <c r="I9" i="1"/>
  <c r="M7" i="28"/>
  <c r="C14" i="39"/>
  <c r="J12" i="39"/>
  <c r="G8" i="12"/>
  <c r="S6" i="12"/>
  <c r="C23" i="56"/>
  <c r="J13" i="56"/>
  <c r="D5" i="52"/>
  <c r="H10" i="52"/>
  <c r="F2" i="47"/>
  <c r="C11" i="43"/>
  <c r="H5" i="60"/>
  <c r="F11" i="60"/>
  <c r="J4" i="1"/>
  <c r="K7" i="1"/>
  <c r="F11" i="1"/>
  <c r="I14" i="1"/>
  <c r="O3" i="1"/>
  <c r="D8" i="28"/>
  <c r="L4" i="28"/>
  <c r="L13" i="28"/>
  <c r="F4" i="39"/>
  <c r="F12" i="12"/>
  <c r="G22" i="12"/>
  <c r="O5" i="12"/>
  <c r="M11" i="12"/>
  <c r="N14" i="12"/>
  <c r="P19" i="12"/>
  <c r="G15" i="56"/>
  <c r="T16" i="56"/>
  <c r="G5" i="52"/>
  <c r="F2" i="15"/>
  <c r="I3" i="42"/>
  <c r="O4" i="9"/>
  <c r="C14" i="55"/>
  <c r="C4" i="1"/>
  <c r="J5" i="39"/>
  <c r="F4" i="12"/>
  <c r="P8" i="12"/>
  <c r="P22" i="12"/>
  <c r="C16" i="13"/>
  <c r="J7" i="56"/>
  <c r="S9" i="56"/>
  <c r="D6" i="52"/>
  <c r="F9" i="52"/>
  <c r="D2" i="46"/>
  <c r="G2" i="7"/>
  <c r="J7" i="42"/>
  <c r="H11" i="42"/>
  <c r="G11" i="43"/>
  <c r="F2" i="38"/>
  <c r="G11" i="60"/>
  <c r="L7" i="1"/>
  <c r="G11" i="1"/>
  <c r="J14" i="1"/>
  <c r="O4" i="1"/>
  <c r="E8" i="28"/>
  <c r="G7" i="28"/>
  <c r="F5" i="39"/>
  <c r="G12" i="12"/>
  <c r="P5" i="12"/>
  <c r="O11" i="12"/>
  <c r="O14" i="12"/>
  <c r="Q19" i="12"/>
  <c r="H15" i="56"/>
  <c r="U16" i="56"/>
  <c r="H9" i="52"/>
  <c r="H2" i="15"/>
  <c r="F4" i="42"/>
  <c r="D8" i="42"/>
  <c r="P4" i="9"/>
  <c r="F6" i="60"/>
  <c r="C5" i="1"/>
  <c r="L4" i="1"/>
  <c r="I11" i="1"/>
  <c r="M5" i="28"/>
  <c r="K14" i="28"/>
  <c r="J6" i="39"/>
  <c r="G4" i="12"/>
  <c r="Q8" i="12"/>
  <c r="R22" i="12"/>
  <c r="B9" i="56"/>
  <c r="H8" i="56"/>
  <c r="V9" i="56"/>
  <c r="E6" i="52"/>
  <c r="E2" i="46"/>
  <c r="H2" i="7"/>
  <c r="I11" i="42"/>
  <c r="H15" i="42"/>
  <c r="H11" i="43"/>
  <c r="G2" i="38"/>
  <c r="E12" i="60"/>
  <c r="C16" i="55"/>
  <c r="F8" i="1"/>
  <c r="K14" i="1"/>
  <c r="D9" i="28"/>
  <c r="H7" i="28"/>
  <c r="F6" i="39"/>
  <c r="E13" i="12"/>
  <c r="K3" i="12"/>
  <c r="K6" i="12"/>
  <c r="P11" i="12"/>
  <c r="P14" i="12"/>
  <c r="R19" i="12"/>
  <c r="H9" i="56"/>
  <c r="I9" i="52"/>
  <c r="I2" i="15"/>
  <c r="G4" i="42"/>
  <c r="F8" i="42"/>
  <c r="Q4" i="9"/>
  <c r="J9" i="42"/>
  <c r="J13" i="42"/>
  <c r="G3" i="43"/>
  <c r="J11" i="48"/>
  <c r="D9" i="49"/>
  <c r="F3" i="1"/>
  <c r="G13" i="1"/>
  <c r="I19" i="1"/>
  <c r="E3" i="28"/>
  <c r="D18" i="28"/>
  <c r="G14" i="28"/>
  <c r="E20" i="12"/>
  <c r="O4" i="12"/>
  <c r="N7" i="12"/>
  <c r="M10" i="12"/>
  <c r="K18" i="12"/>
  <c r="M21" i="12"/>
  <c r="H5" i="56"/>
  <c r="J11" i="56"/>
  <c r="V13" i="56"/>
  <c r="E4" i="52"/>
  <c r="L2" i="18"/>
  <c r="D6" i="42"/>
  <c r="C4" i="9"/>
  <c r="AH4" i="9"/>
  <c r="G3" i="60"/>
  <c r="C15" i="40"/>
  <c r="F10" i="1"/>
  <c r="K10" i="28"/>
  <c r="H8" i="39"/>
  <c r="F9" i="12"/>
  <c r="M13" i="12"/>
  <c r="C10" i="13"/>
  <c r="H12" i="56"/>
  <c r="T6" i="56"/>
  <c r="E8" i="52"/>
  <c r="D12" i="52"/>
  <c r="G2" i="47"/>
  <c r="J2" i="5"/>
  <c r="C10" i="42"/>
  <c r="C14" i="42"/>
  <c r="H3" i="43"/>
  <c r="J12" i="48"/>
  <c r="D10" i="49"/>
  <c r="I3" i="1"/>
  <c r="K6" i="1"/>
  <c r="L19" i="1"/>
  <c r="D4" i="28"/>
  <c r="H14" i="28"/>
  <c r="C12" i="39"/>
  <c r="B9" i="12"/>
  <c r="F20" i="12"/>
  <c r="P4" i="12"/>
  <c r="O7" i="12"/>
  <c r="P10" i="12"/>
  <c r="M18" i="12"/>
  <c r="N21" i="12"/>
  <c r="I5" i="56"/>
  <c r="T14" i="56"/>
  <c r="F4" i="52"/>
  <c r="M2" i="18"/>
  <c r="F6" i="42"/>
  <c r="D4" i="9"/>
  <c r="AI4" i="9"/>
  <c r="E4" i="60"/>
  <c r="E10" i="60"/>
  <c r="C16" i="40"/>
  <c r="G10" i="1"/>
  <c r="I13" i="1"/>
  <c r="L10" i="28"/>
  <c r="H9" i="39"/>
  <c r="B11" i="12"/>
  <c r="G9" i="12"/>
  <c r="O13" i="12"/>
  <c r="C11" i="13"/>
  <c r="S7" i="56"/>
  <c r="F8" i="52"/>
  <c r="E12" i="52"/>
  <c r="H2" i="47"/>
  <c r="K2" i="5"/>
  <c r="D10" i="42"/>
  <c r="D14" i="42"/>
  <c r="H5" i="43"/>
  <c r="F4" i="9"/>
  <c r="J13" i="48"/>
  <c r="J3" i="1"/>
  <c r="G7" i="1"/>
  <c r="F20" i="1"/>
  <c r="E5" i="28"/>
  <c r="G3" i="28"/>
  <c r="G15" i="28"/>
  <c r="C13" i="39"/>
  <c r="G20" i="12"/>
  <c r="Q7" i="12"/>
  <c r="Q10" i="12"/>
  <c r="Q18" i="12"/>
  <c r="O21" i="12"/>
  <c r="J5" i="56"/>
  <c r="H13" i="56"/>
  <c r="U7" i="56"/>
  <c r="U14" i="56"/>
  <c r="G4" i="52"/>
  <c r="N2" i="18"/>
  <c r="G6" i="42"/>
  <c r="AJ4" i="9"/>
  <c r="I20" i="1"/>
  <c r="E13" i="28"/>
  <c r="G9" i="28"/>
  <c r="M4" i="28"/>
  <c r="E3" i="12"/>
  <c r="O3" i="12"/>
  <c r="S7" i="12"/>
  <c r="M19" i="12"/>
  <c r="B14" i="56"/>
  <c r="G8" i="52"/>
  <c r="E11" i="52"/>
  <c r="E2" i="7"/>
  <c r="L2" i="5"/>
  <c r="H7" i="42"/>
  <c r="C4" i="43"/>
  <c r="G10" i="43"/>
  <c r="G4" i="9"/>
  <c r="AC4" i="9"/>
  <c r="H4" i="60"/>
  <c r="G9" i="60"/>
  <c r="C19" i="55"/>
  <c r="L6" i="1"/>
  <c r="J9" i="1"/>
  <c r="L14" i="1"/>
  <c r="E4" i="28"/>
  <c r="K5" i="28"/>
  <c r="L11" i="28"/>
  <c r="C8" i="39"/>
  <c r="J9" i="39"/>
  <c r="E10" i="12"/>
  <c r="G18" i="12"/>
  <c r="Q5" i="12"/>
  <c r="N10" i="12"/>
  <c r="P12" i="12"/>
  <c r="S14" i="12"/>
  <c r="Q21" i="12"/>
  <c r="C5" i="13"/>
  <c r="I8" i="56"/>
  <c r="G14" i="56"/>
  <c r="U6" i="56"/>
  <c r="U12" i="56"/>
  <c r="C3" i="52"/>
  <c r="I5" i="52"/>
  <c r="J2" i="46"/>
  <c r="H2" i="18"/>
  <c r="J4" i="42"/>
  <c r="H10" i="42"/>
  <c r="E13" i="42"/>
  <c r="L2" i="38"/>
  <c r="C11" i="40"/>
  <c r="H4" i="1"/>
  <c r="H12" i="1"/>
  <c r="K20" i="1"/>
  <c r="H9" i="28"/>
  <c r="H3" i="39"/>
  <c r="F3" i="12"/>
  <c r="P3" i="12"/>
  <c r="L8" i="12"/>
  <c r="N19" i="12"/>
  <c r="B16" i="56"/>
  <c r="H8" i="52"/>
  <c r="F11" i="52"/>
  <c r="F2" i="7"/>
  <c r="M2" i="5"/>
  <c r="I7" i="42"/>
  <c r="C6" i="43"/>
  <c r="H10" i="43"/>
  <c r="H4" i="9"/>
  <c r="N2" i="38"/>
  <c r="E5" i="60"/>
  <c r="H9" i="60"/>
  <c r="C20" i="55"/>
  <c r="C8" i="1"/>
  <c r="K9" i="1"/>
  <c r="F15" i="1"/>
  <c r="D5" i="28"/>
  <c r="E14" i="28"/>
  <c r="L5" i="28"/>
  <c r="K12" i="28"/>
  <c r="C9" i="39"/>
  <c r="J10" i="39"/>
  <c r="F10" i="12"/>
  <c r="E19" i="12"/>
  <c r="S5" i="12"/>
  <c r="Y13" i="12" s="1" a="1"/>
  <c r="Y13" i="12" s="1"/>
  <c r="O10" i="12"/>
  <c r="Q12" i="12"/>
  <c r="K15" i="12"/>
  <c r="R21" i="12"/>
  <c r="C6" i="13"/>
  <c r="H14" i="56"/>
  <c r="V6" i="56"/>
  <c r="V12" i="56"/>
  <c r="D3" i="52"/>
  <c r="B2" i="15"/>
  <c r="J2" i="18"/>
  <c r="C5" i="42"/>
  <c r="I10" i="42"/>
  <c r="AF4" i="9"/>
  <c r="E10" i="52"/>
  <c r="M2" i="15"/>
  <c r="D12" i="42"/>
  <c r="D2" i="38"/>
  <c r="D13" i="49"/>
  <c r="O9" i="12"/>
  <c r="D2" i="5"/>
  <c r="G14" i="12"/>
  <c r="E2" i="38"/>
  <c r="B2" i="46"/>
  <c r="I2" i="47"/>
  <c r="J14" i="42"/>
  <c r="G6" i="43"/>
  <c r="V4" i="9"/>
  <c r="J14" i="48"/>
  <c r="G7" i="60"/>
  <c r="C12" i="55"/>
  <c r="J8" i="1"/>
  <c r="J19" i="1"/>
  <c r="O12" i="1"/>
  <c r="G6" i="28"/>
  <c r="H15" i="28"/>
  <c r="F7" i="12"/>
  <c r="E23" i="12"/>
  <c r="S4" i="12"/>
  <c r="Q11" i="12"/>
  <c r="K14" i="12"/>
  <c r="R20" i="12"/>
  <c r="J6" i="56"/>
  <c r="J17" i="56"/>
  <c r="T10" i="56"/>
  <c r="U15" i="56"/>
  <c r="G7" i="52"/>
  <c r="J3" i="42"/>
  <c r="I6" i="42"/>
  <c r="E3" i="60"/>
  <c r="G12" i="60"/>
  <c r="L5" i="1"/>
  <c r="H11" i="1"/>
  <c r="F14" i="1"/>
  <c r="K19" i="1"/>
  <c r="E10" i="28"/>
  <c r="L9" i="28"/>
  <c r="M15" i="28"/>
  <c r="F7" i="39"/>
  <c r="J2" i="39"/>
  <c r="B10" i="12"/>
  <c r="L7" i="12"/>
  <c r="P18" i="12"/>
  <c r="M23" i="12"/>
  <c r="B7" i="56"/>
  <c r="G12" i="56"/>
  <c r="H4" i="52"/>
  <c r="F10" i="52"/>
  <c r="C2" i="46"/>
  <c r="N2" i="15"/>
  <c r="H9" i="42"/>
  <c r="F12" i="42"/>
  <c r="H6" i="43"/>
  <c r="W4" i="9"/>
  <c r="J15" i="48"/>
  <c r="E8" i="60"/>
  <c r="D14" i="49"/>
  <c r="H3" i="1"/>
  <c r="K8" i="1"/>
  <c r="O13" i="1"/>
  <c r="H6" i="28"/>
  <c r="E8" i="12"/>
  <c r="F23" i="12"/>
  <c r="K5" i="12"/>
  <c r="P9" i="12"/>
  <c r="S11" i="12"/>
  <c r="M14" i="12"/>
  <c r="K21" i="12"/>
  <c r="G7" i="56"/>
  <c r="S5" i="56"/>
  <c r="U10" i="56"/>
  <c r="C5" i="52"/>
  <c r="H7" i="52"/>
  <c r="L2" i="47"/>
  <c r="F2" i="5"/>
  <c r="C4" i="42"/>
  <c r="J6" i="42"/>
  <c r="E15" i="42"/>
  <c r="E6" i="60"/>
  <c r="C13" i="40"/>
  <c r="C6" i="1"/>
  <c r="J6" i="1"/>
  <c r="G14" i="1"/>
  <c r="O11" i="1"/>
  <c r="G4" i="28"/>
  <c r="K7" i="28"/>
  <c r="C10" i="39"/>
  <c r="H2" i="39"/>
  <c r="B12" i="12"/>
  <c r="F13" i="12"/>
  <c r="L4" i="12"/>
  <c r="K8" i="12"/>
  <c r="N22" i="12"/>
  <c r="B15" i="56"/>
  <c r="I12" i="56"/>
  <c r="I17" i="56"/>
  <c r="S14" i="56"/>
  <c r="H5" i="52"/>
  <c r="D8" i="52"/>
  <c r="J12" i="52"/>
  <c r="I2" i="7"/>
  <c r="D4" i="42"/>
  <c r="J8" i="42"/>
  <c r="C3" i="43"/>
  <c r="R4" i="9"/>
  <c r="AL4" i="9"/>
  <c r="H13" i="28"/>
  <c r="K13" i="28"/>
  <c r="J7" i="39"/>
  <c r="G7" i="12"/>
  <c r="F21" i="12"/>
  <c r="L6" i="12"/>
  <c r="L10" i="12"/>
  <c r="L12" i="12"/>
  <c r="L14" i="12"/>
  <c r="L18" i="12"/>
  <c r="N20" i="12"/>
  <c r="C9" i="13"/>
  <c r="G8" i="56"/>
  <c r="T9" i="56"/>
  <c r="F3" i="52"/>
  <c r="G10" i="52"/>
  <c r="E2" i="47"/>
  <c r="F2" i="18"/>
  <c r="H6" i="42"/>
  <c r="E11" i="42"/>
  <c r="I13" i="42"/>
  <c r="H8" i="43"/>
  <c r="J6" i="48"/>
  <c r="I15" i="56"/>
  <c r="V16" i="56"/>
  <c r="D7" i="52"/>
  <c r="I11" i="52"/>
  <c r="K2" i="46"/>
  <c r="G2" i="5"/>
  <c r="D3" i="42"/>
  <c r="H5" i="42"/>
  <c r="F10" i="42"/>
  <c r="C15" i="42"/>
  <c r="AD4" i="9"/>
  <c r="J16" i="48"/>
  <c r="H13" i="39"/>
  <c r="F5" i="12"/>
  <c r="F11" i="12"/>
  <c r="N3" i="12"/>
  <c r="M7" i="12"/>
  <c r="O19" i="12"/>
  <c r="P23" i="12"/>
  <c r="B8" i="56"/>
  <c r="G11" i="56"/>
  <c r="T7" i="56"/>
  <c r="T12" i="56"/>
  <c r="J4" i="52"/>
  <c r="G9" i="52"/>
  <c r="B2" i="7"/>
  <c r="L2" i="15"/>
  <c r="C8" i="42"/>
  <c r="I12" i="42"/>
  <c r="G14" i="43"/>
  <c r="L4" i="9"/>
  <c r="I2" i="38"/>
  <c r="G4" i="60"/>
  <c r="C15" i="55"/>
  <c r="G3" i="1"/>
  <c r="G8" i="1"/>
  <c r="H13" i="1"/>
  <c r="O5" i="1"/>
  <c r="E6" i="28"/>
  <c r="G10" i="28"/>
  <c r="M10" i="28"/>
  <c r="F9" i="39"/>
  <c r="B6" i="12"/>
  <c r="F19" i="12"/>
  <c r="N5" i="12"/>
  <c r="M9" i="12"/>
  <c r="N11" i="12"/>
  <c r="N13" i="12"/>
  <c r="O15" i="12"/>
  <c r="P21" i="12"/>
  <c r="H6" i="56"/>
  <c r="J15" i="56"/>
  <c r="S17" i="56"/>
  <c r="E7" i="52"/>
  <c r="L2" i="46"/>
  <c r="H2" i="5"/>
  <c r="E3" i="42"/>
  <c r="I5" i="42"/>
  <c r="G10" i="42"/>
  <c r="D15" i="42"/>
  <c r="G5" i="43"/>
  <c r="AE4" i="9"/>
  <c r="J19" i="48"/>
  <c r="K4" i="9"/>
  <c r="AA4" i="9"/>
  <c r="C2" i="38"/>
  <c r="J8" i="48"/>
  <c r="F5" i="60"/>
  <c r="F9" i="60"/>
  <c r="C7" i="40"/>
  <c r="C13" i="55"/>
  <c r="D11" i="49"/>
  <c r="C13" i="1"/>
  <c r="K4" i="1"/>
  <c r="F7" i="1"/>
  <c r="H9" i="1"/>
  <c r="J11" i="1"/>
  <c r="L13" i="1"/>
  <c r="G19" i="1"/>
  <c r="O6" i="1"/>
  <c r="D6" i="28"/>
  <c r="D14" i="28"/>
  <c r="G8" i="28"/>
  <c r="K3" i="28"/>
  <c r="L8" i="28"/>
  <c r="M13" i="28"/>
  <c r="C11" i="39"/>
  <c r="F14" i="39"/>
  <c r="J4" i="39"/>
  <c r="B8" i="12"/>
  <c r="G5" i="12"/>
  <c r="E11" i="12"/>
  <c r="F18" i="12"/>
  <c r="G23" i="12"/>
  <c r="Q4" i="12"/>
  <c r="O6" i="12"/>
  <c r="M8" i="12"/>
  <c r="K10" i="12"/>
  <c r="R11" i="12"/>
  <c r="P13" i="12"/>
  <c r="N15" i="12"/>
  <c r="L19" i="12"/>
  <c r="S20" i="12"/>
  <c r="Q22" i="12"/>
  <c r="C8" i="13"/>
  <c r="B12" i="56"/>
  <c r="I6" i="56"/>
  <c r="I10" i="56"/>
  <c r="I14" i="56"/>
  <c r="U5" i="56"/>
  <c r="U9" i="56"/>
  <c r="U13" i="56"/>
  <c r="U17" i="56"/>
  <c r="I4" i="52"/>
  <c r="I6" i="52"/>
  <c r="I8" i="52"/>
  <c r="I10" i="52"/>
  <c r="I12" i="52"/>
  <c r="A2" i="47"/>
  <c r="C2" i="7"/>
  <c r="E2" i="5"/>
  <c r="G2" i="15"/>
  <c r="I2" i="18"/>
  <c r="E4" i="42"/>
  <c r="E6" i="42"/>
  <c r="E8" i="42"/>
  <c r="E10" i="42"/>
  <c r="E12" i="42"/>
  <c r="E14" i="42"/>
  <c r="C5" i="43"/>
  <c r="H7" i="43"/>
  <c r="H15" i="43"/>
  <c r="N18" i="12"/>
  <c r="L20" i="12"/>
  <c r="Q23" i="12"/>
  <c r="J8" i="56"/>
  <c r="J16" i="56"/>
  <c r="V11" i="56"/>
  <c r="J5" i="52"/>
  <c r="J9" i="52"/>
  <c r="J2" i="47"/>
  <c r="N2" i="5"/>
  <c r="F3" i="42"/>
  <c r="F7" i="42"/>
  <c r="F9" i="42"/>
  <c r="F11" i="42"/>
  <c r="F15" i="42"/>
  <c r="G12" i="43"/>
  <c r="E4" i="9"/>
  <c r="U4" i="9"/>
  <c r="AK4" i="9"/>
  <c r="M2" i="38"/>
  <c r="J20" i="48"/>
  <c r="S21" i="12"/>
  <c r="B5" i="56"/>
  <c r="C26" i="56"/>
  <c r="J12" i="56"/>
  <c r="V7" i="56"/>
  <c r="V15" i="56"/>
  <c r="J3" i="52"/>
  <c r="J7" i="52"/>
  <c r="J11" i="52"/>
  <c r="H2" i="46"/>
  <c r="L2" i="7"/>
  <c r="B2" i="18"/>
  <c r="F5" i="42"/>
  <c r="F13" i="42"/>
  <c r="G4" i="43"/>
  <c r="H3" i="60"/>
  <c r="H7" i="60"/>
  <c r="H11" i="60"/>
  <c r="C17" i="40"/>
  <c r="D5" i="49"/>
  <c r="C7" i="1"/>
  <c r="L3" i="1"/>
  <c r="G6" i="1"/>
  <c r="I8" i="1"/>
  <c r="K10" i="1"/>
  <c r="F13" i="1"/>
  <c r="H15" i="1"/>
  <c r="J20" i="1"/>
  <c r="D3" i="28"/>
  <c r="D11" i="28"/>
  <c r="G5" i="28"/>
  <c r="G13" i="28"/>
  <c r="L6" i="28"/>
  <c r="M11" i="28"/>
  <c r="C5" i="39"/>
  <c r="F8" i="39"/>
  <c r="H11" i="39"/>
  <c r="J14" i="39"/>
  <c r="G3" i="12"/>
  <c r="E9" i="12"/>
  <c r="F14" i="12"/>
  <c r="G21" i="12"/>
  <c r="K4" i="12"/>
  <c r="R5" i="12"/>
  <c r="P7" i="12"/>
  <c r="N9" i="12"/>
  <c r="L11" i="12"/>
  <c r="S12" i="12"/>
  <c r="Q14" i="12"/>
  <c r="O18" i="12"/>
  <c r="M20" i="12"/>
  <c r="K22" i="12"/>
  <c r="R23" i="12"/>
  <c r="B6" i="56"/>
  <c r="G5" i="56"/>
  <c r="G9" i="56"/>
  <c r="G13" i="56"/>
  <c r="G17" i="56"/>
  <c r="S8" i="56"/>
  <c r="S12" i="56"/>
  <c r="S16" i="56"/>
  <c r="C4" i="52"/>
  <c r="C6" i="52"/>
  <c r="C8" i="52"/>
  <c r="C10" i="52"/>
  <c r="C12" i="52"/>
  <c r="I2" i="46"/>
  <c r="K2" i="47"/>
  <c r="M2" i="7"/>
  <c r="A2" i="15"/>
  <c r="C2" i="18"/>
  <c r="G3" i="42"/>
  <c r="G5" i="42"/>
  <c r="G7" i="42"/>
  <c r="G9" i="42"/>
  <c r="G11" i="42"/>
  <c r="G13" i="42"/>
  <c r="G15" i="42"/>
  <c r="H4" i="43"/>
  <c r="H12" i="43"/>
  <c r="AG2" i="12"/>
  <c r="AF2" i="12"/>
  <c r="AE2" i="12"/>
  <c r="M15" i="48" a="1"/>
  <c r="M15" i="48" l="1"/>
  <c r="Y11" i="12" a="1"/>
  <c r="Y11" i="12" s="1"/>
  <c r="Y9" i="12" a="1"/>
  <c r="Y9" i="12" s="1"/>
  <c r="Y12" i="12" a="1"/>
  <c r="Y12" i="12" s="1"/>
  <c r="Y10" i="12" a="1"/>
  <c r="Y10" i="12" s="1"/>
  <c r="Y8" i="12" a="1"/>
  <c r="Y8" i="12" s="1"/>
  <c r="Y4" i="12" a="1"/>
  <c r="Y4" i="12" s="1"/>
  <c r="Y7" i="12" a="1"/>
  <c r="Y7" i="12" s="1"/>
  <c r="Y6" i="12" a="1"/>
  <c r="Y6" i="12" s="1"/>
  <c r="Y5" i="12" a="1"/>
  <c r="Y5" i="12" s="1"/>
  <c r="Y3" i="12" a="1"/>
  <c r="Y3" i="12" s="1"/>
  <c r="Y15" i="12" a="1"/>
  <c r="Y15" i="12" s="1"/>
  <c r="Y14" i="12" a="1"/>
  <c r="Y14" i="12" s="1"/>
  <c r="E31" i="8"/>
  <c r="F28" i="8"/>
  <c r="E28" i="8"/>
  <c r="E20" i="8"/>
  <c r="H16" i="8"/>
  <c r="G16" i="8"/>
  <c r="F16" i="8"/>
  <c r="E16" i="8"/>
  <c r="G12" i="8"/>
  <c r="F12" i="8"/>
  <c r="E12" i="8"/>
  <c r="L2" i="48" l="1"/>
  <c r="L1" i="48"/>
  <c r="K18" i="48" a="1"/>
  <c r="N3" i="48" a="1"/>
  <c r="L18" i="48" a="1"/>
  <c r="O3" i="48" a="1"/>
  <c r="O3" i="48" l="1"/>
  <c r="L18" i="48"/>
  <c r="N3" i="48"/>
  <c r="K18" i="48"/>
  <c r="C23" i="12"/>
  <c r="O4" i="48" a="1"/>
  <c r="O5" i="48" a="1"/>
  <c r="O6" i="48" a="1"/>
  <c r="O7" i="48" a="1"/>
  <c r="O8" i="48" a="1"/>
  <c r="O9" i="48" a="1"/>
  <c r="O10" i="48" a="1"/>
  <c r="O11" i="48" a="1"/>
  <c r="O12" i="48" a="1"/>
  <c r="O13" i="48" a="1"/>
  <c r="O14" i="48" a="1"/>
  <c r="O15" i="48" a="1"/>
  <c r="O16" i="48" a="1"/>
  <c r="L19" i="48" a="1"/>
  <c r="L20" i="48" a="1"/>
  <c r="N4" i="48" a="1"/>
  <c r="N5" i="48" a="1"/>
  <c r="N6" i="48" a="1"/>
  <c r="N7" i="48" a="1"/>
  <c r="N8" i="48" a="1"/>
  <c r="N9" i="48" a="1"/>
  <c r="N10" i="48" a="1"/>
  <c r="N11" i="48" a="1"/>
  <c r="N12" i="48" a="1"/>
  <c r="N13" i="48" a="1"/>
  <c r="N14" i="48" a="1"/>
  <c r="N15" i="48" a="1"/>
  <c r="N16" i="48" a="1"/>
  <c r="K19" i="48" a="1"/>
  <c r="K20" i="48" a="1"/>
  <c r="K20" i="48" l="1"/>
  <c r="K19" i="48"/>
  <c r="N16" i="48"/>
  <c r="N15" i="48"/>
  <c r="N14" i="48"/>
  <c r="N13" i="48"/>
  <c r="N12" i="48"/>
  <c r="N11" i="48"/>
  <c r="N10" i="48"/>
  <c r="N9" i="48"/>
  <c r="N8" i="48"/>
  <c r="N7" i="48"/>
  <c r="N6" i="48"/>
  <c r="N5" i="48"/>
  <c r="N4" i="48"/>
  <c r="L20" i="48"/>
  <c r="L19" i="48"/>
  <c r="O16" i="48"/>
  <c r="O15" i="48"/>
  <c r="O14" i="48"/>
  <c r="O13" i="48"/>
  <c r="O12" i="48"/>
  <c r="O11" i="48"/>
  <c r="O10" i="48"/>
  <c r="O9" i="48"/>
  <c r="O8" i="48"/>
  <c r="O7" i="48"/>
  <c r="O6" i="48"/>
  <c r="O5" i="48"/>
  <c r="O4" i="48"/>
  <c r="I23" i="12"/>
  <c r="E25" i="59" s="1"/>
  <c r="H23" i="12"/>
  <c r="O4" i="28"/>
  <c r="F36" i="59"/>
  <c r="F37" i="59"/>
  <c r="O3" i="28"/>
  <c r="O8" i="28"/>
  <c r="O13" i="28"/>
  <c r="O5" i="28"/>
  <c r="O15" i="28"/>
  <c r="O11" i="28"/>
  <c r="F38" i="59"/>
  <c r="O9" i="28"/>
  <c r="F35" i="59"/>
  <c r="S4" i="52"/>
  <c r="S16" i="52"/>
  <c r="S5" i="52"/>
  <c r="S9" i="52"/>
  <c r="F39" i="59"/>
  <c r="O6" i="28" l="1"/>
  <c r="O7" i="28"/>
  <c r="O10" i="28"/>
  <c r="O12" i="28"/>
  <c r="O14" i="28"/>
  <c r="S13" i="52"/>
  <c r="S3" i="52"/>
  <c r="M16" i="56"/>
  <c r="N16" i="56"/>
  <c r="L16" i="56"/>
  <c r="M12" i="56"/>
  <c r="N12" i="56"/>
  <c r="L12" i="56"/>
  <c r="M8" i="56"/>
  <c r="N8" i="56"/>
  <c r="L8" i="56"/>
  <c r="M15" i="56"/>
  <c r="N15" i="56"/>
  <c r="L15" i="56"/>
  <c r="M11" i="56"/>
  <c r="N11" i="56"/>
  <c r="L11" i="56"/>
  <c r="M7" i="56"/>
  <c r="N7" i="56"/>
  <c r="L7" i="56"/>
  <c r="M14" i="56"/>
  <c r="N14" i="56"/>
  <c r="L14" i="56"/>
  <c r="M10" i="56"/>
  <c r="N10" i="56"/>
  <c r="L10" i="56"/>
  <c r="M6" i="56"/>
  <c r="N6" i="56"/>
  <c r="L6" i="56"/>
  <c r="M17" i="56"/>
  <c r="N17" i="56"/>
  <c r="L17" i="56"/>
  <c r="M13" i="56"/>
  <c r="N13" i="56"/>
  <c r="L13" i="56"/>
  <c r="M9" i="56"/>
  <c r="N9" i="56"/>
  <c r="L9" i="56"/>
  <c r="M5" i="56"/>
  <c r="L5" i="56"/>
  <c r="N5" i="56"/>
  <c r="J23" i="12"/>
  <c r="C25" i="59"/>
  <c r="P14" i="56" l="1"/>
  <c r="M20" i="48"/>
  <c r="M19" i="48"/>
  <c r="P8" i="56"/>
  <c r="P15" i="56"/>
  <c r="P9" i="56"/>
  <c r="P13" i="56"/>
  <c r="P10" i="56"/>
  <c r="P5" i="56"/>
  <c r="M19" i="56"/>
  <c r="M20" i="56"/>
  <c r="N19" i="56"/>
  <c r="N20" i="56"/>
  <c r="P6" i="56"/>
  <c r="P11" i="56"/>
  <c r="P16" i="56"/>
  <c r="L20" i="56"/>
  <c r="L19" i="56"/>
  <c r="P17" i="56"/>
  <c r="P7" i="56"/>
  <c r="P12" i="56"/>
  <c r="C12" i="60"/>
  <c r="C11" i="60"/>
  <c r="C10" i="60"/>
  <c r="C9" i="60"/>
  <c r="C8" i="60"/>
  <c r="C7" i="60"/>
  <c r="C6" i="60"/>
  <c r="C5" i="60"/>
  <c r="C4" i="60"/>
  <c r="C3" i="60"/>
  <c r="L35" i="59"/>
  <c r="L22" i="56" l="1"/>
  <c r="I9" i="59" s="1"/>
  <c r="M22" i="56"/>
  <c r="I10" i="59" s="1"/>
  <c r="N22" i="56"/>
  <c r="I11" i="59" s="1"/>
  <c r="K3" i="60"/>
  <c r="L37" i="59"/>
  <c r="L38" i="59"/>
  <c r="L39" i="59"/>
  <c r="L36" i="59"/>
  <c r="M10" i="60"/>
  <c r="M5" i="60"/>
  <c r="M9" i="60"/>
  <c r="M6" i="60"/>
  <c r="K8" i="60"/>
  <c r="L12" i="60"/>
  <c r="L6" i="60"/>
  <c r="K6" i="60"/>
  <c r="M8" i="60"/>
  <c r="L10" i="60"/>
  <c r="K10" i="60"/>
  <c r="L8" i="60"/>
  <c r="L5" i="60"/>
  <c r="K5" i="60"/>
  <c r="L9" i="60"/>
  <c r="K9" i="60"/>
  <c r="M11" i="60"/>
  <c r="M3" i="60" l="1"/>
  <c r="P6" i="60"/>
  <c r="Q6" i="60"/>
  <c r="K4" i="60"/>
  <c r="K7" i="60"/>
  <c r="P9" i="60"/>
  <c r="Q9" i="60"/>
  <c r="P5" i="60"/>
  <c r="Q5" i="60"/>
  <c r="K12" i="60"/>
  <c r="M12" i="60"/>
  <c r="M4" i="60"/>
  <c r="Q8" i="60"/>
  <c r="P8" i="60"/>
  <c r="L11" i="60"/>
  <c r="L7" i="60"/>
  <c r="L3" i="60"/>
  <c r="M7" i="60"/>
  <c r="P10" i="60"/>
  <c r="Q10" i="60"/>
  <c r="L4" i="60"/>
  <c r="K11" i="60"/>
  <c r="Q11" i="60" l="1"/>
  <c r="P11" i="60"/>
  <c r="Q12" i="60"/>
  <c r="P12" i="60"/>
  <c r="Q7" i="60"/>
  <c r="P7" i="60"/>
  <c r="Q4" i="60"/>
  <c r="P4" i="60"/>
  <c r="Q3" i="60"/>
  <c r="P3" i="60"/>
  <c r="S9" i="60" l="1"/>
  <c r="D14" i="59" s="1"/>
  <c r="S3" i="60"/>
  <c r="D8" i="59" s="1"/>
  <c r="S10" i="60"/>
  <c r="D15" i="59" s="1"/>
  <c r="S6" i="60"/>
  <c r="D11" i="59" s="1"/>
  <c r="S8" i="60"/>
  <c r="D13" i="59" s="1"/>
  <c r="S5" i="60"/>
  <c r="D10" i="59" s="1"/>
  <c r="S4" i="60"/>
  <c r="D9" i="59" s="1"/>
  <c r="S12" i="60"/>
  <c r="D17" i="59" s="1"/>
  <c r="S7" i="60"/>
  <c r="D12" i="59" s="1"/>
  <c r="S11" i="60"/>
  <c r="D16" i="59" s="1"/>
  <c r="Q5" i="48" l="1" a="1"/>
  <c r="Q5" i="48" s="1"/>
  <c r="AF4" i="12" s="1"/>
  <c r="Q8" i="48" a="1"/>
  <c r="Q8" i="48" s="1"/>
  <c r="AF7" i="12" s="1"/>
  <c r="Q13" i="48" a="1"/>
  <c r="Q13" i="48" s="1"/>
  <c r="AF12" i="12" s="1"/>
  <c r="Q16" i="48" a="1"/>
  <c r="Q16" i="48" s="1"/>
  <c r="AF15" i="12" s="1"/>
  <c r="Q12" i="48" a="1"/>
  <c r="Q12" i="48" s="1"/>
  <c r="AF11" i="12" s="1"/>
  <c r="Q7" i="48" a="1"/>
  <c r="Q7" i="48" s="1"/>
  <c r="AF6" i="12" s="1"/>
  <c r="Q15" i="48" a="1"/>
  <c r="Q15" i="48" s="1"/>
  <c r="AF14" i="12" s="1"/>
  <c r="Q6" i="48" a="1"/>
  <c r="Q6" i="48" s="1"/>
  <c r="AF5" i="12" s="1"/>
  <c r="Q11" i="48" a="1"/>
  <c r="Q11" i="48" s="1"/>
  <c r="AF10" i="12" s="1"/>
  <c r="Q14" i="48" a="1"/>
  <c r="Q14" i="48" s="1"/>
  <c r="AF13" i="12" s="1"/>
  <c r="Q9" i="48" a="1"/>
  <c r="Q9" i="48" s="1"/>
  <c r="AF8" i="12" s="1"/>
  <c r="Q4" i="48" a="1"/>
  <c r="Q4" i="48" s="1"/>
  <c r="AF3" i="12" s="1"/>
  <c r="Q10" i="48" a="1"/>
  <c r="Q10" i="48" s="1"/>
  <c r="AF9" i="12" s="1"/>
  <c r="J4" i="43" l="1" a="1"/>
  <c r="J4" i="43" s="1"/>
  <c r="Q4" i="42" s="1"/>
  <c r="J5" i="43" a="1"/>
  <c r="J5" i="43" s="1"/>
  <c r="Q5" i="42" s="1"/>
  <c r="J6" i="43" a="1"/>
  <c r="J6" i="43" s="1"/>
  <c r="Q6" i="42" s="1"/>
  <c r="J7" i="43" a="1"/>
  <c r="J7" i="43" s="1"/>
  <c r="Q7" i="42" s="1"/>
  <c r="J8" i="43" a="1"/>
  <c r="J8" i="43" s="1"/>
  <c r="Q8" i="42" s="1"/>
  <c r="J9" i="43" a="1"/>
  <c r="J9" i="43" s="1"/>
  <c r="Q9" i="42" s="1"/>
  <c r="J10" i="43" a="1"/>
  <c r="J10" i="43" s="1"/>
  <c r="Q10" i="42" s="1"/>
  <c r="J11" i="43" a="1"/>
  <c r="J11" i="43" s="1"/>
  <c r="Q11" i="42" s="1"/>
  <c r="J12" i="43" a="1"/>
  <c r="J12" i="43" s="1"/>
  <c r="Q12" i="42" s="1"/>
  <c r="J13" i="43" a="1"/>
  <c r="J13" i="43" s="1"/>
  <c r="Q13" i="42" s="1"/>
  <c r="J14" i="43" a="1"/>
  <c r="J14" i="43" s="1"/>
  <c r="Q14" i="42" s="1"/>
  <c r="J15" i="43" a="1"/>
  <c r="J15" i="43" s="1"/>
  <c r="Q15" i="42" s="1"/>
  <c r="J3" i="43" a="1"/>
  <c r="J3" i="43" s="1"/>
  <c r="Q3" i="42" s="1"/>
  <c r="F12" i="43"/>
  <c r="F13" i="43"/>
  <c r="F14" i="43"/>
  <c r="F15" i="43"/>
  <c r="P4" i="42"/>
  <c r="P5" i="42"/>
  <c r="P6" i="42"/>
  <c r="P7" i="42"/>
  <c r="P8" i="42"/>
  <c r="P9" i="42"/>
  <c r="P10" i="42"/>
  <c r="P11" i="42"/>
  <c r="P12" i="42"/>
  <c r="P13" i="42"/>
  <c r="P14" i="42"/>
  <c r="P15" i="42"/>
  <c r="P3" i="42"/>
  <c r="N4" i="42"/>
  <c r="N5" i="42"/>
  <c r="N6" i="42"/>
  <c r="N7" i="42"/>
  <c r="N8" i="42"/>
  <c r="N9" i="42"/>
  <c r="N10" i="42"/>
  <c r="N11" i="42"/>
  <c r="N12" i="42"/>
  <c r="N13" i="42"/>
  <c r="N14" i="42"/>
  <c r="N15" i="42"/>
  <c r="N3" i="42"/>
  <c r="M4" i="42"/>
  <c r="M5" i="42"/>
  <c r="M6" i="42"/>
  <c r="M7" i="42"/>
  <c r="M8" i="42"/>
  <c r="M9" i="42"/>
  <c r="M10" i="42"/>
  <c r="M11" i="42"/>
  <c r="M12" i="42"/>
  <c r="M13" i="42"/>
  <c r="M14" i="42"/>
  <c r="M15" i="42"/>
  <c r="M3" i="42"/>
  <c r="L4" i="42"/>
  <c r="L5" i="42"/>
  <c r="L6" i="42"/>
  <c r="L7" i="42"/>
  <c r="L8" i="42"/>
  <c r="L9" i="42"/>
  <c r="L10" i="42"/>
  <c r="L11" i="42"/>
  <c r="L12" i="42"/>
  <c r="L13" i="42"/>
  <c r="L14" i="42"/>
  <c r="L15" i="42"/>
  <c r="L3" i="42"/>
  <c r="K126" i="15" l="1" a="1"/>
  <c r="K126" i="15" s="1"/>
  <c r="L126" i="15" a="1"/>
  <c r="L126" i="15" s="1"/>
  <c r="M126" i="15" a="1"/>
  <c r="M126" i="15" s="1"/>
  <c r="N126" i="15" a="1"/>
  <c r="N126" i="15" s="1"/>
  <c r="K127" i="15" a="1"/>
  <c r="K127" i="15" s="1"/>
  <c r="L127" i="15" a="1"/>
  <c r="L127" i="15" s="1"/>
  <c r="M127" i="15" a="1"/>
  <c r="M127" i="15" s="1"/>
  <c r="N127" i="15" a="1"/>
  <c r="N127" i="15" s="1"/>
  <c r="K128" i="15" a="1"/>
  <c r="K128" i="15" s="1"/>
  <c r="L128" i="15" a="1"/>
  <c r="L128" i="15" s="1"/>
  <c r="M128" i="15" a="1"/>
  <c r="M128" i="15" s="1"/>
  <c r="N128" i="15" a="1"/>
  <c r="N128" i="15" s="1"/>
  <c r="K130" i="15"/>
  <c r="L130" i="15"/>
  <c r="M130" i="15"/>
  <c r="N130" i="15"/>
  <c r="K131" i="15"/>
  <c r="L131" i="15"/>
  <c r="M131" i="15"/>
  <c r="N131" i="15"/>
  <c r="K136" i="15" a="1"/>
  <c r="K136" i="15" s="1"/>
  <c r="L136" i="15" a="1"/>
  <c r="L136" i="15" s="1"/>
  <c r="M136" i="15" a="1"/>
  <c r="M136" i="15" s="1"/>
  <c r="N136" i="15" a="1"/>
  <c r="N136" i="15" s="1"/>
  <c r="K137" i="15" a="1"/>
  <c r="K137" i="15" s="1"/>
  <c r="L137" i="15" a="1"/>
  <c r="L137" i="15" s="1"/>
  <c r="M137" i="15" a="1"/>
  <c r="M137" i="15" s="1"/>
  <c r="N137" i="15" a="1"/>
  <c r="N137" i="15" s="1"/>
  <c r="K138" i="15" a="1"/>
  <c r="K138" i="15" s="1"/>
  <c r="L138" i="15" a="1"/>
  <c r="L138" i="15" s="1"/>
  <c r="M138" i="15" a="1"/>
  <c r="M138" i="15" s="1"/>
  <c r="N138" i="15" a="1"/>
  <c r="N138" i="15" s="1"/>
  <c r="L133" i="15" l="1"/>
  <c r="K133" i="15"/>
  <c r="L140" i="15"/>
  <c r="N140" i="15"/>
  <c r="M133" i="15"/>
  <c r="N133" i="15"/>
  <c r="M140" i="15"/>
  <c r="K140" i="15"/>
  <c r="K125" i="7" l="1" a="1"/>
  <c r="K125" i="7" s="1"/>
  <c r="L125" i="7" a="1"/>
  <c r="L125" i="7" s="1"/>
  <c r="M125" i="7" a="1"/>
  <c r="M125" i="7" s="1"/>
  <c r="N125" i="7" a="1"/>
  <c r="N125" i="7" s="1"/>
  <c r="K126" i="7" a="1"/>
  <c r="K126" i="7" s="1"/>
  <c r="L126" i="7" a="1"/>
  <c r="L126" i="7" s="1"/>
  <c r="M126" i="7" a="1"/>
  <c r="M126" i="7" s="1"/>
  <c r="N126" i="7" a="1"/>
  <c r="N126" i="7" s="1"/>
  <c r="K128" i="7" a="1"/>
  <c r="K128" i="7" s="1"/>
  <c r="L128" i="7" a="1"/>
  <c r="L128" i="7" s="1"/>
  <c r="M128" i="7" a="1"/>
  <c r="M128" i="7" s="1"/>
  <c r="N128" i="7" a="1"/>
  <c r="N128" i="7" s="1"/>
  <c r="K124" i="47" a="1"/>
  <c r="K124" i="47" s="1"/>
  <c r="L124" i="47" a="1"/>
  <c r="L124" i="47" s="1"/>
  <c r="M124" i="47" a="1"/>
  <c r="M124" i="47" s="1"/>
  <c r="N124" i="47" a="1"/>
  <c r="N124" i="47" s="1"/>
  <c r="K125" i="47" a="1"/>
  <c r="K125" i="47" s="1"/>
  <c r="L125" i="47" a="1"/>
  <c r="L125" i="47" s="1"/>
  <c r="M125" i="47" a="1"/>
  <c r="M125" i="47" s="1"/>
  <c r="N125" i="47" a="1"/>
  <c r="N125" i="47" s="1"/>
  <c r="K127" i="47" a="1"/>
  <c r="K127" i="47" s="1"/>
  <c r="L127" i="47" a="1"/>
  <c r="L127" i="47" s="1"/>
  <c r="M127" i="47" a="1"/>
  <c r="M127" i="47" s="1"/>
  <c r="N127" i="47" a="1"/>
  <c r="N127" i="47" s="1"/>
  <c r="K124" i="46" a="1"/>
  <c r="K124" i="46" s="1"/>
  <c r="L124" i="46" a="1"/>
  <c r="L124" i="46" s="1"/>
  <c r="M124" i="46" a="1"/>
  <c r="M124" i="46" s="1"/>
  <c r="N124" i="46" a="1"/>
  <c r="N124" i="46" s="1"/>
  <c r="K125" i="46" a="1"/>
  <c r="K125" i="46" s="1"/>
  <c r="L125" i="46" a="1"/>
  <c r="L125" i="46" s="1"/>
  <c r="M125" i="46" a="1"/>
  <c r="M125" i="46" s="1"/>
  <c r="N125" i="46" a="1"/>
  <c r="N125" i="46" s="1"/>
  <c r="K127" i="46" a="1"/>
  <c r="K127" i="46" s="1"/>
  <c r="L127" i="46" a="1"/>
  <c r="L127" i="46" s="1"/>
  <c r="M127" i="46" a="1"/>
  <c r="M127" i="46" s="1"/>
  <c r="N127" i="46" a="1"/>
  <c r="N127" i="46" s="1"/>
  <c r="AD4" i="12" l="1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F11" i="57"/>
  <c r="F12" i="57"/>
  <c r="F13" i="57"/>
  <c r="F14" i="57"/>
  <c r="H14" i="12" l="1"/>
  <c r="K17" i="40" s="1"/>
  <c r="U13" i="12"/>
  <c r="I15" i="12"/>
  <c r="H13" i="12"/>
  <c r="K16" i="40" s="1"/>
  <c r="U12" i="12"/>
  <c r="U14" i="12"/>
  <c r="U15" i="12"/>
  <c r="I14" i="12"/>
  <c r="K126" i="5" a="1"/>
  <c r="K126" i="5" s="1"/>
  <c r="L126" i="5" a="1"/>
  <c r="L126" i="5" s="1"/>
  <c r="M126" i="5" a="1"/>
  <c r="M126" i="5" s="1"/>
  <c r="N126" i="5" a="1"/>
  <c r="N126" i="5" s="1"/>
  <c r="K127" i="5" a="1"/>
  <c r="K127" i="5" s="1"/>
  <c r="D13" i="13" s="1"/>
  <c r="L127" i="5" a="1"/>
  <c r="L127" i="5" s="1"/>
  <c r="D14" i="13" s="1"/>
  <c r="M127" i="5" a="1"/>
  <c r="M127" i="5" s="1"/>
  <c r="D15" i="13" s="1"/>
  <c r="N127" i="5" a="1"/>
  <c r="N127" i="5" s="1"/>
  <c r="D16" i="13" s="1"/>
  <c r="K129" i="5"/>
  <c r="L129" i="5"/>
  <c r="M129" i="5"/>
  <c r="N129" i="5"/>
  <c r="K130" i="5"/>
  <c r="L130" i="5"/>
  <c r="M130" i="5"/>
  <c r="N130" i="5"/>
  <c r="K134" i="5" a="1"/>
  <c r="K134" i="5" s="1"/>
  <c r="F14" i="56" s="1"/>
  <c r="L134" i="5" a="1"/>
  <c r="L134" i="5" s="1"/>
  <c r="F15" i="56" s="1"/>
  <c r="M134" i="5" a="1"/>
  <c r="M134" i="5" s="1"/>
  <c r="F16" i="56" s="1"/>
  <c r="N134" i="5" a="1"/>
  <c r="N134" i="5" s="1"/>
  <c r="F17" i="56" s="1"/>
  <c r="K136" i="5" a="1"/>
  <c r="K136" i="5" s="1"/>
  <c r="L136" i="5" a="1"/>
  <c r="L136" i="5" s="1"/>
  <c r="M136" i="5" a="1"/>
  <c r="M136" i="5" s="1"/>
  <c r="N136" i="5" a="1"/>
  <c r="N136" i="5" s="1"/>
  <c r="K138" i="5"/>
  <c r="K139" i="5" s="1"/>
  <c r="E18" i="55" s="1"/>
  <c r="L138" i="5"/>
  <c r="L139" i="5" s="1"/>
  <c r="E19" i="55" s="1"/>
  <c r="M138" i="5"/>
  <c r="M139" i="5" s="1"/>
  <c r="E20" i="55" s="1"/>
  <c r="N138" i="5"/>
  <c r="N139" i="5" s="1"/>
  <c r="E21" i="55" s="1"/>
  <c r="L132" i="5" l="1"/>
  <c r="E14" i="13" s="1"/>
  <c r="J14" i="13" s="1"/>
  <c r="K132" i="5"/>
  <c r="E13" i="13" s="1"/>
  <c r="J13" i="13" s="1"/>
  <c r="N132" i="5"/>
  <c r="E16" i="13" s="1"/>
  <c r="J16" i="13" s="1"/>
  <c r="M132" i="5"/>
  <c r="E15" i="13" s="1"/>
  <c r="J15" i="13" s="1"/>
  <c r="H12" i="12"/>
  <c r="K15" i="40" s="1"/>
  <c r="I12" i="12"/>
  <c r="J14" i="12"/>
  <c r="I13" i="12"/>
  <c r="J13" i="12" s="1"/>
  <c r="H15" i="12"/>
  <c r="K18" i="40" s="1"/>
  <c r="J12" i="12" l="1"/>
  <c r="J15" i="12"/>
  <c r="I13" i="13" l="1"/>
  <c r="I14" i="13"/>
  <c r="I15" i="13"/>
  <c r="I16" i="13"/>
  <c r="H15" i="13"/>
  <c r="H14" i="13"/>
  <c r="H13" i="13" l="1"/>
  <c r="H16" i="13"/>
  <c r="L11" i="39" l="1"/>
  <c r="L12" i="39"/>
  <c r="L13" i="39"/>
  <c r="L14" i="39"/>
  <c r="K23" i="18"/>
  <c r="K25" i="18" s="1" a="1"/>
  <c r="K25" i="18" s="1"/>
  <c r="K11" i="39" s="1"/>
  <c r="L23" i="18"/>
  <c r="L25" i="18" s="1" a="1"/>
  <c r="L25" i="18" s="1"/>
  <c r="K12" i="39" s="1"/>
  <c r="M23" i="18"/>
  <c r="M25" i="18" s="1" a="1"/>
  <c r="M25" i="18" s="1"/>
  <c r="K13" i="39" s="1"/>
  <c r="N23" i="18"/>
  <c r="N25" i="18" s="1" a="1"/>
  <c r="N25" i="18" s="1"/>
  <c r="K14" i="39" s="1"/>
  <c r="O3" i="39" l="1" a="1"/>
  <c r="O3" i="39" s="1"/>
  <c r="O4" i="39" a="1"/>
  <c r="O4" i="39" s="1"/>
  <c r="O5" i="39" a="1"/>
  <c r="O5" i="39" s="1"/>
  <c r="O6" i="39" a="1"/>
  <c r="O6" i="39" s="1"/>
  <c r="O7" i="39" a="1"/>
  <c r="O7" i="39" s="1"/>
  <c r="O8" i="39" a="1"/>
  <c r="O8" i="39" s="1"/>
  <c r="O9" i="39" a="1"/>
  <c r="O9" i="39" s="1"/>
  <c r="O10" i="39" a="1"/>
  <c r="O10" i="39" s="1"/>
  <c r="O11" i="39" a="1"/>
  <c r="O11" i="39" s="1"/>
  <c r="O12" i="39" a="1"/>
  <c r="O12" i="39" s="1"/>
  <c r="O13" i="39" a="1"/>
  <c r="O13" i="39" s="1"/>
  <c r="O14" i="39" a="1"/>
  <c r="O14" i="39" s="1"/>
  <c r="O2" i="39" a="1"/>
  <c r="O2" i="39" s="1"/>
  <c r="G11" i="39"/>
  <c r="G12" i="39"/>
  <c r="G13" i="39"/>
  <c r="G14" i="39"/>
  <c r="G3" i="39"/>
  <c r="G4" i="39"/>
  <c r="G5" i="39"/>
  <c r="G6" i="39"/>
  <c r="G7" i="39"/>
  <c r="G8" i="39"/>
  <c r="G9" i="39"/>
  <c r="G10" i="39"/>
  <c r="G2" i="39"/>
  <c r="T4" i="28" l="1"/>
  <c r="T5" i="28"/>
  <c r="T6" i="28"/>
  <c r="T7" i="28"/>
  <c r="T8" i="28"/>
  <c r="T9" i="28"/>
  <c r="T10" i="28"/>
  <c r="T11" i="28"/>
  <c r="T12" i="28"/>
  <c r="T13" i="28"/>
  <c r="T14" i="28"/>
  <c r="T15" i="28"/>
  <c r="S6" i="28"/>
  <c r="S7" i="28"/>
  <c r="S8" i="28"/>
  <c r="S9" i="28"/>
  <c r="S10" i="28"/>
  <c r="S11" i="28"/>
  <c r="S12" i="28"/>
  <c r="S13" i="28"/>
  <c r="S14" i="28"/>
  <c r="S15" i="28"/>
  <c r="S4" i="28"/>
  <c r="S5" i="28"/>
  <c r="K25" i="38" l="1"/>
  <c r="M12" i="1" s="1"/>
  <c r="L25" i="38"/>
  <c r="M13" i="1" s="1"/>
  <c r="M25" i="38"/>
  <c r="M14" i="1" s="1"/>
  <c r="N25" i="38"/>
  <c r="M15" i="1" s="1"/>
  <c r="K24" i="38"/>
  <c r="I11" i="39" s="1"/>
  <c r="M11" i="39" s="1"/>
  <c r="L24" i="38"/>
  <c r="I12" i="39" s="1"/>
  <c r="M12" i="39" s="1"/>
  <c r="M24" i="38"/>
  <c r="I13" i="39" s="1"/>
  <c r="M13" i="39" s="1"/>
  <c r="N24" i="38"/>
  <c r="I14" i="39" s="1"/>
  <c r="M14" i="39" s="1"/>
  <c r="K23" i="38"/>
  <c r="L23" i="38"/>
  <c r="M23" i="38"/>
  <c r="N23" i="38"/>
  <c r="J4" i="28" l="1"/>
  <c r="J5" i="28"/>
  <c r="J6" i="28"/>
  <c r="J7" i="28"/>
  <c r="J8" i="28"/>
  <c r="J9" i="28"/>
  <c r="J10" i="28"/>
  <c r="J11" i="28"/>
  <c r="J12" i="28"/>
  <c r="J13" i="28"/>
  <c r="J14" i="28"/>
  <c r="J15" i="28"/>
  <c r="J3" i="28"/>
  <c r="U12" i="28"/>
  <c r="U13" i="28"/>
  <c r="U14" i="28"/>
  <c r="U15" i="28"/>
  <c r="N15" i="28" l="1"/>
  <c r="N14" i="28"/>
  <c r="N13" i="28" l="1"/>
  <c r="N12" i="28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3" i="1" a="1"/>
  <c r="Y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3" i="1" a="1"/>
  <c r="X3" i="1" s="1"/>
  <c r="N12" i="1" l="1"/>
  <c r="P12" i="1"/>
  <c r="N13" i="1"/>
  <c r="P13" i="1"/>
  <c r="N14" i="1"/>
  <c r="S14" i="1" s="1"/>
  <c r="P14" i="1"/>
  <c r="N15" i="1"/>
  <c r="P15" i="1"/>
  <c r="S12" i="1" l="1"/>
  <c r="S13" i="1"/>
  <c r="S15" i="1"/>
  <c r="Q15" i="1"/>
  <c r="T14" i="1"/>
  <c r="R14" i="1"/>
  <c r="Q13" i="1"/>
  <c r="T12" i="1"/>
  <c r="R12" i="1"/>
  <c r="T15" i="1"/>
  <c r="R15" i="1"/>
  <c r="Q14" i="1"/>
  <c r="T13" i="1"/>
  <c r="R13" i="1"/>
  <c r="Q12" i="1"/>
  <c r="F17" i="57" l="1"/>
  <c r="S23" i="52" l="1"/>
  <c r="F10" i="57" l="1"/>
  <c r="F9" i="57"/>
  <c r="F8" i="57"/>
  <c r="F7" i="57"/>
  <c r="F6" i="57"/>
  <c r="F5" i="57"/>
  <c r="F4" i="57"/>
  <c r="F3" i="57"/>
  <c r="F2" i="57"/>
  <c r="B138" i="5" l="1"/>
  <c r="B139" i="5" s="1"/>
  <c r="E9" i="55" s="1"/>
  <c r="C138" i="5"/>
  <c r="C139" i="5" s="1"/>
  <c r="E10" i="55" s="1"/>
  <c r="D138" i="5"/>
  <c r="D139" i="5" s="1"/>
  <c r="E11" i="55" s="1"/>
  <c r="E138" i="5"/>
  <c r="E139" i="5" s="1"/>
  <c r="E12" i="55" s="1"/>
  <c r="F138" i="5"/>
  <c r="F139" i="5" s="1"/>
  <c r="E13" i="55" s="1"/>
  <c r="G138" i="5"/>
  <c r="G139" i="5" s="1"/>
  <c r="E14" i="55" s="1"/>
  <c r="H138" i="5"/>
  <c r="H139" i="5" s="1"/>
  <c r="E15" i="55" s="1"/>
  <c r="I138" i="5"/>
  <c r="I139" i="5" s="1"/>
  <c r="E16" i="55" s="1"/>
  <c r="J138" i="5"/>
  <c r="J139" i="5" s="1"/>
  <c r="E17" i="55" s="1"/>
  <c r="C21" i="12" l="1"/>
  <c r="C22" i="12"/>
  <c r="L2" i="40"/>
  <c r="J2" i="40"/>
  <c r="I2" i="40"/>
  <c r="F2" i="40"/>
  <c r="E2" i="40"/>
  <c r="D2" i="40"/>
  <c r="D82" i="8"/>
  <c r="G39" i="59" l="1"/>
  <c r="H39" i="59"/>
  <c r="G38" i="59"/>
  <c r="H38" i="59"/>
  <c r="H22" i="12"/>
  <c r="C23" i="59" s="1"/>
  <c r="H21" i="12"/>
  <c r="C26" i="59" s="1"/>
  <c r="P2" i="40"/>
  <c r="I21" i="12" l="1"/>
  <c r="I22" i="12"/>
  <c r="J21" i="12" l="1"/>
  <c r="E38" i="59" s="1"/>
  <c r="E26" i="59"/>
  <c r="J22" i="12"/>
  <c r="E39" i="59" s="1"/>
  <c r="E23" i="59"/>
  <c r="T16" i="52"/>
  <c r="T4" i="52"/>
  <c r="T9" i="52"/>
  <c r="T5" i="52"/>
  <c r="T23" i="52"/>
  <c r="T13" i="52" l="1"/>
  <c r="T3" i="52"/>
  <c r="B131" i="15" l="1"/>
  <c r="C131" i="15"/>
  <c r="D131" i="15"/>
  <c r="E131" i="15"/>
  <c r="F131" i="15"/>
  <c r="G131" i="15"/>
  <c r="H131" i="15"/>
  <c r="I131" i="15"/>
  <c r="J131" i="15"/>
  <c r="B130" i="15"/>
  <c r="C130" i="15"/>
  <c r="D130" i="15"/>
  <c r="E130" i="15"/>
  <c r="F130" i="15"/>
  <c r="G130" i="15"/>
  <c r="H130" i="15"/>
  <c r="I130" i="15"/>
  <c r="J130" i="15"/>
  <c r="B128" i="15" a="1"/>
  <c r="B128" i="15" s="1"/>
  <c r="C128" i="15" a="1"/>
  <c r="C128" i="15" s="1"/>
  <c r="D128" i="15" a="1"/>
  <c r="D128" i="15" s="1"/>
  <c r="E128" i="15" a="1"/>
  <c r="E128" i="15" s="1"/>
  <c r="F128" i="15" a="1"/>
  <c r="F128" i="15" s="1"/>
  <c r="G128" i="15" a="1"/>
  <c r="G128" i="15" s="1"/>
  <c r="H128" i="15" a="1"/>
  <c r="H128" i="15" s="1"/>
  <c r="I128" i="15" a="1"/>
  <c r="I128" i="15" s="1"/>
  <c r="J128" i="15" a="1"/>
  <c r="J128" i="15" s="1"/>
  <c r="B127" i="15" a="1"/>
  <c r="B127" i="15" s="1"/>
  <c r="C127" i="15" a="1"/>
  <c r="C127" i="15" s="1"/>
  <c r="D127" i="15" a="1"/>
  <c r="D127" i="15" s="1"/>
  <c r="E127" i="15" a="1"/>
  <c r="E127" i="15" s="1"/>
  <c r="F127" i="15" a="1"/>
  <c r="F127" i="15" s="1"/>
  <c r="G127" i="15" a="1"/>
  <c r="G127" i="15" s="1"/>
  <c r="H127" i="15" a="1"/>
  <c r="H127" i="15" s="1"/>
  <c r="I127" i="15" a="1"/>
  <c r="I127" i="15" s="1"/>
  <c r="J127" i="15" a="1"/>
  <c r="J127" i="15" s="1"/>
  <c r="B126" i="15" a="1"/>
  <c r="B126" i="15" s="1"/>
  <c r="L2" i="39" s="1"/>
  <c r="C126" i="15" a="1"/>
  <c r="C126" i="15" s="1"/>
  <c r="L3" i="39" s="1"/>
  <c r="D126" i="15" a="1"/>
  <c r="D126" i="15" s="1"/>
  <c r="L4" i="39" s="1"/>
  <c r="E126" i="15" a="1"/>
  <c r="E126" i="15" s="1"/>
  <c r="L5" i="39" s="1"/>
  <c r="F126" i="15" a="1"/>
  <c r="F126" i="15" s="1"/>
  <c r="L6" i="39" s="1"/>
  <c r="G126" i="15" a="1"/>
  <c r="G126" i="15" s="1"/>
  <c r="L7" i="39" s="1"/>
  <c r="H126" i="15" a="1"/>
  <c r="H126" i="15" s="1"/>
  <c r="L8" i="39" s="1"/>
  <c r="I126" i="15" a="1"/>
  <c r="I126" i="15" s="1"/>
  <c r="L9" i="39" s="1"/>
  <c r="J126" i="15" a="1"/>
  <c r="J126" i="15" s="1"/>
  <c r="L10" i="39" s="1"/>
  <c r="Q6" i="39" l="1" a="1"/>
  <c r="Q6" i="39" s="1"/>
  <c r="Q10" i="39" a="1"/>
  <c r="Q10" i="39" s="1"/>
  <c r="Q14" i="39" a="1"/>
  <c r="Q14" i="39" s="1"/>
  <c r="Q3" i="39" a="1"/>
  <c r="Q3" i="39" s="1"/>
  <c r="Q7" i="39" a="1"/>
  <c r="Q7" i="39" s="1"/>
  <c r="Q11" i="39" a="1"/>
  <c r="Q11" i="39" s="1"/>
  <c r="Q2" i="39" a="1"/>
  <c r="Q2" i="39" s="1"/>
  <c r="Q4" i="39" a="1"/>
  <c r="Q4" i="39" s="1"/>
  <c r="Q8" i="39" a="1"/>
  <c r="Q8" i="39" s="1"/>
  <c r="Q12" i="39" a="1"/>
  <c r="Q12" i="39" s="1"/>
  <c r="Q5" i="39" a="1"/>
  <c r="Q5" i="39" s="1"/>
  <c r="Q9" i="39" a="1"/>
  <c r="Q9" i="39" s="1"/>
  <c r="Q13" i="39" a="1"/>
  <c r="Q13" i="39" s="1"/>
  <c r="B134" i="5" a="1"/>
  <c r="B134" i="5" s="1"/>
  <c r="F5" i="56" s="1"/>
  <c r="C134" i="5" a="1"/>
  <c r="C134" i="5" s="1"/>
  <c r="F6" i="56" s="1"/>
  <c r="D134" i="5" a="1"/>
  <c r="D134" i="5" s="1"/>
  <c r="F7" i="56" s="1"/>
  <c r="E134" i="5" a="1"/>
  <c r="E134" i="5" s="1"/>
  <c r="F8" i="56" s="1"/>
  <c r="F134" i="5" a="1"/>
  <c r="F134" i="5" s="1"/>
  <c r="F9" i="56" s="1"/>
  <c r="G134" i="5" a="1"/>
  <c r="G134" i="5" s="1"/>
  <c r="F10" i="56" s="1"/>
  <c r="H134" i="5" a="1"/>
  <c r="H134" i="5" s="1"/>
  <c r="F11" i="56" s="1"/>
  <c r="I134" i="5" a="1"/>
  <c r="I134" i="5" s="1"/>
  <c r="F12" i="56" s="1"/>
  <c r="J134" i="5" a="1"/>
  <c r="J134" i="5" s="1"/>
  <c r="F13" i="56" s="1"/>
  <c r="B130" i="5"/>
  <c r="C130" i="5"/>
  <c r="D130" i="5"/>
  <c r="E130" i="5"/>
  <c r="F130" i="5"/>
  <c r="G130" i="5"/>
  <c r="H130" i="5"/>
  <c r="I130" i="5"/>
  <c r="J130" i="5"/>
  <c r="B129" i="5"/>
  <c r="C129" i="5"/>
  <c r="D129" i="5"/>
  <c r="E129" i="5"/>
  <c r="F129" i="5"/>
  <c r="G129" i="5"/>
  <c r="H129" i="5"/>
  <c r="I129" i="5"/>
  <c r="J129" i="5"/>
  <c r="B127" i="5" a="1"/>
  <c r="B127" i="5" s="1"/>
  <c r="D4" i="13" s="1"/>
  <c r="C127" i="5" a="1"/>
  <c r="C127" i="5" s="1"/>
  <c r="D5" i="13" s="1"/>
  <c r="D127" i="5" a="1"/>
  <c r="D127" i="5" s="1"/>
  <c r="D6" i="13" s="1"/>
  <c r="E127" i="5" a="1"/>
  <c r="E127" i="5" s="1"/>
  <c r="D7" i="13" s="1"/>
  <c r="F127" i="5" a="1"/>
  <c r="F127" i="5" s="1"/>
  <c r="D8" i="13" s="1"/>
  <c r="G127" i="5" a="1"/>
  <c r="G127" i="5" s="1"/>
  <c r="D9" i="13" s="1"/>
  <c r="H127" i="5" a="1"/>
  <c r="H127" i="5" s="1"/>
  <c r="D10" i="13" s="1"/>
  <c r="I127" i="5" a="1"/>
  <c r="I127" i="5" s="1"/>
  <c r="D11" i="13" s="1"/>
  <c r="J127" i="5" a="1"/>
  <c r="J127" i="5" s="1"/>
  <c r="D12" i="13" s="1"/>
  <c r="B126" i="5" a="1"/>
  <c r="B126" i="5" s="1"/>
  <c r="C126" i="5" a="1"/>
  <c r="C126" i="5" s="1"/>
  <c r="D126" i="5" a="1"/>
  <c r="D126" i="5" s="1"/>
  <c r="E126" i="5" a="1"/>
  <c r="E126" i="5" s="1"/>
  <c r="F126" i="5" a="1"/>
  <c r="F126" i="5" s="1"/>
  <c r="G126" i="5" a="1"/>
  <c r="G126" i="5" s="1"/>
  <c r="H126" i="5" a="1"/>
  <c r="H126" i="5" s="1"/>
  <c r="I126" i="5" a="1"/>
  <c r="I126" i="5" s="1"/>
  <c r="J126" i="5" a="1"/>
  <c r="J126" i="5" s="1"/>
  <c r="B126" i="7" l="1" a="1"/>
  <c r="B126" i="7" s="1"/>
  <c r="C126" i="7" a="1"/>
  <c r="C126" i="7" s="1"/>
  <c r="D126" i="7" a="1"/>
  <c r="D126" i="7" s="1"/>
  <c r="E126" i="7" a="1"/>
  <c r="E126" i="7" s="1"/>
  <c r="F126" i="7" a="1"/>
  <c r="F126" i="7" s="1"/>
  <c r="G126" i="7" a="1"/>
  <c r="G126" i="7" s="1"/>
  <c r="H126" i="7" a="1"/>
  <c r="H126" i="7" s="1"/>
  <c r="I126" i="7" a="1"/>
  <c r="I126" i="7" s="1"/>
  <c r="J126" i="7" a="1"/>
  <c r="J126" i="7" s="1"/>
  <c r="B128" i="7" a="1"/>
  <c r="B128" i="7" s="1"/>
  <c r="C128" i="7" a="1"/>
  <c r="C128" i="7" s="1"/>
  <c r="D128" i="7" a="1"/>
  <c r="D128" i="7" s="1"/>
  <c r="E128" i="7" a="1"/>
  <c r="E128" i="7" s="1"/>
  <c r="F128" i="7" a="1"/>
  <c r="F128" i="7" s="1"/>
  <c r="G128" i="7" a="1"/>
  <c r="G128" i="7" s="1"/>
  <c r="H128" i="7" a="1"/>
  <c r="H128" i="7" s="1"/>
  <c r="I128" i="7" a="1"/>
  <c r="I128" i="7" s="1"/>
  <c r="J128" i="7" a="1"/>
  <c r="J128" i="7" s="1"/>
  <c r="B125" i="7" a="1"/>
  <c r="B125" i="7" s="1"/>
  <c r="C125" i="7" a="1"/>
  <c r="C125" i="7" s="1"/>
  <c r="D125" i="7" a="1"/>
  <c r="D125" i="7" s="1"/>
  <c r="E125" i="7" a="1"/>
  <c r="E125" i="7" s="1"/>
  <c r="F125" i="7" a="1"/>
  <c r="F125" i="7" s="1"/>
  <c r="G125" i="7" a="1"/>
  <c r="G125" i="7" s="1"/>
  <c r="H125" i="7" a="1"/>
  <c r="H125" i="7" s="1"/>
  <c r="I125" i="7" a="1"/>
  <c r="I125" i="7" s="1"/>
  <c r="J125" i="7" a="1"/>
  <c r="J125" i="7" s="1"/>
  <c r="C20" i="12" l="1"/>
  <c r="G37" i="59" l="1"/>
  <c r="H37" i="59"/>
  <c r="I20" i="12"/>
  <c r="H20" i="12" l="1"/>
  <c r="J20" i="12" s="1"/>
  <c r="E37" i="59" s="1"/>
  <c r="C19" i="12" l="1"/>
  <c r="L40" i="8"/>
  <c r="G36" i="59" l="1"/>
  <c r="H36" i="59"/>
  <c r="I19" i="12"/>
  <c r="E28" i="59" s="1"/>
  <c r="H19" i="12"/>
  <c r="C28" i="59" s="1"/>
  <c r="J19" i="12" l="1"/>
  <c r="E36" i="59" s="1"/>
  <c r="P15" i="48" l="1"/>
  <c r="P16" i="48"/>
  <c r="P14" i="48"/>
  <c r="P13" i="48"/>
  <c r="P10" i="48"/>
  <c r="P7" i="48"/>
  <c r="P9" i="48"/>
  <c r="P11" i="48"/>
  <c r="P8" i="48"/>
  <c r="P12" i="48"/>
  <c r="P5" i="48"/>
  <c r="P6" i="48"/>
  <c r="P4" i="48"/>
  <c r="P3" i="1"/>
  <c r="P4" i="1"/>
  <c r="P5" i="1"/>
  <c r="P6" i="1"/>
  <c r="P7" i="1"/>
  <c r="P8" i="1"/>
  <c r="P9" i="1"/>
  <c r="P10" i="1"/>
  <c r="P11" i="1"/>
  <c r="AA4" i="1" l="1" a="1"/>
  <c r="AA4" i="1" s="1"/>
  <c r="AA15" i="1" a="1"/>
  <c r="AA15" i="1" s="1"/>
  <c r="AA5" i="1" a="1"/>
  <c r="AA5" i="1" s="1"/>
  <c r="AA12" i="1" a="1"/>
  <c r="AA12" i="1" s="1"/>
  <c r="AA13" i="1" a="1"/>
  <c r="AA13" i="1" s="1"/>
  <c r="AA14" i="1" a="1"/>
  <c r="AA14" i="1" s="1"/>
  <c r="AA11" i="1" a="1"/>
  <c r="AA11" i="1" s="1"/>
  <c r="AA3" i="1" a="1"/>
  <c r="AA3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R5" i="48" a="1"/>
  <c r="R5" i="48" s="1"/>
  <c r="R7" i="48" a="1"/>
  <c r="R7" i="48" s="1"/>
  <c r="R9" i="48" a="1"/>
  <c r="R9" i="48" s="1"/>
  <c r="R11" i="48" a="1"/>
  <c r="R11" i="48" s="1"/>
  <c r="R13" i="48" a="1"/>
  <c r="R13" i="48" s="1"/>
  <c r="R8" i="48" a="1"/>
  <c r="R8" i="48" s="1"/>
  <c r="R10" i="48" a="1"/>
  <c r="R10" i="48" s="1"/>
  <c r="R14" i="48" a="1"/>
  <c r="R14" i="48" s="1"/>
  <c r="R16" i="48" a="1"/>
  <c r="R16" i="48" s="1"/>
  <c r="R6" i="48" a="1"/>
  <c r="R6" i="48" s="1"/>
  <c r="R12" i="48" a="1"/>
  <c r="R12" i="48" s="1"/>
  <c r="R15" i="48" a="1"/>
  <c r="R15" i="48" s="1"/>
  <c r="R4" i="48" a="1"/>
  <c r="R4" i="48" s="1"/>
  <c r="H136" i="5" a="1"/>
  <c r="H136" i="5" s="1"/>
  <c r="B136" i="5" a="1"/>
  <c r="B136" i="5" s="1"/>
  <c r="J136" i="5" a="1"/>
  <c r="J136" i="5" s="1"/>
  <c r="E136" i="5" a="1"/>
  <c r="E136" i="5" s="1"/>
  <c r="C136" i="5" a="1"/>
  <c r="C136" i="5" s="1"/>
  <c r="D136" i="5" a="1"/>
  <c r="D136" i="5" s="1"/>
  <c r="I136" i="5" a="1"/>
  <c r="I136" i="5" s="1"/>
  <c r="G136" i="5" a="1"/>
  <c r="G136" i="5" s="1"/>
  <c r="F136" i="5" a="1"/>
  <c r="F136" i="5" s="1"/>
  <c r="W11" i="45"/>
  <c r="W12" i="45"/>
  <c r="W13" i="45"/>
  <c r="W14" i="45"/>
  <c r="W15" i="45"/>
  <c r="W16" i="45"/>
  <c r="W17" i="45"/>
  <c r="W18" i="45"/>
  <c r="W19" i="45"/>
  <c r="W20" i="45"/>
  <c r="W21" i="45"/>
  <c r="W22" i="45"/>
  <c r="W23" i="45"/>
  <c r="W24" i="45"/>
  <c r="W25" i="45"/>
  <c r="W26" i="45"/>
  <c r="W27" i="45"/>
  <c r="W28" i="45"/>
  <c r="W29" i="45"/>
  <c r="W30" i="45"/>
  <c r="W31" i="45"/>
  <c r="W32" i="45"/>
  <c r="W33" i="45"/>
  <c r="W34" i="45"/>
  <c r="W35" i="45"/>
  <c r="W36" i="45"/>
  <c r="W37" i="45"/>
  <c r="W38" i="45"/>
  <c r="W39" i="45"/>
  <c r="W40" i="45"/>
  <c r="W41" i="45"/>
  <c r="W42" i="45"/>
  <c r="W43" i="45"/>
  <c r="W44" i="45"/>
  <c r="W45" i="45"/>
  <c r="W46" i="45"/>
  <c r="W47" i="45"/>
  <c r="W48" i="45"/>
  <c r="W49" i="45"/>
  <c r="W50" i="45"/>
  <c r="W51" i="45"/>
  <c r="W52" i="45"/>
  <c r="W53" i="45"/>
  <c r="W54" i="45"/>
  <c r="W55" i="45"/>
  <c r="W56" i="45"/>
  <c r="W57" i="45"/>
  <c r="W58" i="45"/>
  <c r="W59" i="45"/>
  <c r="W60" i="45"/>
  <c r="W61" i="45"/>
  <c r="W62" i="45"/>
  <c r="W63" i="45"/>
  <c r="W64" i="45"/>
  <c r="W65" i="45"/>
  <c r="W66" i="45"/>
  <c r="W67" i="45"/>
  <c r="W68" i="45"/>
  <c r="W69" i="45"/>
  <c r="W70" i="45"/>
  <c r="W71" i="45"/>
  <c r="W72" i="45"/>
  <c r="W73" i="45"/>
  <c r="W74" i="45"/>
  <c r="W75" i="45"/>
  <c r="W76" i="45"/>
  <c r="W77" i="45"/>
  <c r="W78" i="45"/>
  <c r="W79" i="45"/>
  <c r="W80" i="45"/>
  <c r="W81" i="45"/>
  <c r="W82" i="45"/>
  <c r="W83" i="45"/>
  <c r="W84" i="45"/>
  <c r="W85" i="45"/>
  <c r="W86" i="45"/>
  <c r="W87" i="45"/>
  <c r="W88" i="45"/>
  <c r="W89" i="45"/>
  <c r="W90" i="45"/>
  <c r="W91" i="45"/>
  <c r="W92" i="45"/>
  <c r="W93" i="45"/>
  <c r="W94" i="45"/>
  <c r="W95" i="45"/>
  <c r="W96" i="45"/>
  <c r="W97" i="45"/>
  <c r="W98" i="45"/>
  <c r="W99" i="45"/>
  <c r="W100" i="45"/>
  <c r="W101" i="45"/>
  <c r="W102" i="45"/>
  <c r="W103" i="45"/>
  <c r="W104" i="45"/>
  <c r="W105" i="45"/>
  <c r="W106" i="45"/>
  <c r="W107" i="45"/>
  <c r="W108" i="45"/>
  <c r="W109" i="45"/>
  <c r="W110" i="45"/>
  <c r="W111" i="45"/>
  <c r="W112" i="45"/>
  <c r="W113" i="45"/>
  <c r="W114" i="45"/>
  <c r="W115" i="45"/>
  <c r="W116" i="45"/>
  <c r="W117" i="45"/>
  <c r="W118" i="45"/>
  <c r="W119" i="45"/>
  <c r="W120" i="45"/>
  <c r="W121" i="45"/>
  <c r="W122" i="45"/>
  <c r="W123" i="45"/>
  <c r="W124" i="45"/>
  <c r="W125" i="45"/>
  <c r="W126" i="45"/>
  <c r="W127" i="45"/>
  <c r="W128" i="45"/>
  <c r="W129" i="45"/>
  <c r="W130" i="45"/>
  <c r="W131" i="45"/>
  <c r="W132" i="45"/>
  <c r="W133" i="45"/>
  <c r="W134" i="45"/>
  <c r="W135" i="45"/>
  <c r="W136" i="45"/>
  <c r="W137" i="45"/>
  <c r="W138" i="45"/>
  <c r="W139" i="45"/>
  <c r="W140" i="45"/>
  <c r="W141" i="45"/>
  <c r="W142" i="45"/>
  <c r="W143" i="45"/>
  <c r="W144" i="45"/>
  <c r="W145" i="45"/>
  <c r="W146" i="45"/>
  <c r="W147" i="45"/>
  <c r="W148" i="45"/>
  <c r="W149" i="45"/>
  <c r="W150" i="45"/>
  <c r="W151" i="45"/>
  <c r="W152" i="45"/>
  <c r="W153" i="45"/>
  <c r="W154" i="45"/>
  <c r="W155" i="45"/>
  <c r="W156" i="45"/>
  <c r="W157" i="45"/>
  <c r="W158" i="45"/>
  <c r="W159" i="45"/>
  <c r="W160" i="45"/>
  <c r="W161" i="45"/>
  <c r="W162" i="45"/>
  <c r="W163" i="45"/>
  <c r="W164" i="45"/>
  <c r="W165" i="45"/>
  <c r="W10" i="45"/>
  <c r="B127" i="47" a="1"/>
  <c r="B127" i="47" s="1"/>
  <c r="C127" i="47" a="1"/>
  <c r="C127" i="47" s="1"/>
  <c r="D127" i="47" a="1"/>
  <c r="D127" i="47" s="1"/>
  <c r="E127" i="47" a="1"/>
  <c r="E127" i="47" s="1"/>
  <c r="F127" i="47" a="1"/>
  <c r="F127" i="47" s="1"/>
  <c r="G127" i="47" a="1"/>
  <c r="G127" i="47" s="1"/>
  <c r="H127" i="47" a="1"/>
  <c r="H127" i="47" s="1"/>
  <c r="I127" i="47" a="1"/>
  <c r="I127" i="47" s="1"/>
  <c r="J127" i="47" a="1"/>
  <c r="J127" i="47" s="1"/>
  <c r="B125" i="47" a="1"/>
  <c r="B125" i="47" s="1"/>
  <c r="C125" i="47" a="1"/>
  <c r="C125" i="47" s="1"/>
  <c r="D125" i="47" a="1"/>
  <c r="D125" i="47" s="1"/>
  <c r="E125" i="47" a="1"/>
  <c r="E125" i="47" s="1"/>
  <c r="F125" i="47" a="1"/>
  <c r="F125" i="47" s="1"/>
  <c r="G125" i="47" a="1"/>
  <c r="G125" i="47" s="1"/>
  <c r="H125" i="47" a="1"/>
  <c r="H125" i="47" s="1"/>
  <c r="I125" i="47" a="1"/>
  <c r="I125" i="47" s="1"/>
  <c r="J125" i="47" a="1"/>
  <c r="J125" i="47" s="1"/>
  <c r="B124" i="47" a="1"/>
  <c r="B124" i="47" s="1"/>
  <c r="C124" i="47" a="1"/>
  <c r="C124" i="47" s="1"/>
  <c r="D124" i="47" a="1"/>
  <c r="D124" i="47" s="1"/>
  <c r="E124" i="47" a="1"/>
  <c r="E124" i="47" s="1"/>
  <c r="F124" i="47" a="1"/>
  <c r="F124" i="47" s="1"/>
  <c r="G124" i="47" a="1"/>
  <c r="G124" i="47" s="1"/>
  <c r="H124" i="47" a="1"/>
  <c r="H124" i="47" s="1"/>
  <c r="I124" i="47" a="1"/>
  <c r="I124" i="47" s="1"/>
  <c r="J124" i="47" a="1"/>
  <c r="J124" i="47" s="1"/>
  <c r="S15" i="48" l="1"/>
  <c r="AG14" i="12"/>
  <c r="S16" i="48"/>
  <c r="AG15" i="12"/>
  <c r="S12" i="48"/>
  <c r="AG11" i="12"/>
  <c r="S11" i="48"/>
  <c r="AG10" i="12"/>
  <c r="S6" i="48"/>
  <c r="AG5" i="12"/>
  <c r="S5" i="48"/>
  <c r="AG4" i="12"/>
  <c r="S14" i="48"/>
  <c r="AG13" i="12"/>
  <c r="S9" i="48"/>
  <c r="AG8" i="12"/>
  <c r="S8" i="48"/>
  <c r="AG7" i="12"/>
  <c r="S13" i="48"/>
  <c r="AG12" i="12"/>
  <c r="S10" i="48"/>
  <c r="AG9" i="12"/>
  <c r="S7" i="48"/>
  <c r="AG6" i="12"/>
  <c r="S4" i="48"/>
  <c r="AG3" i="12"/>
  <c r="E125" i="46" a="1"/>
  <c r="E125" i="46" s="1"/>
  <c r="E127" i="46" a="1"/>
  <c r="E127" i="46" s="1"/>
  <c r="E124" i="46" a="1"/>
  <c r="E124" i="46" s="1"/>
  <c r="C127" i="46" a="1"/>
  <c r="C127" i="46" s="1"/>
  <c r="C125" i="46" a="1"/>
  <c r="C125" i="46" s="1"/>
  <c r="C124" i="46" a="1"/>
  <c r="C124" i="46" s="1"/>
  <c r="F124" i="46" a="1"/>
  <c r="F124" i="46" s="1"/>
  <c r="F125" i="46" a="1"/>
  <c r="F125" i="46" s="1"/>
  <c r="F127" i="46" a="1"/>
  <c r="F127" i="46" s="1"/>
  <c r="I124" i="46" a="1"/>
  <c r="I124" i="46" s="1"/>
  <c r="I127" i="46" a="1"/>
  <c r="I127" i="46" s="1"/>
  <c r="I125" i="46" a="1"/>
  <c r="I125" i="46" s="1"/>
  <c r="D127" i="46" a="1"/>
  <c r="D127" i="46" s="1"/>
  <c r="D125" i="46" a="1"/>
  <c r="D125" i="46" s="1"/>
  <c r="D124" i="46" a="1"/>
  <c r="D124" i="46" s="1"/>
  <c r="H127" i="46" a="1"/>
  <c r="H127" i="46" s="1"/>
  <c r="H125" i="46" a="1"/>
  <c r="H125" i="46" s="1"/>
  <c r="H124" i="46" a="1"/>
  <c r="H124" i="46" s="1"/>
  <c r="G127" i="46" a="1"/>
  <c r="G127" i="46" s="1"/>
  <c r="G124" i="46" a="1"/>
  <c r="G124" i="46" s="1"/>
  <c r="G125" i="46" a="1"/>
  <c r="G125" i="46" s="1"/>
  <c r="J124" i="46" a="1"/>
  <c r="J124" i="46" s="1"/>
  <c r="J127" i="46" a="1"/>
  <c r="J127" i="46" s="1"/>
  <c r="J125" i="46" a="1"/>
  <c r="J125" i="46" s="1"/>
  <c r="B127" i="46" a="1"/>
  <c r="B127" i="46" s="1"/>
  <c r="B124" i="46" a="1"/>
  <c r="B124" i="46" s="1"/>
  <c r="B125" i="46" a="1"/>
  <c r="B125" i="46" s="1"/>
  <c r="T6" i="48" l="1" a="1"/>
  <c r="T6" i="48" s="1"/>
  <c r="T4" i="48" a="1"/>
  <c r="T4" i="48" s="1"/>
  <c r="T9" i="48" a="1"/>
  <c r="T9" i="48" s="1"/>
  <c r="T5" i="48" a="1"/>
  <c r="T5" i="48" s="1"/>
  <c r="T12" i="48" a="1"/>
  <c r="T12" i="48" s="1"/>
  <c r="T11" i="48" a="1"/>
  <c r="T11" i="48" s="1"/>
  <c r="T14" i="48" a="1"/>
  <c r="T14" i="48" s="1"/>
  <c r="T10" i="48" a="1"/>
  <c r="T10" i="48" s="1"/>
  <c r="T15" i="48" a="1"/>
  <c r="T15" i="48" s="1"/>
  <c r="T7" i="48" a="1"/>
  <c r="T7" i="48" s="1"/>
  <c r="T8" i="48" a="1"/>
  <c r="T8" i="48" s="1"/>
  <c r="T13" i="48" a="1"/>
  <c r="T13" i="48" s="1"/>
  <c r="T16" i="48" a="1"/>
  <c r="T16" i="48" s="1"/>
  <c r="B138" i="15" a="1"/>
  <c r="B138" i="15" s="1"/>
  <c r="I4" i="13" s="1"/>
  <c r="C138" i="15" a="1"/>
  <c r="C138" i="15" s="1"/>
  <c r="I5" i="13" s="1"/>
  <c r="D138" i="15" a="1"/>
  <c r="D138" i="15" s="1"/>
  <c r="I6" i="13" s="1"/>
  <c r="E138" i="15" a="1"/>
  <c r="E138" i="15" s="1"/>
  <c r="I7" i="13" s="1"/>
  <c r="F138" i="15" a="1"/>
  <c r="F138" i="15" s="1"/>
  <c r="I8" i="13" s="1"/>
  <c r="G138" i="15" a="1"/>
  <c r="G138" i="15" s="1"/>
  <c r="I9" i="13" s="1"/>
  <c r="H138" i="15" a="1"/>
  <c r="H138" i="15" s="1"/>
  <c r="I10" i="13" s="1"/>
  <c r="I138" i="15" a="1"/>
  <c r="I138" i="15" s="1"/>
  <c r="I11" i="13" s="1"/>
  <c r="J138" i="15" a="1"/>
  <c r="J138" i="15" s="1"/>
  <c r="I12" i="13" s="1"/>
  <c r="B137" i="15" a="1"/>
  <c r="B137" i="15" s="1"/>
  <c r="C137" i="15" a="1"/>
  <c r="C137" i="15" s="1"/>
  <c r="D137" i="15" a="1"/>
  <c r="D137" i="15" s="1"/>
  <c r="E137" i="15" a="1"/>
  <c r="E137" i="15" s="1"/>
  <c r="F137" i="15" a="1"/>
  <c r="F137" i="15" s="1"/>
  <c r="G137" i="15" a="1"/>
  <c r="G137" i="15" s="1"/>
  <c r="H137" i="15" a="1"/>
  <c r="H137" i="15" s="1"/>
  <c r="I137" i="15" a="1"/>
  <c r="I137" i="15" s="1"/>
  <c r="J137" i="15" a="1"/>
  <c r="J137" i="15" s="1"/>
  <c r="J136" i="15" a="1"/>
  <c r="J136" i="15" s="1"/>
  <c r="I136" i="15" a="1"/>
  <c r="I136" i="15" s="1"/>
  <c r="H136" i="15" a="1"/>
  <c r="H136" i="15" s="1"/>
  <c r="G136" i="15" a="1"/>
  <c r="G136" i="15" s="1"/>
  <c r="F136" i="15" a="1"/>
  <c r="F136" i="15" s="1"/>
  <c r="E136" i="15" a="1"/>
  <c r="E136" i="15" s="1"/>
  <c r="D136" i="15" a="1"/>
  <c r="D136" i="15" s="1"/>
  <c r="C136" i="15" a="1"/>
  <c r="C136" i="15" s="1"/>
  <c r="B136" i="15" a="1"/>
  <c r="B136" i="15" s="1"/>
  <c r="N14" i="8"/>
  <c r="N13" i="8"/>
  <c r="N12" i="13" l="1"/>
  <c r="N11" i="13"/>
  <c r="N7" i="13"/>
  <c r="N10" i="13"/>
  <c r="N6" i="13"/>
  <c r="N9" i="13"/>
  <c r="N5" i="13"/>
  <c r="N8" i="13"/>
  <c r="N4" i="13"/>
  <c r="N14" i="13"/>
  <c r="N15" i="13"/>
  <c r="N13" i="13"/>
  <c r="N16" i="13"/>
  <c r="F10" i="43"/>
  <c r="F11" i="43"/>
  <c r="F3" i="43"/>
  <c r="F4" i="43"/>
  <c r="F5" i="43"/>
  <c r="F6" i="43"/>
  <c r="F7" i="43"/>
  <c r="F8" i="43"/>
  <c r="F9" i="43"/>
  <c r="Q1" i="42" l="1"/>
  <c r="P1" i="42"/>
  <c r="O1" i="42"/>
  <c r="N1" i="42"/>
  <c r="M1" i="42"/>
  <c r="L1" i="42"/>
  <c r="O3" i="42" l="1"/>
  <c r="O15" i="42"/>
  <c r="S15" i="42" s="1"/>
  <c r="O12" i="42"/>
  <c r="S12" i="42" s="1"/>
  <c r="O13" i="42"/>
  <c r="S13" i="42" s="1"/>
  <c r="O14" i="42"/>
  <c r="S14" i="42" s="1"/>
  <c r="O11" i="42"/>
  <c r="C18" i="12"/>
  <c r="G35" i="59" l="1"/>
  <c r="H35" i="59"/>
  <c r="O10" i="42"/>
  <c r="S10" i="42" s="1"/>
  <c r="O6" i="42"/>
  <c r="S6" i="42" s="1"/>
  <c r="O9" i="42"/>
  <c r="D20" i="1"/>
  <c r="D19" i="1"/>
  <c r="N35" i="59" l="1"/>
  <c r="N38" i="59"/>
  <c r="N39" i="59"/>
  <c r="N37" i="59"/>
  <c r="N36" i="59"/>
  <c r="M35" i="59"/>
  <c r="M38" i="59"/>
  <c r="M39" i="59"/>
  <c r="M37" i="59"/>
  <c r="M36" i="59"/>
  <c r="O7" i="42"/>
  <c r="O8" i="42"/>
  <c r="O4" i="42"/>
  <c r="O5" i="42"/>
  <c r="I18" i="12"/>
  <c r="E27" i="59" s="1"/>
  <c r="H18" i="12" l="1"/>
  <c r="C27" i="59" s="1"/>
  <c r="J18" i="12" l="1"/>
  <c r="E35" i="59" s="1"/>
  <c r="M2" i="13" l="1"/>
  <c r="N2" i="13"/>
  <c r="L2" i="13"/>
  <c r="J25" i="38" l="1"/>
  <c r="I25" i="38"/>
  <c r="H25" i="38"/>
  <c r="G25" i="38"/>
  <c r="F25" i="38"/>
  <c r="E25" i="38"/>
  <c r="D25" i="38"/>
  <c r="C25" i="38"/>
  <c r="B25" i="38"/>
  <c r="M4" i="1" l="1"/>
  <c r="T4" i="1" s="1"/>
  <c r="M6" i="1"/>
  <c r="T6" i="1" s="1"/>
  <c r="M10" i="1"/>
  <c r="T10" i="1" s="1"/>
  <c r="M8" i="1"/>
  <c r="T8" i="1" s="1"/>
  <c r="M5" i="1"/>
  <c r="T5" i="1" s="1"/>
  <c r="M9" i="1"/>
  <c r="T9" i="1" s="1"/>
  <c r="M3" i="1"/>
  <c r="T3" i="1" s="1"/>
  <c r="M7" i="1"/>
  <c r="T7" i="1" s="1"/>
  <c r="M11" i="1"/>
  <c r="T11" i="1" s="1"/>
  <c r="N3" i="1"/>
  <c r="R3" i="1" s="1"/>
  <c r="N4" i="1"/>
  <c r="R4" i="1" s="1"/>
  <c r="N5" i="1"/>
  <c r="R5" i="1" s="1"/>
  <c r="N6" i="1"/>
  <c r="R6" i="1" s="1"/>
  <c r="N7" i="1"/>
  <c r="R7" i="1" s="1"/>
  <c r="N8" i="1"/>
  <c r="R8" i="1" s="1"/>
  <c r="N9" i="1"/>
  <c r="R9" i="1" s="1"/>
  <c r="N10" i="1"/>
  <c r="R10" i="1" s="1"/>
  <c r="N11" i="1"/>
  <c r="R11" i="1" s="1"/>
  <c r="Z5" i="1" l="1" a="1"/>
  <c r="Z5" i="1" s="1"/>
  <c r="Z7" i="1" a="1"/>
  <c r="Z7" i="1" s="1"/>
  <c r="Z9" i="1" a="1"/>
  <c r="Z9" i="1" s="1"/>
  <c r="Z11" i="1" a="1"/>
  <c r="Z11" i="1" s="1"/>
  <c r="Z13" i="1" a="1"/>
  <c r="Z13" i="1" s="1"/>
  <c r="Z15" i="1" a="1"/>
  <c r="Z15" i="1" s="1"/>
  <c r="Z6" i="1" a="1"/>
  <c r="Z6" i="1" s="1"/>
  <c r="Z10" i="1" a="1"/>
  <c r="Z10" i="1" s="1"/>
  <c r="Z14" i="1" a="1"/>
  <c r="Z14" i="1" s="1"/>
  <c r="Z4" i="1" a="1"/>
  <c r="Z4" i="1" s="1"/>
  <c r="Z8" i="1" a="1"/>
  <c r="Z8" i="1" s="1"/>
  <c r="Z12" i="1" a="1"/>
  <c r="Z12" i="1" s="1"/>
  <c r="Z3" i="1" a="1"/>
  <c r="Z3" i="1" s="1"/>
  <c r="V6" i="1" a="1"/>
  <c r="V6" i="1" s="1"/>
  <c r="V9" i="1" a="1"/>
  <c r="V9" i="1" s="1"/>
  <c r="V14" i="1" a="1"/>
  <c r="V14" i="1" s="1"/>
  <c r="V8" i="1" a="1"/>
  <c r="V8" i="1" s="1"/>
  <c r="V3" i="1" a="1"/>
  <c r="V3" i="1" s="1"/>
  <c r="V4" i="1" a="1"/>
  <c r="V4" i="1" s="1"/>
  <c r="V7" i="1" a="1"/>
  <c r="V7" i="1" s="1"/>
  <c r="V12" i="1" a="1"/>
  <c r="V12" i="1" s="1"/>
  <c r="V15" i="1" a="1"/>
  <c r="V15" i="1" s="1"/>
  <c r="V11" i="1" a="1"/>
  <c r="V11" i="1" s="1"/>
  <c r="V5" i="1" a="1"/>
  <c r="V5" i="1" s="1"/>
  <c r="V10" i="1" a="1"/>
  <c r="V10" i="1" s="1"/>
  <c r="V13" i="1" a="1"/>
  <c r="V13" i="1" s="1"/>
  <c r="J23" i="38"/>
  <c r="J24" i="38"/>
  <c r="H23" i="38"/>
  <c r="H24" i="38"/>
  <c r="D24" i="38"/>
  <c r="D23" i="38"/>
  <c r="I23" i="38"/>
  <c r="I24" i="38"/>
  <c r="E24" i="38"/>
  <c r="E23" i="38"/>
  <c r="C24" i="38"/>
  <c r="C23" i="38"/>
  <c r="F23" i="38"/>
  <c r="F24" i="38"/>
  <c r="B24" i="38"/>
  <c r="B23" i="38"/>
  <c r="G23" i="38"/>
  <c r="G24" i="38"/>
  <c r="Q11" i="1"/>
  <c r="Q7" i="1"/>
  <c r="Q3" i="1"/>
  <c r="Q10" i="1"/>
  <c r="Q6" i="1"/>
  <c r="Q9" i="1"/>
  <c r="Q5" i="1"/>
  <c r="Q8" i="1"/>
  <c r="Q4" i="1"/>
  <c r="I10" i="39" l="1"/>
  <c r="M10" i="39" s="1"/>
  <c r="I5" i="39"/>
  <c r="M5" i="39" s="1"/>
  <c r="I4" i="39"/>
  <c r="M4" i="39" s="1"/>
  <c r="I7" i="39"/>
  <c r="M7" i="39" s="1"/>
  <c r="I9" i="39"/>
  <c r="M9" i="39" s="1"/>
  <c r="I8" i="39"/>
  <c r="M8" i="39" s="1"/>
  <c r="I6" i="39"/>
  <c r="M6" i="39" s="1"/>
  <c r="I2" i="39"/>
  <c r="M2" i="39" s="1"/>
  <c r="I3" i="39"/>
  <c r="M3" i="39" s="1"/>
  <c r="U4" i="1" a="1"/>
  <c r="U4" i="1" s="1"/>
  <c r="U7" i="1" a="1"/>
  <c r="U7" i="1" s="1"/>
  <c r="U12" i="1" a="1"/>
  <c r="U12" i="1" s="1"/>
  <c r="U15" i="1" a="1"/>
  <c r="U15" i="1" s="1"/>
  <c r="U9" i="1" a="1"/>
  <c r="U9" i="1" s="1"/>
  <c r="U5" i="1" a="1"/>
  <c r="U5" i="1" s="1"/>
  <c r="U10" i="1" a="1"/>
  <c r="U10" i="1" s="1"/>
  <c r="U13" i="1" a="1"/>
  <c r="U13" i="1" s="1"/>
  <c r="U11" i="1" a="1"/>
  <c r="U11" i="1" s="1"/>
  <c r="U6" i="1" a="1"/>
  <c r="U6" i="1" s="1"/>
  <c r="U14" i="1" a="1"/>
  <c r="U14" i="1" s="1"/>
  <c r="U8" i="1" a="1"/>
  <c r="U8" i="1" s="1"/>
  <c r="U3" i="1" a="1"/>
  <c r="U3" i="1" s="1"/>
  <c r="N4" i="39" l="1" a="1"/>
  <c r="N4" i="39" s="1"/>
  <c r="N9" i="39" a="1"/>
  <c r="N9" i="39" s="1"/>
  <c r="N12" i="39" a="1"/>
  <c r="N12" i="39" s="1"/>
  <c r="N7" i="39" a="1"/>
  <c r="N7" i="39" s="1"/>
  <c r="N10" i="39" a="1"/>
  <c r="N10" i="39" s="1"/>
  <c r="N2" i="39" a="1"/>
  <c r="N2" i="39" s="1"/>
  <c r="N5" i="39" a="1"/>
  <c r="N5" i="39" s="1"/>
  <c r="N8" i="39" a="1"/>
  <c r="N8" i="39" s="1"/>
  <c r="N13" i="39" a="1"/>
  <c r="N13" i="39" s="1"/>
  <c r="N3" i="39" a="1"/>
  <c r="N3" i="39" s="1"/>
  <c r="N6" i="39" a="1"/>
  <c r="N6" i="39" s="1"/>
  <c r="N11" i="39" a="1"/>
  <c r="N11" i="39" s="1"/>
  <c r="N14" i="39" a="1"/>
  <c r="N14" i="39" s="1"/>
  <c r="U2" i="12"/>
  <c r="U11" i="12" l="1"/>
  <c r="U7" i="12"/>
  <c r="U3" i="12"/>
  <c r="U10" i="12"/>
  <c r="U9" i="12"/>
  <c r="U8" i="12"/>
  <c r="U6" i="12"/>
  <c r="U5" i="12"/>
  <c r="U4" i="12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AJ16" i="9"/>
  <c r="AK16" i="9"/>
  <c r="AL16" i="9"/>
  <c r="AM16" i="9"/>
  <c r="AN16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AJ17" i="9"/>
  <c r="AK17" i="9"/>
  <c r="AL17" i="9"/>
  <c r="AM17" i="9"/>
  <c r="AN17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AJ18" i="9"/>
  <c r="AK18" i="9"/>
  <c r="AL18" i="9"/>
  <c r="AM18" i="9"/>
  <c r="AN18" i="9"/>
  <c r="B18" i="9"/>
  <c r="B17" i="9"/>
  <c r="B16" i="9"/>
  <c r="S8" i="1"/>
  <c r="S4" i="1"/>
  <c r="S3" i="1"/>
  <c r="S5" i="1" l="1"/>
  <c r="S7" i="1"/>
  <c r="S11" i="1"/>
  <c r="S9" i="1"/>
  <c r="S6" i="1"/>
  <c r="S10" i="1"/>
  <c r="W5" i="1" l="1" a="1"/>
  <c r="W5" i="1" s="1"/>
  <c r="AB5" i="1" s="1"/>
  <c r="W12" i="1" a="1"/>
  <c r="W12" i="1" s="1"/>
  <c r="AB12" i="1" s="1"/>
  <c r="W9" i="1" a="1"/>
  <c r="W9" i="1" s="1"/>
  <c r="W8" i="1" a="1"/>
  <c r="W8" i="1" s="1"/>
  <c r="AB8" i="1" s="1"/>
  <c r="W7" i="1" a="1"/>
  <c r="W7" i="1" s="1"/>
  <c r="AB7" i="1" s="1"/>
  <c r="W6" i="1" a="1"/>
  <c r="W6" i="1" s="1"/>
  <c r="AB6" i="1" s="1"/>
  <c r="W13" i="1" a="1"/>
  <c r="W13" i="1" s="1"/>
  <c r="AB13" i="1" s="1"/>
  <c r="W4" i="1" a="1"/>
  <c r="W4" i="1" s="1"/>
  <c r="AB4" i="1" s="1"/>
  <c r="W15" i="1" a="1"/>
  <c r="W15" i="1" s="1"/>
  <c r="AB15" i="1" s="1"/>
  <c r="W10" i="1" a="1"/>
  <c r="W10" i="1" s="1"/>
  <c r="AB10" i="1" s="1"/>
  <c r="W14" i="1" a="1"/>
  <c r="W14" i="1" s="1"/>
  <c r="AB14" i="1" s="1"/>
  <c r="W11" i="1" a="1"/>
  <c r="W11" i="1" s="1"/>
  <c r="AB11" i="1" s="1"/>
  <c r="W3" i="1" a="1"/>
  <c r="W3" i="1" s="1"/>
  <c r="AB3" i="1" s="1"/>
  <c r="AB9" i="1"/>
  <c r="AC6" i="1" l="1" a="1"/>
  <c r="AC6" i="1" s="1"/>
  <c r="D10" i="40" s="1"/>
  <c r="AC9" i="1" a="1"/>
  <c r="AC9" i="1" s="1"/>
  <c r="D11" i="40" s="1"/>
  <c r="AC14" i="1" a="1"/>
  <c r="AC14" i="1" s="1"/>
  <c r="D17" i="40" s="1"/>
  <c r="AC4" i="1" a="1"/>
  <c r="AC4" i="1" s="1"/>
  <c r="D13" i="40" s="1"/>
  <c r="AC7" i="1" a="1"/>
  <c r="AC7" i="1" s="1"/>
  <c r="D7" i="40" s="1"/>
  <c r="AC12" i="1" a="1"/>
  <c r="AC12" i="1" s="1"/>
  <c r="D15" i="40" s="1"/>
  <c r="AC15" i="1" a="1"/>
  <c r="AC15" i="1" s="1"/>
  <c r="D18" i="40" s="1"/>
  <c r="AC5" i="1" a="1"/>
  <c r="AC5" i="1" s="1"/>
  <c r="D12" i="40" s="1"/>
  <c r="AC10" i="1" a="1"/>
  <c r="AC10" i="1" s="1"/>
  <c r="D8" i="40" s="1"/>
  <c r="AC13" i="1" a="1"/>
  <c r="AC13" i="1" s="1"/>
  <c r="D16" i="40" s="1"/>
  <c r="AC3" i="1" a="1"/>
  <c r="AC3" i="1" s="1"/>
  <c r="D14" i="40" s="1"/>
  <c r="AC8" i="1" a="1"/>
  <c r="AC8" i="1" s="1"/>
  <c r="D6" i="40" s="1"/>
  <c r="AC11" i="1" a="1"/>
  <c r="AC11" i="1" s="1"/>
  <c r="D9" i="40" s="1"/>
  <c r="E7" i="49" l="1"/>
  <c r="E4" i="49"/>
  <c r="E10" i="49"/>
  <c r="E11" i="49"/>
  <c r="E12" i="49"/>
  <c r="E16" i="49"/>
  <c r="E15" i="49"/>
  <c r="E14" i="49"/>
  <c r="E13" i="49"/>
  <c r="E9" i="49"/>
  <c r="E6" i="49"/>
  <c r="E5" i="49"/>
  <c r="E8" i="49"/>
  <c r="S11" i="42"/>
  <c r="S9" i="42" l="1"/>
  <c r="S3" i="42"/>
  <c r="S5" i="42"/>
  <c r="S7" i="42"/>
  <c r="S8" i="42"/>
  <c r="S4" i="42"/>
  <c r="U5" i="42" l="1" a="1"/>
  <c r="U5" i="42" s="1"/>
  <c r="L12" i="40" s="1"/>
  <c r="U10" i="42" a="1"/>
  <c r="U10" i="42" s="1"/>
  <c r="L8" i="40" s="1"/>
  <c r="U13" i="42" a="1"/>
  <c r="U13" i="42" s="1"/>
  <c r="L16" i="40" s="1"/>
  <c r="U4" i="42" a="1"/>
  <c r="U4" i="42" s="1"/>
  <c r="L13" i="40" s="1"/>
  <c r="U15" i="42" a="1"/>
  <c r="U15" i="42" s="1"/>
  <c r="L18" i="40" s="1"/>
  <c r="U8" i="42" a="1"/>
  <c r="U8" i="42" s="1"/>
  <c r="L6" i="40" s="1"/>
  <c r="U11" i="42" a="1"/>
  <c r="U11" i="42" s="1"/>
  <c r="L9" i="40" s="1"/>
  <c r="U3" i="42" a="1"/>
  <c r="U3" i="42" s="1"/>
  <c r="L14" i="40" s="1"/>
  <c r="U7" i="42" a="1"/>
  <c r="U7" i="42" s="1"/>
  <c r="L7" i="40" s="1"/>
  <c r="U6" i="42" a="1"/>
  <c r="U6" i="42" s="1"/>
  <c r="L10" i="40" s="1"/>
  <c r="U9" i="42" a="1"/>
  <c r="U9" i="42" s="1"/>
  <c r="L11" i="40" s="1"/>
  <c r="U14" i="42" a="1"/>
  <c r="U14" i="42" s="1"/>
  <c r="L17" i="40" s="1"/>
  <c r="U12" i="42" a="1"/>
  <c r="U12" i="42" s="1"/>
  <c r="L15" i="40" s="1"/>
  <c r="K8" i="49" l="1"/>
  <c r="I12" i="55"/>
  <c r="P12" i="55" s="1"/>
  <c r="K5" i="49"/>
  <c r="I13" i="55"/>
  <c r="P13" i="55" s="1"/>
  <c r="K10" i="49"/>
  <c r="I11" i="55"/>
  <c r="P11" i="55" s="1"/>
  <c r="K15" i="49"/>
  <c r="I20" i="55"/>
  <c r="P20" i="55" s="1"/>
  <c r="K12" i="49"/>
  <c r="I9" i="55"/>
  <c r="K11" i="49"/>
  <c r="I10" i="55"/>
  <c r="P10" i="55" s="1"/>
  <c r="K13" i="49"/>
  <c r="I18" i="55"/>
  <c r="P18" i="55" s="1"/>
  <c r="K16" i="49"/>
  <c r="I21" i="55"/>
  <c r="P21" i="55" s="1"/>
  <c r="K9" i="49"/>
  <c r="I15" i="55"/>
  <c r="P15" i="55" s="1"/>
  <c r="K7" i="49"/>
  <c r="I17" i="55"/>
  <c r="P17" i="55" s="1"/>
  <c r="K14" i="49"/>
  <c r="I19" i="55"/>
  <c r="P19" i="55" s="1"/>
  <c r="K6" i="49"/>
  <c r="I16" i="55"/>
  <c r="P16" i="55" s="1"/>
  <c r="K4" i="49"/>
  <c r="I14" i="55"/>
  <c r="P14" i="55" s="1"/>
  <c r="U1" i="28"/>
  <c r="T1" i="28"/>
  <c r="S1" i="28"/>
  <c r="V12" i="28" l="1"/>
  <c r="V14" i="28"/>
  <c r="V13" i="28"/>
  <c r="V15" i="28"/>
  <c r="U11" i="28"/>
  <c r="U10" i="28" l="1"/>
  <c r="U9" i="28" l="1"/>
  <c r="U8" i="28" l="1"/>
  <c r="U7" i="28" l="1"/>
  <c r="U6" i="28" l="1"/>
  <c r="V6" i="28" l="1"/>
  <c r="U5" i="28" l="1"/>
  <c r="U4" i="28" l="1"/>
  <c r="U3" i="28" l="1"/>
  <c r="T3" i="28" l="1"/>
  <c r="N17" i="8" l="1"/>
  <c r="V8" i="28" l="1"/>
  <c r="N4" i="28"/>
  <c r="V5" i="28"/>
  <c r="N9" i="28"/>
  <c r="N11" i="28"/>
  <c r="N6" i="28"/>
  <c r="N10" i="28"/>
  <c r="N3" i="28"/>
  <c r="N7" i="28"/>
  <c r="N16" i="8"/>
  <c r="V4" i="28"/>
  <c r="V10" i="28"/>
  <c r="S3" i="28"/>
  <c r="V3" i="28" s="1"/>
  <c r="V7" i="28"/>
  <c r="O13" i="8"/>
  <c r="O21" i="8" s="1"/>
  <c r="N5" i="28" l="1"/>
  <c r="N8" i="28"/>
  <c r="V11" i="28"/>
  <c r="V9" i="28"/>
  <c r="X5" i="28" s="1"/>
  <c r="I12" i="40" s="1"/>
  <c r="N22" i="8"/>
  <c r="N21" i="8"/>
  <c r="X11" i="28" l="1"/>
  <c r="I9" i="40" s="1"/>
  <c r="I7" i="49" s="1"/>
  <c r="I10" i="49"/>
  <c r="H11" i="55"/>
  <c r="N11" i="55" s="1"/>
  <c r="X12" i="28"/>
  <c r="I15" i="40" s="1"/>
  <c r="X8" i="28"/>
  <c r="I6" i="40" s="1"/>
  <c r="X7" i="28"/>
  <c r="I7" i="40" s="1"/>
  <c r="X13" i="28"/>
  <c r="I16" i="40" s="1"/>
  <c r="X4" i="28"/>
  <c r="I13" i="40" s="1"/>
  <c r="X14" i="28"/>
  <c r="I17" i="40" s="1"/>
  <c r="X9" i="28"/>
  <c r="I11" i="40" s="1"/>
  <c r="X15" i="28"/>
  <c r="I18" i="40" s="1"/>
  <c r="X10" i="28"/>
  <c r="I8" i="40" s="1"/>
  <c r="X6" i="28"/>
  <c r="I10" i="40" s="1"/>
  <c r="X3" i="28"/>
  <c r="I14" i="40" s="1"/>
  <c r="H17" i="55" l="1"/>
  <c r="N17" i="55" s="1"/>
  <c r="I16" i="49"/>
  <c r="H21" i="55"/>
  <c r="N21" i="55" s="1"/>
  <c r="I14" i="49"/>
  <c r="H19" i="55"/>
  <c r="N19" i="55" s="1"/>
  <c r="I12" i="49"/>
  <c r="H9" i="55"/>
  <c r="N9" i="55" s="1"/>
  <c r="I9" i="49"/>
  <c r="H15" i="55"/>
  <c r="N15" i="55" s="1"/>
  <c r="I5" i="49"/>
  <c r="H13" i="55"/>
  <c r="N13" i="55" s="1"/>
  <c r="I8" i="49"/>
  <c r="H12" i="55"/>
  <c r="N12" i="55" s="1"/>
  <c r="I15" i="49"/>
  <c r="H20" i="55"/>
  <c r="N20" i="55" s="1"/>
  <c r="I4" i="49"/>
  <c r="H14" i="55"/>
  <c r="N14" i="55" s="1"/>
  <c r="I6" i="49"/>
  <c r="H16" i="55"/>
  <c r="N16" i="55" s="1"/>
  <c r="I11" i="49"/>
  <c r="H10" i="55"/>
  <c r="N10" i="55" s="1"/>
  <c r="I13" i="49"/>
  <c r="H18" i="55"/>
  <c r="N18" i="55" s="1"/>
  <c r="I140" i="15"/>
  <c r="J140" i="15"/>
  <c r="H140" i="15"/>
  <c r="B140" i="15"/>
  <c r="G140" i="15"/>
  <c r="F140" i="15"/>
  <c r="E140" i="15"/>
  <c r="C140" i="15"/>
  <c r="D140" i="15"/>
  <c r="N22" i="55" l="1"/>
  <c r="AC2" i="12"/>
  <c r="AD2" i="12"/>
  <c r="O17" i="55" l="1"/>
  <c r="O11" i="55"/>
  <c r="O13" i="55"/>
  <c r="O9" i="55"/>
  <c r="O16" i="55"/>
  <c r="O10" i="55"/>
  <c r="O19" i="55"/>
  <c r="O20" i="55"/>
  <c r="O21" i="55"/>
  <c r="O18" i="55"/>
  <c r="O14" i="55"/>
  <c r="O15" i="55"/>
  <c r="O12" i="55"/>
  <c r="G23" i="18"/>
  <c r="G25" i="18" s="1" a="1"/>
  <c r="G25" i="18" s="1"/>
  <c r="K7" i="39" s="1"/>
  <c r="B23" i="18"/>
  <c r="H23" i="18"/>
  <c r="H25" i="18" s="1" a="1"/>
  <c r="H25" i="18" s="1"/>
  <c r="K8" i="39" s="1"/>
  <c r="C23" i="18"/>
  <c r="C25" i="18" s="1" a="1"/>
  <c r="C25" i="18" s="1"/>
  <c r="K3" i="39" s="1"/>
  <c r="I23" i="18"/>
  <c r="I25" i="18" s="1" a="1"/>
  <c r="I25" i="18" s="1"/>
  <c r="K9" i="39" s="1"/>
  <c r="J23" i="18"/>
  <c r="J25" i="18" s="1" a="1"/>
  <c r="J25" i="18" s="1"/>
  <c r="K10" i="39" s="1"/>
  <c r="E23" i="18"/>
  <c r="D23" i="18"/>
  <c r="F23" i="18"/>
  <c r="F25" i="18" s="1" a="1"/>
  <c r="F25" i="18" s="1"/>
  <c r="K6" i="39" s="1"/>
  <c r="D25" i="18" l="1" a="1"/>
  <c r="D25" i="18" s="1"/>
  <c r="K4" i="39" s="1"/>
  <c r="E25" i="18" a="1"/>
  <c r="E25" i="18" s="1"/>
  <c r="K5" i="39" s="1"/>
  <c r="B25" i="18" a="1"/>
  <c r="B25" i="18" s="1"/>
  <c r="K2" i="39" s="1"/>
  <c r="P3" i="39" l="1" a="1"/>
  <c r="P3" i="39" s="1"/>
  <c r="R3" i="39" s="1"/>
  <c r="P6" i="39" a="1"/>
  <c r="P6" i="39" s="1"/>
  <c r="R6" i="39" s="1"/>
  <c r="P11" i="39" a="1"/>
  <c r="P11" i="39" s="1"/>
  <c r="R11" i="39" s="1"/>
  <c r="P14" i="39" a="1"/>
  <c r="P14" i="39" s="1"/>
  <c r="R14" i="39" s="1"/>
  <c r="P4" i="39" a="1"/>
  <c r="P4" i="39" s="1"/>
  <c r="R4" i="39" s="1"/>
  <c r="P9" i="39" a="1"/>
  <c r="P9" i="39" s="1"/>
  <c r="R9" i="39" s="1"/>
  <c r="P12" i="39" a="1"/>
  <c r="P12" i="39" s="1"/>
  <c r="R12" i="39" s="1"/>
  <c r="P7" i="39" a="1"/>
  <c r="P7" i="39" s="1"/>
  <c r="R7" i="39" s="1"/>
  <c r="P10" i="39" a="1"/>
  <c r="P10" i="39" s="1"/>
  <c r="R10" i="39" s="1"/>
  <c r="P2" i="39" a="1"/>
  <c r="P2" i="39" s="1"/>
  <c r="R2" i="39" s="1"/>
  <c r="P5" i="39" a="1"/>
  <c r="P5" i="39" s="1"/>
  <c r="R5" i="39" s="1"/>
  <c r="P8" i="39" a="1"/>
  <c r="P8" i="39" s="1"/>
  <c r="R8" i="39" s="1"/>
  <c r="P13" i="39" a="1"/>
  <c r="P13" i="39" s="1"/>
  <c r="R13" i="39" s="1"/>
  <c r="B133" i="15"/>
  <c r="H4" i="13" s="1"/>
  <c r="S5" i="39" l="1" a="1"/>
  <c r="S5" i="39" s="1"/>
  <c r="E10" i="40" s="1"/>
  <c r="S8" i="39" a="1"/>
  <c r="S8" i="39" s="1"/>
  <c r="E11" i="40" s="1"/>
  <c r="S13" i="39" a="1"/>
  <c r="S13" i="39" s="1"/>
  <c r="E17" i="40" s="1"/>
  <c r="S3" i="39" a="1"/>
  <c r="S3" i="39" s="1"/>
  <c r="E13" i="40" s="1"/>
  <c r="S6" i="39" a="1"/>
  <c r="S6" i="39" s="1"/>
  <c r="E7" i="40" s="1"/>
  <c r="S11" i="39" a="1"/>
  <c r="S11" i="39" s="1"/>
  <c r="E15" i="40" s="1"/>
  <c r="S14" i="39" a="1"/>
  <c r="S14" i="39" s="1"/>
  <c r="E18" i="40" s="1"/>
  <c r="S4" i="39" a="1"/>
  <c r="S4" i="39" s="1"/>
  <c r="E12" i="40" s="1"/>
  <c r="S9" i="39" a="1"/>
  <c r="S9" i="39" s="1"/>
  <c r="E8" i="40" s="1"/>
  <c r="S12" i="39" a="1"/>
  <c r="S12" i="39" s="1"/>
  <c r="E16" i="40" s="1"/>
  <c r="S7" i="39" a="1"/>
  <c r="S7" i="39" s="1"/>
  <c r="E6" i="40" s="1"/>
  <c r="S10" i="39" a="1"/>
  <c r="S10" i="39" s="1"/>
  <c r="E9" i="40" s="1"/>
  <c r="S2" i="39" a="1"/>
  <c r="S2" i="39" s="1"/>
  <c r="E14" i="40" s="1"/>
  <c r="D133" i="15"/>
  <c r="H6" i="13" s="1"/>
  <c r="J133" i="15"/>
  <c r="H12" i="13" s="1"/>
  <c r="I133" i="15"/>
  <c r="H11" i="13" s="1"/>
  <c r="G133" i="15"/>
  <c r="H9" i="13" s="1"/>
  <c r="F133" i="15"/>
  <c r="H8" i="13" s="1"/>
  <c r="H133" i="15"/>
  <c r="H10" i="13" s="1"/>
  <c r="E133" i="15"/>
  <c r="H7" i="13" s="1"/>
  <c r="C133" i="15"/>
  <c r="H5" i="13" s="1"/>
  <c r="F7" i="49" l="1"/>
  <c r="F10" i="49"/>
  <c r="F11" i="49"/>
  <c r="F4" i="49"/>
  <c r="F16" i="49"/>
  <c r="F15" i="49"/>
  <c r="F14" i="49"/>
  <c r="F13" i="49"/>
  <c r="F9" i="49"/>
  <c r="F12" i="49"/>
  <c r="F6" i="49"/>
  <c r="F5" i="49"/>
  <c r="F8" i="49"/>
  <c r="M5" i="13"/>
  <c r="M9" i="13"/>
  <c r="M12" i="13"/>
  <c r="M7" i="13"/>
  <c r="M11" i="13"/>
  <c r="M13" i="13"/>
  <c r="M15" i="13"/>
  <c r="M10" i="13"/>
  <c r="M8" i="13"/>
  <c r="M6" i="13"/>
  <c r="M14" i="13"/>
  <c r="M16" i="13"/>
  <c r="M4" i="13"/>
  <c r="E132" i="5" l="1"/>
  <c r="E7" i="13" s="1"/>
  <c r="J7" i="13" s="1"/>
  <c r="F132" i="5"/>
  <c r="E8" i="13" s="1"/>
  <c r="J8" i="13" s="1"/>
  <c r="G132" i="5"/>
  <c r="E9" i="13" s="1"/>
  <c r="J9" i="13" s="1"/>
  <c r="H132" i="5"/>
  <c r="E10" i="13" s="1"/>
  <c r="J10" i="13" s="1"/>
  <c r="I132" i="5"/>
  <c r="E11" i="13" s="1"/>
  <c r="J11" i="13" s="1"/>
  <c r="J132" i="5"/>
  <c r="E12" i="13" s="1"/>
  <c r="J12" i="13" s="1"/>
  <c r="D132" i="5" l="1"/>
  <c r="E6" i="13" s="1"/>
  <c r="J6" i="13" s="1"/>
  <c r="C132" i="5"/>
  <c r="E5" i="13" s="1"/>
  <c r="B132" i="5"/>
  <c r="E4" i="13" s="1"/>
  <c r="J4" i="13" s="1"/>
  <c r="L5" i="13" l="1"/>
  <c r="J5" i="13"/>
  <c r="K5" i="13" s="1"/>
  <c r="K8" i="13"/>
  <c r="K9" i="13"/>
  <c r="K10" i="13"/>
  <c r="K11" i="13"/>
  <c r="K12" i="13"/>
  <c r="L9" i="13"/>
  <c r="L12" i="13"/>
  <c r="L6" i="13"/>
  <c r="L8" i="13"/>
  <c r="L7" i="13"/>
  <c r="L4" i="13"/>
  <c r="L13" i="13"/>
  <c r="P13" i="13" s="1"/>
  <c r="L14" i="13"/>
  <c r="P14" i="13" s="1"/>
  <c r="L15" i="13"/>
  <c r="P15" i="13" s="1"/>
  <c r="L16" i="13"/>
  <c r="P16" i="13" s="1"/>
  <c r="L11" i="13"/>
  <c r="L10" i="13"/>
  <c r="Z2" i="12"/>
  <c r="AB2" i="12"/>
  <c r="AA2" i="12"/>
  <c r="W2" i="12"/>
  <c r="X2" i="12"/>
  <c r="V2" i="12"/>
  <c r="K7" i="13" l="1"/>
  <c r="K6" i="13"/>
  <c r="AH2" i="12"/>
  <c r="K14" i="13"/>
  <c r="K13" i="13"/>
  <c r="K16" i="13"/>
  <c r="K15" i="13"/>
  <c r="K4" i="13"/>
  <c r="P5" i="13"/>
  <c r="P11" i="13"/>
  <c r="P7" i="13"/>
  <c r="P10" i="13"/>
  <c r="P4" i="13"/>
  <c r="P9" i="13"/>
  <c r="P6" i="13"/>
  <c r="P8" i="13"/>
  <c r="P12" i="13"/>
  <c r="R5" i="13" l="1" a="1"/>
  <c r="R5" i="13" s="1"/>
  <c r="F13" i="40" s="1"/>
  <c r="R8" i="13" a="1"/>
  <c r="R8" i="13" s="1"/>
  <c r="F7" i="40" s="1"/>
  <c r="R13" i="13" a="1"/>
  <c r="R13" i="13" s="1"/>
  <c r="F15" i="40" s="1"/>
  <c r="R16" i="13" a="1"/>
  <c r="R16" i="13" s="1"/>
  <c r="F18" i="40" s="1"/>
  <c r="R6" i="13" a="1"/>
  <c r="R6" i="13" s="1"/>
  <c r="F12" i="40" s="1"/>
  <c r="R11" i="13" a="1"/>
  <c r="R11" i="13" s="1"/>
  <c r="F8" i="40" s="1"/>
  <c r="R14" i="13" a="1"/>
  <c r="R14" i="13" s="1"/>
  <c r="F16" i="40" s="1"/>
  <c r="R9" i="13" a="1"/>
  <c r="R9" i="13" s="1"/>
  <c r="F6" i="40" s="1"/>
  <c r="R12" i="13" a="1"/>
  <c r="R12" i="13" s="1"/>
  <c r="F9" i="40" s="1"/>
  <c r="R4" i="13" a="1"/>
  <c r="R4" i="13" s="1"/>
  <c r="F14" i="40" s="1"/>
  <c r="R7" i="13" a="1"/>
  <c r="R7" i="13" s="1"/>
  <c r="F10" i="40" s="1"/>
  <c r="R10" i="13" a="1"/>
  <c r="R10" i="13" s="1"/>
  <c r="F11" i="40" s="1"/>
  <c r="R15" i="13" a="1"/>
  <c r="R15" i="13" s="1"/>
  <c r="F17" i="40" s="1"/>
  <c r="I4" i="12"/>
  <c r="H3" i="12"/>
  <c r="K14" i="40" s="1"/>
  <c r="I8" i="12"/>
  <c r="H4" i="12"/>
  <c r="K13" i="40" s="1"/>
  <c r="H10" i="12"/>
  <c r="K8" i="40" l="1"/>
  <c r="C24" i="59"/>
  <c r="G15" i="49"/>
  <c r="G17" i="40"/>
  <c r="G9" i="49"/>
  <c r="G11" i="40"/>
  <c r="G4" i="49"/>
  <c r="G6" i="40"/>
  <c r="G16" i="49"/>
  <c r="G18" i="40"/>
  <c r="G8" i="49"/>
  <c r="G10" i="40"/>
  <c r="G14" i="49"/>
  <c r="G16" i="40"/>
  <c r="G13" i="49"/>
  <c r="G15" i="40"/>
  <c r="G12" i="49"/>
  <c r="G14" i="40"/>
  <c r="G6" i="49"/>
  <c r="G8" i="40"/>
  <c r="G5" i="49"/>
  <c r="G7" i="40"/>
  <c r="G7" i="49"/>
  <c r="G9" i="40"/>
  <c r="G10" i="49"/>
  <c r="G12" i="40"/>
  <c r="G11" i="49"/>
  <c r="G13" i="40"/>
  <c r="P9" i="55"/>
  <c r="J4" i="12"/>
  <c r="I10" i="12"/>
  <c r="I11" i="12"/>
  <c r="H5" i="12"/>
  <c r="K12" i="40" s="1"/>
  <c r="I9" i="12"/>
  <c r="I7" i="12"/>
  <c r="I5" i="12"/>
  <c r="H11" i="12"/>
  <c r="K9" i="40" s="1"/>
  <c r="I3" i="12"/>
  <c r="J3" i="12" s="1"/>
  <c r="H6" i="12"/>
  <c r="K10" i="40" s="1"/>
  <c r="H8" i="12"/>
  <c r="K6" i="40" s="1"/>
  <c r="I6" i="12"/>
  <c r="H7" i="12"/>
  <c r="K7" i="40" s="1"/>
  <c r="H9" i="12"/>
  <c r="K11" i="40" s="1"/>
  <c r="P22" i="55" l="1"/>
  <c r="Q9" i="55" s="1"/>
  <c r="H8" i="40" a="1"/>
  <c r="H8" i="40" s="1"/>
  <c r="G16" i="55" s="1"/>
  <c r="H13" i="40" a="1"/>
  <c r="H13" i="40" s="1"/>
  <c r="G10" i="55" s="1"/>
  <c r="H16" i="40" a="1"/>
  <c r="H16" i="40" s="1"/>
  <c r="G19" i="55" s="1"/>
  <c r="H11" i="40" a="1"/>
  <c r="H11" i="40" s="1"/>
  <c r="G15" i="55" s="1"/>
  <c r="H14" i="40" a="1"/>
  <c r="H14" i="40" s="1"/>
  <c r="G9" i="55" s="1"/>
  <c r="H6" i="40" a="1"/>
  <c r="H6" i="40" s="1"/>
  <c r="G14" i="55" s="1"/>
  <c r="L14" i="55" s="1"/>
  <c r="H9" i="40" a="1"/>
  <c r="H9" i="40" s="1"/>
  <c r="G17" i="55" s="1"/>
  <c r="H12" i="40" a="1"/>
  <c r="H12" i="40" s="1"/>
  <c r="G11" i="55" s="1"/>
  <c r="H17" i="40" a="1"/>
  <c r="H17" i="40" s="1"/>
  <c r="G20" i="55" s="1"/>
  <c r="H7" i="40" a="1"/>
  <c r="H7" i="40" s="1"/>
  <c r="G13" i="55" s="1"/>
  <c r="H10" i="40" a="1"/>
  <c r="H10" i="40" s="1"/>
  <c r="G12" i="55" s="1"/>
  <c r="H15" i="40" a="1"/>
  <c r="H15" i="40" s="1"/>
  <c r="G18" i="55" s="1"/>
  <c r="H18" i="40" a="1"/>
  <c r="H18" i="40" s="1"/>
  <c r="G21" i="55" s="1"/>
  <c r="J10" i="12"/>
  <c r="E24" i="59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H4" i="49" l="1"/>
  <c r="Q16" i="55"/>
  <c r="Q14" i="55"/>
  <c r="Q17" i="55"/>
  <c r="Q15" i="55"/>
  <c r="Q18" i="55"/>
  <c r="Q10" i="55"/>
  <c r="Q20" i="55"/>
  <c r="Q12" i="55"/>
  <c r="Q19" i="55"/>
  <c r="Q21" i="55"/>
  <c r="Q11" i="55"/>
  <c r="Q13" i="55"/>
  <c r="AB7" i="12" a="1"/>
  <c r="AB7" i="12" s="1"/>
  <c r="AH7" i="12" s="1"/>
  <c r="H16" i="49"/>
  <c r="L21" i="55"/>
  <c r="H9" i="49"/>
  <c r="L15" i="55"/>
  <c r="H8" i="49"/>
  <c r="L12" i="55"/>
  <c r="H15" i="49"/>
  <c r="L20" i="55"/>
  <c r="H6" i="49"/>
  <c r="L16" i="55"/>
  <c r="H5" i="49"/>
  <c r="L13" i="55"/>
  <c r="H13" i="49"/>
  <c r="L18" i="55"/>
  <c r="H10" i="49"/>
  <c r="L11" i="55"/>
  <c r="H14" i="49"/>
  <c r="L19" i="55"/>
  <c r="H7" i="49"/>
  <c r="L17" i="55"/>
  <c r="H12" i="49"/>
  <c r="L9" i="55"/>
  <c r="H11" i="49"/>
  <c r="L10" i="55"/>
  <c r="AB14" i="12" a="1"/>
  <c r="AB14" i="12" s="1"/>
  <c r="AH14" i="12" s="1"/>
  <c r="AB11" i="12" a="1"/>
  <c r="AB11" i="12" s="1"/>
  <c r="AH11" i="12" s="1"/>
  <c r="AB5" i="12" a="1"/>
  <c r="AB5" i="12" s="1"/>
  <c r="AH5" i="12" s="1"/>
  <c r="AB4" i="12" a="1"/>
  <c r="AB4" i="12" s="1"/>
  <c r="AH4" i="12" s="1"/>
  <c r="AB9" i="12" a="1"/>
  <c r="AB9" i="12" s="1"/>
  <c r="AH9" i="12" s="1"/>
  <c r="AB8" i="12" a="1"/>
  <c r="AB8" i="12" s="1"/>
  <c r="AH8" i="12" s="1"/>
  <c r="AB15" i="12" a="1"/>
  <c r="AB15" i="12" s="1"/>
  <c r="AH15" i="12" s="1"/>
  <c r="AB6" i="12" a="1"/>
  <c r="AB6" i="12" s="1"/>
  <c r="AH6" i="12" s="1"/>
  <c r="AB13" i="12" a="1"/>
  <c r="AB13" i="12" s="1"/>
  <c r="AK13" i="12" s="1"/>
  <c r="AB12" i="12" a="1"/>
  <c r="AB12" i="12" s="1"/>
  <c r="AK12" i="12" s="1"/>
  <c r="AB3" i="12" a="1"/>
  <c r="AB3" i="12" s="1"/>
  <c r="AK3" i="12" s="1"/>
  <c r="AB10" i="12" a="1"/>
  <c r="AB10" i="12" s="1"/>
  <c r="AK10" i="12" s="1"/>
  <c r="AK7" i="12" l="1"/>
  <c r="AH10" i="12"/>
  <c r="AH12" i="12"/>
  <c r="AH13" i="12"/>
  <c r="AH3" i="12"/>
  <c r="AK8" i="12"/>
  <c r="AK15" i="12"/>
  <c r="AK14" i="12"/>
  <c r="L22" i="55"/>
  <c r="M14" i="55" s="1"/>
  <c r="AK11" i="12"/>
  <c r="AK4" i="12"/>
  <c r="AK6" i="12"/>
  <c r="AK9" i="12"/>
  <c r="AK5" i="12"/>
  <c r="AJ6" i="12" l="1" a="1"/>
  <c r="AJ6" i="12" s="1"/>
  <c r="J10" i="40" s="1"/>
  <c r="J8" i="49" s="1"/>
  <c r="AJ9" i="12" a="1"/>
  <c r="AJ9" i="12" s="1"/>
  <c r="AJ15" i="12" a="1"/>
  <c r="AJ15" i="12" s="1"/>
  <c r="AJ5" i="12" a="1"/>
  <c r="AJ5" i="12" s="1"/>
  <c r="AJ13" i="12" a="1"/>
  <c r="AJ13" i="12" s="1"/>
  <c r="M16" i="55"/>
  <c r="AJ7" i="12" a="1"/>
  <c r="AJ7" i="12" s="1"/>
  <c r="M17" i="55"/>
  <c r="AJ11" i="12" a="1"/>
  <c r="AJ11" i="12" s="1"/>
  <c r="AJ12" i="12" a="1"/>
  <c r="AJ12" i="12" s="1"/>
  <c r="M18" i="55"/>
  <c r="AJ14" i="12" a="1"/>
  <c r="AJ14" i="12" s="1"/>
  <c r="J17" i="40" s="1"/>
  <c r="AJ4" i="12" a="1"/>
  <c r="AJ4" i="12" s="1"/>
  <c r="J13" i="40" s="1"/>
  <c r="M12" i="55"/>
  <c r="M9" i="55"/>
  <c r="M15" i="55"/>
  <c r="M20" i="55"/>
  <c r="AJ10" i="12" a="1"/>
  <c r="AJ10" i="12" s="1"/>
  <c r="J8" i="40" s="1"/>
  <c r="M13" i="55"/>
  <c r="AJ3" i="12" a="1"/>
  <c r="AJ3" i="12" s="1"/>
  <c r="J14" i="40" s="1"/>
  <c r="AJ8" i="12" a="1"/>
  <c r="AJ8" i="12" s="1"/>
  <c r="M21" i="55"/>
  <c r="M19" i="55"/>
  <c r="M10" i="55"/>
  <c r="M11" i="55"/>
  <c r="M10" i="40" l="1"/>
  <c r="F12" i="55"/>
  <c r="J12" i="55" s="1"/>
  <c r="J7" i="40"/>
  <c r="J5" i="49" s="1"/>
  <c r="J16" i="40"/>
  <c r="F19" i="55" s="1"/>
  <c r="J19" i="55" s="1"/>
  <c r="J12" i="40"/>
  <c r="M12" i="40" s="1"/>
  <c r="J15" i="40"/>
  <c r="F18" i="55" s="1"/>
  <c r="J18" i="55" s="1"/>
  <c r="J18" i="40"/>
  <c r="M18" i="40" s="1"/>
  <c r="J9" i="40"/>
  <c r="M9" i="40" s="1"/>
  <c r="J11" i="40"/>
  <c r="F15" i="55" s="1"/>
  <c r="J15" i="55" s="1"/>
  <c r="J6" i="40"/>
  <c r="M6" i="40" s="1"/>
  <c r="M7" i="40"/>
  <c r="F13" i="55"/>
  <c r="J13" i="55" s="1"/>
  <c r="J6" i="49"/>
  <c r="F16" i="55"/>
  <c r="J16" i="55" s="1"/>
  <c r="M8" i="40"/>
  <c r="J11" i="49"/>
  <c r="F10" i="55"/>
  <c r="J10" i="55" s="1"/>
  <c r="M13" i="40"/>
  <c r="J15" i="49"/>
  <c r="F20" i="55"/>
  <c r="J20" i="55" s="1"/>
  <c r="M17" i="40"/>
  <c r="J12" i="49"/>
  <c r="F9" i="55"/>
  <c r="J9" i="55" s="1"/>
  <c r="M14" i="40"/>
  <c r="J14" i="49" l="1"/>
  <c r="M16" i="40"/>
  <c r="J10" i="49"/>
  <c r="F11" i="55"/>
  <c r="J11" i="55" s="1"/>
  <c r="F17" i="55"/>
  <c r="J17" i="55" s="1"/>
  <c r="J7" i="49"/>
  <c r="M15" i="40"/>
  <c r="F21" i="55"/>
  <c r="J21" i="55" s="1"/>
  <c r="J16" i="49"/>
  <c r="J13" i="49"/>
  <c r="M11" i="40"/>
  <c r="J9" i="49"/>
  <c r="F14" i="55"/>
  <c r="J14" i="55" s="1"/>
  <c r="J4" i="49"/>
  <c r="N6" i="40" l="1" a="1"/>
  <c r="N6" i="40" s="1"/>
  <c r="L4" i="49" s="1"/>
  <c r="N12" i="40" a="1"/>
  <c r="N12" i="40" s="1"/>
  <c r="L10" i="49" s="1"/>
  <c r="N10" i="40" a="1"/>
  <c r="N10" i="40" s="1"/>
  <c r="L8" i="49" s="1"/>
  <c r="J22" i="55"/>
  <c r="K14" i="55" s="1"/>
  <c r="R14" i="55" s="1"/>
  <c r="N16" i="40" a="1"/>
  <c r="N16" i="40" s="1"/>
  <c r="L14" i="49" s="1"/>
  <c r="N17" i="40" a="1"/>
  <c r="N17" i="40" s="1"/>
  <c r="L15" i="49" s="1"/>
  <c r="N18" i="40" a="1"/>
  <c r="N18" i="40" s="1"/>
  <c r="L16" i="49" s="1"/>
  <c r="N13" i="40" a="1"/>
  <c r="N13" i="40" s="1"/>
  <c r="L11" i="49" s="1"/>
  <c r="N9" i="40" a="1"/>
  <c r="N9" i="40" s="1"/>
  <c r="L7" i="49" s="1"/>
  <c r="N11" i="40" a="1"/>
  <c r="N11" i="40" s="1"/>
  <c r="L9" i="49" s="1"/>
  <c r="N8" i="40" a="1"/>
  <c r="N8" i="40" s="1"/>
  <c r="L6" i="49" s="1"/>
  <c r="N15" i="40" a="1"/>
  <c r="N15" i="40" s="1"/>
  <c r="L13" i="49" s="1"/>
  <c r="N14" i="40" a="1"/>
  <c r="N14" i="40" s="1"/>
  <c r="L12" i="49" s="1"/>
  <c r="N7" i="40" a="1"/>
  <c r="N7" i="40" s="1"/>
  <c r="L5" i="49" s="1"/>
  <c r="K10" i="55"/>
  <c r="R10" i="55" s="1"/>
  <c r="K20" i="55"/>
  <c r="R20" i="55" s="1"/>
  <c r="K16" i="55"/>
  <c r="R16" i="55" s="1"/>
  <c r="K12" i="55" l="1"/>
  <c r="R12" i="55" s="1"/>
  <c r="K9" i="55"/>
  <c r="R9" i="55" s="1"/>
  <c r="K18" i="55"/>
  <c r="R18" i="55" s="1"/>
  <c r="K15" i="55"/>
  <c r="R15" i="55" s="1"/>
  <c r="K21" i="55"/>
  <c r="R21" i="55" s="1"/>
  <c r="K11" i="55"/>
  <c r="R11" i="55" s="1"/>
  <c r="K17" i="55"/>
  <c r="R17" i="55" s="1"/>
  <c r="K13" i="55"/>
  <c r="R13" i="55" s="1"/>
  <c r="S14" i="55" s="1"/>
  <c r="K19" i="55"/>
  <c r="R19" i="55" s="1"/>
  <c r="S10" i="55" l="1"/>
  <c r="S20" i="55"/>
  <c r="S16" i="55"/>
  <c r="S19" i="55"/>
  <c r="S12" i="55"/>
  <c r="S17" i="55"/>
  <c r="S13" i="55"/>
  <c r="S21" i="55"/>
  <c r="S15" i="55"/>
  <c r="S11" i="55"/>
  <c r="S9" i="55"/>
  <c r="R3" i="55"/>
  <c r="S18" i="55"/>
  <c r="E13" i="59"/>
  <c r="E12" i="59"/>
  <c r="E15" i="59"/>
  <c r="E16" i="59"/>
  <c r="E8" i="59"/>
  <c r="E9" i="59"/>
  <c r="E11" i="59"/>
  <c r="E10" i="59"/>
  <c r="E17" i="59"/>
  <c r="E14" i="59"/>
  <c r="S3" i="55" l="1"/>
  <c r="K35" i="59"/>
  <c r="O35" i="59" s="1"/>
  <c r="K39" i="59"/>
  <c r="O39" i="59" s="1"/>
  <c r="K38" i="59"/>
  <c r="O38" i="59" s="1"/>
  <c r="K37" i="59"/>
  <c r="O37" i="59" s="1"/>
  <c r="K36" i="59"/>
  <c r="O36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3CD3B76-40A8-4AE7-AC6C-0B1FAD6A6B84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Timestamp="1725017808"&gt;&lt;FQL&gt;&lt;Q&gt;FC0000ZA^FG_MCAP_IDX(0,,,USD)&lt;/Q&gt;&lt;R&gt;1&lt;/R&gt;&lt;C&gt;1&lt;/C&gt;&lt;D xsi:type="xsd:double"&gt;358905.03&lt;/D&gt;&lt;/FQL&gt;&lt;FQL&gt;&lt;Q&gt;EWI^FREF_MARKET_VALUE_COMPANY(0,,,USD,,0,,"LEGACY")&lt;/Q&gt;&lt;R&gt;1&lt;/R&gt;&lt;C&gt;1&lt;/C&gt;&lt;D xsi:type="xsd:double"&gt;466.45725&lt;/D&gt;&lt;/FQL&gt;&lt;FQL&gt;&lt;Q&gt;FC0000IT^FMA_MCAP(0,,,USD,"PORTAGG")&lt;/Q&gt;&lt;R&gt;1&lt;/R&gt;&lt;C&gt;1&lt;/C&gt;&lt;D xsi:type="xsd:double"&gt;896323.94&lt;/D&gt;&lt;/FQL&gt;&lt;FQL&gt;&lt;Q&gt;EWD^FREF_MARKET_VALUE_COMPANY(0,,,USD,,0,,"LEGACY")&lt;/Q&gt;&lt;R&gt;1&lt;/R&gt;&lt;C&gt;1&lt;/C&gt;&lt;D xsi:type="xsd:double"&gt;306.05925&lt;/D&gt;&lt;/FQL&gt;&lt;FQL&gt;&lt;Q&gt;FC0000SE^FMA_MCAP(0,,,USD,"PORTAGG")&lt;/Q&gt;&lt;R&gt;1&lt;/R&gt;&lt;C&gt;1&lt;/C&gt;&lt;D xsi:type="xsd:double"&gt;1069142.5&lt;/D&gt;&lt;/FQL&gt;&lt;FQL&gt;&lt;Q&gt;EWN^FREF_MARKET_VALUE_COMPANY(0,,,USD,,0,,"LEGACY")&lt;/Q&gt;&lt;R&gt;1&lt;/R&gt;&lt;C&gt;1&lt;/C&gt;&lt;D xsi:type="xsd:double"&gt;292.842&lt;/D&gt;&lt;/FQL&gt;&lt;FQL&gt;&lt;Q&gt;FC0000NL^FMA_MCAP(0,,,USD,"PORTAGG")&lt;/Q&gt;&lt;R&gt;1&lt;/R&gt;&lt;C&gt;1&lt;/C&gt;&lt;D xsi:type="xsd:double"&gt;1145061&lt;/D&gt;&lt;/FQL&gt;&lt;FQL&gt;&lt;Q&gt;EWQ^FREF_MARKET_VALUE_COMPANY(0,,,USD,,0,,"LEGACY")&lt;/Q&gt;&lt;R&gt;1&lt;/R&gt;&lt;C&gt;1&lt;/C&gt;&lt;D xsi:type="xsd:double"&gt;669.144&lt;/D&gt;&lt;/FQL&gt;&lt;FQL&gt;&lt;Q&gt;FC0000FR^FMA_MCAP(0,,,USD,"PORTAGG")&lt;/Q&gt;&lt;R&gt;1&lt;/R&gt;&lt;C&gt;1&lt;/C&gt;&lt;D xsi:type="xsd:double"&gt;3258020.5&lt;/D&gt;&lt;/FQL&gt;&lt;FQL&gt;&lt;Q&gt;SPY^FREF_MARKET_VALUE_COMPANY(0,,,USD,,0,,"LEGACY")&lt;/Q&gt;&lt;R&gt;1&lt;/R&gt;&lt;C&gt;1&lt;/C&gt;&lt;D xsi:type="xsd:double"&gt;562025.115535&lt;/D&gt;&lt;/FQL&gt;&lt;FQL&gt;&lt;Q&gt;FC0000US^FMA_MCAP(0,,,USD,"PORTAGG")&lt;/Q&gt;&lt;R&gt;1&lt;/R&gt;&lt;C&gt;1&lt;/C&gt;&lt;D xsi:type="xsd:double"&gt;58039256&lt;/D&gt;&lt;/FQL&gt;&lt;FQL&gt;&lt;Q&gt;QQQ^FREF_MARKET_VALUE_COMPANY(0,,,USD,,0,,"LEGACY")&lt;/Q&gt;&lt;R&gt;1&lt;/R&gt;&lt;C&gt;1&lt;/C&gt;&lt;D xsi:type="xsd:double"&gt;286420.143&lt;/D&gt;&lt;/FQL&gt;&lt;FQL&gt;&lt;Q&gt;EWU^FREF_MARKET_VALUE_COMPANY(0,,,USD,,0,,"LEGACY")&lt;/Q&gt;&lt;R&gt;1&lt;/R&gt;&lt;C&gt;1&lt;/C&gt;&lt;D xsi:type="xsd:double"&gt;3272.347&lt;/D&gt;&lt;/FQL&gt;&lt;FQL&gt;&lt;Q&gt;FC0000GB^FMA_MCAP(0,,,USD,"PORTAGG")&lt;/Q&gt;&lt;R&gt;1&lt;/R&gt;&lt;C&gt;1&lt;/C&gt;&lt;D xsi:type="xsd:double"&gt;3412445&lt;/D&gt;&lt;/FQL&gt;&lt;FQL&gt;&lt;Q&gt;EWL^FREF_MARKET_VALUE_COMPANY(0,,,USD,,0,,"LEGACY")&lt;/Q&gt;&lt;R&gt;1&lt;/R&gt;&lt;C&gt;1&lt;/C&gt;&lt;D xsi:type="xsd:double"&gt;1306.305&lt;/D&gt;&lt;/FQL&gt;&lt;FQL&gt;&lt;Q&gt;FC0000CH^FMA_MCAP(0,,,USD,"PORTAGG")&lt;/Q&gt;&lt;R&gt;1&lt;/R&gt;&lt;C&gt;1&lt;/C&gt;&lt;D xsi:type="xsd:double"&gt;2370079.3&lt;/D&gt;&lt;/FQL&gt;&lt;FQL&gt;&lt;Q&gt;EWJ^FREF_MARKET_VALUE_COMPANY(0,,,USD,,0,,"LEGACY")&lt;/Q&gt;&lt;R&gt;1&lt;/R&gt;&lt;C&gt;1&lt;/C&gt;&lt;D xsi:type="xsd:double"&gt;15978.459&lt;/D&gt;&lt;/FQL&gt;&lt;FQL&gt;&lt;Q&gt;FC0000JP^FMA_MCAP(0,,,USD,"PORTAGG")&lt;/Q&gt;&lt;R&gt;1&lt;/R&gt;&lt;C&gt;1&lt;/C&gt;&lt;D xsi:type="xsd:double"&gt;6764038.5&lt;/D&gt;&lt;/FQL&gt;&lt;FQL&gt;&lt;Q&gt;EWG^FREF_MARKET_VALUE_COMPANY(0,,,USD,,0,,"LEGACY")&lt;/Q&gt;&lt;R&gt;1&lt;/R&gt;&lt;C&gt;1&lt;/C&gt;&lt;D xsi:type="xsd:double"&gt;925.395&lt;/D&gt;&lt;/FQL&gt;&lt;FQL&gt;&lt;Q&gt;FC0000DE^FMA_MCAP(0,,,USD,"PORTAGG")&lt;/Q&gt;&lt;R&gt;1&lt;/R&gt;&lt;C&gt;1&lt;/C&gt;&lt;D xsi:type="xsd:double"&gt;2347794.8&lt;/D&gt;&lt;/FQL&gt;&lt;FQL&gt;&lt;Q&gt;FC0000CA^FMA_MCAP(0,,,USD,"PORTAGG")&lt;/Q&gt;&lt;R&gt;1&lt;/R&gt;&lt;C&gt;1&lt;/C&gt;&lt;D xsi:type="xsd:double"&gt;2891931.3&lt;/D&gt;&lt;/FQL&gt;&lt;FQL&gt;&lt;Q&gt;EWA^FREF_MARKET_VALUE_COMPANY(0,,,USD,,0,,"LEGACY")&lt;/Q&gt;&lt;R&gt;1&lt;/R&gt;&lt;C&gt;1&lt;/C&gt;&lt;D xsi:type="xsd:double"&gt;1469.22&lt;/D&gt;&lt;/FQL&gt;&lt;FQL&gt;&lt;Q&gt;FC0000AU^FMA_MCAP(0,,,USD,"PORTAGG")&lt;/Q&gt;&lt;R&gt;1&lt;/R&gt;&lt;C&gt;1&lt;/C&gt;&lt;D xsi:type="xsd:double"&gt;1776285&lt;/D&gt;&lt;/FQL&gt;&lt;FQL&gt;&lt;Q&gt;ENZL^FREF_MARKET_VALUE_COMPANY(0,,,USD,,0,,"LEGACY")&lt;/Q&gt;&lt;R&gt;1&lt;/R&gt;&lt;C&gt;1&lt;/C&gt;&lt;D xsi:type="xsd:double"&gt;87.768&lt;/D&gt;&lt;/FQL&gt;&lt;FQL&gt;&lt;Q&gt;FC0000NZ^FMA_MCAP(0,,,USD,"PORTAGG")&lt;/Q&gt;&lt;R&gt;1&lt;/R&gt;&lt;C&gt;1&lt;/C&gt;&lt;D xsi:type="xsd:double"&gt;98401.086&lt;/D&gt;&lt;/FQL&gt;&lt;FQL&gt;&lt;Q&gt;NQG00809^FG_COMPANY_NAME&lt;/Q&gt;&lt;R&gt;1&lt;/R&gt;&lt;C&gt;1&lt;/C&gt;&lt;D xsi:type="xsd:string"&gt;Nasdaq South Africa&lt;/D&gt;&lt;/FQL&gt;&lt;FQL&gt;&lt;Q&gt;EWC^FREF_MARKET_VALUE_COMPANY(0,,,USD,,0,,"LEGACY")&lt;/Q&gt;&lt;R&gt;1&lt;/R&gt;&lt;C&gt;1&lt;/C&gt;&lt;D xsi:type="xsd:double"&gt;2546.559&lt;/D&gt;&lt;/FQL&gt;&lt;FQL&gt;&lt;Q&gt;CC_ZA^FG_COMPANY_NAME&lt;/Q&gt;&lt;R&gt;1&lt;/R&gt;&lt;C&gt;1&lt;/C&gt;&lt;D xsi:type="xsd:string"&gt;South Africa&lt;/D&gt;&lt;/FQL&gt;&lt;FQL&gt;&lt;Q&gt;NQG00809^FMA_MCAP(0,,,USD,"PORTAGG")&lt;/Q&gt;&lt;R&gt;0&lt;/R&gt;&lt;C&gt;0&lt;/C&gt;&lt;/FQL&gt;&lt;FQL&gt;&lt;Q&gt;DUMMY^ECON_EXPR_DATA('FDS_ECON[NTCPMIMFGSA@IT]',,,M)&lt;/Q&gt;&lt;R&gt;1&lt;/R&gt;&lt;C&gt;1&lt;/C&gt;&lt;D xsi:type="xsd:double"&gt;47.399715&lt;/D&gt;&lt;/FQL&gt;&lt;FQL&gt;&lt;Q&gt;DUMMY^ECON_EXPR_DATA('FDS_ECON[NTCPMIMFGSA@NL]',,,M)&lt;/Q&gt;&lt;R&gt;1&lt;/R&gt;&lt;C&gt;1&lt;/C&gt;&lt;D xsi:type="xsd:double"&gt;49.181965&lt;/D&gt;&lt;/FQL&gt;&lt;FQL&gt;&lt;Q&gt;DUMMY^ECON_EXPR_DATA('FDS_ECON[NTCPMIMFGSA@FR]',,,M)&lt;/Q&gt;&lt;R&gt;1&lt;/R&gt;&lt;C&gt;1&lt;/C&gt;&lt;D xsi:type="xsd:double"&gt;44.00542&lt;/D&gt;&lt;/FQL&gt;&lt;FQL&gt;&lt;Q&gt;DUMMY^ECON_EXPR_DATA('FDS_ECON[NTCPMIMFGMESA@US]',,,M)&lt;/Q&gt;&lt;R&gt;1&lt;/R&gt;&lt;C&gt;1&lt;/C&gt;&lt;D xsi:type="xsd:double"&gt;49.629135&lt;/D&gt;&lt;/FQL&gt;&lt;FQL&gt;&lt;Q&gt;DUMMY^ECON_EXPR_DATA('FDS_ECON[NTCPMIMFGSA@GB]',,,M)&lt;/Q&gt;&lt;R&gt;1&lt;/R&gt;&lt;C&gt;1&lt;/C&gt;&lt;D xsi:type="xsd:double"&gt;52.11154&lt;/D&gt;&lt;/FQL&gt;&lt;FQL&gt;&lt;Q&gt;DUMMY^ECON_EXPR_DATA('FDS_ECON[NTCPMIMFGSA@JP]',,,M)&lt;/Q&gt;&lt;R&gt;1&lt;/R&gt;&lt;C&gt;1&lt;/C&gt;&lt;D xsi:type="xsd:double"&gt;49.104828&lt;/D&gt;&lt;/FQL&gt;&lt;FQL&gt;&lt;Q&gt;DUMMY^ECON_EXPR_DATA('FDS_ECON[NTCPMIMFGSA@DE]',,,M)&lt;/Q&gt;&lt;R&gt;1&lt;/R&gt;&lt;C&gt;1&lt;/C&gt;&lt;D xsi:type="xsd:double"&gt;43.19687&lt;/D&gt;&lt;/FQL&gt;&lt;FQL&gt;&lt;Q&gt;DUMMY^ECON_EXPR_DATA('FDS_ECON[NTCPMIMFGSA@AU]',,,M)&lt;/Q&gt;&lt;R&gt;1&lt;/R&gt;&lt;C&gt;1&lt;/C&gt;&lt;D xsi:type="xsd:double"&gt;47.461594&lt;/D&gt;&lt;/FQL&gt;&lt;FQL&gt;&lt;Q&gt;DUMMY^ECON_EXPR_DATA('FDS_ECON[]',,,M)&lt;/Q&gt;&lt;R&gt;0&lt;/R&gt;&lt;C&gt;0&lt;/C&gt;&lt;/FQL&gt;&lt;FQL&gt;&lt;Q&gt;DUMMY^ECON_EXPR_DATA('FDS_ECON[NTCPMIMFGSA@CH]',,,M)&lt;/Q&gt;&lt;R&gt;1&lt;/R&gt;&lt;C&gt;1&lt;/C&gt;&lt;D xsi:type="xsd:double"&gt;43.4886&lt;/D&gt;&lt;/FQL&gt;&lt;FQL&gt;&lt;Q&gt;DUMMY^ECON_EXPR_DATA('FDS_ECON[NTCPMIMFGSA@CA]',,,M)&lt;/Q&gt;&lt;R&gt;1&lt;/R&gt;&lt;C&gt;1&lt;/C&gt;&lt;D xsi:type="xsd:double"&gt;47.763653&lt;/D&gt;&lt;/FQL&gt;&lt;FQL&gt;&lt;Q&gt;DUMMY^ECON_EXPR_DATA('FDS_ECON[NTCPMIMFGSA@NZ]',,,M)&lt;/Q&gt;&lt;R&gt;1&lt;/R&gt;&lt;C&gt;1&lt;/C&gt;&lt;D xsi:type="xsd:double"&gt;44.007698&lt;/D&gt;&lt;/FQL&gt;&lt;FQL&gt;&lt;Q&gt;CAGDPY@FR^EE_ACTUAL_ANNUAL(MED,+1)&lt;/Q&gt;&lt;R&gt;1&lt;/R&gt;&lt;C&gt;1&lt;/C&gt;&lt;D xsi:type="xsd:double"&gt;-0.4&lt;/D&gt;&lt;/FQL&gt;&lt;FQL&gt;&lt;Q&gt;CAGDPY@AU^EE_ACTUAL_ANNUAL(MED,+1)&lt;/Q&gt;&lt;R&gt;1&lt;/R&gt;&lt;C&gt;1&lt;/C&gt;&lt;D xsi:type="xsd:double"&gt;0.25&lt;/D&gt;&lt;/FQL&gt;&lt;FQL&gt;&lt;Q&gt;USDITL^FG_PRICE_CHANGE(0,-3AM)&lt;/Q&gt;&lt;R&gt;1&lt;/R&gt;&lt;C&gt;1&lt;/C&gt;&lt;D xsi:type="xsd:double"&gt;-2.3169637&lt;/D&gt;&lt;/FQL&gt;&lt;FQL&gt;&lt;Q&gt;USDANG^FG_PRICE_CHANGE(0,-3AM)&lt;/Q&gt;&lt;R&gt;1&lt;/R&gt;&lt;C&gt;1&lt;/C&gt;&lt;D xsi:type="xsd:double"&gt;0&lt;/D&gt;&lt;/FQL&gt;&lt;FQL&gt;&lt;Q&gt;USDUSD^FG_PRICE_CHANGE(0,-3AM)&lt;/Q&gt;&lt;R&gt;1&lt;/R&gt;&lt;C&gt;1&lt;/C&gt;&lt;D xsi:type="xsd:double"&gt;0&lt;/D&gt;&lt;/FQL&gt;&lt;FQL&gt;&lt;Q&gt;USDGBP^FG_PRICE_CHANGE(0,-3AM)&lt;/Q&gt;&lt;R&gt;1&lt;/R&gt;&lt;C&gt;1&lt;/C&gt;&lt;D xsi:type="xsd:double"&gt;-3.3595562&lt;/D&gt;&lt;/FQL&gt;&lt;FQL&gt;&lt;Q&gt;USDJPY^FG_PRICE_CHANGE(0,-3AM)&lt;/Q&gt;&lt;R&gt;1&lt;/R&gt;&lt;C&gt;1&lt;/C&gt;&lt;D xsi:type="xsd:double"&gt;-7.692069&lt;/D&gt;&lt;/FQL&gt;&lt;FQL&gt;&lt;Q&gt;USDCAD^FG_PRICE_CHANGE(0,-3AM)&lt;/Q&gt;&lt;R&gt;1&lt;/R&gt;&lt;C&gt;1&lt;/C&gt;&lt;D xsi:type="xsd:double"&gt;-1.7068446&lt;/D&gt;&lt;/FQL&gt;&lt;FQL&gt;&lt;Q&gt;USDNZD^FG_PRICE_CHANGE(0,-3AM)&lt;/Q&gt;&lt;R&gt;1&lt;/R&gt;&lt;C&gt;1&lt;/C&gt;&lt;D xsi:type="xsd:double"&gt;-2.1499395&lt;/D&gt;&lt;/FQL&gt;&lt;FQL&gt;&lt;Q&gt;EWA^FMA_EPS(NTMA,-20AY,0,CY,,"PORTAGG","MEANR")&lt;/Q&gt;&lt;R&gt;20&lt;/R&gt;&lt;C&gt;1&lt;/C&gt;&lt;D xsi:type="xsd:double"&gt;1.18421421757289&lt;/D&gt;&lt;D xsi:type="xsd:double"&gt;1.35622936034371&lt;/D&gt;&lt;D xsi:type="xsd:double"&gt;1.68223219538503&lt;/D&gt;&lt;D xsi:type="xsd:double"&gt;2.01218211762237&lt;/D&gt;&lt;D xsi:type="xsd:double"&gt;1.47822239950882&lt;/D&gt;&lt;D xsi:type="xsd:double"&gt;1.49861477471222&lt;/D&gt;&lt;D xsi:type="xsd:double"&gt;2.04832230944667&lt;/D&gt;&lt;D xsi:type="xsd:double"&gt;2.08841813329258&lt;/D&gt;&lt;D xsi:type="xsd:double"&gt;1.8915836506348&lt;/D&gt;&lt;D xsi:type="xsd:double"&gt;1.71909344341549&lt;/D&gt;&lt;D xsi:type="xsd:double"&gt;1.51920222936301&lt;/D&gt;&lt;D xsi:type="xsd:double"&gt;1.20321447580294&lt;/D&gt;&lt;D xsi:type="xsd:double"&gt;1.28201594869045&lt;/D&gt;&lt;D xsi:type="xsd:double"&gt;1.44580701527009&lt;/D&gt;&lt;D xsi:type="xsd:double"&gt;1.37894957605166&lt;/D&gt;&lt;D xsi:type="xsd:double"&gt;1.31799698481148&lt;/D&gt;&lt;D xsi:type="xsd:double"&gt;1.26256164176903&lt;/D&gt;&lt;D xsi:type="xsd:double"&gt;1.41909398824033&lt;/D&gt;&lt;D xsi:type="xsd:double"&gt;1.56850336770513&lt;/D&gt;&lt;D xsi:type="xsd:double"&gt;1.47895581929429&lt;/D&gt;&lt;/FQL&gt;&lt;FQL&gt;&lt;Q&gt;ENZL^JULIAN(P_PRICE_RETURNS_PR('52W',2,-10AY,0,AM).DATES)&lt;/Q&gt;&lt;R&gt;121&lt;/R&gt;&lt;C&gt;1&lt;/C&gt;&lt;D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xsi:type="xsd:long"&gt;45533&lt;/D&gt;&lt;/FQL&gt;&lt;FQL&gt;&lt;Q&gt;EWD^FMA_DIV_YLD(NTMA,-10AY,0,AM,"PORTAGG","MEANR")&lt;/Q&gt;&lt;R&gt;121&lt;/R&gt;&lt;C&gt;1&lt;/C&gt;&lt;D xsi:type="xsd:double"&gt;4.21684436152782&lt;/D&gt;&lt;D xsi:type="xsd:double"&gt;4.24018287905861&lt;/D&gt;&lt;D xsi:type="xsd:double"&gt;4.24408742755032&lt;/D&gt;&lt;D xsi:type="xsd:double"&gt;4.08056320879611&lt;/D&gt;&lt;D xsi:type="xsd:double"&gt;4.06318187580504&lt;/D&gt;&lt;D xsi:type="xsd:double"&gt;3.84165890242188&lt;/D&gt;&lt;D xsi:type="xsd:double"&gt;3.59445421457265&lt;/D&gt;&lt;D xsi:type="xsd:double"&gt;3.67953371607997&lt;/D&gt;&lt;D xsi:type="xsd:double"&gt;3.77861715506632&lt;/D&gt;&lt;D xsi:type="xsd:double"&gt;3.79279278099801&lt;/D&gt;&lt;D xsi:type="xsd:double"&gt;4.0263202315127&lt;/D&gt;&lt;D xsi:type="xsd:double"&gt;3.99473836004671&lt;/D&gt;&lt;D xsi:type="xsd:double"&gt;4.27366645677998&lt;/D&gt;&lt;D xsi:type="xsd:double"&gt;4.64919347006012&lt;/D&gt;&lt;D xsi:type="xsd:double"&gt;4.22050446500208&lt;/D&gt;&lt;D xsi:type="xsd:double"&gt;4.12339469056765&lt;/D&gt;&lt;D xsi:type="xsd:double"&gt;4.30378003446594&lt;/D&gt;&lt;D xsi:type="xsd:double"&gt;4.44125226129347&lt;/D&gt;&lt;D xsi:type="xsd:double"&gt;4.37272326157481&lt;/D&gt;&lt;D xsi:type="xsd:double"&gt;4.45075085641669&lt;/D&gt;&lt;D xsi:type="xsd:double"&gt;4.36143114167431&lt;/D&gt;&lt;D xsi:type="xsd:double"&gt;4.34675776980667&lt;/D&gt;&lt;D xsi:type="xsd:double"&gt;4.56471232538823&lt;/D&gt;&lt;D xsi:type="xsd:double"&gt;4.30723822955297&lt;/D&gt;&lt;D xsi:type="xsd:double"&gt;4.24317848451746&lt;/D&gt;&lt;D xsi:type="xsd:double"&gt;4.19595854042622&lt;/D&gt;&lt;D xsi:type="xsd:double"&gt;4.08819600530304&lt;/D&gt;&lt;D xsi:type="xsd:double"&gt;4.07445085474593&lt;/D&gt;&lt;D xsi:type="xsd:double"&gt;3.90040558081126&lt;/D&gt;&lt;D xsi:type="xsd:double"&gt;3.69026279021395&lt;/D&gt;&lt;D xsi:type="xsd:double"&gt;3.6475444971784&lt;/D&gt;&lt;D xsi:type="xsd:double"&gt;3.63977608361123&lt;/D&gt;&lt;D xsi:type="xsd:double"&gt;3.54135253784062&lt;/D&gt;&lt;D xsi:type="xsd:double"&gt;3.3724479854966&lt;/D&gt;&lt;D xsi:type="xsd:double"&gt;3.58962068337145&lt;/D&gt;&lt;D xsi:type="xsd:double"&gt;3.7140747519073&lt;/D&gt;&lt;D xsi:type="xsd:double"&gt;3.84073561425277&lt;/D&gt;&lt;D xsi:type="xsd:double"&gt;3.55487277913198&lt;/D&gt;&lt;D xsi:type="xsd:double"&gt;3.51776099160286&lt;/D&gt;&lt;D xsi:type="xsd:double"&gt;3.66259613943078&lt;/D&gt;&lt;D xsi:type="xsd:double"&gt;3.77433533207484&lt;/D&gt;&lt;D xsi:type="xsd:double"&gt;3.71739464705135&lt;/D&gt;&lt;D xsi:type="xsd:double"&gt;3.83889594769335&lt;/D&gt;&lt;D xsi:type="xsd:double"&gt;4.03733643537522&lt;/D&gt;&lt;D xsi:type="xsd:double"&gt;4.00281943337679&lt;/D&gt;&lt;D xsi:type="xsd:double"&gt;4.07920980416931&lt;/D&gt;&lt;D xsi:type="xsd:double"&gt;4.13224540751474&lt;/D&gt;&lt;D xsi:type="xsd:double"&gt;4.09231742101807&lt;/D&gt;&lt;D xsi:type="xsd:double"&gt;3.98475545091803&lt;/D&gt;&lt;D xsi:type="xsd:double"&gt;4.02562062467823&lt;/D&gt;&lt;D xsi:type="xsd:double"&gt;4.4667679660842&lt;/D&gt;&lt;D xsi:type="xsd:double"&gt;4.46104148019001&lt;/D&gt;&lt;D xsi:type="xsd:double"&gt;4.74857239704533&lt;/D&gt;&lt;D xsi:type="xsd:double"&gt;4.39211175321194&lt;/D&gt;&lt;D xsi:type="xsd:double"&gt;4.16382933288108&lt;/D&gt;&lt;D xsi:type="xsd:double"&gt;4.21418489544559&lt;/D&gt;&lt;D xsi:type="xsd:double"&gt;3.95982565328595&lt;/D&gt;&lt;D xsi:type="xsd:double"&gt;4.36616331074101&lt;/D&gt;&lt;D xsi:type="xsd:double"&gt;4.15795574555105&lt;/D&gt;&lt;D xsi:type="xsd:double"&gt;4.01623091167543&lt;/D&gt;&lt;D xsi:type="xsd:double"&gt;4.21810088531349&lt;/D&gt;&lt;D xsi:type="xsd:double"&gt;3.90463095220732&lt;/D&gt;&lt;D xsi:type="xsd:double"&gt;3.71992783281484&lt;/D&gt;&lt;D xsi:type="xsd:double"&gt;3.71438287249448&lt;/D&gt;&lt;D xsi:type="xsd:double"&gt;3.56839642932805&lt;/D&gt;&lt;D xsi:type="xsd:double"&gt;3.59514192740499&lt;/D&gt;&lt;D xsi:type="xsd:double"&gt;3.83184335373668&lt;/D&gt;&lt;D xsi:type="xsd:double"&gt;4.36061186694968&lt;/D&gt;&lt;D xsi:type="xsd:double"&gt;3.23928804099652&lt;/D&gt;&lt;D xsi:type="xsd:double"&gt;3.16114635595413&lt;/D&gt;&lt;D xsi:type="xsd:double"&gt;3.0588624818915&lt;/D&gt;&lt;D xsi:type="xsd:double"&gt;2.98754745438734&lt;/D&gt;&lt;D xsi:type="xsd:double"&gt;3.00058687872579&lt;/D&gt;&lt;D xsi:type="xsd:double"&gt;2.97978577248399&lt;/D&gt;&lt;D xsi:type="xsd:double"&gt;3.33141421278013&lt;/D&gt;&lt;D xsi:type="xsd:double"&gt;2.98423016166162&lt;/D&gt;&lt;D xsi:type="xsd:double"&gt;3.07411245644082&lt;/D&gt;&lt;D xsi:type="xsd:double"&gt;3.03288709370404&lt;/D&gt;&lt;D xsi:type="xsd:double"&gt;2.9905458544825&lt;/D&gt;&lt;D xsi:type="xsd:double"&gt;2.78269096200133&lt;/D&gt;&lt;D xsi:type="xsd:double"&gt;2.8095248111534&lt;/D&gt;&lt;D xsi:type="xsd:double"&gt;2.70462097375517&lt;/D&gt;&lt;D xsi:type="xsd:double"&gt;2.68234620024043&lt;/D&gt;&lt;D xsi:type="xsd:double"&gt;2.71538244815315&lt;/D&gt;&lt;D xsi:type="xsd:double"&gt;2.71239570144373&lt;/D&gt;&lt;D xsi:type="xsd:double"&gt;2.89797953867954&lt;/D&gt;&lt;D xsi:type="xsd:double"&gt;3.04446819190547&lt;/D&gt;&lt;D xsi:type="xsd:double"&gt;3.06552272156897&lt;/D&gt;&lt;D xsi:type="xsd:double"&gt;2.83041031973095&lt;/D&gt;&lt;D xsi:type="xsd:double"&gt;2.9220767257621&lt;/D&gt;&lt;D xsi:type="xsd:double"&gt;3.14735600064147&lt;/D&gt;&lt;D xsi:type="xsd:double"&gt;3.06540155698296&lt;/D&gt;&lt;D xsi:type="xsd:double"&gt;3.27519893641676&lt;/D&gt;&lt;D xsi:type="xsd:double"&gt;3.32654329774309&lt;/D&gt;&lt;D xsi:type="xsd:double"&gt;3.58363012858169&lt;/D&gt;&lt;D xsi:type="xsd:double"&gt;3.43703960025648&lt;/D&gt;&lt;D xsi:type="xsd:double"&gt;3.67089594257554&lt;/D&gt;&lt;D xsi:type="xsd:double"&gt;3.87388828210202&lt;/D&gt;&lt;D xsi:type="xsd:double"&gt;3.72219013922109&lt;/D&gt;&lt;D xsi:type="xsd:double"&gt;3.62655067154066&lt;/D&gt;&lt;D xsi:type="xsd:double"&gt;3.70262905069803&lt;/D&gt;&lt;D xsi:type="xsd:double"&gt;3.55990232791439&lt;/D&gt;&lt;D xsi:type="xsd:double"&gt;3.55284359218596&lt;/D&gt;&lt;D xsi:type="xsd:double"&gt;3.75315651252677&lt;/D&gt;&lt;D xsi:type="xsd:double"&gt;3.63554448639814&lt;/D&gt;&lt;D xsi:type="xsd:double"&gt;3.75381128990307&lt;/D&gt;&lt;D xsi:type="xsd:double"&gt;3.76647270016528&lt;/D&gt;&lt;D xsi:type="xsd:double"&gt;3.77029473596566&lt;/D&gt;&lt;D xsi:type="xsd:double"&gt;3.92867440844249&lt;/D&gt;&lt;D xsi:type="xsd:double"&gt;4.00795290468535&lt;/D&gt;&lt;D xsi:type="xsd:double"&gt;4.0256975178892&lt;/D&gt;&lt;D xsi:type="xsd:double"&gt;3.63502851871524&lt;/D&gt;&lt;D xsi:type="xsd:double"&gt;2.92065549436807&lt;/D&gt;&lt;D xsi:type="xsd:double"&gt;3.35645897172654&lt;/D&gt;&lt;D xsi:type="xsd:double"&gt;3.30623753592336&lt;/D&gt;&lt;D xsi:type="xsd:double"&gt;3.2305999509816&lt;/D&gt;&lt;D xsi:type="xsd:double"&gt;3.26506550220552&lt;/D&gt;&lt;D xsi:type="xsd:double"&gt;3.22925970660016&lt;/D&gt;&lt;D xsi:type="xsd:double"&gt;3.23094000575736&lt;/D&gt;&lt;D xsi:type="xsd:double"&gt;3.22436381294799&lt;/D&gt;&lt;D xsi:type="xsd:double"&gt;3.23639030132541&lt;/D&gt;&lt;/FQL&gt;&lt;FQL&gt;&lt;Q&gt;EWQ^FMA_PE(NTMA,-10AY,0,AM,"PORTAGG","MEANR")&lt;/Q&gt;&lt;R&gt;121&lt;/R&gt;&lt;C&gt;1&lt;/C&gt;&lt;D xsi:type="xsd:double"&gt;13.6611265422643&lt;/D&gt;&lt;D xsi:type="xsd:double"&gt;13.4385730932733&lt;/D&gt;&lt;D xsi:type="xsd:double"&gt;12.8865195720861&lt;/D&gt;&lt;D xsi:type="xsd:double"&gt;13.8444256314468&lt;/D&gt;&lt;D xsi:type="xsd:double"&gt;13.8667117363024&lt;/D&gt;&lt;D xsi:type="xsd:double"&gt;15.3556553987777&lt;/D&gt;&lt;D xsi:type="xsd:double"&gt;16.3806904032679&lt;/D&gt;&lt;D xsi:type="xsd:double"&gt;16.4766337219812&lt;/D&gt;&lt;D xsi:type="xsd:double"&gt;16.2653774316039&lt;/D&gt;&lt;D xsi:type="xsd:double"&gt;16.1051962930377&lt;/D&gt;&lt;D xsi:type="xsd:double"&gt;15.4978297603377&lt;/D&gt;&lt;D xsi:type="xsd:double"&gt;15.7120219474318&lt;/D&gt;&lt;D xsi:type="xsd:double"&gt;14.4035168111627&lt;/D&gt;&lt;D xsi:type="xsd:double"&gt;13.5283341105853&lt;/D&gt;&lt;D xsi:type="xsd:double"&gt;15.137121306656&lt;/D&gt;&lt;D xsi:type="xsd:double"&gt;15.3275994586794&lt;/D&gt;&lt;D xsi:type="xsd:double"&gt;14.7379623249789&lt;/D&gt;&lt;D xsi:type="xsd:double"&gt;14.2508273518429&lt;/D&gt;&lt;D xsi:type="xsd:double"&gt;14.1983688040375&lt;/D&gt;&lt;D xsi:type="xsd:double"&gt;14.2847745787054&lt;/D&gt;&lt;D xsi:type="xsd:double"&gt;14.4793950055038&lt;/D&gt;&lt;D xsi:type="xsd:double"&gt;14.5972036241849&lt;/D&gt;&lt;D xsi:type="xsd:double"&gt;13.4603834729077&lt;/D&gt;&lt;D xsi:type="xsd:double"&gt;14.1493710319285&lt;/D&gt;&lt;D xsi:type="xsd:double"&gt;13.8942946792116&lt;/D&gt;&lt;D xsi:type="xsd:double"&gt;13.8526124788766&lt;/D&gt;&lt;D xsi:type="xsd:double"&gt;14.0642348596708&lt;/D&gt;&lt;D xsi:type="xsd:double"&gt;13.8016946810467&lt;/D&gt;&lt;D xsi:type="xsd:double"&gt;14.5099521375212&lt;/D&gt;&lt;D xsi:type="xsd:double"&gt;14.4162397548059&lt;/D&gt;&lt;D xsi:type="xsd:double"&gt;14.1974243755866&lt;/D&gt;&lt;D xsi:type="xsd:double"&gt;14.7814348003355&lt;/D&gt;&lt;D xsi:type="xsd:double"&gt;15.211280112837&lt;/D&gt;&lt;D xsi:type="xsd:double"&gt;15.235447872678&lt;/D&gt;&lt;D xsi:type="xsd:double"&gt;14.6360211173373&lt;/D&gt;&lt;D xsi:type="xsd:double"&gt;14.6070460869743&lt;/D&gt;&lt;D xsi:type="xsd:double"&gt;14.2985626193974&lt;/D&gt;&lt;D xsi:type="xsd:double"&gt;15.1352822443408&lt;/D&gt;&lt;D xsi:type="xsd:double"&gt;15.378269150774&lt;/D&gt;&lt;D xsi:type="xsd:double"&gt;15.0666009448054&lt;/D&gt;&lt;D xsi:type="xsd:double"&gt;14.8031492764166&lt;/D&gt;&lt;D xsi:type="xsd:double"&gt;15.2773957236124&lt;/D&gt;&lt;D xsi:type="xsd:double"&gt;14.6426222392187&lt;/D&gt;&lt;D xsi:type="xsd:double"&gt;14.1993168392958&lt;/D&gt;&lt;D xsi:type="xsd:double"&gt;14.7820471397329&lt;/D&gt;&lt;D xsi:type="xsd:double"&gt;14.4024718919825&lt;/D&gt;&lt;D xsi:type="xsd:double"&gt;13.9729637950702&lt;/D&gt;&lt;D xsi:type="xsd:double"&gt;14.2527946614026&lt;/D&gt;&lt;D xsi:type="xsd:double"&gt;14.0355304093363&lt;/D&gt;&lt;D xsi:type="xsd:double"&gt;13.8591447188231&lt;/D&gt;&lt;D xsi:type="xsd:double"&gt;12.5529782816681&lt;/D&gt;&lt;D xsi:type="xsd:double"&gt;12.5297349321217&lt;/D&gt;&lt;D xsi:type="xsd:double"&gt;11.7632820738411&lt;/D&gt;&lt;D xsi:type="xsd:double"&gt;12.6841608954807&lt;/D&gt;&lt;D xsi:type="xsd:double"&gt;13.4777878618813&lt;/D&gt;&lt;D xsi:type="xsd:double"&gt;13.5977769794351&lt;/D&gt;&lt;D xsi:type="xsd:double"&gt;14.1190230802143&lt;/D&gt;&lt;D xsi:type="xsd:double"&gt;13.2010819156171&lt;/D&gt;&lt;D xsi:type="xsd:double"&gt;13.9078203954288&lt;/D&gt;&lt;D xsi:type="xsd:double"&gt;14.1917714615859&lt;/D&gt;&lt;D xsi:type="xsd:double"&gt;13.7101223736012&lt;/D&gt;&lt;D xsi:type="xsd:double"&gt;14.1300461883432&lt;/D&gt;&lt;D xsi:type="xsd:double"&gt;14.4838846643439&lt;/D&gt;&lt;D xsi:type="xsd:double"&gt;14.7433178453827&lt;/D&gt;&lt;D xsi:type="xsd:double"&gt;15.0434682522783&lt;/D&gt;&lt;D xsi:type="xsd:double"&gt;14.8620603662548&lt;/D&gt;&lt;D xsi:type="xsd:double"&gt;13.4531981354815&lt;/D&gt;&lt;D xsi:type="xsd:double"&gt;12.3962681448673&lt;/D&gt;&lt;D xsi:type="xsd:double"&gt;16.6101862257026&lt;/D&gt;&lt;D xsi:type="xsd:double"&gt;17.5357911422424&lt;/D&gt;&lt;D xsi:type="xsd:double"&gt;18.7909325123991&lt;/D&gt;&lt;D xsi:type="xsd:double"&gt;19.4413448373005&lt;/D&gt;&lt;D xsi:type="xsd:double"&gt;19.5381197528457&lt;/D&gt;&lt;D xsi:type="xsd:double"&gt;18.1008825476353&lt;/D&gt;&lt;D xsi:type="xsd:double"&gt;16.551558736781&lt;/D&gt;&lt;D xsi:type="xsd:double"&gt;19.2150152316124&lt;/D&gt;&lt;D xsi:type="xsd:double"&gt;18.2129413897599&lt;/D&gt;&lt;D xsi:type="xsd:double"&gt;17.2558562182916&lt;/D&gt;&lt;D xsi:type="xsd:double"&gt;17.7312658944218&lt;/D&gt;&lt;D xsi:type="xsd:double"&gt;18.1626300845938&lt;/D&gt;&lt;D xsi:type="xsd:double"&gt;18.1080468365373&lt;/D&gt;&lt;D xsi:type="xsd:double"&gt;17.9229278592178&lt;/D&gt;&lt;D xsi:type="xsd:double"&gt;17.5581291075133&lt;/D&gt;&lt;D xsi:type="xsd:double"&gt;16.8964537582195&lt;/D&gt;&lt;D xsi:type="xsd:double"&gt;16.3091946435646&lt;/D&gt;&lt;D xsi:type="xsd:double"&gt;15.6919714030196&lt;/D&gt;&lt;D xsi:type="xsd:double"&gt;15.7134761435831&lt;/D&gt;&lt;D xsi:type="xsd:double"&gt;15.1531296617123&lt;/D&gt;&lt;D xsi:type="xsd:double"&gt;15.8479348567502&lt;/D&gt;&lt;D xsi:type="xsd:double"&gt;14.8219614480132&lt;/D&gt;&lt;D xsi:type="xsd:double"&gt;13.8957966733355&lt;/D&gt;&lt;D xsi:type="xsd:double"&gt;13.8316754393974&lt;/D&gt;&lt;D xsi:type="xsd:double"&gt;12.8610043081871&lt;/D&gt;&lt;D xsi:type="xsd:double"&gt;12.4278904995655&lt;/D&gt;&lt;D xsi:type="xsd:double"&gt;11.3938985769475&lt;/D&gt;&lt;D xsi:type="xsd:double"&gt;11.7007074574237&lt;/D&gt;&lt;D xsi:type="xsd:double"&gt;11.1953417523518&lt;/D&gt;&lt;D xsi:type="xsd:double"&gt;10.0602182025603&lt;/D&gt;&lt;D xsi:type="xsd:double"&gt;11.215168756183&lt;/D&gt;&lt;D xsi:type="xsd:double"&gt;12.0026283057536&lt;/D&gt;&lt;D xsi:type="xsd:double"&gt;11.9922578763817&lt;/D&gt;&lt;D xsi:type="xsd:double"&gt;13.1722922652377&lt;/D&gt;&lt;D xsi:type="xsd:double"&gt;13.2122055873261&lt;/D&gt;&lt;D xsi:type="xsd:double"&gt;13.0407115670717&lt;/D&gt;&lt;D xsi:type="xsd:double"&gt;13.7329079964191&lt;/D&gt;&lt;D xsi:type="xsd:double"&gt;13.138907797509&lt;/D&gt;&lt;D xsi:type="xsd:double"&gt;13.1326026120428&lt;/D&gt;&lt;D xsi:type="xsd:double"&gt;13.3599250306245&lt;/D&gt;&lt;D xsi:type="xsd:double"&gt;13.0305199467276&lt;/D&gt;&lt;D xsi:type="xsd:double"&gt;12.4800075279259&lt;/D&gt;&lt;D xsi:type="xsd:double"&gt;11.9561600879339&lt;/D&gt;&lt;D xsi:type="xsd:double"&gt;12.8656583617327&lt;/D&gt;&lt;D xsi:type="xsd:double"&gt;13.4147515249339&lt;/D&gt;&lt;D xsi:type="xsd:double"&gt;13.7423248266663&lt;/D&gt;&lt;D xsi:type="xsd:double"&gt;14.2666486390083&lt;/D&gt;&lt;D xsi:type="xsd:double"&gt;14.713062026363&lt;/D&gt;&lt;D xsi:type="xsd:double"&gt;14.4878222472555&lt;/D&gt;&lt;D xsi:type="xsd:double"&gt;14.167929099143&lt;/D&gt;&lt;D xsi:type="xsd:double"&gt;13.3883807399848&lt;/D&gt;&lt;D xsi:type="xsd:double"&gt;13.5016771803984&lt;/D&gt;&lt;D xsi:type="xsd:double"&gt;13.7573735991581&lt;/D&gt;&lt;/FQL&gt;&lt;FQL&gt;&lt;Q&gt;QQQ^FMA_PE(LTMA,-10AY,0,AM,"PORTAGG","MEANR")&lt;/Q&gt;&lt;R&gt;121&lt;/R&gt;&lt;C&gt;1&lt;/C&gt;&lt;D xsi:type="xsd:double"&gt;19.4608535100563&lt;/D&gt;&lt;D xsi:type="xsd:double"&gt;19.3045816712062&lt;/D&gt;&lt;D xsi:type="xsd:double"&gt;19.414971027018&lt;/D&gt;&lt;D xsi:type="xsd:double"&gt;20.5332905806804&lt;/D&gt;&lt;D xsi:type="xsd:double"&gt;20.4748904835846&lt;/D&gt;&lt;D xsi:type="xsd:double"&gt;19.5960153082978&lt;/D&gt;&lt;D xsi:type="xsd:double"&gt;20.7927523096553&lt;/D&gt;&lt;D xsi:type="xsd:double"&gt;20.4998593963006&lt;/D&gt;&lt;D xsi:type="xsd:double"&gt;20.4561056784734&lt;/D&gt;&lt;D xsi:type="xsd:double"&gt;20.2708026242024&lt;/D&gt;&lt;D xsi:type="xsd:double"&gt;19.8437943531289&lt;/D&gt;&lt;D xsi:type="xsd:double"&gt;20.2807919694454&lt;/D&gt;&lt;D xsi:type="xsd:double"&gt;19.6136027137307&lt;/D&gt;&lt;D xsi:type="xsd:double"&gt;18.6464721540063&lt;/D&gt;&lt;D xsi:type="xsd:double"&gt;20.3794522640783&lt;/D&gt;&lt;D xsi:type="xsd:double"&gt;20.4328732407483&lt;/D&gt;&lt;D xsi:type="xsd:double"&gt;20.5228311547466&lt;/D&gt;&lt;D xsi:type="xsd:double"&gt;18.8271811631151&lt;/D&gt;&lt;D xsi:type="xsd:double"&gt;18.171940910564&lt;/D&gt;&lt;D xsi:type="xsd:double"&gt;18.3727241458868&lt;/D&gt;&lt;D xsi:type="xsd:double"&gt;18.3157234271995&lt;/D&gt;&lt;D xsi:type="xsd:double"&gt;18.6109432734689&lt;/D&gt;&lt;D xsi:type="xsd:double"&gt;18.4765804251898&lt;/D&gt;&lt;D xsi:type="xsd:double"&gt;19.3471848278029&lt;/D&gt;&lt;D xsi:type="xsd:double"&gt;19.5698721785276&lt;/D&gt;&lt;D xsi:type="xsd:double"&gt;19.8527484554851&lt;/D&gt;&lt;D xsi:type="xsd:double"&gt;19.7606111521239&lt;/D&gt;&lt;D xsi:type="xsd:double"&gt;20.1251896144899&lt;/D&gt;&lt;D xsi:type="xsd:double"&gt;20.5184590069523&lt;/D&gt;&lt;D xsi:type="xsd:double"&gt;21.3319746049565&lt;/D&gt;&lt;D xsi:type="xsd:double"&gt;21.7141306880179&lt;/D&gt;&lt;D xsi:type="xsd:double"&gt;21.6649216124631&lt;/D&gt;&lt;D xsi:type="xsd:double"&gt;21.7013956552269&lt;/D&gt;&lt;D xsi:type="xsd:double"&gt;21.9680667752675&lt;/D&gt;&lt;D xsi:type="xsd:double"&gt;21.6672268819428&lt;/D&gt;&lt;D xsi:type="xsd:double"&gt;22.1489490097429&lt;/D&gt;&lt;D xsi:type="xsd:double"&gt;21.9902708785088&lt;/D&gt;&lt;D xsi:type="xsd:double"&gt;22.3042785946712&lt;/D&gt;&lt;D xsi:type="xsd:double"&gt;22.7761542647425&lt;/D&gt;&lt;D xsi:type="xsd:double"&gt;22.9863844453452&lt;/D&gt;&lt;D xsi:type="xsd:double"&gt;23.5271162523326&lt;/D&gt;&lt;D xsi:type="xsd:double"&gt;25.3207360385645&lt;/D&gt;&lt;D xsi:type="xsd:double"&gt;24.1192849747836&lt;/D&gt;&lt;D xsi:type="xsd:double"&gt;23.6415291626979&lt;/D&gt;&lt;D xsi:type="xsd:double"&gt;23.2433827500108&lt;/D&gt;&lt;D xsi:type="xsd:double"&gt;23.1321419140761&lt;/D&gt;&lt;D xsi:type="xsd:double"&gt;22.9760281305682&lt;/D&gt;&lt;D xsi:type="xsd:double"&gt;23.0798570563249&lt;/D&gt;&lt;D xsi:type="xsd:double"&gt;23.4798620306632&lt;/D&gt;&lt;D xsi:type="xsd:double"&gt;23.2714903030339&lt;/D&gt;&lt;D xsi:type="xsd:double"&gt;20.6017551600291&lt;/D&gt;&lt;D xsi:type="xsd:double"&gt;20.6155398789469&lt;/D&gt;&lt;D xsi:type="xsd:double"&gt;18.6396623122827&lt;/D&gt;&lt;D xsi:type="xsd:double"&gt;19.5936624584663&lt;/D&gt;&lt;D xsi:type="xsd:double"&gt;20.8978946598702&lt;/D&gt;&lt;D xsi:type="xsd:double"&gt;21.0307549409424&lt;/D&gt;&lt;D xsi:type="xsd:double"&gt;21.4828962468854&lt;/D&gt;&lt;D xsi:type="xsd:double"&gt;20.8975577354953&lt;/D&gt;&lt;D xsi:type="xsd:double"&gt;21.60538969715&lt;/D&gt;&lt;D xsi:type="xsd:double"&gt;22.2254354651672&lt;/D&gt;&lt;D xsi:type="xsd:double"&gt;21.8533186493455&lt;/D&gt;&lt;D xsi:type="xsd:double"&gt;21.9502091876087&lt;/D&gt;&lt;D xsi:type="xsd:double"&gt;22.9165386404088&lt;/D&gt;&lt;D xsi:type="xsd:double"&gt;24.162228206776&lt;/D&gt;&lt;D xsi:type="xsd:double"&gt;25.5340956105812&lt;/D&gt;&lt;D xsi:type="xsd:double"&gt;26.1091436622057&lt;/D&gt;&lt;D xsi:type="xsd:double"&gt;23.8036531420065&lt;/D&gt;&lt;D xsi:type="xsd:double"&gt;23.3607277674832&lt;/D&gt;&lt;D xsi:type="xsd:double"&gt;25.0029550574526&lt;/D&gt;&lt;D xsi:type="xsd:double"&gt;26.4841290531288&lt;/D&gt;&lt;D xsi:type="xsd:double"&gt;27.3694841710792&lt;/D&gt;&lt;D xsi:type="xsd:double"&gt;28.8968423917037&lt;/D&gt;&lt;D xsi:type="xsd:double"&gt;31.2232506616751&lt;/D&gt;&lt;D xsi:type="xsd:double"&gt;30.6166285997889&lt;/D&gt;&lt;D xsi:type="xsd:double"&gt;31.0443647002&lt;/D&gt;&lt;D xsi:type="xsd:double"&gt;33.047506609112&lt;/D&gt;&lt;D xsi:type="xsd:double"&gt;35.0671545508646&lt;/D&gt;&lt;D xsi:type="xsd:double"&gt;34.1163793702413&lt;/D&gt;&lt;D xsi:type="xsd:double"&gt;32.9457007618791&lt;/D&gt;&lt;D xsi:type="xsd:double"&gt;32.5257002786394&lt;/D&gt;&lt;D xsi:type="xsd:double"&gt;32.2943037390802&lt;/D&gt;&lt;D xsi:type="xsd:double"&gt;31.5157305699435&lt;/D&gt;&lt;D xsi:type="xsd:double"&gt;31.9057690717074&lt;/D&gt;&lt;D xsi:type="xsd:double"&gt;31.5490528296866&lt;/D&gt;&lt;D xsi:type="xsd:double"&gt;31.5937221494601&lt;/D&gt;&lt;D xsi:type="xsd:double"&gt;30.3457949466956&lt;/D&gt;&lt;D xsi:type="xsd:double"&gt;31.4591249808524&lt;/D&gt;&lt;D xsi:type="xsd:double"&gt;32.1074978962712&lt;/D&gt;&lt;D xsi:type="xsd:double"&gt;32.2382111932144&lt;/D&gt;&lt;D xsi:type="xsd:double"&gt;27.8008877118007&lt;/D&gt;&lt;D xsi:type="xsd:double"&gt;26.7028018299234&lt;/D&gt;&lt;D xsi:type="xsd:double"&gt;27.0097581740171&lt;/D&gt;&lt;D xsi:type="xsd:double"&gt;25.8249989751868&lt;/D&gt;&lt;D xsi:type="xsd:double"&gt;25.411366301093&lt;/D&gt;&lt;D xsi:type="xsd:double"&gt;24.2080127568659&lt;/D&gt;&lt;D xsi:type="xsd:double"&gt;25.661844939708&lt;/D&gt;&lt;D xsi:type="xsd:double"&gt;25.0478814255614&lt;/D&gt;&lt;D xsi:type="xsd:double"&gt;22.9442364501996&lt;/D&gt;&lt;D xsi:type="xsd:double"&gt;23.54120083891&lt;/D&gt;&lt;D xsi:type="xsd:double"&gt;23.1708319153789&lt;/D&gt;&lt;D xsi:type="xsd:double"&gt;22.7617962854579&lt;/D&gt;&lt;D xsi:type="xsd:double"&gt;25.2345629184741&lt;/D&gt;&lt;D xsi:type="xsd:double"&gt;25.2426632180895&lt;/D&gt;&lt;D xsi:type="xsd:double"&gt;25.5146650079268&lt;/D&gt;&lt;D xsi:type="xsd:double"&gt;25.6688299463627&lt;/D&gt;&lt;D xsi:type="xsd:double"&gt;26.3395697213078&lt;/D&gt;&lt;D xsi:type="xsd:double"&gt;27.0501162091991&lt;/D&gt;&lt;D xsi:type="xsd:double"&gt;27.128582224722&lt;/D&gt;&lt;D xsi:type="xsd:double"&gt;26.6433973114096&lt;/D&gt;&lt;D xsi:type="xsd:double"&gt;25.9483017563446&lt;/D&gt;&lt;D xsi:type="xsd:double"&gt;24.9770167043527&lt;/D&gt;&lt;D xsi:type="xsd:double"&gt;27.6892615239358&lt;/D&gt;&lt;D xsi:type="xsd:double"&gt;29.1637516378953&lt;/D&gt;&lt;D xsi:type="xsd:double"&gt;30.1414057339243&lt;/D&gt;&lt;D xsi:type="xsd:double"&gt;30.321033646996&lt;/D&gt;&lt;D xsi:type="xsd:double"&gt;30.0744410915138&lt;/D&gt;&lt;D xsi:type="xsd:double"&gt;29.5443174859053&lt;/D&gt;&lt;D xsi:type="xsd:double"&gt;29.6913123647533&lt;/D&gt;&lt;D xsi:type="xsd:double"&gt;30.1344111542842&lt;/D&gt;&lt;D xsi:type="xsd:double"&gt;29.6005901239945&lt;/D&gt;&lt;D xsi:type="xsd:double"&gt;30.0550732988839&lt;/D&gt;&lt;/FQL&gt;&lt;FQL&gt;&lt;Q&gt;DDR3512M-FDS^FG_PRICE(0)&lt;/Q&gt;&lt;R&gt;1&lt;/R&gt;&lt;C&gt;1&lt;/C&gt;&lt;D xsi:type="xsd:double"&gt;0.89&lt;/D&gt;&lt;/FQL&gt;&lt;FQL&gt;&lt;Q&gt;PASP-FDS^FG_PRICE(0)&lt;/Q&gt;&lt;R&gt;1&lt;/R&gt;&lt;C&gt;1&lt;/C&gt;&lt;D xsi:type="xsd:double"&gt;965&lt;/D&gt;&lt;/FQL&gt;&lt;FQL&gt;&lt;Q&gt;PLATI-FDS^FG_PRICE(0)&lt;/Q&gt;&lt;R&gt;1&lt;/R&gt;&lt;C&gt;1&lt;/C&gt;&lt;D xsi:type="xsd:double"&gt;945&lt;/D&gt;&lt;/FQL&gt;&lt;FQL&gt;&lt;Q&gt;W-FDS^FG_PRICE(0)&lt;/Q&gt;&lt;R&gt;1&lt;/R&gt;&lt;C&gt;1&lt;/C&gt;&lt;D xsi:type="xsd:double"&gt;5.25&lt;/D&gt;&lt;/FQL&gt;&lt;FQL&gt;&lt;Q&gt;COPP-FDS^FG_PRICE(0)&lt;/Q&gt;&lt;R&gt;1&lt;/R&gt;&lt;C&gt;1&lt;/C&gt;&lt;D xsi:type="xsd:double"&gt;4.1475&lt;/D&gt;&lt;/FQL&gt;&lt;FQL&gt;&lt;Q&gt;FC0000US^FG_PRICE(0)&lt;/Q&gt;&lt;R&gt;1&lt;/R&gt;&lt;C&gt;1&lt;/C&gt;&lt;D xsi:type="xsd:double"&gt;418.86908&lt;/D&gt;&lt;/FQL&gt;&lt;FQL&gt;&lt;Q&gt;FC0000GR^FG_PRICE(0)&lt;/Q&gt;&lt;R&gt;1&lt;/R&gt;&lt;C&gt;1&lt;/C&gt;&lt;D xsi:type="xsd:double"&gt;9.787137&lt;/D&gt;&lt;/FQL&gt;&lt;FQL&gt;&lt;Q&gt;EWI^FG_PRICE(0)&lt;/Q&gt;&lt;R&gt;1&lt;/R&gt;&lt;C&gt;1&lt;/C&gt;&lt;D xsi:type="xsd:double"&gt;38.63&lt;/D&gt;&lt;/FQL&gt;&lt;FQL&gt;&lt;Q&gt;SPY^FG_PRICE(0)&lt;/Q&gt;&lt;R&gt;1&lt;/R&gt;&lt;C&gt;1&lt;/C&gt;&lt;D xsi:type="xsd:double"&gt;558.35&lt;/D&gt;&lt;/FQL&gt;&lt;FQL&gt;&lt;Q&gt;EWJ^FG_PRICE(0)&lt;/Q&gt;&lt;R&gt;1&lt;/R&gt;&lt;C&gt;1&lt;/C&gt;&lt;D xsi:type="xsd:double"&gt;71.54&lt;/D&gt;&lt;/FQL&gt;&lt;FQL&gt;&lt;Q&gt;ENZL^FG_PRICE(0)&lt;/Q&gt;&lt;R&gt;1&lt;/R&gt;&lt;C&gt;1&lt;/C&gt;&lt;D xsi:type="xsd:double"&gt;48.76&lt;/D&gt;&lt;/FQL&gt;&lt;FQL&gt;&lt;Q&gt;EWA^FG_COMPANY_NAME&lt;/Q&gt;&lt;R&gt;1&lt;/R&gt;&lt;C&gt;1&lt;/C&gt;&lt;D xsi:type="xsd:string"&gt;iShares MSCI Australia ETF&lt;/D&gt;&lt;/FQL&gt;&lt;FQL&gt;&lt;Q&gt;FXI^P_PRICE(0)/P_PRICE_LOW_PR(0,,,,,,"PRICE","INTRA","52W")-1&lt;/Q&gt;&lt;R&gt;1&lt;/R&gt;&lt;C&gt;1&lt;/C&gt;&lt;D xsi:type="xsd:double"&gt;0.26222432&lt;/D&gt;&lt;/FQL&gt;&lt;FQL&gt;&lt;Q&gt;SPY^FMA_PCT_ABOVE_MAVG(200,0,,,,"PORTAGG")&lt;/Q&gt;&lt;R&gt;1&lt;/R&gt;&lt;C&gt;1&lt;/C&gt;&lt;D xsi:type="xsd:double"&gt;75.0499001996008&lt;/D&gt;&lt;/FQL&gt;&lt;FQL&gt;&lt;Q&gt;URTH^PERCENT_CHANGE(FMA_EPS(+1,0,,,,"PORTAGG","MEAN"),FMA_EPS(+1,-3AM,,,,"PORTAGG","MEAN"))&lt;/Q&gt;&lt;R&gt;1&lt;/R&gt;&lt;C&gt;1&lt;/C&gt;&lt;D xsi:type="xsd:double"&gt;0.466676546414672&lt;/D&gt;&lt;/FQL&gt;&lt;FQL&gt;&lt;Q&gt;VGK^FG_TOTAL_RETURNC(0,-3AM)&lt;/Q&gt;&lt;R&gt;1&lt;/R&gt;&lt;C&gt;1&lt;/C&gt;&lt;D xsi:type="xsd:double"&gt;4.8115134&lt;/D&gt;&lt;/FQL&gt;&lt;FQL&gt;&lt;Q&gt;EWD^P_PRICE(0)/P_PRICE_HIGH_PR(0,,,,,,"PRICE","INTRA","52W")&lt;/Q&gt;&lt;R&gt;1&lt;/R&gt;&lt;C&gt;1&lt;/C&gt;&lt;D xsi:type="xsd:double"&gt;0.9864009&lt;/D&gt;&lt;/FQL&gt;&lt;FQL&gt;&lt;Q&gt;EWQ^FG_TOTAL_RETURNC(0,-12AM)&lt;/Q&gt;&lt;R&gt;1&lt;/R&gt;&lt;C&gt;1&lt;/C&gt;&lt;D xsi:type="xsd:double"&gt;7.4403405&lt;/D&gt;&lt;/FQL&gt;&lt;FQL&gt;&lt;Q&gt;SPY^PERCENT_CHANGE(FMA_EPS(+1,0,,,,"PORTAGG","MEAN"),FMA_EPS(+1,-1AM,,,,"PORTAGG","MEAN"))&lt;/Q&gt;&lt;R&gt;1&lt;/R&gt;&lt;C&gt;1&lt;/C&gt;&lt;D xsi:type="xsd:double"&gt;-0.0663067197968305&lt;/D&gt;&lt;/FQL&gt;&lt;FQL&gt;&lt;Q&gt;EWU^FG_TOTAL_RETURNC(0,-1AM)&lt;/Q&gt;&lt;R&gt;1&lt;/R&gt;&lt;C&gt;1&lt;/C&gt;&lt;D xsi:type="xsd:double"&gt;4.6809673&lt;/D&gt;&lt;/FQL&gt;&lt;FQL&gt;&lt;Q&gt;EWJ^FG_TOTAL_RETURNC(0,-6AM)&lt;/Q&gt;&lt;R&gt;1&lt;/R&gt;&lt;C&gt;1&lt;/C&gt;&lt;D xsi:type="xsd:double"&gt;4.2746663&lt;/D&gt;&lt;/FQL&gt;&lt;FQL&gt;&lt;Q&gt;EWC^P_PRICE(0)/P_PRICE_LOW_PR(0,,,,,,"PRICE","INTRA","52W")-1&lt;/Q&gt;&lt;R&gt;1&lt;/R&gt;&lt;C&gt;1&lt;/C&gt;&lt;D xsi:type="xsd:double"&gt;0.28080225&lt;/D&gt;&lt;/FQL&gt;&lt;FQL&gt;&lt;Q&gt;EWA^FMA_PCT_ABOVE_MAVG(200,0,,,,"PORTAGG")&lt;/Q&gt;&lt;R&gt;1&lt;/R&gt;&lt;C&gt;1&lt;/C&gt;&lt;D xsi:type="xsd:double"&gt;61.0169491525424&lt;/D&gt;&lt;/FQL&gt;&lt;FQL&gt;&lt;Q&gt;EWJ^SIZE(FG_CONSTITUENTS)&lt;/Q&gt;&lt;R&gt;1&lt;/R&gt;&lt;C&gt;1&lt;/C&gt;&lt;D xsi:type="xsd:long"&gt;204&lt;/D&gt;&lt;/FQL&gt;&lt;FQL&gt;&lt;Q&gt;EWD^FMA_COS_DOWN("EPS","1M",+1,0,,,"PORTAGG","MEANR")&lt;/Q&gt;&lt;R&gt;1&lt;/R&gt;&lt;C&gt;1&lt;/C&gt;&lt;D xsi:type="xsd:double"&gt;13&lt;/D&gt;&lt;/FQL&gt;&lt;FQL&gt;&lt;Q&gt;EWU^FMA_COS_UP("EPS","1M",+1,0,,,"PORTAGG","MEANR")&lt;/Q&gt;&lt;R&gt;1&lt;/R&gt;&lt;C&gt;1&lt;/C&gt;&lt;D xsi:type="xsd:double"&gt;31&lt;/D&gt;&lt;/FQL&gt;&lt;FQL&gt;&lt;Q&gt;ENZL^SIZE(FG_CONSTITUENTS)&lt;/Q&gt;&lt;R&gt;1&lt;/R&gt;&lt;C&gt;1&lt;/C&gt;&lt;D xsi:type="xsd:long"&gt;14&lt;/D&gt;&lt;/FQL&gt;&lt;FQL&gt;&lt;Q&gt;EWI^FMA_RBICS_REV_CURRENT(30, LOC, "PORTAGG")&lt;/Q&gt;&lt;R&gt;1&lt;/R&gt;&lt;C&gt;1&lt;/C&gt;&lt;D xsi:type="xsd:double"&gt;38.7145820793369&lt;/D&gt;&lt;/FQL&gt;&lt;FQL&gt;&lt;Q&gt;EWQ^FG_ROE(0)&lt;/Q&gt;&lt;R&gt;1&lt;/R&gt;&lt;C&gt;1&lt;/C&gt;&lt;D xsi:type="xsd:double"&gt;12.1911935994432&lt;/D&gt;&lt;/FQL&gt;&lt;FQL&gt;&lt;Q&gt;TRYGB10Y-FDS^FG_YIELD_NAME&lt;/Q&gt;&lt;R&gt;1&lt;/R&gt;&lt;C&gt;1&lt;/C&gt;&lt;D xsi:type="xsd:string"&gt;United Kingdom Benchmark Bond - 10 Year&lt;/D&gt;&lt;/FQL&gt;&lt;FQL&gt;&lt;Q&gt;EWG^FG_COMPANY_NAME&lt;/Q&gt;&lt;R&gt;1&lt;/R&gt;&lt;C&gt;1&lt;/C&gt;&lt;D xsi:type="xsd:string"&gt;iShares MSCI Germany ETF&lt;/D&gt;&lt;/FQL&gt;&lt;FQL&gt;&lt;Q&gt;REFFFUND-FDS^(SUBARRAY(NOT_NA(NO_REPEAT_F(FG_YIELD(NOW,-10AY,D))),0,1)-SUBARRAY(NOT_NA(NO_REPEAT_F(FG_YIELD(NOW,-10AY,D))),1,1))*100&lt;/Q&gt;&lt;R&gt;1&lt;/R&gt;&lt;C&gt;1&lt;/C&gt;&lt;D xsi:type="xsd:double"&gt;25&lt;/D&gt;&lt;/FQL&gt;&lt;FQL&gt;&lt;Q&gt;REFEUREFI-FDS^FG_YIELD(NOW,,,0)&lt;/Q&gt;&lt;R&gt;1&lt;/R&gt;&lt;C&gt;1&lt;/C&gt;&lt;D xsi:type="xsd:double"&gt;4.25&lt;/D&gt;&lt;/FQL&gt;&lt;FQL&gt;&lt;Q&gt;TRYNL10Y-FDS^PCTCHG(FG_YIELD(0,,,,"YTM"),FG_YIELD(-1AM,,,,"YTM"))&lt;/Q&gt;&lt;R&gt;1&lt;/R&gt;&lt;C&gt;1&lt;/C&gt;&lt;D xsi:type="xsd:double"&gt;-3.817076&lt;/D&gt;&lt;/FQL&gt;&lt;FQL&gt;&lt;Q&gt;TRYCA10Y-FDS^PCTCHG(FG_YIELD(0,,,,"YTM"),FG_YIELD(-1AM,,,,"YTM"))&lt;/Q&gt;&lt;R&gt;1&lt;/R&gt;&lt;C&gt;1&lt;/C&gt;&lt;D xsi:type="xsd:double"&gt;-4.8836913&lt;/D&gt;&lt;/FQL&gt;&lt;FQL&gt;&lt;Q&gt;TRYUS10Y-FDS^FG_YIELD_NAME&lt;/Q&gt;&lt;R&gt;1&lt;/R&gt;&lt;C&gt;1&lt;/C&gt;&lt;D xsi:type="xsd:string"&gt;US Benchmark Bond - 10 Year&lt;/D&gt;&lt;/FQL&gt;&lt;FQL&gt;&lt;Q&gt;TRYNZ10Y-FDS^FG_YIELD_NAME&lt;/Q&gt;&lt;R&gt;1&lt;/R&gt;&lt;C&gt;1&lt;/C&gt;&lt;D xsi:type="xsd:string"&gt;New Zealand Benchmark Bond - 10 Year&lt;/D&gt;&lt;/FQL&gt;&lt;FQL&gt;&lt;Q&gt;VWO^FG_FCF_YIELD_NTM(0)&lt;/Q&gt;&lt;R&gt;1&lt;/R&gt;&lt;C&gt;1&lt;/C&gt;&lt;D xsi:type="xsd:double"&gt;5.43478528438695&lt;/D&gt;&lt;/FQL&gt;&lt;FQL&gt;&lt;Q&gt;EWI^FMA_PE(NTMA,0,,,"PORTAGG","MEANR")&lt;/Q&gt;&lt;R&gt;1&lt;/R&gt;&lt;C&gt;1&lt;/C&gt;&lt;D xsi:type="xsd:double"&gt;9.72034613068723&lt;/D&gt;&lt;/FQL&gt;&lt;FQL&gt;&lt;Q&gt;EWN^JULIAN(FMA_DIV_YLD(NTMA,NOW,NOW,M,"PORTAGG","MEANR").DATES)&lt;/Q&gt;&lt;R&gt;1&lt;/R&gt;&lt;C&gt;1&lt;/C&gt;&lt;D xsi:type="xsd:long"&gt;45531&lt;/D&gt;&lt;/FQL&gt;&lt;FQL&gt;&lt;Q&gt;QQQ^FMA_EVAL_EBITDA(NTMA,0,,,"PORTAGG","MEANR")&lt;/Q&gt;&lt;R&gt;1&lt;/R&gt;&lt;C&gt;1&lt;/C&gt;&lt;D xsi:type="xsd:double"&gt;16.2796335030884&lt;/D&gt;&lt;/FQL&gt;&lt;FQL&gt;&lt;Q&gt;EWL^FMA_DIV_YLD(NTMA,NOW,NOW,M,"PORTAGG","MEANR")&lt;/Q&gt;&lt;R&gt;1&lt;/R&gt;&lt;C&gt;1&lt;/C&gt;&lt;D xsi:type="xsd:double"&gt;3.09344087867985&lt;/D&gt;&lt;/FQL&gt;&lt;FQL&gt;&lt;Q&gt;EWG^FMA_PE(LTM,0,,,"PORTAGG","MEANR")&lt;/Q&gt;&lt;R&gt;1&lt;/R&gt;&lt;C&gt;1&lt;/C&gt;&lt;D xsi:type="xsd:double"&gt;15.3997117345745&lt;/D&gt;&lt;/FQL&gt;&lt;FQL&gt;&lt;Q&gt;ENZL^FMA_EVAL_EBIT(LTMA,NOW,NOW,M,"PORTAGG","MEANR")&lt;/Q&gt;&lt;R&gt;1&lt;/R&gt;&lt;C&gt;1&lt;/C&gt;&lt;D xsi:type="xsd:double"&gt;21.4445840562048&lt;/D&gt;&lt;/FQL&gt;&lt;FQL&gt;&lt;Q&gt;EWJ^FG_COMPANY_NAME&lt;/Q&gt;&lt;R&gt;1&lt;/R&gt;&lt;C&gt;1&lt;/C&gt;&lt;D xsi:type="xsd:string"&gt;iShares MSCI Japan ETF&lt;/D&gt;&lt;/FQL&gt;&lt;FQL&gt;&lt;Q&gt;EWD^FG_COMPANY_NAME&lt;/Q&gt;&lt;R&gt;1&lt;/R&gt;&lt;C&gt;1&lt;/C&gt;&lt;D xsi:type="xsd:string"&gt;iShares MSCI Sweden ETF&lt;/D&gt;&lt;/FQL&gt;&lt;FQL&gt;&lt;Q&gt;VGK^P_PRICE(0)/P_PRICE_HIGH_PR(0,,,USD,,,"PRICE","INTRA","52W")&lt;/Q&gt;&lt;R&gt;1&lt;/R&gt;&lt;C&gt;1&lt;/C&gt;&lt;D xsi:type="xsd:double"&gt;0.99521863&lt;/D&gt;&lt;/FQL&gt;&lt;FQL&gt;&lt;Q&gt;QQQ^P_PRICE(0)/P_PRICE_HIGH_PR(0,,,USD,,,"PRICE","INTRA","52W")&lt;/Q&gt;&lt;R&gt;1&lt;/R&gt;&lt;C&gt;1&lt;/C&gt;&lt;D xsi:type="xsd:double"&gt;0.9347395&lt;/D&gt;&lt;/FQL&gt;&lt;FQL&gt;&lt;Q&gt;VWO^P_PRICE(0)/P_PRICE_HIGH_PR(0,,,USD,,,"PR</t>
        </r>
      </text>
    </comment>
    <comment ref="A2" authorId="0" shapeId="0" xr:uid="{C6743506-1101-4826-9DFF-793A50B07FA1}">
      <text>
        <r>
          <rPr>
            <b/>
            <sz val="9"/>
            <color indexed="81"/>
            <rFont val="Tahoma"/>
            <charset val="1"/>
          </rPr>
          <t>ICE","INTRA","52W")&lt;/Q&gt;&lt;R&gt;1&lt;/R&gt;&lt;C&gt;1&lt;/C&gt;&lt;D xsi:type="xsd:double"&gt;0.9753964&lt;/D&gt;&lt;/FQL&gt;&lt;FQL&gt;&lt;Q&gt;CAGDPY@AU^EE_ACTUAL_ANNUAL(MED,0)&lt;/Q&gt;&lt;R&gt;1&lt;/R&gt;&lt;C&gt;1&lt;/C&gt;&lt;D xsi:type="xsd:double"&gt;0.275776825503169&lt;/D&gt;&lt;/FQL&gt;&lt;FQL&gt;&lt;Q&gt;USDANG^FG_PRICE_CHANGE(0,-1AM)&lt;/Q&gt;&lt;R&gt;1&lt;/R&gt;&lt;C&gt;1&lt;/C&gt;&lt;D xsi:type="xsd:double"&gt;0&lt;/D&gt;&lt;/FQL&gt;&lt;FQL&gt;&lt;Q&gt;USDCAD^FG_PRICE_CHANGE(0,-1AM)&lt;/Q&gt;&lt;R&gt;1&lt;/R&gt;&lt;C&gt;1&lt;/C&gt;&lt;D xsi:type="xsd:double"&gt;-2.7285516&lt;/D&gt;&lt;/FQL&gt;&lt;FQL&gt;&lt;Q&gt;ENZL^FMA_EPS(NTMA,-20AY,0,CY,,"PORTAGG","MEANR")&lt;/Q&gt;&lt;R&gt;20&lt;/R&gt;&lt;C&gt;1&lt;/C&gt;&lt;D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xsi:type="xsd:double"&gt;2.40890596176463&lt;/D&gt;&lt;D xsi:type="xsd:double"&gt;2.24117429803946&lt;/D&gt;&lt;D xsi:type="xsd:double"&gt;2.40285148565594&lt;/D&gt;&lt;D xsi:type="xsd:double"&gt;2.31210808961864&lt;/D&gt;&lt;D xsi:type="xsd:double"&gt;2.19492193820354&lt;/D&gt;&lt;D xsi:type="xsd:double"&gt;2.04943671601749&lt;/D&gt;&lt;D xsi:type="xsd:double"&gt;2.14962845087329&lt;/D&gt;&lt;D xsi:type="xsd:double"&gt;2.26706810161072&lt;/D&gt;&lt;D xsi:type="xsd:double"&gt;2.29721148308571&lt;/D&gt;&lt;D xsi:type="xsd:double"&gt;2.24732564412744&lt;/D&gt;&lt;D xsi:type="xsd:double"&gt;1.98522618259249&lt;/D&gt;&lt;D xsi:type="xsd:double"&gt;1.82093688879477&lt;/D&gt;&lt;D xsi:type="xsd:double"&gt;2.11037846476333&lt;/D&gt;&lt;D xsi:type="xsd:double"&gt;2.11106621771878&lt;/D&gt;&lt;/FQL&gt;&lt;FQL&gt;&lt;Q&gt;EWN^FMA_DIV_YLD(NTMA,-10AY,0,AM,"PORTAGG","MEANR")&lt;/Q&gt;&lt;R&gt;121&lt;/R&gt;&lt;C&gt;1&lt;/C&gt;&lt;D xsi:type="xsd:double"&gt;2.9875368558412&lt;/D&gt;&lt;D xsi:type="xsd:double"&gt;3.01879287593769&lt;/D&gt;&lt;D xsi:type="xsd:double"&gt;3.18643545668703&lt;/D&gt;&lt;D xsi:type="xsd:double"&gt;3.01764484263218&lt;/D&gt;&lt;D xsi:type="xsd:double"&gt;3.06712449436083&lt;/D&gt;&lt;D xsi:type="xsd:double"&gt;2.89416566381903&lt;/D&gt;&lt;D xsi:type="xsd:double"&gt;2.71372282178949&lt;/D&gt;&lt;D xsi:type="xsd:double"&gt;2.70236145819363&lt;/D&gt;&lt;D xsi:type="xsd:double"&gt;2.73742363225921&lt;/D&gt;&lt;D xsi:type="xsd:double"&gt;2.8274940470512&lt;/D&gt;&lt;D xsi:type="xsd:double"&gt;2.94176949158179&lt;/D&gt;&lt;D xsi:type="xsd:double"&gt;2.90859906567381&lt;/D&gt;&lt;D xsi:type="xsd:double"&gt;3.39730929229893&lt;/D&gt;&lt;D xsi:type="xsd:double"&gt;3.6546092788847&lt;/D&gt;&lt;D xsi:type="xsd:double"&gt;3.25222687035237&lt;/D&gt;&lt;D xsi:type="xsd:double"&gt;3.10197971102992&lt;/D&gt;&lt;D xsi:type="xsd:double"&gt;3.24379263176803&lt;/D&gt;&lt;D xsi:type="xsd:double"&gt;3.22051591030275&lt;/D&gt;&lt;D xsi:type="xsd:double"&gt;3.35672741714485&lt;/D&gt;&lt;D xsi:type="xsd:double"&gt;3.29151224295965&lt;/D&gt;&lt;D xsi:type="xsd:double"&gt;3.3707402030184&lt;/D&gt;&lt;D xsi:type="xsd:double"&gt;3.25821120153716&lt;/D&gt;&lt;D xsi:type="xsd:double"&gt;3.39652342269289&lt;/D&gt;&lt;D xsi:type="xsd:double"&gt;3.19804645988192&lt;/D&gt;&lt;D xsi:type="xsd:double"&gt;3.13565381336126&lt;/D&gt;&lt;D xsi:type="xsd:double"&gt;3.14273910768487&lt;/D&gt;&lt;D xsi:type="xsd:double"&gt;3.11284710232072&lt;/D&gt;&lt;D xsi:type="xsd:double"&gt;3.12968771799842&lt;/D&gt;&lt;D xsi:type="xsd:double"&gt;2.96746551615767&lt;/D&gt;&lt;D xsi:type="xsd:double"&gt;2.95485150127102&lt;/D&gt;&lt;D xsi:type="xsd:double"&gt;2.86927841261977&lt;/D&gt;&lt;D xsi:type="xsd:double"&gt;2.77803351812326&lt;/D&gt;&lt;D xsi:type="xsd:double"&gt;2.73730496310731&lt;/D&gt;&lt;D xsi:type="xsd:double"&gt;2.72590854398477&lt;/D&gt;&lt;D xsi:type="xsd:double"&gt;2.81461333755603&lt;/D&gt;&lt;D xsi:type="xsd:double"&gt;2.76606719988563&lt;/D&gt;&lt;D xsi:type="xsd:double"&gt;2.87758873896097&lt;/D&gt;&lt;D xsi:type="xsd:double"&gt;2.78837444839308&lt;/D&gt;&lt;D xsi:type="xsd:double"&gt;2.7456784637202&lt;/D&gt;&lt;D xsi:type="xsd:double"&gt;2.83267894635297&lt;/D&gt;&lt;D xsi:type="xsd:double"&gt;2.85753484013009&lt;/D&gt;&lt;D xsi:type="xsd:double"&gt;2.78626382481752&lt;/D&gt;&lt;D xsi:type="xsd:double"&gt;2.93299424388678&lt;/D&gt;&lt;D xsi:type="xsd:double"&gt;2.98611007049026&lt;/D&gt;&lt;D xsi:type="xsd:double"&gt;2.93298881130635&lt;/D&gt;&lt;D xsi:type="xsd:double"&gt;2.92191419271594&lt;/D&gt;&lt;D xsi:type="xsd:double"&gt;2.95013587037403&lt;/D&gt;&lt;D xsi:type="xsd:double"&gt;2.84594917176049&lt;/D&gt;&lt;D xsi:type="xsd:double"&gt;2.88183470386415&lt;/D&gt;&lt;D xsi:type="xsd:double"&gt;3.01457564624423&lt;/D&gt;&lt;D xsi:type="xsd:double"&gt;3.27003045558908&lt;/D&gt;&lt;D xsi:type="xsd:double"&gt;3.22062663851079&lt;/D&gt;&lt;D xsi:type="xsd:double"&gt;3.49314416410446&lt;/D&gt;&lt;D xsi:type="xsd:double"&gt;3.28959557412246&lt;/D&gt;&lt;D xsi:type="xsd:double"&gt;3.12172646058908&lt;/D&gt;&lt;D xsi:type="xsd:double"&gt;3.05680172137147&lt;/D&gt;&lt;D xsi:type="xsd:double"&gt;2.96872354192214&lt;/D&gt;&lt;D xsi:type="xsd:double"&gt;3.16836902229358&lt;/D&gt;&lt;D xsi:type="xsd:double"&gt;3.00769132725033&lt;/D&gt;&lt;D xsi:type="xsd:double"&gt;2.88966044054826&lt;/D&gt;&lt;D xsi:type="xsd:double"&gt;2.96896497406514&lt;/D&gt;&lt;D xsi:type="xsd:double"&gt;2.75516504851131&lt;/D&gt;&lt;D xsi:type="xsd:double"&gt;2.74008222914574&lt;/D&gt;&lt;D xsi:type="xsd:double"&gt;2.65154040471967&lt;/D&gt;&lt;D xsi:type="xsd:double"&gt;2.57386219012914&lt;/D&gt;&lt;D xsi:type="xsd:double"&gt;2.63224785466258&lt;/D&gt;&lt;D xsi:type="xsd:double"&gt;2.87032197535569&lt;/D&gt;&lt;D xsi:type="xsd:double"&gt;3.40646050637911&lt;/D&gt;&lt;D xsi:type="xsd:double"&gt;2.67484219791942&lt;/D&gt;&lt;D xsi:type="xsd:double"&gt;2.47985800973676&lt;/D&gt;&lt;D xsi:type="xsd:double"&gt;2.39442972385097&lt;/D&gt;&lt;D xsi:type="xsd:double"&gt;2.3494877870368&lt;/D&gt;&lt;D xsi:type="xsd:double"&gt;2.30548439496149&lt;/D&gt;&lt;D xsi:type="xsd:double"&gt;2.35507934191226&lt;/D&gt;&lt;D xsi:type="xsd:double"&gt;2.40575553622799&lt;/D&gt;&lt;D xsi:type="xsd:double"&gt;2.15235241634423&lt;/D&gt;&lt;D xsi:type="xsd:double"&gt;1.9702267835522&lt;/D&gt;&lt;D xsi:type="xsd:double"&gt;2.02789519970178&lt;/D&gt;&lt;D xsi:type="xsd:double"&gt;2.00890154501115&lt;/D&gt;&lt;D xsi:type="xsd:double"&gt;1.96718569909547&lt;/D&gt;&lt;D xsi:type="xsd:double"&gt;1.93638728011045&lt;/D&gt;&lt;D xsi:type="xsd:double"&gt;2.00382871388999&lt;/D&gt;&lt;D xsi:type="xsd:double"&gt;1.98120999516903&lt;/D&gt;&lt;D xsi:type="xsd:double"&gt;1.94077950403088&lt;/D&gt;&lt;D xsi:type="xsd:double"&gt;1.83017579400906&lt;/D&gt;&lt;D xsi:type="xsd:double"&gt;1.95092690249055&lt;/D&gt;&lt;D xsi:type="xsd:double"&gt;1.90359335067005&lt;/D&gt;&lt;D xsi:type="xsd:double"&gt;1.94878238241963&lt;/D&gt;&lt;D xsi:type="xsd:double"&gt;1.94161044481074&lt;/D&gt;&lt;D xsi:type="xsd:double"&gt;2.22872037765147&lt;/D&gt;&lt;D xsi:type="xsd:double"&gt;2.3362342781575&lt;/D&gt;&lt;D xsi:type="xsd:double"&gt;2.18645005763592&lt;/D&gt;&lt;D xsi:type="xsd:double"&gt;2.38687997099843&lt;/D&gt;&lt;D xsi:type="xsd:double"&gt;2.52813053355561&lt;/D&gt;&lt;D xsi:type="xsd:double"&gt;3.40961644798234&lt;/D&gt;&lt;D xsi:type="xsd:double"&gt;3.050917160333&lt;/D&gt;&lt;D xsi:type="xsd:double"&gt;3.67984571115541&lt;/D&gt;&lt;D xsi:type="xsd:double"&gt;3.12403538343494&lt;/D&gt;&lt;D xsi:type="xsd:double"&gt;2.93802522270526&lt;/D&gt;&lt;D xsi:type="xsd:double"&gt;2.68248144241238&lt;/D&gt;&lt;D xsi:type="xsd:double"&gt;2.77210306485241&lt;/D&gt;&lt;D xsi:type="xsd:double"&gt;2.52918838411431&lt;/D&gt;&lt;D xsi:type="xsd:double"&gt;2.67094595739118&lt;/D&gt;&lt;D xsi:type="xsd:double"&gt;2.6908165956007&lt;/D&gt;&lt;D xsi:type="xsd:double"&gt;2.68570320957914&lt;/D&gt;&lt;D xsi:type="xsd:double"&gt;2.63115429164613&lt;/D&gt;&lt;D xsi:type="xsd:double"&gt;2.71474982467204&lt;/D&gt;&lt;D xsi:type="xsd:double"&gt;2.6189842810053&lt;/D&gt;&lt;D xsi:type="xsd:double"&gt;2.85707423426482&lt;/D&gt;&lt;D xsi:type="xsd:double"&gt;3.03618246704263&lt;/D&gt;&lt;D xsi:type="xsd:double"&gt;3.11887852164135&lt;/D&gt;&lt;D xsi:type="xsd:double"&gt;2.80812900373952&lt;/D&gt;&lt;D xsi:type="xsd:double"&gt;2.6832251201867&lt;/D&gt;&lt;D xsi:type="xsd:double"&gt;2.56250992125015&lt;/D&gt;&lt;D xsi:type="xsd:double"&gt;2.48609246148155&lt;/D&gt;&lt;D xsi:type="xsd:double"&gt;2.51949571787089&lt;/D&gt;&lt;D xsi:type="xsd:double"&gt;2.56237351099036&lt;/D&gt;&lt;D xsi:type="xsd:double"&gt;2.50499849463366&lt;/D&gt;&lt;D xsi:type="xsd:double"&gt;2.51149262022425&lt;/D&gt;&lt;D xsi:type="xsd:double"&gt;2.60381884053478&lt;/D&gt;&lt;D xsi:type="xsd:double"&gt;2.6257395941572&lt;/D&gt;&lt;/FQL&gt;&lt;FQL&gt;&lt;Q&gt;EWU^FMA_PE(LTMA,-10AY,0,AM,"PORTAGG","MEANR")&lt;/Q&gt;&lt;R&gt;121&lt;/R&gt;&lt;C&gt;1&lt;/C&gt;&lt;D xsi:type="xsd:double"&gt;14.2925925149719&lt;/D&gt;&lt;D xsi:type="xsd:double"&gt;13.9671725591053&lt;/D&gt;&lt;D xsi:type="xsd:double"&gt;13.7097858501141&lt;/D&gt;&lt;D xsi:type="xsd:double"&gt;14.0070217222602&lt;/D&gt;&lt;D xsi:type="xsd:double"&gt;13.9009615522564&lt;/D&gt;&lt;D xsi:type="xsd:double"&gt;14.3085531006864&lt;/D&gt;&lt;D xsi:type="xsd:double"&gt;15.1831166741616&lt;/D&gt;&lt;D xsi:type="xsd:double"&gt;15.2523439769646&lt;/D&gt;&lt;D xsi:type="xsd:double"&gt;15.5935806366388&lt;/D&gt;&lt;D xsi:type="xsd:double"&gt;15.731722719819&lt;/D&gt;&lt;D xsi:type="xsd:double"&gt;15.5534844346858&lt;/D&gt;&lt;D xsi:type="xsd:double"&gt;15.6749172189983&lt;/D&gt;&lt;D xsi:type="xsd:double"&gt;15.1453950613454&lt;/D&gt;&lt;D xsi:type="xsd:double"&gt;14.6469727105309&lt;/D&gt;&lt;D xsi:type="xsd:double"&gt;15.8165099359969&lt;/D&gt;&lt;D xsi:type="xsd:double"&gt;15.9742211220741&lt;/D&gt;&lt;D xsi:type="xsd:double"&gt;15.8500997897367&lt;/D&gt;&lt;D xsi:type="xsd:double"&gt;15.2564397368487&lt;/D&gt;&lt;D xsi:type="xsd:double"&gt;15.5134985685262&lt;/D&gt;&lt;D xsi:type="xsd:double"&gt;15.6963411574086&lt;/D&gt;&lt;D xsi:type="xsd:double"&gt;15.9506779249857&lt;/D&gt;&lt;D xsi:type="xsd:double"&gt;16.0587747235594&lt;/D&gt;&lt;D xsi:type="xsd:double"&gt;16.1270996655342&lt;/D&gt;&lt;D xsi:type="xsd:double"&gt;16.6926973835479&lt;/D&gt;&lt;D xsi:type="xsd:double"&gt;16.9466153414899&lt;/D&gt;&lt;D xsi:type="xsd:double"&gt;17.090996375294&lt;/D&gt;&lt;D xsi:type="xsd:double"&gt;16.8184541061946&lt;/D&gt;&lt;D xsi:type="xsd:double"&gt;16.3860873840379&lt;/D&gt;&lt;D xsi:type="xsd:double"&gt;17.1301207677029&lt;/D&gt;&lt;D xsi:type="xsd:double"&gt;17.1323924705446&lt;/D&gt;&lt;D xsi:type="xsd:double"&gt;17.3731213198354&lt;/D&gt;&lt;D xsi:type="xsd:double"&gt;17.1474958282784&lt;/D&gt;&lt;D xsi:type="xsd:double"&gt;16.8675870270699&lt;/D&gt;&lt;D xsi:type="xsd:double"&gt;16.8136230856051&lt;/D&gt;&lt;D xsi:type="xsd:double"&gt;16.4645746032361&lt;/D&gt;&lt;D xsi:type="xsd:double"&gt;16.3993122723276&lt;/D&gt;&lt;D xsi:type="xsd:double"&gt;16.0070343363311&lt;/D&gt;&lt;D xsi:type="xsd:double"&gt;15.8458154642555&lt;/D&gt;&lt;D xsi:type="xsd:double"&gt;15.6351413269906&lt;/D&gt;&lt;D xsi:type="xsd:double"&gt;15.2314621604499&lt;/D&gt;&lt;D xsi:type="xsd:double"&gt;15.5492985215324&lt;/D&gt;&lt;D xsi:type="xsd:double"&gt;15.582585091364&lt;/D&gt;&lt;D xsi:type="xsd:double"&gt;13.9107841959167&lt;/D&gt;&lt;D xsi:type="xsd:double"&gt;13.8898657312745&lt;/D&gt;&lt;D xsi:type="xsd:double"&gt;14.0497003335159&lt;/D&gt;&lt;D xsi:type="xsd:double"&gt;13.9533636021285&lt;/D&gt;&lt;D xsi:type="xsd:double"&gt;13.848330194823&lt;/D&gt;&lt;D xsi:type="xsd:double"&gt;13.8951113267335&lt;/D&gt;&lt;D xsi:type="xsd:double"&gt;13.667712323206&lt;/D&gt;&lt;D xsi:type="xsd:double"&gt;13.6250788663895&lt;/D&gt;&lt;D xsi:type="xsd:double"&gt;12.7613493245165&lt;/D&gt;&lt;D xsi:type="xsd:double"&gt;12.6529582669443&lt;/D&gt;&lt;D xsi:type="xsd:double"&gt;11.9783817310037&lt;/D&gt;&lt;D xsi:type="xsd:double"&gt;12.3526139186566&lt;/D&gt;&lt;D xsi:type="xsd:double"&gt;12.9344829141285&lt;/D&gt;&lt;D xsi:type="xsd:double"&gt;12.9477071182046&lt;/D&gt;&lt;D xsi:type="xsd:double"&gt;13.0022709853524&lt;/D&gt;&lt;D xsi:type="xsd:double"&gt;12.8398295148533&lt;/D&gt;&lt;D xsi:type="xsd:double"&gt;13.051374320424&lt;/D&gt;&lt;D xsi:type="xsd:double"&gt;13.2260837356331&lt;/D&gt;&lt;D xsi:type="xsd:double"&gt;12.7891325764254&lt;/D&gt;&lt;D xsi:type="xsd:double"&gt;13.1976653017587&lt;/D&gt;&lt;D xsi:type="xsd:double"&gt;13.280664476202&lt;/D&gt;&lt;D xsi:type="xsd:double"&gt;13.537079612263&lt;/D&gt;&lt;D xsi:type="xsd:double"&gt;14.2298431119256&lt;/D&gt;&lt;D xsi:type="xsd:double"&gt;14.0024249784261&lt;/D&gt;&lt;D xsi:type="xsd:double"&gt;12.3306364448541&lt;/D&gt;&lt;D xsi:type="xsd:double"&gt;12.2224300662222&lt;/D&gt;&lt;D xsi:type="xsd:double"&gt;13.7181919968241&lt;/D&gt;&lt;D xsi:type="xsd:double"&gt;14.5306721478332&lt;/D&gt;&lt;D xsi:type="xsd:double"&gt;15.163994775312&lt;/D&gt;&lt;D xsi:type="xsd:double"&gt;15.7179218066357&lt;/D&gt;&lt;D xsi:type="xsd:double"&gt;16.5604330774636&lt;/D&gt;&lt;D xsi:type="xsd:double"&gt;16.7448761023095&lt;/D&gt;&lt;D xsi:type="xsd:double"&gt;15.7338639301187&lt;/D&gt;&lt;D xsi:type="xsd:double"&gt;18.6442599250548&lt;/D&gt;&lt;D xsi:type="xsd:double"&gt;19.9935424802165&lt;/D&gt;&lt;D xsi:type="xsd:double"&gt;19.039072175627&lt;/D&gt;&lt;D xsi:type="xsd:double"&gt;18.808343681971&lt;/D&gt;&lt;D xsi:type="xsd:double"&gt;18.3159250147562&lt;/D&gt;&lt;D xsi:type="xsd:double"&gt;17.7064499810122&lt;/D&gt;&lt;D xsi:type="xsd:double"&gt;17.1742917334659&lt;/D&gt;&lt;D xsi:type="xsd:double"&gt;16.4353800063626&lt;/D&gt;&lt;D xsi:type="xsd:double"&gt;15.5722666716362&lt;/D&gt;&lt;D xsi:type="xsd:double"&gt;14.8130755698662&lt;/D&gt;&lt;D xsi:type="xsd:double"&gt;13.9764317614183&lt;/D&gt;&lt;D xsi:type="xsd:double"&gt;13.6216674429629&lt;/D&gt;&lt;D xsi:type="xsd:double"&gt;12.5595521717165&lt;/D&gt;&lt;D xsi:type="xsd:double"&gt;12.467455936839&lt;/D&gt;&lt;D xsi:type="xsd:double"&gt;12.5177287789853&lt;/D&gt;&lt;D xsi:type="xsd:double"&gt;12.5497929145834&lt;/D&gt;&lt;D xsi:type="xsd:double"&gt;12.3330628527293&lt;/D&gt;&lt;D xsi:type="xsd:double"&gt;12.0619436134442&lt;/D&gt;&lt;D xsi:type="xsd:double"&gt;11.7889356226987&lt;/D&gt;&lt;D xsi:type="xsd:double"&gt;11.3037991034353&lt;/D&gt;&lt;D xsi:type="xsd:double"&gt;11.0282189845314&lt;/D&gt;&lt;D xsi:type="xsd:double"&gt;10.4693095206229&lt;/D&gt;&lt;D xsi:type="xsd:double"&gt;9.43057698267459&lt;/D&gt;&lt;D xsi:type="xsd:double"&gt;9.5592018457338&lt;/D&gt;&lt;D xsi:type="xsd:double"&gt;9.83169170507677&lt;/D&gt;&lt;D xsi:type="xsd:double"&gt;9.652772679199&lt;/D&gt;&lt;D xsi:type="xsd:double"&gt;10.1496595367672&lt;/D&gt;&lt;D xsi:type="xsd:double"&gt;10.2542453533304&lt;/D&gt;&lt;D xsi:type="xsd:double"&gt;10.2254692930894&lt;/D&gt;&lt;D xsi:type="xsd:double"&gt;10.4410670842686&lt;/D&gt;&lt;D xsi:type="xsd:double"&gt;10.266998333644&lt;/D&gt;&lt;D xsi:type="xsd:double"&gt;10.2738922685141&lt;/D&gt;&lt;D xsi:type="xsd:double"&gt;10.6564094878394&lt;/D&gt;&lt;D xsi:type="xsd:double"&gt;10.4667807820285&lt;/D&gt;&lt;D xsi:type="xsd:double"&gt;10.6042420070963&lt;/D&gt;&lt;D xsi:type="xsd:double"&gt;10.2373598319067&lt;/D&gt;&lt;D xsi:type="xsd:double"&gt;10.761194673134&lt;/D&gt;&lt;D xsi:type="xsd:double"&gt;11.3205885332922&lt;/D&gt;&lt;D xsi:type="xsd:double"&gt;11.3495022854326&lt;/D&gt;&lt;D xsi:type="xsd:double"&gt;11.4354581810845&lt;/D&gt;&lt;D xsi:type="xsd:double"&gt;11.5363195312408&lt;/D&gt;&lt;D xsi:type="xsd:double"&gt;11.6273700052891&lt;/D&gt;&lt;D xsi:type="xsd:double"&gt;11.6633380615566&lt;/D&gt;&lt;D xsi:type="xsd:double"&gt;11.6217930082331&lt;/D&gt;&lt;D xsi:type="xsd:double"&gt;11.8837047418445&lt;/D&gt;&lt;D xsi:type="xsd:double"&gt;12.1007009421019&lt;/D&gt;&lt;/FQL&gt;&lt;FQL&gt;&lt;Q&gt;WL-FDS^MAX(FG_PRICE(0,-5AY))&lt;/Q&gt;&lt;R&gt;1&lt;/R&gt;&lt;C&gt;1&lt;/C&gt;&lt;D xsi:type="xsd:double"&gt;763.4&lt;/D&gt;&lt;/FQL&gt;&lt;FQL&gt;&lt;Q&gt;CPALM-FDS^MAX(FG_PRICE(0,-5AY))&lt;/Q&gt;&lt;R&gt;1&lt;/R&gt;&lt;C&gt;1&lt;/C&gt;&lt;D xsi:type="xsd:double"&gt;8163&lt;/D&gt;&lt;/FQL&gt;&lt;FQL&gt;&lt;Q&gt;TIOS-FDS^MAX(FG_PRICE(0,-5AY))&lt;/Q&gt;&lt;R&gt;1&lt;/R&gt;&lt;C&gt;1&lt;/C&gt;&lt;D xsi:type="xsd:double"&gt;219.77&lt;/D&gt;&lt;/FQL&gt;&lt;FQL&gt;&lt;Q&gt;FC0000CA^FG_PRICE(0)&lt;/Q&gt;&lt;R&gt;1&lt;/R&gt;&lt;C&gt;1&lt;/C&gt;&lt;D xsi:type="xsd:double"&gt;309.2239&lt;/D&gt;&lt;/FQL&gt;&lt;FQL&gt;&lt;Q&gt;QQQ^FG_PRICE_MAVG(0,,,,200)&lt;/Q&gt;&lt;R&gt;1&lt;/R&gt;&lt;C&gt;1&lt;/C&gt;&lt;D xsi:type="xsd:double"&gt;439.43744&lt;/D&gt;&lt;/FQL&gt;&lt;FQL&gt;&lt;Q&gt;EWI^FG_COMPANY_NAME&lt;/Q&gt;&lt;R&gt;1&lt;/R&gt;&lt;C&gt;1&lt;/C&gt;&lt;D xsi:type="xsd:string"&gt;iShares MSCI Italy ETF&lt;/D&gt;&lt;/FQL&gt;&lt;FQL&gt;&lt;Q&gt;ENZL^FG_COMPANY_NAME&lt;/Q&gt;&lt;R&gt;1&lt;/R&gt;&lt;C&gt;1&lt;/C&gt;&lt;D xsi:type="xsd:string"&gt;iShares MSCI New Zealand ETF&lt;/D&gt;&lt;/FQL&gt;&lt;FQL&gt;&lt;Q&gt;EWJ^FG_TOTAL_RETURNC(0,-12AM)&lt;/Q&gt;&lt;R&gt;1&lt;/R&gt;&lt;C&gt;1&lt;/C&gt;&lt;D xsi:type="xsd:double"&gt;19.624472&lt;/D&gt;&lt;/FQL&gt;&lt;FQL&gt;&lt;Q&gt;DUMMY^ECON_EXPR_DATA('FDS_ECON[NTCPMIMFGSA@EME]',,,M)&lt;/Q&gt;&lt;R&gt;1&lt;/R&gt;&lt;C&gt;1&lt;/C&gt;&lt;D xsi:type="xsd:double"&gt;50.6699&lt;/D&gt;&lt;/FQL&gt;&lt;FQL&gt;&lt;Q&gt;EWD^FMA_ROE(NTMA,-20AY,NOW,FY,"PORTAGG","MEANR")&lt;/Q&gt;&lt;R&gt;20&lt;/R&gt;&lt;C&gt;1&lt;/C&gt;&lt;D xsi:type="xsd:double"&gt;16.2261090864793&lt;/D&gt;&lt;D xsi:type="xsd:double"&gt;17.2247287220762&lt;/D&gt;&lt;D xsi:type="xsd:double"&gt;18.2100106841597&lt;/D&gt;&lt;D xsi:type="xsd:double"&gt;18.8871757625538&lt;/D&gt;&lt;D xsi:type="xsd:double"&gt;13.942889841066&lt;/D&gt;&lt;D xsi:type="xsd:double"&gt;10.3461745032911&lt;/D&gt;&lt;D xsi:type="xsd:double"&gt;15.8182159921786&lt;/D&gt;&lt;D xsi:type="xsd:double"&gt;15.7255547384444&lt;/D&gt;&lt;D xsi:type="xsd:double"&gt;14.800794930169&lt;/D&gt;&lt;D xsi:type="xsd:double"&gt;14.1943515647563&lt;/D&gt;&lt;D xsi:type="xsd:double"&gt;13.790896513923&lt;/D&gt;&lt;D xsi:type="xsd:double"&gt;13.0367586478869&lt;/D&gt;&lt;D xsi:type="xsd:double"&gt;12.3225531542011&lt;/D&gt;&lt;D xsi:type="xsd:double"&gt;13.8549633296522&lt;/D&gt;&lt;D xsi:type="xsd:double"&gt;13.3193557094803&lt;/D&gt;&lt;D xsi:type="xsd:double"&gt;13.4117967495928&lt;/D&gt;&lt;D xsi:type="xsd:double"&gt;11.9085678484881&lt;/D&gt;&lt;D xsi:type="xsd:double"&gt;15.3602779609384&lt;/D&gt;&lt;D xsi:type="xsd:double"&gt;14.6915673510104&lt;/D&gt;&lt;D xsi:type="xsd:double"&gt;15.368050598586&lt;/D&gt;&lt;/FQL&gt;&lt;FQL&gt;&lt;Q&gt;^FG_YIELD(-10AY,0,Y,,"YTM")&lt;/Q&gt;&lt;R&gt;10&lt;/R&gt;&lt;C&gt;1&lt;/C&gt;&lt;D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xsi:type="xsd:string"&gt;@NA&lt;/D&gt;&lt;/FQL&gt;&lt;FQL&gt;&lt;Q&gt;TRYCA10Y-FDS^FG_YIELD(-10AY,0,Y,,"YTM")&lt;/Q&gt;&lt;R&gt;10&lt;/R&gt;&lt;C&gt;1&lt;/C&gt;&lt;D xsi:type="xsd:double"&gt;1.79&lt;/D&gt;&lt;D xsi:type="xsd:double"&gt;1.39&lt;/D&gt;&lt;D xsi:type="xsd:double"&gt;1.72&lt;/D&gt;&lt;D xsi:type="xsd:double"&gt;2.04&lt;/D&gt;&lt;D xsi:type="xsd:double"&gt;1.96&lt;/D&gt;&lt;D xsi:type="xsd:double"&gt;1.7&lt;/D&gt;&lt;D xsi:type="xsd:double"&gt;0.67&lt;/D&gt;&lt;D xsi:type="xsd:double"&gt;1.42&lt;/D&gt;&lt;D xsi:type="xsd:double"&gt;3.3&lt;/D&gt;&lt;D xsi:type="xsd:double"&gt;3.0987&lt;/D&gt;&lt;/FQL&gt;&lt;FQL&gt;&lt;Q&gt;TRYDE10Y-FDS^FG_YIELD(-10AY,0,Y,,"YTM")&lt;/Q&gt;&lt;R&gt;10&lt;/R&gt;&lt;C&gt;1&lt;/C&gt;&lt;D xsi:type="xsd:double"&gt;0.5475&lt;/D&gt;&lt;D xsi:type="xsd:double"&gt;0.636&lt;/D&gt;&lt;D xsi:type="xsd:double"&gt;0.22&lt;/D&gt;&lt;D xsi:type="xsd:double"&gt;0.47&lt;/D&gt;&lt;D xsi:type="xsd:double"&gt;0.239&lt;/D&gt;&lt;D xsi:type="xsd:double"&gt;-0.189&lt;/D&gt;&lt;D xsi:type="xsd:double"&gt;-0.575&lt;/D&gt;&lt;D xsi:type="xsd:double"&gt;-0.181&lt;/D&gt;&lt;D xsi:type="xsd:double"&gt;2.534&lt;/D&gt;&lt;D xsi:type="xsd:double"&gt;2.004&lt;/D&gt;&lt;/FQL&gt;&lt;FQL&gt;&lt;Q&gt;CAGDPY@FR^EE_ACTUAL_ANNUAL(MED,0)&lt;/Q&gt;&lt;R&gt;1&lt;/R&gt;&lt;C&gt;1&lt;/C&gt;&lt;D xsi:type="xsd:double"&gt;-1.01989766349816&lt;/D&gt;&lt;/FQL&gt;&lt;FQL&gt;&lt;Q&gt;USDITL^FG_PRICE_CHANGE(0,-1AM)&lt;/Q&gt;&lt;R&gt;1&lt;/R&gt;&lt;C&gt;1&lt;/C&gt;&lt;D xsi:type="xsd:double"&gt;-2.2988975&lt;/D&gt;&lt;/FQL&gt;&lt;FQL&gt;&lt;Q&gt;USDUSD^FG_PRICE_CHANGE(0,-1AM)&lt;/Q&gt;&lt;R&gt;1&lt;/R&gt;&lt;C&gt;1&lt;/C&gt;&lt;D xsi:type="xsd:double"&gt;0&lt;/D&gt;&lt;/FQL&gt;&lt;FQL&gt;&lt;Q&gt;USDGBP^FG_PRICE_CHANGE(0,-1AM)&lt;/Q&gt;&lt;R&gt;1&lt;/R&gt;&lt;C&gt;1&lt;/C&gt;&lt;D xsi:type="xsd:double"&gt;-2.356249&lt;/D&gt;&lt;/FQL&gt;&lt;FQL&gt;&lt;Q&gt;USDJPY^FG_PRICE_CHANGE(0,-1AM)&lt;/Q&gt;&lt;R&gt;1&lt;/R&gt;&lt;C&gt;1&lt;/C&gt;&lt;D xsi:type="xsd:double"&gt;-5.6278586&lt;/D&gt;&lt;/FQL&gt;&lt;FQL&gt;&lt;Q&gt;USDNZD^FG_PRICE_CHANGE(0,-1AM)&lt;/Q&gt;&lt;R&gt;1&lt;/R&gt;&lt;C&gt;1&lt;/C&gt;&lt;D xsi:type="xsd:double"&gt;-6.226027&lt;/D&gt;&lt;/FQL&gt;&lt;FQL&gt;&lt;Q&gt;EWI^FG_TOTAL_RETURNC(-10AY,0,AM)&lt;/Q&gt;&lt;R&gt;121&lt;/R&gt;&lt;C&gt;1&lt;/C&gt;&lt;D xsi:type="xsd:double"&gt;-4.9970207&lt;/D&gt;&lt;D xsi:type="xsd:double"&gt;-2.379465&lt;/D&gt;&lt;D xsi:type="xsd:double"&gt;-6.7350864&lt;/D&gt;&lt;D xsi:type="xsd:double"&gt;2.3383737&lt;/D&gt;&lt;D xsi:type="xsd:double"&gt;-6.4781847&lt;/D&gt;&lt;D xsi:type="xsd:double"&gt;0.9406686&lt;/D&gt;&lt;D xsi:type="xsd:double"&gt;6.666672&lt;/D&gt;&lt;D xsi:type="xsd:double"&gt;0.13440847&lt;/D&gt;&lt;D xsi:type="xsd:double"&gt;2.2147655&lt;/D&gt;&lt;D xsi:type="xsd:double"&gt;2.1667838&lt;/D&gt;&lt;D xsi:type="xsd:double"&gt;-2.6199996&lt;/D&gt;&lt;D xsi:type="xsd:double"&gt;2.9549956&lt;/D&gt;&lt;D xsi:type="xsd:double"&gt;-3.065884&lt;/D&gt;&lt;D xsi:type="xsd:double"&gt;-5.921936&lt;/D&gt;&lt;D xsi:type="xsd:double"&gt;6.080115&lt;/D&gt;&lt;D xsi:type="xsd:double"&gt;-3.1018198&lt;/D&gt;&lt;D xsi:type="xsd:double"&gt;-1.0938168&lt;/D&gt;&lt;D xsi:type="xsd:double"&gt;-14.820045&lt;/D&gt;&lt;D xsi:type="xsd:double"&gt;-6.5451503&lt;/D&gt;&lt;D xsi:type="xsd:double"&gt;8.510637&lt;/D&gt;&lt;D xsi:type="xsd:double"&gt;3.8398743&lt;/D&gt;&lt;D xsi:type="xsd:double"&gt;-3.6192&lt;/D&gt;&lt;D xsi:type="xsd:double"&gt;-11.255855&lt;/D&gt;&lt;D xsi:type="xsd:double"&gt;5.8656573&lt;/D&gt;&lt;D xsi:type="xsd:double"&gt;-0.08935928&lt;/D&gt;&lt;D xsi:type="xsd:double"&gt;-3.3094823&lt;/D&gt;&lt;D xsi:type="xsd:double"&gt;4.7178507&lt;/D&gt;&lt;D xsi:type="xsd:double"&gt;-5.5653753&lt;/D&gt;&lt;D xsi:type="xsd:double"&gt;13.762295&lt;/D&gt;&lt;D xsi:type="xsd:double"&gt;1.1203289&lt;/D&gt;&lt;D xsi:type="xsd:double"&gt;-2.9544592&lt;/D&gt;&lt;D xsi:type="xsd:double"&gt;8.921778&lt;/D&gt;&lt;D xsi:type="xsd:double"&gt;2.6785731&lt;/D&gt;&lt;D xsi:type="xsd:double"&gt;7.14556&lt;/D&gt;&lt;D xsi:type="xsd:double"&gt;-0.120043755&lt;/D&gt;&lt;D xsi:type="xsd:double"&gt;6.330931&lt;/D&gt;&lt;D xsi:type="xsd:double"&gt;2.3004055&lt;/D&gt;&lt;D xsi:type="xsd:double"&gt;3.7037015&lt;/D&gt;&lt;D xsi:type="xsd:double"&gt;-2.3915827&lt;/D&gt;&lt;D xsi:type="xsd:double"&gt;0.7187128&lt;/D&gt;&lt;D xsi:type="xsd:double"&gt;-0.7202625&lt;/D&gt;&lt;D xsi:type="xsd:double"&gt;12.023651&lt;/D&gt;&lt;D xsi:type="xsd:double"&gt;-7.0087967&lt;/D&gt;&lt;D xsi:type="xsd:double"&gt;1.3875842&lt;/D&gt;&lt;D xsi:type="xsd:double"&gt;4.883361&lt;/D&gt;&lt;D xsi:type="xsd:double"&gt;-14.5017805&lt;/D&gt;&lt;D xsi:type="xsd:double"&gt;3.0161262&lt;/D&gt;&lt;D xsi:type="xsd:double"&gt;1.6614795&lt;/D&gt;&lt;D xsi:type="xsd:double"&gt;-4.6646237&lt;/D&gt;&lt;D xsi:type="xsd:double"&gt;-1.2142837&lt;/D&gt;&lt;D xsi:type="xsd:double"&gt;-9.472156&lt;/D&gt;&lt;D xsi:type="xsd:double"&gt;1.7172456&lt;/D&gt;&lt;D xsi:type="xsd:double"&gt;-4.090232&lt;/D&gt;&lt;D xsi:type="xsd:double"&gt;7.6699734&lt;/D&gt;&lt;D xsi:type="xsd:double"&gt;4.5437098&lt;/D&gt;&lt;D xsi:type="xsd:double"&gt;2.3572803&lt;/D&gt;&lt;D xsi:type="xsd:double"&gt;1.1155128&lt;/D&gt;&lt;D xsi:type="xsd:double"&gt;-6.2633457&lt;/D&gt;&lt;D xsi:type="xsd:double"&gt;8.233547&lt;/D&gt;&lt;D xsi:type="xsd:double"&gt;0.32668114&lt;/D&gt;&lt;D xsi:type="xsd:double"&gt;-2.2431195&lt;/D&gt;&lt;D xsi:type="xsd:double"&gt;1.1843085&lt;/D&gt;&lt;D xsi:type="xsd:double"&gt;5.1207066&lt;/D&gt;&lt;D xsi:type="xsd:double"&gt;0.5219221&lt;/D&gt;&lt;D xsi:type="xsd:double"&gt;3.2406569&lt;/D&gt;&lt;D xsi:type="xsd:double"&gt;-0.03376007&lt;/D&gt;&lt;D xsi:type="xsd:double"&gt;-8.004057&lt;/D&gt;&lt;D xsi:type="xsd:double"&gt;-23.861969&lt;/D&gt;&lt;D xsi:type="xsd:double"&gt;3.9537072&lt;/D&gt;&lt;D xsi:type="xsd:double"&gt;4.1743994&lt;/D&gt;&lt;D xsi:type="xsd:double"&gt;8.784366&lt;/D&gt;&lt;D xsi:type="xsd:double"&gt;7.320106&lt;/D&gt;&lt;D xsi:type="xsd:double"&gt;0.19267797&lt;/D&gt;&lt;D xsi:type="xsd:double"&gt;-5.769229&lt;/D&gt;&lt;D xsi:type="xsd:double"&gt;-6.693876&lt;/D&gt;&lt;D xsi:type="xsd:double"&gt;27.471554&lt;/D&gt;&lt;D xsi:type="xsd:double"&gt;2.7289867&lt;/D&gt;&lt;D xsi:type="xsd:double"&gt;-4.5133057&lt;/D&gt;&lt;D xsi:type="xsd:double"&gt;5.537915&lt;/D&gt;&lt;D xsi:type="xsd:double"&gt;5.1136374&lt;/D&gt;&lt;D xsi:type="xsd:double"&gt;2.1939516&lt;/D&gt;&lt;D xsi:type="xsd:double"&gt;4.2626023&lt;/D&gt;&lt;D xsi:type="xsd:double"&gt;-1.2575924&lt;/D&gt;&lt;D xsi:type="xsd:double"&gt;0.030601025&lt;/D&gt;&lt;D xsi:type="xsd:double"&gt;0.73393583&lt;/D&gt;&lt;D xsi:type="xsd:double"&gt;-3.3697605&lt;/D&gt;&lt;D xsi:type="xsd:double"&gt;5.183792&lt;/D&gt;&lt;D xsi:type="xsd:double"&gt;-5.2269993&lt;/D&gt;&lt;D xsi:type="xsd:double"&gt;5.291629&lt;/D&gt;&lt;D xsi:type="xsd:double"&gt;-3.0358195&lt;/D&gt;&lt;D xsi:type="xsd:double"&gt;-5.29117&lt;/D&gt;&lt;D xsi:type="xsd:double"&gt;-0.6281018&lt;/D&gt;&lt;D xsi:type="xsd:double"&gt;-8.749163&lt;/D&gt;&lt;D xsi:type="xsd:double"&gt;5.6142926&lt;/D&gt;&lt;D xsi:type="xsd:double"&gt;-13.118535&lt;/D&gt;&lt;D xsi:type="xsd:double"&gt;0.90090036&lt;/D&gt;&lt;D xsi:type="xsd:double"&gt;-4.5048656&lt;/D&gt;&lt;D xsi:type="xsd:double"&gt;-8.669787&lt;/D&gt;&lt;D xsi:type="xsd:double"&gt;12.936258&lt;/D&gt;&lt;D xsi:type="xsd:double"&gt;12.649357&lt;/D&gt;&lt;D xsi:type="xsd:double"&gt;1.4294386&lt;/D&gt;&lt;D xsi:type="xsd:double"&gt;9.809661&lt;/D&gt;&lt;D xsi:type="xsd:double"&gt;0.033330917&lt;/D&gt;&lt;D xsi:type="xsd:double"&gt;0.2665758&lt;/D&gt;&lt;D xsi:type="xsd:double"&gt;5.2176833&lt;/D&gt;&lt;D xsi:type="xsd:double"&gt;-3.7586868&lt;/D&gt;&lt;D xsi:type="xsd:double"&gt;5.547178&lt;/D&gt;&lt;D xsi:type="xsd:double"&gt;6.2440276&lt;/D&gt;&lt;D xsi:type="xsd:double"&gt;-2.7586162&lt;/D&gt;&lt;D xsi:type="xsd:double"&gt;-6.197965&lt;/D&gt;&lt;D xsi:type="xsd:double"&gt;-4.404998&lt;/D&gt;&lt;D xsi:type="xsd:double"&gt;13.789547&lt;/D&gt;&lt;D xsi:type="xsd:double"&gt;3.8321614&lt;/D&gt;&lt;D xsi:type="xsd:double"&gt;-2.0335972&lt;/D&gt;&lt;D xsi:type="xsd:double"&gt;7.190132&lt;/D&gt;&lt;D xsi:type="xsd:double"&gt;5.865848&lt;/D&gt;&lt;D xsi:type="xsd:double"&gt;-1.0604501&lt;/D&gt;&lt;D xsi:type="xsd:double"&gt;2.1436214&lt;/D&gt;&lt;D xsi:type="xsd:double"&gt;-3.625822&lt;/D&gt;&lt;D xsi:type="xsd:double"&gt;3.5425425&lt;/D&gt;&lt;D xsi:type="xsd:double"&gt;4.067898&lt;/D&gt;&lt;/FQL&gt;&lt;FQL&gt;&lt;Q&gt;SPY^FMA_PE(NTMA,-10AY,0,AM,"PORTAGG","MEANR")&lt;/Q&gt;&lt;R&gt;121&lt;/R&gt;&lt;C&gt;1&lt;/C&gt;&lt;D xsi:type="xsd:double"&gt;15.3577342548639&lt;/D&gt;&lt;D xsi:type="xsd:double"&gt;15.057373407823&lt;/D&gt;&lt;D xsi:type="xsd:double"&gt;15.2158601433186&lt;/D&gt;&lt;D xsi:type="xsd:double"&gt;15.8455797276342&lt;/D&gt;&lt;D xsi:type="xsd:double"&gt;16.2104075611777&lt;/D&gt;&lt;D xsi:type="xsd:double"&gt;16.2174404055888&lt;/D&gt;&lt;D xsi:type="xsd:double"&gt;16.9007316344402&lt;/D&gt;&lt;D xsi:type="xsd:double"&gt;16.4871616525574&lt;/D&gt;&lt;D xsi:type="xsd:double"&gt;16.7400144449546&lt;/D&gt;&lt;D xsi:type="xsd:double"&gt;16.545466872968&lt;/D&gt;&lt;D xsi:type="xsd:double"&gt;16.0444240546999&lt;/D&gt;&lt;D xsi:type="xsd:double"&gt;16.4362728160866&lt;/D&gt;&lt;D xsi:type="xsd:double"&gt;15.4793400021232&lt;/D&gt;&lt;D xsi:type="xsd:double"&gt;14.6710719327003&lt;/D&gt;&lt;D xsi:type="xsd:double"&gt;16.3610492475364&lt;/D&gt;&lt;D xsi:type="xsd:double"&gt;16.3453959893433&lt;/D&gt;&lt;D xsi:type="xsd:double"&gt;16.2276480501831&lt;/D&gt;&lt;D xsi:type="xsd:double"&gt;15.5099438140132&lt;/D&gt;&lt;D xsi:type="xsd:double"&gt;15.5167363536305&lt;/D&gt;&lt;D xsi:type="xsd:double"&gt;15.5167363536305&lt;/D&gt;&lt;D xsi:type="xsd:double"&gt;16.5226770167304&lt;/D&gt;&lt;D xsi:type="xsd:double"&gt;16.6302500091477&lt;/D&gt;&lt;D xsi:type="xsd:double"&gt;16.2741375215726&lt;/D&gt;&lt;D xsi:type="xsd:double"&gt;16.9727355062268&lt;/D&gt;&lt;D xsi:type="xsd:double"&gt;16.8600927379962&lt;/D&gt;&lt;D xsi:type="xsd:double"&gt;16.5250773290598&lt;/D&gt;&lt;D xsi:type="xsd:double"&gt;16.2198885352384&lt;/D&gt;&lt;D xsi:type="xsd:double"&gt;16.7259198325103&lt;/D&gt;&lt;D xsi:type="xsd:double"&gt;16.8926245294925&lt;/D&gt;&lt;D xsi:type="xsd:double"&gt;17.1831954500388&lt;/D&gt;&lt;D xsi:type="xsd:double"&gt;17.6584703048047&lt;/D&gt;&lt;D xsi:type="xsd:double"&gt;17.5053140013716&lt;/D&gt;&lt;D xsi:type="xsd:double"&gt;17.4451564315849&lt;/D&gt;&lt;D xsi:type="xsd:double"&gt;17.5333988469441&lt;/D&gt;&lt;D xsi:type="xsd:double"&gt;17.3959120024885&lt;/D&gt;&lt;D xsi:type="xsd:double"&gt;17.6595847875922&lt;/D&gt;&lt;D xsi:type="xsd:double"&gt;17.3307242372092&lt;/D&gt;&lt;D xsi:type="xsd:double"&gt;17.7326589226952&lt;/D&gt;&lt;D xsi:type="xsd:double"&gt;18.0047984906939&lt;/D&gt;&lt;D xsi:type="xsd:double"&gt;18.1035783284828&lt;/D&gt;&lt;D xsi:type="xsd:double"&gt;18.1253195758661&lt;/D&gt;&lt;D xsi:type="xsd:double"&gt;18.2868565768856&lt;/D&gt;&lt;D xsi:type="xsd:double"&gt;16.8778820674624&lt;/D&gt;&lt;D xsi:type="xsd:double"&gt;16.3326334585674&lt;/D&gt;&lt;D xsi:type="xsd:double"&gt;16.2202375877396&lt;/D&gt;&lt;D xsi:type="xsd:double"&gt;16.0802731020426&lt;/D&gt;&lt;D xsi:type="xsd:double"&gt;16.1229719405181&lt;/D&gt;&lt;D xsi:type="xsd:double"&gt;16.5215982660723&lt;/D&gt;&lt;D xsi:type="xsd:double"&gt;16.8918609628051&lt;/D&gt;&lt;D xsi:type="xsd:double"&gt;16.7792914495823&lt;/D&gt;&lt;D xsi:type="xsd:double"&gt;15.0646810992862&lt;/D&gt;&lt;D xsi:type="xsd:double"&gt;15.6135211048955&lt;/D&gt;&lt;D xsi:type="xsd:double"&gt;14.2844791781706&lt;/D&gt;&lt;D xsi:type="xsd:double"&gt;15.3480826784917&lt;/D&gt;&lt;D xsi:type="xsd:double"&gt;16.2188096213021&lt;/D&gt;&lt;D xsi:type="xsd:double"&gt;16.4297279067491&lt;/D&gt;&lt;D xsi:type="xsd:double"&gt;16.9045221719354&lt;/D&gt;&lt;D xsi:type="xsd:double"&gt;15.8655239829776&lt;/D&gt;&lt;D xsi:type="xsd:double"&gt;16.733424257917&lt;/D&gt;&lt;D xsi:type="xsd:double"&gt;17.1742971572958&lt;/D&gt;&lt;D xsi:type="xsd:double"&gt;16.5612797304876&lt;/D&gt;&lt;D xsi:type="xsd:double"&gt;16.7218892368926&lt;/D&gt;&lt;D xsi:type="xsd:double"&gt;17.1739011979753&lt;/D&gt;&lt;D xsi:type="xsd:double"&gt;17.7141977946727&lt;/D&gt;&lt;D xsi:type="xsd:double"&gt;18.2273781351774&lt;/D&gt;&lt;D xsi:type="xsd:double"&gt;18.310557272518&lt;/D&gt;&lt;D xsi:type="xsd:double"&gt;16.5763463062246&lt;/D&gt;&lt;D xsi:type="xsd:double"&gt;15.171626647386&lt;/D&gt;&lt;D xsi:type="xsd:double"&gt;20.476422094818&lt;/D&gt;&lt;D xsi:type="xsd:double"&gt;21.6721592860626&lt;/D&gt;&lt;D xsi:type="xsd:double"&gt;21.379298469798&lt;/D&gt;&lt;D xsi:type="xsd:double"&gt;22.1497472918153&lt;/D&gt;&lt;D xsi:type="xsd:double"&gt;22.9593907629499&lt;/D&gt;&lt;D xsi:type="xsd:double"&gt;21.3473692025286&lt;/D&gt;&lt;D xsi:type="xsd:double"&gt;20.5738216034097&lt;/D&gt;&lt;D xsi:type="xsd:double"&gt;21.91778943067&lt;/D&gt;&lt;D xsi:type="xsd:double"&gt;22.3046825048948&lt;/D&gt;&lt;D xsi:type="xsd:double"&gt;21.3120607446129&lt;/D&gt;&lt;D xsi:type="xsd:double"&gt;21.3859405331153&lt;/D&gt;&lt;D xsi:type="xsd:double"&gt;21.8971938861891&lt;/D&gt;&lt;D xsi:type="xsd:double"&gt;21.9090991378284&lt;/D&gt;&lt;D xsi:type="xsd:double"&gt;21.2541114543763&lt;/D&gt;&lt;D xsi:type="xsd:double"&gt;21.3411421631539&lt;/D&gt;&lt;D xsi:type="xsd:double"&gt;21.1185907223581&lt;/D&gt;&lt;D xsi:type="xsd:double"&gt;21.1741945404981&lt;/D&gt;&lt;D xsi:type="xsd:double"&gt;20.3656374849968&lt;/D&gt;&lt;D xsi:type="xsd:double"&gt;21.1688060319462&lt;/D&gt;&lt;D xsi:type="xsd:double"&gt;21.094174065684&lt;/D&gt;&lt;D xsi:type="xsd:double"&gt;21.4927760280093&lt;/D&gt;&lt;D xsi:type="xsd:double"&gt;19.5832845489384&lt;/D&gt;&lt;D xsi:type="xsd:double"&gt;19.1028318170338&lt;/D&gt;&lt;D xsi:type="xsd:double"&gt;19.9027612679248&lt;/D&gt;&lt;D xsi:type="xsd:double"&gt;17.5400420992857&lt;/D&gt;&lt;D xsi:type="xsd:double"&gt;17.4728508272954&lt;/D&gt;&lt;D xsi:type="xsd:double"&gt;15.943047974793&lt;/D&gt;&lt;D xsi:type="xsd:double"&gt;17.4326538226654&lt;/D&gt;&lt;D xsi:type="xsd:double"&gt;16.9750273863379&lt;/D&gt;&lt;D xsi:type="xsd:double"&gt;15.3566040037313&lt;/D&gt;&lt;D xsi:type="xsd:double"&gt;16.8108038353208&lt;/D&gt;&lt;D xsi:type="xsd:double"&gt;17.1005658419565&lt;/D&gt;&lt;D xsi:type="xsd:double"&gt;16.6887469160615&lt;/D&gt;&lt;D xsi:type="xsd:double"&gt;17.944269383832&lt;/D&gt;&lt;D xsi:type="xsd:double"&gt;17.4942955087965&lt;/D&gt;&lt;D xsi:type="xsd:double"&gt;17.6957977910986&lt;/D&gt;&lt;D xsi:type="xsd:double"&gt;18.1738024405997&lt;/D&gt;&lt;D xsi:type="xsd:double"&gt;18.1565375174434&lt;/D&gt;&lt;D xsi:type="xsd:double"&gt;18.9099275647542&lt;/D&gt;&lt;D xsi:type="xsd:double"&gt;19.558233282521&lt;/D&gt;&lt;D xsi:type="xsd:double"&gt;18.8240232801869&lt;/D&gt;&lt;D xsi:type="xsd:double"&gt;17.8410384354927&lt;/D&gt;&lt;D xsi:type="xsd:double"&gt;17.0473541593016&lt;/D&gt;&lt;D xsi:type="xsd:double"&gt;18.6621730638581&lt;/D&gt;&lt;D xsi:type="xsd:double"&gt;19.5251873471914&lt;/D&gt;&lt;D xsi:type="xsd:double"&gt;20.1686209107149&lt;/D&gt;&lt;D xsi:type="xsd:double"&gt;20.4876925572224&lt;/D&gt;&lt;D xsi:type="xsd:double"&gt;20.9576936675651&lt;/D&gt;&lt;D xsi:type="xsd:double"&gt;20.1492308655256&lt;/D&gt;&lt;D xsi:type="xsd:double"&gt;20.6029984413958&lt;/D&gt;&lt;D xsi:type="xsd:double"&gt;21.0117847036238&lt;/D&gt;&lt;D xsi:type="xsd:double"&gt;20.8250942870386&lt;/D&gt;&lt;D xsi:type="xsd:double"&gt;21.2102191675657&lt;/D&gt;&lt;/FQL&gt;&lt;FQL&gt;&lt;Q&gt;NI-FDS^MAX(FG_PRICE(0,-5AY))&lt;/Q&gt;&lt;R&gt;1&lt;/R&gt;&lt;C&gt;1&lt;/C&gt;&lt;D xsi:type="xsd:double"&gt;48241&lt;/D&gt;&lt;/FQL&gt;&lt;FQL&gt;&lt;Q&gt;BRENT-FDS^MAX(FG_PRICE(0,-5AY))&lt;/Q&gt;&lt;R&gt;1&lt;/R&gt;&lt;C&gt;1&lt;/C&gt;&lt;D xsi:type="xsd:double"&gt;140.85&lt;/D&gt;&lt;/FQL&gt;&lt;FQL&gt;&lt;Q&gt;FC0000GB^FG_PRICE(0)&lt;/Q&gt;&lt;R&gt;1&lt;/R&gt;&lt;C&gt;1&lt;/C&gt;&lt;D xsi:type="xsd:double"&gt;135.01218&lt;/D&gt;&lt;/FQL&gt;&lt;FQL&gt;&lt;Q&gt;EWD^FG_PRICE_MAVG(0,,,,200)&lt;/Q&gt;&lt;R&gt;1&lt;/R&gt;&lt;C&gt;1&lt;/C&gt;&lt;D xsi:type="xsd:double"&gt;39.309326&lt;/D&gt;&lt;/FQL&gt;&lt;FQL&gt;&lt;Q&gt;EWG^FG_PRICE_MAVG(0,,,,200)&lt;/Q&gt;&lt;R&gt;1&lt;/R&gt;&lt;C&gt;1&lt;/C&gt;&lt;D xsi:type="xsd:double"&gt;30.4147&lt;/D&gt;&lt;/FQL&gt;&lt;FQL&gt;&lt;Q&gt;FXI^P_PRICE(0)/P_PRICE_HIGH_PR(0,,,,,,"PRICE","INTRA","52W")&lt;/Q&gt;&lt;R&gt;1&lt;/R&gt;&lt;C&gt;1&lt;/C&gt;&lt;D xsi:type="xsd:double"&gt;0.8916356&lt;/D&gt;&lt;/FQL&gt;&lt;FQL&gt;&lt;Q&gt;URTH^PERCENT_CHANGE(FMA_EPS(+1,0,,,,"PORTAGG","MEAN"),FMA_EPS(+1,-1AM,,,,"PORTAGG","MEAN"))&lt;/Q&gt;&lt;R&gt;1&lt;/R&gt;&lt;C&gt;1&lt;/C&gt;&lt;D xsi:type="xsd:double"&gt;1.56409470280215&lt;/D&gt;&lt;/FQL&gt;&lt;FQL&gt;&lt;Q&gt;VGK^FG_TOTAL_RETURNC(0,-1AM)&lt;/Q&gt;&lt;R&gt;1&lt;/R&gt;&lt;C&gt;1&lt;/C&gt;&lt;D xsi:type="xsd:double"&gt;4.6738625&lt;/D&gt;&lt;/FQL&gt;&lt;FQL&gt;&lt;Q&gt;CAGDPY@IT^EE_ACTUAL_ANNUAL(MED,+1)&lt;/Q&gt;&lt;R&gt;1&lt;/R&gt;&lt;C&gt;1&lt;/C&gt;&lt;D xsi:type="xsd:double"&gt;0.95&lt;/D&gt;&lt;/FQL&gt;&lt;FQL&gt;&lt;Q&gt;CAGDPY@JP^EE_ACTUAL_ANNUAL(MED,+1)&lt;/Q&gt;&lt;R&gt;1&lt;/R&gt;&lt;C&gt;1&lt;/C&gt;&lt;D xsi:type="xsd:double"&gt;3.8&lt;/D&gt;&lt;/FQL&gt;&lt;FQL&gt;&lt;Q&gt;CC_CA^FG_COMPANY_NAME&lt;/Q&gt;&lt;R&gt;1&lt;/R&gt;&lt;C&gt;1&lt;/C&gt;&lt;D xsi:type="xsd:string"&gt;Canada&lt;/D&gt;&lt;/FQL&gt;&lt;FQL&gt;&lt;Q&gt;USDSEK^FG_PRICE_CHANGE(0,-1AY)&lt;/Q&gt;&lt;R&gt;1&lt;/R&gt;&lt;C&gt;1&lt;/C&gt;&lt;D xsi:type="xsd:double"&gt;-6.513822&lt;/D&gt;&lt;/FQL&gt;&lt;FQL&gt;&lt;Q&gt;USDCHF^FG_PRICE_CHANGE(0,-1AY)&lt;/Q&gt;&lt;R&gt;1&lt;/R&gt;&lt;C&gt;1&lt;/C&gt;&lt;D xsi:type="xsd:double"&gt;-3.7434042&lt;/D&gt;&lt;/FQL&gt;&lt;FQL&gt;&lt;Q&gt;USDUSD^FG_PRICE_CHANGE(0,-1AY)&lt;/Q&gt;&lt;R&gt;1&lt;/R&gt;&lt;C&gt;1&lt;/C&gt;&lt;D xsi:type="xsd:double"&gt;0&lt;/D&gt;&lt;/FQL&gt;&lt;FQL&gt;&lt;Q&gt;USDEUR^FG_PRICE_CHANGE(0,-1AY)&lt;/Q&gt;&lt;R&gt;1&lt;/R&gt;&lt;C&gt;1&lt;/C&gt;&lt;D xsi:type="xsd:double"&gt;-2.1814704&lt;/D&gt;&lt;/FQL&gt;&lt;FQL&gt;&lt;Q&gt;USDAUD^FG_PRICE_CHANGE(0,-1AY)&lt;/Q&gt;&lt;R&gt;1&lt;/R&gt;&lt;C&gt;1&lt;/C&gt;&lt;D xsi:type="xsd:double"&gt;-5.160493&lt;/D&gt;&lt;/FQL&gt;&lt;FQL&gt;&lt;Q&gt;QQQ^FMA_EPS(NTMA,-20AY,0,CY,,"PORTAGG","MEANR")&lt;/Q&gt;&lt;R&gt;20&lt;/R&gt;&lt;C&gt;1&lt;/C&gt;&lt;D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xsi:type="xsd:double"&gt;9.35231847826133&lt;/D&gt;&lt;D xsi:type="xsd:double"&gt;10.4260782968222&lt;/D&gt;&lt;D xsi:type="xsd:double"&gt;13.6402697448185&lt;/D&gt;&lt;D xsi:type="xsd:double"&gt;12.750313440204&lt;/D&gt;&lt;D xsi:type="xsd:double"&gt;16.3243000822322&lt;/D&gt;&lt;/FQL&gt;&lt;FQL&gt;&lt;Q&gt;EWL^P_PRICE_RETURNS_PR('52W',2,-10AY,0,AM)&lt;/Q&gt;&lt;R&gt;121&lt;/R&gt;&lt;C&gt;1&lt;/C&gt;&lt;D xsi:type="xsd:double"&gt;16.857576&lt;/D&gt;&lt;D xsi:type="xsd:double"&gt;5.816686&lt;/D&gt;&lt;D xsi:type="xsd:double"&gt;0.5669594&lt;/D&gt;&lt;D xsi:type="xsd:double"&gt;5.4105997&lt;/D&gt;&lt;D xsi:type="xsd:double"&gt;0.071918964&lt;/D&gt;&lt;D xsi:type="xsd:double"&gt;2.0116925&lt;/D&gt;&lt;D xsi:type="xsd:double"&gt;0.13437271&lt;/D&gt;&lt;D xsi:type="xsd:double"&gt;1.874435&lt;/D&gt;&lt;D xsi:type="xsd:double"&gt;1.9739509&lt;/D&gt;&lt;D xsi:type="xsd:double"&gt;2.6751995&lt;/D&gt;&lt;D xsi:type="xsd:double"&gt;-0.811255&lt;/D&gt;&lt;D xsi:type="xsd:double"&gt;3.6418676&lt;/D&gt;&lt;D xsi:type="xsd:double"&gt;-2.8544784&lt;/D&gt;&lt;D xsi:type="xsd:double"&gt;-5.650103&lt;/D&gt;&lt;D xsi:type="xsd:double"&gt;2.2281528&lt;/D&gt;&lt;D xsi:type="xsd:double"&gt;-4.9206553&lt;/D&gt;&lt;D xsi:type="xsd:double"&gt;1.0504007&lt;/D&gt;&lt;D xsi:type="xsd:double"&gt;-6.8441334&lt;/D&gt;&lt;D xsi:type="xsd:double"&gt;-12.945294&lt;/D&gt;&lt;D xsi:type="xsd:double"&gt;-9.870237&lt;/D&gt;&lt;D xsi:type="xsd:double"&gt;-9.418821&lt;/D&gt;&lt;D xsi:type="xsd:double"&gt;-10.926437&lt;/D&gt;&lt;D xsi:type="xsd:double"&gt;-9.996539&lt;/D&gt;&lt;D xsi:type="xsd:double"&gt;-8.512604&lt;/D&gt;&lt;D xsi:type="xsd:double"&gt;-2.3952842&lt;/D&gt;&lt;D xsi:type="xsd:double"&gt;4.480064&lt;/D&gt;&lt;D xsi:type="xsd:double"&gt;-6.2692223&lt;/D&gt;&lt;D xsi:type="xsd:double"&gt;-5.363035&lt;/D&gt;&lt;D xsi:type="xsd:double"&gt;-5.0786734&lt;/D&gt;&lt;D xsi:type="xsd:double"&gt;9.273327&lt;/D&gt;&lt;D xsi:type="xsd:double"&gt;11.724615&lt;/D&gt;&lt;D xsi:type="xsd:double"&gt;11.428261&lt;/D&gt;&lt;D xsi:type="xsd:double"&gt;11.479545&lt;/D&gt;&lt;D xsi:type="xsd:double"&gt;16.371845&lt;/D&gt;&lt;D xsi:type="xsd:double"&gt;20.652973&lt;/D&gt;&lt;D xsi:type="xsd:double"&gt;18.112862&lt;/D&gt;&lt;D xsi:type="xsd:double"&gt;15.289044&lt;/D&gt;&lt;D xsi:type="xsd:double"&gt;17.535448&lt;/D&gt;&lt;D xsi:type="xsd:double"&gt;20.225037&lt;/D&gt;&lt;D xsi:type="xsd:double"&gt;25.576614&lt;/D&gt;&lt;D xsi:type="xsd:double"&gt;23.987507&lt;/D&gt;&lt;D xsi:type="xsd:double"&gt;24.188745&lt;/D&gt;&lt;D xsi:type="xsd:double"&gt;14.905346&lt;/D&gt;&lt;D xsi:type="xsd:double"&gt;9.224844&lt;/D&gt;&lt;D xsi:type="xsd:double"&gt;4.7405243&lt;/D&gt;&lt;D xsi:type="xsd:double"&gt;-1.9907653&lt;/D&gt;&lt;D xsi:type="xsd:double"&gt;-2.717781&lt;/D&gt;&lt;D xsi:type="xsd:double"&gt;2.8054476&lt;/D&gt;&lt;D xsi:type="xsd:double"&gt;5.386722&lt;/D&gt;&lt;D xsi:type="xsd:double"&gt;2.537191&lt;/D&gt;&lt;D xsi:type="xsd:double"&gt;-3.3936024&lt;/D&gt;&lt;D xsi:type="xsd:double"&gt;-2.453363&lt;/D&gt;&lt;D xsi:type="xsd:double"&gt;-9.494376&lt;/D&gt;&lt;D xsi:type="xsd:double"&gt;-9.022427&lt;/D&gt;&lt;D xsi:type="xsd:double"&gt;1.4801979&lt;/D&gt;&lt;D xsi:type="xsd:double"&gt;5.4901004&lt;/D&gt;&lt;D xsi:type="xsd:double"&gt;8.200836&lt;/D&gt;&lt;D xsi:type="xsd:double"&gt;9.949923&lt;/D&gt;&lt;D xsi:type="xsd:double"&gt;19.376682&lt;/D&gt;&lt;D xsi:type="xsd:double"&gt;10.865045&lt;/D&gt;&lt;D xsi:type="xsd:double"&gt;7.863462&lt;/D&gt;&lt;D xsi:type="xsd:double"&gt;10.272002&lt;/D&gt;&lt;D xsi:type="xsd:double"&gt;21.136892&lt;/D&gt;&lt;D xsi:type="xsd:double"&gt;19.468521&lt;/D&gt;&lt;D xsi:type="xsd:double"&gt;34.67423&lt;/D&gt;&lt;D xsi:type="xsd:double"&gt;26.937426&lt;/D&gt;&lt;D xsi:type="xsd:double"&gt;11.826515&lt;/D&gt;&lt;D xsi:type="xsd:double"&gt;0.9810209&lt;/D&gt;&lt;D xsi:type="xsd:double"&gt;5.757332&lt;/D&gt;&lt;D xsi:type="xsd:double"&gt;8.906019&lt;/D&gt;&lt;D xsi:type="xsd:double"&gt;5.1705003&lt;/D&gt;&lt;D xsi:type="xsd:double"&gt;13.3062725&lt;/D&gt;&lt;D xsi:type="xsd:double"&gt;15.126694&lt;/D&gt;&lt;D xsi:type="xsd:double"&gt;11.085272&lt;/D&gt;&lt;D xsi:type="xsd:double"&gt;3.6967993&lt;/D&gt;&lt;D xsi:type="xsd:double"&gt;11.944604&lt;/D&gt;&lt;D xsi:type="xsd:double"&gt;12.034202&lt;/D&gt;&lt;D xsi:type="xsd:double"&gt;8.610689&lt;/D&gt;&lt;D xsi:type="xsd:double"&gt;11.9610195&lt;/D&gt;&lt;D xsi:type="xsd:double"&gt;30.525743&lt;/D&gt;&lt;D xsi:type="xsd:double"&gt;27.194046&lt;/D&gt;&lt;D xsi:type="xsd:double"&gt;30.047905&lt;/D&gt;&lt;D xsi:type="xsd:double"&gt;28.899145&lt;/D&gt;&lt;D xsi:type="xsd:double"&gt;21.93116&lt;/D&gt;&lt;D xsi:type="xsd:double"&gt;24.685144&lt;/D&gt;&lt;D xsi:type="xsd:double"&gt;15.6422615&lt;/D&gt;&lt;D xsi:type="xsd:double"&gt;29.993916&lt;/D&gt;&lt;D xsi:type="xsd:double"&gt;17.157518&lt;/D&gt;&lt;D xsi:type="xsd:double"&gt;20.26266&lt;/D&gt;&lt;D xsi:type="xsd:double"&gt;9.612846&lt;/D&gt;&lt;D xsi:type="xsd:double"&gt;12.940645&lt;/D&gt;&lt;D xsi:type="xsd:double"&gt;13.474714&lt;/D&gt;&lt;D xsi:type="xsd:double"&gt;0.95244646&lt;/D&gt;&lt;D xsi:type="xsd:double"&gt;-4.1648507&lt;/D&gt;&lt;D xsi:type="xsd:double"&gt;-13.959932&lt;/D&gt;&lt;D xsi:type="xsd:double"&gt;-11.298579&lt;/D&gt;&lt;D xsi:type="xsd:double"&gt;-17.585922&lt;/D&gt;&lt;D xsi:type="xsd:double"&gt;-17.962057&lt;/D&gt;&lt;D xsi:type="xsd:double"&gt;-19.774532&lt;/D&gt;&lt;D xsi:type="</t>
        </r>
      </text>
    </comment>
    <comment ref="A3" authorId="0" shapeId="0" xr:uid="{F72B7693-2838-45FE-AEC3-D7B2345DF423}">
      <text>
        <r>
          <rPr>
            <b/>
            <sz val="9"/>
            <color indexed="81"/>
            <rFont val="Tahoma"/>
            <charset val="1"/>
          </rPr>
          <t>xsd:double"&gt;-12.898988&lt;/D&gt;&lt;D xsi:type="xsd:double"&gt;-18.090641&lt;/D&gt;&lt;D xsi:type="xsd:double"&gt;-4.9328623&lt;/D&gt;&lt;D xsi:type="xsd:double"&gt;-7.686967&lt;/D&gt;&lt;D xsi:type="xsd:double"&gt;-8.684617&lt;/D&gt;&lt;D xsi:type="xsd:double"&gt;4.4067383&lt;/D&gt;&lt;D xsi:type="xsd:double"&gt;6.9660425&lt;/D&gt;&lt;D xsi:type="xsd:double"&gt;12.380659&lt;/D&gt;&lt;D xsi:type="xsd:double"&gt;13.468397&lt;/D&gt;&lt;D xsi:type="xsd:double"&gt;15.112173&lt;/D&gt;&lt;D xsi:type="xsd:double"&gt;18.447542&lt;/D&gt;&lt;D xsi:type="xsd:double"&gt;9.115469&lt;/D&gt;&lt;D xsi:type="xsd:double"&gt;9.428942&lt;/D&gt;&lt;D xsi:type="xsd:double"&gt;15.9624815&lt;/D&gt;&lt;D xsi:type="xsd:double"&gt;9.699118&lt;/D&gt;&lt;D xsi:type="xsd:double"&gt;10.378337&lt;/D&gt;&lt;D xsi:type="xsd:double"&gt;10.912919&lt;/D&gt;&lt;D xsi:type="xsd:double"&gt;-2.0285428&lt;/D&gt;&lt;D xsi:type="xsd:double"&gt;3.0656815&lt;/D&gt;&lt;D xsi:type="xsd:double"&gt;7.7524424&lt;/D&gt;&lt;D xsi:type="xsd:double"&gt;6.1543226&lt;/D&gt;&lt;D xsi:type="xsd:double"&gt;15.836584&lt;/D&gt;&lt;/FQL&gt;&lt;FQL&gt;&lt;Q&gt;EWG^FG_TOTAL_RETURNC(-10AY,0,AM)&lt;/Q&gt;&lt;R&gt;121&lt;/R&gt;&lt;C&gt;1&lt;/C&gt;&lt;D xsi:type="xsd:double"&gt;-3.5035014&lt;/D&gt;&lt;D xsi:type="xsd:double"&gt;-4.0110645&lt;/D&gt;&lt;D xsi:type="xsd:double"&gt;-3.8544655&lt;/D&gt;&lt;D xsi:type="xsd:double"&gt;7.868111&lt;/D&gt;&lt;D xsi:type="xsd:double"&gt;-2.7092755&lt;/D&gt;&lt;D xsi:type="xsd:double"&gt;1.8921852&lt;/D&gt;&lt;D xsi:type="xsd:double"&gt;4.0644646&lt;/D&gt;&lt;D xsi:type="xsd:double"&gt;1.3468027&lt;/D&gt;&lt;D xsi:type="xsd:double"&gt;-1.5614629&lt;/D&gt;&lt;D xsi:type="xsd:double"&gt;-1.7549753&lt;/D&gt;&lt;D xsi:type="xsd:double"&gt;-1.759404&lt;/D&gt;&lt;D xsi:type="xsd:double"&gt;0.3913164&lt;/D&gt;&lt;D xsi:type="xsd:double"&gt;-6.5910635&lt;/D&gt;&lt;D xsi:type="xsd:double"&gt;-7.359636&lt;/D&gt;&lt;D xsi:type="xsd:double"&gt;10.7698555&lt;/D&gt;&lt;D xsi:type="xsd:double"&gt;0.44362545&lt;/D&gt;&lt;D xsi:type="xsd:double"&gt;-0.47846437&lt;/D&gt;&lt;D xsi:type="xsd:double"&gt;-10.022193&lt;/D&gt;&lt;D xsi:type="xsd:double"&gt;-3.9868474&lt;/D&gt;&lt;D xsi:type="xsd:double"&gt;9.546232&lt;/D&gt;&lt;D xsi:type="xsd:double"&gt;2.5009751&lt;/D&gt;&lt;D xsi:type="xsd:double"&gt;-0.87685585&lt;/D&gt;&lt;D xsi:type="xsd:double"&gt;-6.591749&lt;/D&gt;&lt;D xsi:type="xsd:double"&gt;8.182203&lt;/D&gt;&lt;D xsi:type="xsd:double"&gt;2.417159&lt;/D&gt;&lt;D xsi:type="xsd:double"&gt;-2.2078395&lt;/D&gt;&lt;D xsi:type="xsd:double"&gt;0.66173077&lt;/D&gt;&lt;D xsi:type="xsd:double"&gt;-3.6349595&lt;/D&gt;&lt;D xsi:type="xsd:double"&gt;5.734563&lt;/D&gt;&lt;D xsi:type="xsd:double"&gt;5.466974&lt;/D&gt;&lt;D xsi:type="xsd:double"&gt;-0.93592405&lt;/D&gt;&lt;D xsi:type="xsd:double"&gt;4.578495&lt;/D&gt;&lt;D xsi:type="xsd:double"&gt;3.1271696&lt;/D&gt;&lt;D xsi:type="xsd:double"&gt;3.7398934&lt;/D&gt;&lt;D xsi:type="xsd:double"&gt;0.58995485&lt;/D&gt;&lt;D xsi:type="xsd:double"&gt;1.0204077&lt;/D&gt;&lt;D xsi:type="xsd:double"&gt;0.16291142&lt;/D&gt;&lt;D xsi:type="xsd:double"&gt;5.49773&lt;/D&gt;&lt;D xsi:type="xsd:double"&gt;0.95590353&lt;/D&gt;&lt;D xsi:type="xsd:double"&gt;1.1911988&lt;/D&gt;&lt;D xsi:type="xsd:double"&gt;-0.08045435&lt;/D&gt;&lt;D xsi:type="xsd:double"&gt;6.63234&lt;/D&gt;&lt;D xsi:type="xsd:double"&gt;-7.8954816&lt;/D&gt;&lt;D xsi:type="xsd:double"&gt;-1.2025893&lt;/D&gt;&lt;D xsi:type="xsd:double"&gt;1.9038677&lt;/D&gt;&lt;D xsi:type="xsd:double"&gt;-4.4716716&lt;/D&gt;&lt;D xsi:type="xsd:double"&gt;-1.5586674&lt;/D&gt;&lt;D xsi:type="xsd:double"&gt;4.2361617&lt;/D&gt;&lt;D xsi:type="xsd:double"&gt;-0.8000016&lt;/D&gt;&lt;D xsi:type="xsd:double"&gt;-4.064518&lt;/D&gt;&lt;D xsi:type="xsd:double"&gt;-9.5830555&lt;/D&gt;&lt;D xsi:type="xsd:double"&gt;0.7065892&lt;/D&gt;&lt;D xsi:type="xsd:double"&gt;-6.83161&lt;/D&gt;&lt;D xsi:type="xsd:double"&gt;6.4605713&lt;/D&gt;&lt;D xsi:type="xsd:double"&gt;1.6381145&lt;/D&gt;&lt;D xsi:type="xsd:double"&gt;-1.3919413&lt;/D&gt;&lt;D xsi:type="xsd:double"&gt;6.6493273&lt;/D&gt;&lt;D xsi:type="xsd:double"&gt;-5.468476&lt;/D&gt;&lt;D xsi:type="xsd:double"&gt;6.185603&lt;/D&gt;&lt;D xsi:type="xsd:double"&gt;-1.6399264&lt;/D&gt;&lt;D xsi:type="xsd:double"&gt;-5.0742984&lt;/D&gt;&lt;D xsi:type="xsd:double"&gt;2.4055004&lt;/D&gt;&lt;D xsi:type="xsd:double"&gt;6.301272&lt;/D&gt;&lt;D xsi:type="xsd:double"&gt;1.5082479&lt;/D&gt;&lt;D xsi:type="xsd:double"&gt;2.1423578&lt;/D&gt;&lt;D xsi:type="xsd:double"&gt;-1.387006&lt;/D&gt;&lt;D xsi:type="xsd:double"&gt;-10.051459&lt;/D&gt;&lt;D xsi:type="xsd:double"&gt;-19.450796&lt;/D&gt;&lt;D xsi:type="xsd:double"&gt;13.589012&lt;/D&gt;&lt;D xsi:type="xsd:double"&gt;7.503128&lt;/D&gt;&lt;D xsi:type="xsd:double"&gt;5.783522&lt;/D&gt;&lt;D xsi:type="xsd:double"&gt;9.592592&lt;/D&gt;&lt;D xsi:type="xsd:double"&gt;2.298069&lt;/D&gt;&lt;D xsi:type="xsd:double"&gt;-2.9732406&lt;/D&gt;&lt;D xsi:type="xsd:double"&gt;-9.839975&lt;/D&gt;&lt;D xsi:type="xsd:double"&gt;16.04985&lt;/D&gt;&lt;D xsi:type="xsd:double"&gt;6.0707927&lt;/D&gt;&lt;D xsi:type="xsd:double"&gt;-2.2677839&lt;/D&gt;&lt;D xsi:type="xsd:double"&gt;1.7482519&lt;/D&gt;&lt;D xsi:type="xsd:double"&gt;3.7488341&lt;/D&gt;&lt;D xsi:type="xsd:double"&gt;5.6007266&lt;/D&gt;&lt;D xsi:type="xsd:double"&gt;2.0245194&lt;/D&gt;&lt;D xsi:type="xsd:double"&gt;-0.5179107&lt;/D&gt;&lt;D xsi:type="xsd:double"&gt;-0.54285526&lt;/D&gt;&lt;D xsi:type="xsd:double"&gt;0.60327053&lt;/D&gt;&lt;D xsi:type="xsd:double"&gt;-5.3398013&lt;/D&gt;&lt;D xsi:type="xsd:double"&gt;1.8702865&lt;/D&gt;&lt;D xsi:type="xsd:double"&gt;-5.152506&lt;/D&gt;&lt;D xsi:type="xsd:double"&gt;3.516829&lt;/D&gt;&lt;D xsi:type="xsd:double"&gt;-4.2347136&lt;/D&gt;&lt;D xsi:type="xsd:double"&gt;-7.623887&lt;/D&gt;&lt;D xsi:type="xsd:double"&gt;1.6506195&lt;/D&gt;&lt;D xsi:type="xsd:double"&gt;-12.009472&lt;/D&gt;&lt;D xsi:type="xsd:double"&gt;5.190313&lt;/D&gt;&lt;D xsi:type="xsd:double"&gt;-12.394381&lt;/D&gt;&lt;D xsi:type="xsd:double"&gt;1.4193535&lt;/D&gt;&lt;D xsi:type="xsd:double"&gt;-7.5487733&lt;/D&gt;&lt;D xsi:type="xsd:double"&gt;-9.357792&lt;/D&gt;&lt;D xsi:type="xsd:double"&gt;12.145746&lt;/D&gt;&lt;D xsi:type="xsd:double"&gt;12.409746&lt;/D&gt;&lt;D xsi:type="xsd:double"&gt;0.59581995&lt;/D&gt;&lt;D xsi:type="xsd:double"&gt;11.736525&lt;/D&gt;&lt;D xsi:type="xsd:double"&gt;-2.5008917&lt;/D&gt;&lt;D xsi:type="xsd:double"&gt;2.1619558&lt;/D&gt;&lt;D xsi:type="xsd:double"&gt;5.4878116&lt;/D&gt;&lt;D xsi:type="xsd:double"&gt;-2.8221667&lt;/D&gt;&lt;D xsi:type="xsd:double"&gt;0.912416&lt;/D&gt;&lt;D xsi:type="xsd:double"&gt;4.8094034&lt;/D&gt;&lt;D xsi:type="xsd:double"&gt;-4.520732&lt;/D&gt;&lt;D xsi:type="xsd:double"&gt;-6.7283688&lt;/D&gt;&lt;D xsi:type="xsd:double"&gt;-5.4580154&lt;/D&gt;&lt;D xsi:type="xsd:double"&gt;15.179658&lt;/D&gt;&lt;D xsi:type="xsd:double"&gt;4.071343&lt;/D&gt;&lt;D xsi:type="xsd:double"&gt;-0.7746756&lt;/D&gt;&lt;D xsi:type="xsd:double"&gt;4.005432&lt;/D&gt;&lt;D xsi:type="xsd:double"&gt;3.6227226&lt;/D&gt;&lt;D xsi:type="xsd:double"&gt;-2.4251997&lt;/D&gt;&lt;D xsi:type="xsd:double"&gt;2.453196&lt;/D&gt;&lt;D xsi:type="xsd:double"&gt;-1.149118&lt;/D&gt;&lt;D xsi:type="xsd:double"&gt;1.2736797&lt;/D&gt;&lt;D xsi:type="xsd:double"&gt;4.708159&lt;/D&gt;&lt;/FQL&gt;&lt;FQL&gt;&lt;Q&gt;EWA^FMA_DIV_YLD(NTMA,-10AY,0,AM,"PORTAGG","MEANR")&lt;/Q&gt;&lt;R&gt;121&lt;/R&gt;&lt;C&gt;1&lt;/C&gt;&lt;D xsi:type="xsd:double"&gt;4.68770238647863&lt;/D&gt;&lt;D xsi:type="xsd:double"&gt;5.0981688247921&lt;/D&gt;&lt;D xsi:type="xsd:double"&gt;4.88600427068335&lt;/D&gt;&lt;D xsi:type="xsd:double"&gt;5.05729751582958&lt;/D&gt;&lt;D xsi:type="xsd:double"&gt;4.91504283688051&lt;/D&gt;&lt;D xsi:type="xsd:double"&gt;4.86739740052956&lt;/D&gt;&lt;D xsi:type="xsd:double"&gt;4.54828740335052&lt;/D&gt;&lt;D xsi:type="xsd:double"&gt;4.5684427082027&lt;/D&gt;&lt;D xsi:type="xsd:double"&gt;4.61582990371168&lt;/D&gt;&lt;D xsi:type="xsd:double"&gt;4.72128589665948&lt;/D&gt;&lt;D xsi:type="xsd:double"&gt;5.01055290101743&lt;/D&gt;&lt;D xsi:type="xsd:double"&gt;4.86690878169015&lt;/D&gt;&lt;D xsi:type="xsd:double"&gt;5.23730062819432&lt;/D&gt;&lt;D xsi:type="xsd:double"&gt;5.62951567913421&lt;/D&gt;&lt;D xsi:type="xsd:double"&gt;5.20214337237877&lt;/D&gt;&lt;D xsi:type="xsd:double"&gt;5.25630061437879&lt;/D&gt;&lt;D xsi:type="xsd:double"&gt;5.14131651847118&lt;/D&gt;&lt;D xsi:type="xsd:double"&gt;5.16485227293288&lt;/D&gt;&lt;D xsi:type="xsd:double"&gt;5.06107515679422&lt;/D&gt;&lt;D xsi:type="xsd:double"&gt;4.92426662718745&lt;/D&gt;&lt;D xsi:type="xsd:double"&gt;4.66488079401308&lt;/D&gt;&lt;D xsi:type="xsd:double"&gt;4.5362987598256&lt;/D&gt;&lt;D xsi:type="xsd:double"&gt;4.76932210384793&lt;/D&gt;&lt;D xsi:type="xsd:double"&gt;4.4165776472972&lt;/D&gt;&lt;D xsi:type="xsd:double"&gt;4.50105917573427&lt;/D&gt;&lt;D xsi:type="xsd:double"&gt;4.51307840557085&lt;/D&gt;&lt;D xsi:type="xsd:double"&gt;4.6867506255911&lt;/D&gt;&lt;D xsi:type="xsd:double"&gt;4.5571064560588&lt;/D&gt;&lt;D xsi:type="xsd:double"&gt;4.50001006002934&lt;/D&gt;&lt;D xsi:type="xsd:double"&gt;4.5141225654101&lt;/D&gt;&lt;D xsi:type="xsd:double"&gt;4.5717486002536&lt;/D&gt;&lt;D xsi:type="xsd:double"&gt;4.49977736085898&lt;/D&gt;&lt;D xsi:type="xsd:double"&gt;4.48460239361545&lt;/D&gt;&lt;D xsi:type="xsd:double"&gt;4.6383672605413&lt;/D&gt;&lt;D xsi:type="xsd:double"&gt;4.5498853442101&lt;/D&gt;&lt;D xsi:type="xsd:double"&gt;4.60366883765647&lt;/D&gt;&lt;D xsi:type="xsd:double"&gt;4.61549880957004&lt;/D&gt;&lt;D xsi:type="xsd:double"&gt;4.61835372653978&lt;/D&gt;&lt;D xsi:type="xsd:double"&gt;4.50514582636755&lt;/D&gt;&lt;D xsi:type="xsd:double"&gt;4.45514810559717&lt;/D&gt;&lt;D xsi:type="xsd:double"&gt;4.44755058472285&lt;/D&gt;&lt;D xsi:type="xsd:double"&gt;4.48703348467658&lt;/D&gt;&lt;D xsi:type="xsd:double"&gt;4.59136730906863&lt;/D&gt;&lt;D xsi:type="xsd:double"&gt;4.85353405226345&lt;/D&gt;&lt;D xsi:type="xsd:double"&gt;4.73986710245507&lt;/D&gt;&lt;D xsi:type="xsd:double"&gt;4.69277022113591&lt;/D&gt;&lt;D xsi:type="xsd:double"&gt;4.59945664941218&lt;/D&gt;&lt;D xsi:type="xsd:double"&gt;4.54738070279837&lt;/D&gt;&lt;D xsi:type="xsd:double"&gt;4.58504663401038&lt;/D&gt;&lt;D xsi:type="xsd:double"&gt;4.74035855664265&lt;/D&gt;&lt;D xsi:type="xsd:double"&gt;5.15152103492679&lt;/D&gt;&lt;D xsi:type="xsd:double"&gt;5.22325069364482&lt;/D&gt;&lt;D xsi:type="xsd:double"&gt;5.34606614790594&lt;/D&gt;&lt;D xsi:type="xsd:double"&gt;5.11040573705895&lt;/D&gt;&lt;D xsi:type="xsd:double"&gt;4.92273926541311&lt;/D&gt;&lt;D xsi:type="xsd:double"&gt;4.95245111544423&lt;/D&gt;&lt;D xsi:type="xsd:double"&gt;4.84352318620913&lt;/D&gt;&lt;D xsi:type="xsd:double"&gt;4.80310270123501&lt;/D&gt;&lt;D xsi:type="xsd:double"&gt;4.61133917838728&lt;/D&gt;&lt;D xsi:type="xsd:double"&gt;4.51386729299918&lt;/D&gt;&lt;D xsi:type="xsd:double"&gt;4.67175098058672&lt;/D&gt;&lt;D xsi:type="xsd:double"&gt;4.42810107882624&lt;/D&gt;&lt;D xsi:type="xsd:double"&gt;4.35137124263025&lt;/D&gt;&lt;D xsi:type="xsd:double"&gt;4.27506882409303&lt;/D&gt;&lt;D xsi:type="xsd:double"&gt;4.23245181775032&lt;/D&gt;&lt;D xsi:type="xsd:double"&gt;4.15687080867073&lt;/D&gt;&lt;D xsi:type="xsd:double"&gt;4.49462337621369&lt;/D&gt;&lt;D xsi:type="xsd:double"&gt;5.57965878441175&lt;/D&gt;&lt;D xsi:type="xsd:double"&gt;4.06095275378273&lt;/D&gt;&lt;D xsi:type="xsd:double"&gt;3.59095620411203&lt;/D&gt;&lt;D xsi:type="xsd:double"&gt;3.52137318089444&lt;/D&gt;&lt;D xsi:type="xsd:double"&gt;3.37979285975377&lt;/D&gt;&lt;D xsi:type="xsd:double"&gt;3.39267829742766&lt;/D&gt;&lt;D xsi:type="xsd:double"&gt;3.6209622845045&lt;/D&gt;&lt;D xsi:type="xsd:double"&gt;3.7764229367009&lt;/D&gt;&lt;D xsi:type="xsd:double"&gt;3.4687711916758&lt;/D&gt;&lt;D xsi:type="xsd:double"&gt;3.53401320293192&lt;/D&gt;&lt;D xsi:type="xsd:double"&gt;3.68018032105607&lt;/D&gt;&lt;D xsi:type="xsd:double"&gt;3.92576677494895&lt;/D&gt;&lt;D xsi:type="xsd:double"&gt;3.96793357581076&lt;/D&gt;&lt;D xsi:type="xsd:double"&gt;3.89164405331114&lt;/D&gt;&lt;D xsi:type="xsd:double"&gt;3.87746931847295&lt;/D&gt;&lt;D xsi:type="xsd:double"&gt;4.04001616793585&lt;/D&gt;&lt;D xsi:type="xsd:double"&gt;4.09252523240032&lt;/D&gt;&lt;D xsi:type="xsd:double"&gt;4.06412570941067&lt;/D&gt;&lt;D xsi:type="xsd:double"&gt;4.16276967812155&lt;/D&gt;&lt;D xsi:type="xsd:double"&gt;3.98050528180388&lt;/D&gt;&lt;D xsi:type="xsd:double"&gt;4.08295494846254&lt;/D&gt;&lt;D xsi:type="xsd:double"&gt;3.84404378886479&lt;/D&gt;&lt;D xsi:type="xsd:double"&gt;4.16543369598566&lt;/D&gt;&lt;D xsi:type="xsd:double"&gt;4.3854093997208&lt;/D&gt;&lt;D xsi:type="xsd:double"&gt;4.16654246320338&lt;/D&gt;&lt;D xsi:type="xsd:double"&gt;4.46012951298553&lt;/D&gt;&lt;D xsi:type="xsd:double"&gt;4.65076941902515&lt;/D&gt;&lt;D xsi:type="xsd:double"&gt;5.1330138461541&lt;/D&gt;&lt;D xsi:type="xsd:double"&gt;4.83355219496024&lt;/D&gt;&lt;D xsi:type="xsd:double"&gt;4.75407273219559&lt;/D&gt;&lt;D xsi:type="xsd:double"&gt;5.18458407211703&lt;/D&gt;&lt;D xsi:type="xsd:double"&gt;5.00023425022617&lt;/D&gt;&lt;D xsi:type="xsd:double"&gt;4.49016246094984&lt;/D&gt;&lt;D xsi:type="xsd:double"&gt;4.55658177125236&lt;/D&gt;&lt;D xsi:type="xsd:double"&gt;4.2475112710783&lt;/D&gt;&lt;D xsi:type="xsd:double"&gt;4.4748128289896&lt;/D&gt;&lt;D xsi:type="xsd:double"&gt;4.62811005807434&lt;/D&gt;&lt;D xsi:type="xsd:double"&gt;4.42963180770204&lt;/D&gt;&lt;D xsi:type="xsd:double"&gt;4.52782035848453&lt;/D&gt;&lt;D xsi:type="xsd:double"&gt;4.33078295726531&lt;/D&gt;&lt;D xsi:type="xsd:double"&gt;4.08718983948249&lt;/D&gt;&lt;D xsi:type="xsd:double"&gt;4.19383988016247&lt;/D&gt;&lt;D xsi:type="xsd:double"&gt;4.29654795202818&lt;/D&gt;&lt;D xsi:type="xsd:double"&gt;4.51551829004802&lt;/D&gt;&lt;D xsi:type="xsd:double"&gt;4.33155406220749&lt;/D&gt;&lt;D xsi:type="xsd:double"&gt;3.97495871443751&lt;/D&gt;&lt;D xsi:type="xsd:double"&gt;4.01294758987301&lt;/D&gt;&lt;D xsi:type="xsd:double"&gt;3.9839710917345&lt;/D&gt;&lt;D xsi:type="xsd:double"&gt;3.89800470048343&lt;/D&gt;&lt;D xsi:type="xsd:double"&gt;4.0178724164913&lt;/D&gt;&lt;D xsi:type="xsd:double"&gt;4.01694119163359&lt;/D&gt;&lt;D xsi:type="xsd:double"&gt;3.93051594710948&lt;/D&gt;&lt;D xsi:type="xsd:double"&gt;3.81952776983732&lt;/D&gt;&lt;D xsi:type="xsd:double"&gt;3.73294936731791&lt;/D&gt;&lt;/FQL&gt;&lt;FQL&gt;&lt;Q&gt;ENZL^JULIAN(FMA_DIV_YLD(NTMA,-10AY,0,AM,"PORTAGG","MEANR").DATES)&lt;/Q&gt;&lt;R&gt;121&lt;/R&gt;&lt;C&gt;1&lt;/C&gt;&lt;D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xsi:type="xsd:long"&gt;45530&lt;/D&gt;&lt;/FQL&gt;&lt;FQL&gt;&lt;Q&gt;DDR3512M-FDS^FG_PRICE(0)/MAX(FG_PRICE(0,-1AY))&lt;/Q&gt;&lt;R&gt;1&lt;/R&gt;&lt;C&gt;1&lt;/C&gt;&lt;D xsi:type="xsd:double"&gt;0.855769230769231&lt;/D&gt;&lt;/FQL&gt;&lt;FQL&gt;&lt;Q&gt;PASP-FDS^FG_PRICE(0)/MAX(FG_PRICE(0,-1AY))&lt;/Q&gt;&lt;R&gt;1&lt;/R&gt;&lt;C&gt;1&lt;/C&gt;&lt;D xsi:type="xsd:double"&gt;0.739463601532567&lt;/D&gt;&lt;/FQL&gt;&lt;FQL&gt;&lt;Q&gt;PLATI-FDS^FG_PRICE(0)/MAX(FG_PRICE(0,-1AY))&lt;/Q&gt;&lt;R&gt;1&lt;/R&gt;&lt;C&gt;1&lt;/C&gt;&lt;D xsi:type="xsd:double"&gt;0.88400374181478&lt;/D&gt;&lt;/FQL&gt;&lt;FQL&gt;&lt;Q&gt;W-FDS^FG_PRICE(0)/MAX(FG_PRICE(0,-1AY))&lt;/Q&gt;&lt;R&gt;1&lt;/R&gt;&lt;C&gt;1&lt;/C&gt;&lt;D xsi:type="xsd:double"&gt;0.749732238486255&lt;/D&gt;&lt;/FQL&gt;&lt;FQL&gt;&lt;Q&gt;COPP-FDS^FG_PRICE(0)/MAX(FG_PRICE(0,-1AY))&lt;/Q&gt;&lt;R&gt;1&lt;/R&gt;&lt;C&gt;1&lt;/C&gt;&lt;D xsi:type="xsd:double"&gt;0.810216839226411&lt;/D&gt;&lt;/FQL&gt;&lt;FQL&gt;&lt;Q&gt;FC0000JP^FG_PRICE(0)&lt;/Q&gt;&lt;R&gt;1&lt;/R&gt;&lt;C&gt;1&lt;/C&gt;&lt;D xsi:type="xsd:double"&gt;182.80957&lt;/D&gt;&lt;/FQL&gt;&lt;FQL&gt;&lt;Q&gt;FC0000NZ^FG_PRICE(0)&lt;/Q&gt;&lt;R&gt;1&lt;/R&gt;&lt;C&gt;1&lt;/C&gt;&lt;D xsi:type="xsd:double"&gt;414.31754&lt;/D&gt;&lt;/FQL&gt;&lt;FQL&gt;&lt;Q&gt;EWQ^FG_PRICE_MAVG(0,,,,60)&lt;/Q&gt;&lt;R&gt;1&lt;/R&gt;&lt;C&gt;1&lt;/C&gt;&lt;D xsi:type="xsd:double"&gt;38.802&lt;/D&gt;&lt;/FQL&gt;&lt;FQL&gt;&lt;Q&gt;EWL^FG_PRICE_MAVG(0,,,,60)&lt;/Q&gt;&lt;R&gt;1&lt;/R&gt;&lt;C&gt;1&lt;/C&gt;&lt;D xsi:type="xsd:double"&gt;49.787334&lt;/D&gt;&lt;/FQL&gt;&lt;FQL&gt;&lt;Q&gt;EWA^FG_PRICE_MAVG(0,,,,60)&lt;/Q&gt;&lt;R&gt;1&lt;/R&gt;&lt;C&gt;1&lt;/C&gt;&lt;D xsi:type="xsd:double"&gt;24.753834&lt;/D&gt;&lt;/FQL&gt;&lt;FQL&gt;&lt;Q&gt;QQQ^FG_COMPANY_NAME&lt;/Q&gt;&lt;R&gt;1&lt;/R&gt;&lt;C&gt;1&lt;/C&gt;&lt;D xsi:type="xsd:string"&gt;Invesco QQQ Trust Series I&lt;/D&gt;&lt;/FQL&gt;&lt;FQL&gt;&lt;Q&gt;SPY^P_PRICE(0)/P_PRICE_HIGH_PR(0,,,,,,"PRICE","INTRA","52W")&lt;/Q&gt;&lt;R&gt;1&lt;/R&gt;&lt;C&gt;1&lt;/C&gt;&lt;D xsi:type="xsd:double"&gt;0.9879503&lt;/D&gt;&lt;/FQL&gt;&lt;FQL&gt;&lt;Q&gt;URTH^FG_TOTAL_RETURNC(0,-12AM)&lt;/Q&gt;&lt;R&gt;1&lt;/R&gt;&lt;C&gt;1&lt;/C&gt;&lt;D xsi:type="xsd:double"&gt;23.99701&lt;/D&gt;&lt;/FQL&gt;&lt;FQL&gt;&lt;Q&gt;VWO^PERCENT_CHANGE(FMA_EPS(+1,0,,,,"PORTAGG","MEAN"),FMA_EPS(+1,-1AM,,,,"PORTAGG","MEAN"))&lt;/Q&gt;&lt;R&gt;1&lt;/R&gt;&lt;C&gt;1&lt;/C&gt;&lt;D xsi:type="xsd:double"&gt;0.883349810252882&lt;/D&gt;&lt;/FQL&gt;&lt;FQL&gt;&lt;Q&gt;EWI^FG_TOTAL_RETURNC(0,-1AM)&lt;/Q&gt;&lt;R&gt;1&lt;/R&gt;&lt;C&gt;1&lt;/C&gt;&lt;D xsi:type="xsd:double"&gt;4.067898&lt;/D&gt;&lt;/FQL&gt;&lt;FQL&gt;&lt;Q&gt;EWN^FG_TOTAL_RETURNC(0,-6AM)&lt;/Q&gt;&lt;R&gt;1&lt;/R&gt;&lt;C&gt;1&lt;/C&gt;&lt;D xsi:type="xsd:double"&gt;6.953466&lt;/D&gt;&lt;/FQL&gt;&lt;FQL&gt;&lt;Q&gt;SPY^P_PRICE(0)/P_PRICE_LOW_PR(0,,,,,,"PRICE","INTRA","52W")-1&lt;/Q&gt;&lt;R&gt;1&lt;/R&gt;&lt;C&gt;1&lt;/C&gt;&lt;D xsi:type="xsd:double"&gt;0.36445832&lt;/D&gt;&lt;/FQL&gt;&lt;FQL&gt;&lt;Q&gt;QQQ^FMA_PCT_ABOVE_MAVG(200,0,,,,"PORTAGG")&lt;/Q&gt;&lt;R&gt;1&lt;/R&gt;&lt;C&gt;1&lt;/C&gt;&lt;D xsi:type="xsd:double"&gt;60.7843137254902&lt;/D&gt;&lt;/FQL&gt;&lt;FQL&gt;&lt;Q&gt;EWL^PERCENT_CHANGE(FMA_EPS(+1,0,,,,"PORTAGG","MEAN"),FMA_EPS(+1,-3AM,,,,"PORTAGG","MEAN"))&lt;/Q&gt;&lt;R&gt;1&lt;/R&gt;&lt;C&gt;1&lt;/C&gt;&lt;D xsi:type="xsd:double"&gt;4.04852968092084&lt;/D&gt;&lt;/FQL&gt;&lt;FQL&gt;&lt;Q&gt;EWG^FG_TOTAL_RETURNC(0,-3AM)&lt;/Q&gt;&lt;R&gt;1&lt;/R&gt;&lt;C&gt;1&lt;/C&gt;&lt;D xsi:type="xsd:double"&gt;4.8232675&lt;/D&gt;&lt;/FQL&gt;&lt;FQL&gt;&lt;Q&gt;EWA^P_PRICE(0)/P_PRICE_HIGH_PR(0,,,,,,"PRICE","INTRA","52W")&lt;/Q&gt;&lt;R&gt;1&lt;/R&gt;&lt;C&gt;1&lt;/C&gt;&lt;D xsi:type="xsd:double"&gt;0.9961759&lt;/D&gt;&lt;/FQL&gt;&lt;FQL&gt;&lt;Q&gt;FXI^SIZE(FG_CONSTITUENTS)&lt;/Q&gt;&lt;R&gt;1&lt;/R&gt;&lt;C&gt;1&lt;/C&gt;&lt;D xsi:type="xsd:long"&gt;52&lt;/D&gt;&lt;/FQL&gt;&lt;FQL&gt;&lt;Q&gt;VGK^FMA_COS_DOWN("EPS","1M",+1,0,,,"PORTAGG","MEANR")&lt;/Q&gt;&lt;R&gt;1&lt;/R&gt;&lt;C&gt;1&lt;/C&gt;&lt;D xsi:type="xsd:double"&gt;599&lt;/D&gt;&lt;/FQL&gt;&lt;FQL&gt;&lt;Q&gt;SPY^FMA_COS_UP("EPS","1M",+1,0,,,"PORTAGG","MEANR")&lt;/Q&gt;&lt;R&gt;1&lt;/R&gt;&lt;C&gt;1&lt;/C&gt;&lt;D xsi:type="xsd:double"&gt;242&lt;/D&gt;&lt;/FQL&gt;&lt;FQL&gt;&lt;Q&gt;EWC^SIZE(FG_CONSTITUENTS)&lt;/Q&gt;&lt;R&gt;1&lt;/R&gt;&lt;C&gt;1&lt;/C&gt;&lt;D xsi:type="xsd:long"&gt;88&lt;/D&gt;&lt;/FQL&gt;&lt;FQL&gt;&lt;Q&gt;EWL^FG_COMPANY_NAME&lt;/Q&gt;&lt;R&gt;1&lt;/R&gt;&lt;C&gt;1&lt;/C&gt;&lt;D xsi:type="xsd:string"&gt;iShares MSCI Switzerland ETF&lt;/D&gt;&lt;/FQL&gt;&lt;FQL&gt;&lt;Q&gt;EWC^FMA_RBICS_REV_CURRENT(30, LOC, "PORTAGG")&lt;/Q&gt;&lt;R&gt;1&lt;/R&gt;&lt;C&gt;1&lt;/C&gt;&lt;D xsi:type="xsd:double"&gt;39.9876322956145&lt;/D&gt;&lt;/FQL&gt;&lt;FQL&gt;&lt;Q&gt;TRYIT10Y-FDS^FG_YIELD_NAME&lt;/Q&gt;&lt;R&gt;1&lt;/R&gt;&lt;C&gt;1&lt;/C&gt;&lt;D xsi:type="xsd:string"&gt;Italy Benchmark Bond - 10 Year&lt;/D&gt;&lt;/FQL&gt;&lt;FQL&gt;&lt;Q&gt;EWQ^FG_COMPANY_NAME&lt;/Q&gt;&lt;R&gt;1&lt;/R&gt;&lt;C&gt;1&lt;/C&gt;&lt;D xsi:type="xsd:string"&gt;iShares MSCI France ETF&lt;/D&gt;&lt;/FQL&gt;&lt;FQL&gt;&lt;Q&gt;REFEUREFI-FDS^(SUBARRAY(NOT_NA(NO_REPEAT_F(FG_YIELD(NOW,-10AY,D))),0,1)-SUBARRAY(NOT_NA(NO_REPEAT_F(FG_YIELD(NOW,-10AY,D))),1,1))*100&lt;/Q&gt;&lt;R&gt;1&lt;/R&gt;&lt;C&gt;1&lt;/C&gt;&lt;D xsi:type="xsd:double"&gt;-25&lt;/D&gt;&lt;/FQL&gt;&lt;FQL&gt;&lt;Q&gt;REFCHMPR-FDS^FG_YIELD(NOW,,,0)&lt;/Q&gt;&lt;R&gt;1&lt;/R&gt;&lt;C&gt;1&lt;/C&gt;&lt;D xsi:type="xsd:double"&gt;1.25&lt;/D&gt;&lt;/FQL&gt;&lt;FQL&gt;&lt;Q&gt;REFNZOCR-FDS^PROPER_NAME(0,,,"SECURITY","NAME")&lt;/Q&gt;&lt;R&gt;1&lt;/R&gt;&lt;C&gt;1&lt;/C&gt;&lt;D xsi:type="xsd:string"&gt;New Zealand Official Cash Rate&lt;/D&gt;&lt;/FQL&gt;&lt;FQL&gt;&lt;Q&gt;TRYCH10Y-FDS^PCTCHG(FG_YIELD(0,,,,"YTM"),FG_YIELD(-1AM,,,,"YTM"))&lt;/Q&gt;&lt;R&gt;1&lt;/R&gt;&lt;C&gt;1&lt;/C&gt;&lt;D xsi:type="xsd:double"&gt;-9.999996&lt;/D&gt;&lt;/FQL&gt;&lt;FQL&gt;&lt;Q&gt;TRYSE10Y-FDS^FG_YIELD_NAME&lt;/Q&gt;&lt;R&gt;1&lt;/R&gt;&lt;C&gt;1&lt;/C&gt;&lt;D xsi:type="xsd:string"&gt;Sweden Benchmark Bond - 10 Year&lt;/D&gt;&lt;/FQL&gt;&lt;FQL&gt;&lt;Q&gt;TRYDE10Y-FDS^FG_YIELD_NAME&lt;/Q&gt;&lt;R&gt;1&lt;/R&gt;&lt;C&gt;1&lt;/C&gt;&lt;D xsi:type="xsd:string"&gt;Germany Benchmark Bond - 10 Year&lt;/D&gt;&lt;/FQL&gt;&lt;FQL&gt;&lt;Q&gt;CC_DE^IMF_IFS_RCPI_Q(0)&lt;/Q&gt;&lt;R&gt;1&lt;/R&gt;&lt;C&gt;1&lt;/C&gt;&lt;D xsi:type="xsd:double"&gt;2.2863681&lt;/D&gt;&lt;/FQL&gt;&lt;FQL&gt;&lt;Q&gt;VGK^FG_PE(0)&lt;/Q&gt;&lt;R&gt;1&lt;/R&gt;&lt;C&gt;1&lt;/C&gt;&lt;D xsi:type="xsd:double"&gt;14.4389987249718&lt;/D&gt;&lt;/FQL&gt;&lt;FQL&gt;&lt;Q&gt;EWN^FMA_EVAL_EBIT(LTMA,NOW,NOW,M,"PORTAGG","MEANR")&lt;/Q&gt;&lt;R&gt;1&lt;/R&gt;&lt;C&gt;1&lt;/C&gt;&lt;D xsi:type="xsd:double"&gt;21.1464232207719&lt;/D&gt;&lt;/FQL&gt;&lt;FQL&gt;&lt;Q&gt;SPY^FG_FCF_YIELD_NTM(0)&lt;/Q&gt;&lt;R&gt;1&lt;/R&gt;&lt;C&gt;1&lt;/C&gt;&lt;D xsi:type="xsd:double"&gt;4.09325339695339&lt;/D&gt;&lt;/FQL&gt;&lt;FQL&gt;&lt;Q&gt;EWU^FMA_PE(NTMA,0,,,"PORTAGG","MEANR")&lt;/Q&gt;&lt;R&gt;1&lt;/R&gt;&lt;C&gt;1&lt;/C&gt;&lt;D xsi:type="xsd:double"&gt;11.7138707440388&lt;/D&gt;&lt;/FQL&gt;&lt;FQL&gt;&lt;Q&gt;EWJ^JULIAN(FMA_DIV_YLD(NTMA,NOW,NOW,M,"PORTAGG","MEANR").DATES)&lt;/Q&gt;&lt;R&gt;1&lt;/R&gt;&lt;C&gt;1&lt;/C&gt;&lt;D xsi:type="xsd:long"&gt;45530&lt;/D&gt;&lt;/FQL&gt;&lt;FQL&gt;&lt;Q&gt;EWA^FMA_EVAL_EBITDA(NTMA,0,,,"PORTAGG","MEANR")&lt;/Q&gt;&lt;R&gt;1&lt;/R&gt;&lt;C&gt;1&lt;/C&gt;&lt;D xsi:type="xsd:double"&gt;8.97591997166847&lt;/D&gt;&lt;/FQL&gt;&lt;FQL&gt;&lt;Q&gt;EWN^FG_COMPANY_NAME&lt;/Q&gt;&lt;R&gt;1&lt;/R&gt;&lt;C&gt;1&lt;/C&gt;&lt;D xsi:type="xsd:string"&gt;iShares MSCI Netherlands ETF&lt;/D&gt;&lt;/FQL&gt;&lt;FQL&gt;&lt;Q&gt;USO^FG_TOTAL_RETURNC(0,-3AM)&lt;/Q&gt;&lt;R&gt;1&lt;/R&gt;&lt;C&gt;1&lt;/C&gt;&lt;D xsi:type="xsd:double"&gt;0.26119947&lt;/D&gt;&lt;/FQL&gt;&lt;FQL&gt;&lt;Q&gt;GLD^FG_TOTAL_RETURNC(0,-3AM)&lt;/Q&gt;&lt;R&gt;1&lt;/R&gt;&lt;C&gt;1&lt;/C&gt;&lt;D xsi:type="xsd:double"&gt;7.767391&lt;/D&gt;&lt;/FQL&gt;&lt;FQL&gt;&lt;Q&gt;EWA^FMA_ROE(NTMA,-20AY,NOW,FY,"PORTAGG","MEANR")&lt;/Q&gt;&lt;R&gt;20&lt;/R&gt;&lt;C&gt;1&lt;/C&gt;&lt;D xsi:type="xsd:double"&gt;15.4970825561621&lt;/D&gt;&lt;D xsi:type="xsd:double"&gt;16.532509518014&lt;/D&gt;&lt;D xsi:type="xsd:double"&gt;17.0193996486167&lt;/D&gt;&lt;D xsi:type="xsd:double"&gt;15.5609914058652&lt;/D&gt;&lt;D xsi:type="xsd:double"&gt;13.5690116283254&lt;/D&gt;&lt;D xsi:type="xsd:double"&gt;12.8492110125335&lt;/D&gt;&lt;D xsi:type="xsd:double"&gt;14.2386354612725&lt;/D&gt;&lt;D xsi:type="xsd:double"&gt;14.168071267681&lt;/D&gt;&lt;D xsi:type="xsd:double"&gt;12.6921652881541&lt;/D&gt;&lt;D xsi:type="xsd:double"&gt;13.1922555858139&lt;/D&gt;&lt;D xsi:type="xsd:double"&gt;12.5644042089263&lt;/D&gt;&lt;D xsi:type="xsd:double"&gt;10.7321365234713&lt;/D&gt;&lt;D xsi:type="xsd:double"&gt;11.5035211675747&lt;/D&gt;&lt;D xsi:type="xsd:double"&gt;11.9072990069878&lt;/D&gt;&lt;D xsi:type="xsd:double"&gt;12.4009311752812&lt;/D&gt;&lt;D xsi:type="xsd:double"&gt;11.7272452753145&lt;/D&gt;&lt;D xsi:type="xsd:double"&gt;11.0508592064609&lt;/D&gt;&lt;D xsi:type="xsd:double"&gt;12.8471719199911&lt;/D&gt;&lt;D xsi:type="xsd:double"&gt;14.6580605840091&lt;/D&gt;&lt;D xsi:type="xsd:double"&gt;13.2263940971232&lt;/D&gt;&lt;/FQL&gt;&lt;FQL&gt;&lt;Q&gt;TRYIN10Y-FDS^FG_YIELD(-10AY,0,Y,,"YTM")&lt;/Q&gt;&lt;R&gt;10&lt;/R&gt;&lt;C&gt;1&lt;/C&gt;&lt;D xsi:type="xsd:double"&gt;7.86&lt;/D&gt;&lt;D xsi:type="xsd:double"&gt;7.89&lt;/D&gt;&lt;D xsi:type="xsd:double"&gt;6.63&lt;/D&gt;&lt;D xsi:type="xsd:double"&gt;7.35&lt;/D&gt;&lt;D xsi:type="xsd:double"&gt;7.35&lt;/D&gt;&lt;D xsi:type="xsd:double"&gt;6.55&lt;/D&gt;&lt;D xsi:type="xsd:double"&gt;5.9&lt;/D&gt;&lt;D xsi:type="xsd:double"&gt;6.45&lt;/D&gt;&lt;D xsi:type="xsd:double"&gt;7.33&lt;/D&gt;&lt;D xsi:type="xsd:double"&gt;7.19&lt;/D&gt;&lt;/FQL&gt;&lt;FQL&gt;&lt;Q&gt;TRYFR10Y-FDS^FG_YIELD(-10AY,0,Y,,"YTM")&lt;/Q&gt;&lt;R&gt;10&lt;/R&gt;&lt;C&gt;1&lt;/C&gt;&lt;D xsi:type="xsd:double"&gt;0.837&lt;/D&gt;&lt;D xsi:type="xsd:double"&gt;0.9989&lt;/D&gt;&lt;D xsi:type="xsd:double"&gt;0.682&lt;/D&gt;&lt;D xsi:type="xsd:double"&gt;0.785&lt;/D&gt;&lt;D xsi:type="xsd:double"&gt;0.71&lt;/D&gt;&lt;D xsi:type="xsd:double"&gt;0.118&lt;/D&gt;&lt;D xsi:type="xsd:double"&gt;-0.344&lt;/D&gt;&lt;D xsi:type="xsd:double"&gt;0.201&lt;/D&gt;&lt;D xsi:type="xsd:double"&gt;3.07&lt;/D&gt;&lt;D xsi:type="xsd:double"&gt;2.534&lt;/D&gt;&lt;/FQL&gt;&lt;FQL&gt;&lt;Q&gt;DUMMY^ECON_EXPR_DATA('FDS_ECON[PMIDMMANHE]',,,M)&lt;/Q&gt;&lt;R&gt;1&lt;/R&gt;&lt;C&gt;1&lt;/C&gt;&lt;D xsi:type="xsd:double"&gt;48.78809&lt;/D&gt;&lt;/FQL&gt;&lt;FQL&gt;&lt;Q&gt;CAGDPY@CA^EE_ACTUAL_ANNUAL(MED,0)&lt;/Q&gt;&lt;R&gt;1&lt;/R&gt;&lt;C&gt;1&lt;/C&gt;&lt;D xsi:type="xsd:double"&gt;-0.725414399026327&lt;/D&gt;&lt;/FQL&gt;&lt;FQL&gt;&lt;Q&gt;USDITL^FG_PRICE(0)&lt;/Q&gt;&lt;R&gt;1&lt;/R&gt;&lt;C&gt;1&lt;/C&gt;&lt;D xsi:type="xsd:double"&gt;1749.0358&lt;/D&gt;&lt;/FQL&gt;&lt;FQL&gt;&lt;Q&gt;USDCAD^STD(FG_PRICE_CHANGE(0,-1AY,AM))&lt;/Q&gt;&lt;R&gt;1&lt;/R&gt;&lt;C&gt;1&lt;/C&gt;&lt;D xsi:type="xsd:double"&gt;1.85058298883479&lt;/D&gt;&lt;/FQL&gt;&lt;FQL&gt;&lt;Q&gt;USDNZD^FG_PRICE_CHANGE(0,-1AY)&lt;/Q&gt;&lt;R&gt;1&lt;/R&gt;&lt;C&gt;1&lt;/C&gt;&lt;D xsi:type="xsd:double"&gt;-5.123079&lt;/D&gt;&lt;/FQL&gt;&lt;FQL&gt;&lt;Q&gt;EWU^FG_TOTAL_RETURNC(-10AY,0,AM)&lt;/Q&gt;&lt;R&gt;121&lt;/R&gt;&lt;C&gt;1&lt;/C&gt;&lt;D xsi:type="xsd:double"&gt;-1.2024999&lt;/D&gt;&lt;D xsi:type="xsd:double"&gt;-4.81987&lt;/D&gt;&lt;D xsi:type="xsd:double"&gt;-4.194373&lt;/D&gt;&lt;D xsi:type="xsd:double"&gt;1.6017199&lt;/D&gt;&lt;D xsi:type="xsd:double"&gt;-2.2059321&lt;/D&gt;&lt;D xsi:type="xsd:double"&gt;0.6575346&lt;/D&gt;&lt;D xsi:type="xsd:double"&gt;3.9738655&lt;/D&gt;&lt;D xsi:type="xsd:double"&gt;-3.979057&lt;/D&gt;&lt;D xsi:type="xsd:double"&gt;5.888772&lt;/D&gt;&lt;D xsi:type="xsd:double"&gt;-0.46343803&lt;/D&gt;&lt;D xsi:type="xsd:double"&gt;-3.3397198&lt;/D&gt;&lt;D xsi:type="xsd:double"&gt;0.16348362&lt;/D&gt;&lt;D xsi:type="xsd:double"&gt;-6.692052&lt;/D&gt;&lt;D xsi:type="xsd:double"&gt;-6.5889177&lt;/D&gt;&lt;D xsi:type="xsd:double"&gt;9.300876&lt;/D&gt;&lt;D xsi:type="xsd:double"&gt;-1.8846393&lt;/D&gt;&lt;D xsi:type="xsd:double"&gt;-2.5746584&lt;/D&gt;&lt;D xsi:type="xsd:double"&gt;-6.3985405&lt;/D&gt;&lt;D xsi:type="xsd:double"&gt;-3.125&lt;/D&gt;&lt;D xsi:type="xsd:double"&gt;5.376351&lt;/D&gt;&lt;D xsi:type="xsd:double"&gt;4.0178537&lt;/D&gt;&lt;D xsi:type="xsd:double"&gt;0.6131172&lt;/D&gt;&lt;D xsi:type="xsd:double"&gt;-6.52405&lt;/D&gt;&lt;D xsi:type="xsd:double"&gt;4.2084217&lt;/D&gt;&lt;D xsi:type="xsd:double"&gt;1.6025662&lt;/D&gt;&lt;D xsi:type="xsd:double"&gt;-0.69401264&lt;/D&gt;&lt;D xsi:type="xsd:double"&gt;-4.6378613&lt;/D&gt;&lt;D xsi:type="xsd:double"&gt;0.09993315&lt;/D&gt;&lt;D xsi:type="xsd:double"&gt;2.8692603&lt;/D&gt;&lt;D xsi:type="xsd:double"&gt;3.5749435&lt;/D&gt;&lt;D xsi:type="xsd:double"&gt;1.0449648&lt;/D&gt;&lt;D xsi:type="xsd:double"&gt;1.9743085&lt;/D&gt;&lt;D xsi:type="xsd:double"&gt;1.720953&lt;/D&gt;&lt;D xsi:type="xsd:double"&gt;4.16919&lt;/D&gt;&lt;D xsi:type="xsd:double"&gt;-1.2263536&lt;/D&gt;&lt;D xsi:type="xsd:double"&gt;1.9513607&lt;/D&gt;&lt;D xsi:type="xsd:double"&gt;-1.207304&lt;/D&gt;&lt;D xsi:type="xsd:double"&gt;3.8748145&lt;/D&gt;&lt;D xsi:type="xsd:double"&gt;-0.48779845&lt;/D&gt;&lt;D xsi:type="xsd:double"&gt;1.0092258&lt;/D&gt;&lt;D xsi:type="xsd:double"&gt;4.1873455&lt;/D&gt;&lt;D xsi:type="xsd:double"&gt;4.634285&lt;/D&gt;&lt;D xsi:type="xsd:double"&gt;-7.4973345&lt;/D&gt;&lt;D xsi:type="xsd:double"&gt;0.23075342&lt;/D&gt;&lt;D xsi:type="xsd:double"&gt;4.5755386&lt;/D&gt;&lt;D xsi:type="xsd:double"&gt;-2.0363271&lt;/D&gt;&lt;D xsi:type="xsd:double"&gt;0.020432472&lt;/D&gt;&lt;D xsi:type="xsd:double"&gt;0&lt;/D&gt;&lt;D xsi:type="xsd:double"&gt;-1.3513446&lt;/D&gt;&lt;D xsi:type="xsd:double"&gt;-0.5537808&lt;/D&gt;&lt;D xsi:type="xsd:double"&gt;-8.4994135&lt;/D&gt;&lt;D xsi:type="xsd:double"&gt;1.4734149&lt;/D&gt;&lt;D xsi:type="xsd:double"&gt;-5.2327213&lt;/D&gt;&lt;D xsi:type="xsd:double"&gt;5.1395535&lt;/D&gt;&lt;D xsi:type="xsd:double"&gt;5.4386497&lt;/D&gt;&lt;D xsi:type="xsd:double"&gt;1.3509274&lt;/D&gt;&lt;D xsi:type="xsd:double"&gt;1.7570496&lt;/D&gt;&lt;D xsi:type="xsd:double"&gt;-5.2694263&lt;/D&gt;&lt;D xsi:type="xsd:double"&gt;4.177916&lt;/D&gt;&lt;D xsi:type="xsd:double"&gt;-0.5569339&lt;/D&gt;&lt;D xsi:type="xsd:double"&gt;-6.1294317&lt;/D&gt;&lt;D xsi:type="xsd:double"&gt;4.043746&lt;/D&gt;&lt;D xsi:type="xsd:double"&gt;3.504312&lt;/D&gt;&lt;D xsi:type="xsd:double"&gt;1.3542533&lt;/D&gt;&lt;D xsi:type="xsd:double"&gt;4.995203&lt;/D&gt;&lt;D xsi:type="xsd:double"&gt;-2.4131835&lt;/D&gt;&lt;D xsi:type="xsd:double"&gt;-11.640531&lt;/D&gt;&lt;D xsi:type="xsd:double"&gt;-20.307165&lt;/D&gt;&lt;D xsi:type="xsd:double"&gt;11.349034&lt;/D&gt;&lt;D xsi:type="xsd:double"&gt;-1.0384619&lt;/D&gt;&lt;D xsi:type="xsd:double"&gt;1.6341805&lt;/D&gt;&lt;D xsi:type="xsd:double"&gt;4.2313695&lt;/D&gt;&lt;D xsi:type="xsd:double"&gt;0.26071072&lt;/D&gt;&lt;D xsi:type="xsd:double"&gt;-5.1262975&lt;/D&gt;&lt;D xsi:type="xsd:double"&gt;-4.463589&lt;/D&gt;&lt;D xsi:type="xsd:double"&gt;18.606556&lt;/D&gt;&lt;D xsi:type="xsd:double"&gt;3.7320614&lt;/D&gt;&lt;D xsi:type="xsd:double"&gt;-1.5498698&lt;/D&gt;&lt;D xsi:type="xsd:double"&gt;3.9356709&lt;/D&gt;&lt;D xsi:type="xsd:double"&gt;3.6878467&lt;/D&gt;&lt;D xsi:type="xsd:double"&gt;4.3505907&lt;/D&gt;&lt;D xsi:type="xsd:double"&gt;2.8301954&lt;/D&gt;&lt;D xsi:type="xsd:double"&gt;-1.2896895&lt;/D&gt;&lt;D xsi:type="xsd:double"&gt;0.8231759&lt;/D&gt;&lt;D xsi:type="xsd:double"&gt;0.39310455&lt;/D&gt;&lt;D xsi:type="xsd:double"&gt;-3.0120492&lt;/D&gt;&lt;D xsi:type="xsd:double"&gt;4.596269&lt;/D&gt;&lt;D xsi:type="xsd:double"&gt;-4.0083113&lt;/D&gt;&lt;D xsi:type="xsd:double"&gt;5.804026&lt;/D&gt;&lt;D xsi:type="xsd:double"&gt;1.3517618&lt;/D&gt;&lt;D xsi:type="xsd:double"&gt;-0.7409632&lt;/D&gt;&lt;D xsi:type="xsd:double"&gt;0.95551014&lt;/D&gt;&lt;D xsi:type="xsd:double"&gt;-4.4661403&lt;/D&gt;&lt;D xsi:type="xsd:double"&gt;2.8173327&lt;/D&gt;&lt;D xsi:type="xsd:double"&gt;-7.424635&lt;/D&gt;&lt;D xsi:type="xsd:double"&gt;2.3848891&lt;/D&gt;&lt;D xsi:type="xsd:double"&gt;-3.8175344&lt;/D&gt;&lt;D xsi:type="xsd:double"&gt;-11.940795&lt;/D&gt;&lt;D xsi:type="xsd:double"&gt;8.212376&lt;/D&gt;&lt;D xsi:type="xsd:double"&gt;9.354043&lt;/D&gt;&lt;D xsi:type="xsd:double"&gt;0.93933344&lt;/D&gt;&lt;D xsi:type="xsd:double"&gt;5.7448983&lt;/D&gt;&lt;D xsi:type="xsd:double"&gt;-0.92082024&lt;/D&gt;&lt;D xsi:type="xsd:double"&gt;-1.2391567&lt;/D&gt;&lt;D xsi:type="xsd:double"&gt;6.4303637&lt;/D&gt;&lt;D xsi:type="xsd:double"&gt;-4.391396&lt;/D&gt;&lt;D xsi:type="xsd:double"&gt;0.2456069&lt;/D&gt;&lt;D xsi:type="xsd:double"&gt;4.3260217&lt;/D&gt;&lt;D xsi:type="xsd:double"&gt;-3.3653796&lt;/D&gt;&lt;D xsi:type="xsd:double"&gt;-1.616919&lt;/D&gt;&lt;D xsi:type="xsd:double"&gt;-4.5195937&lt;/D&gt;&lt;D xsi:type="xsd:double"&gt;7.1499467&lt;/D&gt;&lt;D xsi:type="xsd:double"&gt;4.451227&lt;/D&gt;&lt;D xsi:type="xsd:double"&gt;-1.0589957&lt;/D&gt;&lt;D xsi:type="xsd:double"&gt;0.15289783&lt;/D&gt;&lt;D xsi:type="xsd:double"&gt;4.45801&lt;/D&gt;&lt;D xsi:type="xsd:double"&gt;2.2508025&lt;/D&gt;&lt;D xsi:type="xsd:double"&gt;1.886797&lt;/D&gt;&lt;D xsi:type="xsd:double"&gt;-0.21585226&lt;/D&gt;&lt;D xsi:type="xsd:double"&gt;2.8956413&lt;/D&gt;&lt;D xsi:type="xsd:double"&gt;4.6809673&lt;/D&gt;&lt;/FQL&gt;&lt;FQL&gt;&lt;Q&gt;EWN^FMA_PE(LTMA,-10AY,0,AM,"PORTAGG","MEANR")&lt;/Q&gt;&lt;R&gt;121&lt;/R&gt;&lt;C&gt;1&lt;/C&gt;&lt;D xsi:type="xsd:double"&gt;16.62471730208&lt;/D&gt;&lt;D xsi:type="xsd:double"&gt;16.7183689405299&lt;/D&gt;&lt;D xsi:type="xsd:double"&gt;16.1632106755906&lt;/D&gt;&lt;D xsi:type="xsd:double"&gt;18.0265464065326&lt;/D&gt;&lt;D xsi:type="xsd:double"&gt;17.6890531447334&lt;/D&gt;&lt;D xsi:type="xsd:double"&gt;18.8459227112881&lt;/D&gt;&lt;D xsi:type="xsd:double"&gt;20.1223054586507&lt;/D&gt;&lt;D xsi:type="xsd:double"&gt;19.9157582397055&lt;/D&gt;&lt;D xsi:type="xsd:double"&gt;19.6536020849263&lt;/D&gt;&lt;D xsi:type="xsd:double"&gt;19.4797383694817&lt;/D&gt;&lt;D xsi:type="xsd:double"&gt;18.9306031491397&lt;/D&gt;&lt;D xsi:type="xsd:double"&gt;18.929865556804&lt;/D&gt;&lt;D xsi:type="xsd:double"&gt;17.5854878735079&lt;/D&gt;&lt;D xsi:type="xsd:double"&gt;16.4143702455479&lt;/D&gt;&lt;D xsi:type="xsd:double"&gt;17.6134397712556&lt;/D&gt;&lt;D xsi:type="xsd:double"&gt;18.2517716650076&lt;/D&gt;&lt;D xsi:type="xsd:double"&gt;17.3790308680377&lt;/D&gt;&lt;D xsi:type="xsd:double"&gt;16.4301880520867&lt;/D&gt;&lt;D xsi:type="xsd:double"&gt;16.3733958088173&lt;/D&gt;&lt;D xsi:type="xsd:double"&gt;16.4036116671642&lt;/D&gt;&lt;D xsi:type="xsd:double"&gt;16.2415206382368&lt;/D&gt;&lt;D xsi:type="xsd:double"&gt;16.3849644431134&lt;/D&gt;&lt;D xsi:type="xsd:double"&gt;15.6723003569631&lt;/D&gt;&lt;D xsi:type="xsd:double"&gt;16.12276435022&lt;/D&gt;&lt;D xsi:type="xsd:double"&gt;16.1100439821245&lt;/D&gt;&lt;D xsi:type="xsd:double"&gt;16.0744217663476&lt;/D&gt;&lt;D xsi:type="xsd:double"&gt;15.87174931831&lt;/D&gt;&lt;D xsi:type="xsd:double"&gt;15.5465407193769&lt;/D&gt;&lt;D xsi:type="xsd:double"&gt;16.2729196656778&lt;/D&gt;&lt;D xsi:type="xsd:double"&gt;16.3436329511664&lt;/D&gt;&lt;D xsi:type="xsd:double"&gt;16.402686545474&lt;/D&gt;&lt;D xsi:type="xsd:double"&gt;16.4847955182583&lt;/D&gt;&lt;D xsi:type="xsd:double"&gt;16.6536301956244&lt;/D&gt;&lt;D xsi:type="xsd:double"&gt;16.7272567607889&lt;/D&gt;&lt;D xsi:type="xsd:double"&gt;16.4779655145867&lt;/D&gt;&lt;D xsi:type="xsd:double"&gt;16.7096139408053&lt;/D&gt;&lt;D xsi:type="xsd:double"&gt;16.4179791547975&lt;/D&gt;&lt;D xsi:type="xsd:double"&gt;17.0140564913605&lt;/D&gt;&lt;D xsi:type="xsd:double"&gt;17.2696013624524&lt;/D&gt;&lt;D xsi:type="xsd:double"&gt;17.1976708727225&lt;/D&gt;&lt;D xsi:type="xsd:double"&gt;17.2377470781453&lt;/D&gt;&lt;D xsi:type="xsd:double"&gt;17.4781977775343&lt;/D&gt;&lt;D xsi:type="xsd:double"&gt;16.6659184482538&lt;/D&gt;&lt;D xsi:type="xsd:double"&gt;16.5599958886049&lt;/D&gt;&lt;D xsi:type="xsd:double"&gt;16.5902275298072&lt;/D&gt;&lt;D xsi:type="xsd:double"&gt;16.6204932085618&lt;/D&gt;&lt;D xsi:type="xsd:double"&gt;16.5176347654857&lt;/D&gt;&lt;D xsi:type="xsd:double"&gt;16.8681212405149&lt;/D&gt;&lt;D xsi:type="xsd:double"&gt;16.7053651028128&lt;/D&gt;&lt;D xsi:type="xsd:double"&gt;16.2922426656578&lt;/D&gt;&lt;D xsi:type="xsd:double"&gt;15.2568626056202&lt;/D&gt;&lt;D xsi:type="xsd:double"&gt;15.4390651412967&lt;/D&gt;&lt;D xsi:type="xsd:double"&gt;14.1347259949666&lt;/D&gt;&lt;D xsi:type="xsd:double"&gt;15.1125893414536&lt;/D&gt;&lt;D xsi:type="xsd:double"&gt;16.1413693740359&lt;/D&gt;&lt;D xsi:type="xsd:double"&gt;16.1500361048123&lt;/D&gt;&lt;D xsi:type="xsd:double"&gt;16.3294515065147&lt;/D&gt;&lt;D xsi:type="xsd:double"&gt;16.0663212807003&lt;/D&gt;&lt;D xsi:type="xsd:double"&gt;16.3913612047219&lt;/D&gt;&lt;D xsi:type="xsd:double"&gt;16.7508368568779&lt;/D&gt;&lt;D xsi:type="xsd:double"&gt;16.5260795278757&lt;/D&gt;&lt;D xsi:type="xsd:double"&gt;17.043682883514&lt;/D&gt;&lt;D xsi:type="xsd:double"&gt;17.3927126409359&lt;/D&gt;&lt;D xsi:type="xsd:double"&gt;18.0746968245673&lt;/D&gt;&lt;D xsi:type="xsd:double"&gt;18.7883981766724&lt;/D&gt;&lt;D xsi:type="xsd:double"&gt;18.6730724934315&lt;/D&gt;&lt;D xsi:type="xsd:double"&gt;17.3367558592985&lt;/D&gt;&lt;D xsi:type="xsd:double"&gt;16.7781881219891&lt;/D&gt;&lt;D xsi:type="xsd:double"&gt;17.9279656049178&lt;/D&gt;&lt;D xsi:type="xsd:double"&gt;18.5429953355386&lt;/D&gt;&lt;D xsi:type="xsd:double"&gt;19.4640975869858&lt;/D&gt;&lt;D xsi:type="xsd:double"&gt;20.3528619813278&lt;/D&gt;&lt;D xsi:type="xsd:double"&gt;21.27776599445&lt;/D&gt;&lt;D xsi:type="xsd:double"&gt;21.7863795432275&lt;/D&gt;&lt;D xsi:type="xsd:double"&gt;21.6496242181322&lt;/D&gt;&lt;D xsi:type="xsd:double"&gt;25.2124997430295&lt;/D&gt;&lt;D xsi:type="xsd:double"&gt;27.4089996125301&lt;/D&gt;&lt;D xsi:type="xsd:double"&gt;27.2024334193557&lt;/D&gt;&lt;D xsi:type="xsd:double"&gt;28.9833052381028&lt;/D&gt;&lt;D xsi:type="xsd:double"&gt;28.560470415873&lt;/D&gt;&lt;D xsi:type="xsd:double"&gt;27.9768135819614&lt;/D&gt;&lt;D xsi:type="xsd:double"&gt;27.1189921730992&lt;/D&gt;&lt;D xsi:type="xsd:double"&gt;26.7017255102151&lt;/D&gt;&lt;D xsi:type="xsd:double"&gt;26.3375454958282&lt;/D&gt;&lt;D xsi:type="xsd:double"&gt;26.0662196061201&lt;/D&gt;&lt;D xsi:type="xsd:double"&gt;24.4678075502536&lt;/D&gt;&lt;D xsi:type="xsd:double"&gt;24.664451162832&lt;/D&gt;&lt;D xsi:type="xsd:double"&gt;23.0179459870244&lt;/D&gt;&lt;D xsi:type="xsd:double"&gt;22.7615484583716&lt;/D&gt;&lt;D xsi:type="xsd:double"&gt;20.1757932498599&lt;/D&gt;&lt;D xsi:type="xsd:double"&gt;18.3316789033893&lt;/D&gt;&lt;D xsi:type="xsd:double"&gt;18.6655424909696&lt;/D&gt;&lt;D xsi:type="xsd:double"&gt;18.3036541239359&lt;/D&gt;&lt;D xsi:type="xsd:double"&gt;18.5096848993216&lt;/D&gt;&lt;D xsi:type="xsd:double"&gt;18.1613835959553&lt;/D&gt;&lt;D xsi:type="xsd:double"&gt;19.6804755326635&lt;/D&gt;&lt;D xsi:type="xsd:double"&gt;18.8318989013236&lt;/D&gt;&lt;D xsi:type="xsd:double"&gt;17.0352837519397&lt;/D&gt;&lt;D xsi:type="xsd:double"&gt;18.1086900775098&lt;/D&gt;&lt;D xsi:type="xsd:double"&gt;18.5719314648252&lt;/D&gt;&lt;D xsi:type="xsd:double"&gt;17.9438971306329&lt;/D&gt;&lt;D xsi:type="xsd:double"&gt;19.5801267691275&lt;/D&gt;&lt;D xsi:type="xsd:double"&gt;20.6531685379495&lt;/D&gt;&lt;D xsi:type="xsd:double"&gt;20.2958733584304&lt;/D&gt;&lt;D xsi:type="xsd:double"&gt;19.8621341051432&lt;/D&gt;&lt;D xsi:type="xsd:double"&gt;19.6212473800492&lt;/D&gt;&lt;D xsi:type="xsd:double"&gt;19.1783396979186&lt;/D&gt;&lt;D xsi:type="xsd:double"&gt;19.3078073594379&lt;/D&gt;&lt;D xsi:type="xsd:double"&gt;17.8706819485103&lt;/D&gt;&lt;D xsi:type="xsd:double"&gt;16.7427696765938&lt;/D&gt;&lt;D xsi:type="xsd:double"&gt;15.7191842540295&lt;/D&gt;&lt;D xsi:type="xsd:double"&gt;16.4242784375969&lt;/D&gt;&lt;D xsi:type="xsd:double"&gt;16.6271224975658&lt;/D&gt;&lt;D xsi:type="xsd:double"&gt;17.5010415739315&lt;/D&gt;&lt;D xsi:type="xsd:double"&gt;18.5631688419883&lt;/D&gt;&lt;D xsi:type="xsd:double"&gt;18.459171561347&lt;/D&gt;&lt;D xsi:type="xsd:double"&gt;18.1950723850085&lt;/D&gt;&lt;D xsi:type="xsd:double"&gt;18.2404227822917&lt;/D&gt;&lt;D xsi:type="xsd:double"&gt;18.2690040060715&lt;/D&gt;&lt;D xsi:type="xsd:double"&gt;17.769016294676&lt;/D&gt;&lt;D xsi:type="xsd:double"&gt;17.6057</t>
        </r>
      </text>
    </comment>
    <comment ref="A4" authorId="0" shapeId="0" xr:uid="{B34294F0-9E17-42A1-8288-045810DB68D8}">
      <text>
        <r>
          <rPr>
            <b/>
            <sz val="9"/>
            <color indexed="81"/>
            <rFont val="Tahoma"/>
            <charset val="1"/>
          </rPr>
          <t>221577219&lt;/D&gt;&lt;/FQL&gt;&lt;FQL&gt;&lt;Q&gt;CPALM-FDS^FG_PRICE_CHANGE(0,-1AM)&lt;/Q&gt;&lt;R&gt;1&lt;/R&gt;&lt;C&gt;1&lt;/C&gt;&lt;D xsi:type="xsd:double"&gt;0.646605322059179&lt;/D&gt;&lt;/FQL&gt;&lt;FQL&gt;&lt;Q&gt;EWN^FG_PRICE_MAVG(0,,,,200)&lt;/Q&gt;&lt;R&gt;1&lt;/R&gt;&lt;C&gt;1&lt;/C&gt;&lt;D xsi:type="xsd:double"&gt;47.783436&lt;/D&gt;&lt;/FQL&gt;&lt;FQL&gt;&lt;Q&gt;EWA^FG_PRICE_MAVG(0,,,,30)&lt;/Q&gt;&lt;R&gt;1&lt;/R&gt;&lt;C&gt;1&lt;/C&gt;&lt;D xsi:type="xsd:double"&gt;24.788666&lt;/D&gt;&lt;/FQL&gt;&lt;FQL&gt;&lt;Q&gt;EWI^FG_TOTAL_RETURNC(0,-3AM)&lt;/Q&gt;&lt;R&gt;1&lt;/R&gt;&lt;C&gt;1&lt;/C&gt;&lt;D xsi:type="xsd:double"&gt;3.8475513&lt;/D&gt;&lt;/FQL&gt;&lt;FQL&gt;&lt;Q&gt;EWN^FG_TOTAL_RETURNC(0,-1AM)&lt;/Q&gt;&lt;R&gt;1&lt;/R&gt;&lt;C&gt;1&lt;/C&gt;&lt;D xsi:type="xsd:double"&gt;4.859817&lt;/D&gt;&lt;/FQL&gt;&lt;FQL&gt;&lt;Q&gt;SPY^FG_TOTAL_RETURNC(0,-1AM)&lt;/Q&gt;&lt;R&gt;1&lt;/R&gt;&lt;C&gt;1&lt;/C&gt;&lt;D xsi:type="xsd:double"&gt;2.494669&lt;/D&gt;&lt;/FQL&gt;&lt;FQL&gt;&lt;Q&gt;EWU^PERCENT_CHANGE(FMA_EPS(+1,0,,,,"PORTAGG","MEAN"),FMA_EPS(+1,-3AM,,,,"PORTAGG","MEAN"))&lt;/Q&gt;&lt;R&gt;1&lt;/R&gt;&lt;C&gt;1&lt;/C&gt;&lt;D xsi:type="xsd:double"&gt;0.76479183292984&lt;/D&gt;&lt;/FQL&gt;&lt;FQL&gt;&lt;Q&gt;EWC^FG_TOTAL_RETURNC(0,-1AM)&lt;/Q&gt;&lt;R&gt;1&lt;/R&gt;&lt;C&gt;1&lt;/C&gt;&lt;D xsi:type="xsd:double"&gt;5.259025&lt;/D&gt;&lt;/FQL&gt;&lt;FQL&gt;&lt;Q&gt;VWO^FMA_COS_DOWN("EPS","1M",+1,0,,,"PORTAGG","MEANR")&lt;/Q&gt;&lt;R&gt;1&lt;/R&gt;&lt;C&gt;1&lt;/C&gt;&lt;D xsi:type="xsd:double"&gt;1195&lt;/D&gt;&lt;/FQL&gt;&lt;FQL&gt;&lt;Q&gt;TRYUS10Y-FDS^PCTCHG(FG_YIELD(0,,,,"YTM"),FG_YIELD(-1AM,,,,"YTM"))&lt;/Q&gt;&lt;R&gt;1&lt;/R&gt;&lt;C&gt;1&lt;/C&gt;&lt;D xsi:type="xsd:double"&gt;-7.270769&lt;/D&gt;&lt;/FQL&gt;&lt;FQL&gt;&lt;Q&gt;TRYDE10Y-FDS^FG_YIELD(0,,,,"YTM")&lt;/Q&gt;&lt;R&gt;1&lt;/R&gt;&lt;C&gt;1&lt;/C&gt;&lt;D xsi:type="xsd:double"&gt;2.262&lt;/D&gt;&lt;/FQL&gt;&lt;FQL&gt;&lt;Q&gt;CC_CA^IMF_IFS_RCPI_Q(0)&lt;/Q&gt;&lt;R&gt;1&lt;/R&gt;&lt;C&gt;1&lt;/C&gt;&lt;D xsi:type="xsd:double"&gt;2.7411842&lt;/D&gt;&lt;/FQL&gt;&lt;FQL&gt;&lt;Q&gt;EWN^FMA_PE(NTMA,0,,,"PORTAGG","MEANR")&lt;/Q&gt;&lt;R&gt;1&lt;/R&gt;&lt;C&gt;1&lt;/C&gt;&lt;D xsi:type="xsd:double"&gt;15.1350552673232&lt;/D&gt;&lt;/FQL&gt;&lt;FQL&gt;&lt;Q&gt;EWL^FMA_PE(LTM,0,,,"PORTAGG","MEANR")&lt;/Q&gt;&lt;R&gt;1&lt;/R&gt;&lt;C&gt;1&lt;/C&gt;&lt;D xsi:type="xsd:double"&gt;22.247598665288&lt;/D&gt;&lt;/FQL&gt;&lt;FQL&gt;&lt;Q&gt;ENZL^FMA_PE(LTM,0,,,"PORTAGG","MEANR")&lt;/Q&gt;&lt;R&gt;1&lt;/R&gt;&lt;C&gt;1&lt;/C&gt;&lt;D xsi:type="xsd:double"&gt;49.0318079397&lt;/D&gt;&lt;/FQL&gt;&lt;FQL&gt;&lt;Q&gt;EWU^FG_COMPANY_NAME&lt;/Q&gt;&lt;R&gt;1&lt;/R&gt;&lt;C&gt;1&lt;/C&gt;&lt;D xsi:type="xsd:string"&gt;iShares MSCI United Kingdom ETF&lt;/D&gt;&lt;/FQL&gt;&lt;FQL&gt;&lt;Q&gt;SPY^FG_TOTAL_RETURNC(0,-6AM)&lt;/Q&gt;&lt;R&gt;1&lt;/R&gt;&lt;C&gt;1&lt;/C&gt;&lt;D xsi:type="xsd:double"&gt;10.594023&lt;/D&gt;&lt;/FQL&gt;&lt;FQL&gt;&lt;Q&gt;QQQ^FMA_ROE(NTMA,-20AY,NOW,FY,"PORTAGG","MEANR")&lt;/Q&gt;&lt;R&gt;20&lt;/R&gt;&lt;C&gt;1&lt;/C&gt;&lt;D xsi:type="xsd:double"&gt;14.817843581598&lt;/D&gt;&lt;D xsi:type="xsd:double"&gt;15.4866947775921&lt;/D&gt;&lt;D xsi:type="xsd:double"&gt;16.8339704998129&lt;/D&gt;&lt;D xsi:type="xsd:double"&gt;17.9560593685279&lt;/D&gt;&lt;D xsi:type="xsd:double"&gt;16.5654843697708&lt;/D&gt;&lt;D xsi:type="xsd:double"&gt;17.5965741262714&lt;/D&gt;&lt;D xsi:type="xsd:double"&gt;20.0003742371644&lt;/D&gt;&lt;D xsi:type="xsd:double"&gt;20.9591568938239&lt;/D&gt;&lt;D xsi:type="xsd:double"&gt;20.7921963775154&lt;/D&gt;&lt;D xsi:type="xsd:double"&gt;20.047298915306&lt;/D&gt;&lt;D xsi:type="xsd:double"&gt;22.0568276514703&lt;/D&gt;&lt;D xsi:type="xsd:double"&gt;21.8504635786249&lt;/D&gt;&lt;D xsi:type="xsd:double"&gt;21.1146076459691&lt;/D&gt;&lt;D xsi:type="xsd:double"&gt;22.0784263508941&lt;/D&gt;&lt;D xsi:type="xsd:double"&gt;26.4902293367872&lt;/D&gt;&lt;D xsi:type="xsd:double"&gt;25.011729179906&lt;/D&gt;&lt;D xsi:type="xsd:double"&gt;24.5344428387709&lt;/D&gt;&lt;D xsi:type="xsd:double"&gt;26.6372021629589&lt;/D&gt;&lt;D xsi:type="xsd:double"&gt;24.0483215527383&lt;/D&gt;&lt;D xsi:type="xsd:double"&gt;25.3040632089053&lt;/D&gt;&lt;/FQL&gt;&lt;FQL&gt;&lt;Q&gt;TIPSCL10Y-FDS^FG_YIELD(-10AY,0,Y,,"YTM")&lt;/Q&gt;&lt;R&gt;10&lt;/R&gt;&lt;C&gt;1&lt;/C&gt;&lt;D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xsi:type="xsd:string"&gt;@NA&lt;/D&gt;&lt;/FQL&gt;&lt;FQL&gt;&lt;Q&gt;CAGDPY@SE^EE_ACTUAL_ANNUAL(MED,0)&lt;/Q&gt;&lt;R&gt;1&lt;/R&gt;&lt;C&gt;1&lt;/C&gt;&lt;D xsi:type="xsd:double"&gt;6.46811686290247&lt;/D&gt;&lt;/FQL&gt;&lt;FQL&gt;&lt;Q&gt;USDCHF^STD(FG_PRICE_CHANGE(0,-1AY,AM))&lt;/Q&gt;&lt;R&gt;1&lt;/R&gt;&lt;C&gt;1&lt;/C&gt;&lt;D xsi:type="xsd:double"&gt;2.61541946465195&lt;/D&gt;&lt;/FQL&gt;&lt;FQL&gt;&lt;Q&gt;USDCHF^FG_COMPANY_NAME&lt;/Q&gt;&lt;R&gt;1&lt;/R&gt;&lt;C&gt;1&lt;/C&gt;&lt;D xsi:type="xsd:string"&gt;Swiss Franc per U.S. Dollar&lt;/D&gt;&lt;/FQL&gt;&lt;FQL&gt;&lt;Q&gt;EWN^P_PRICE_RETURNS_PR('52W',2,-10AY,0,AM)&lt;/Q&gt;&lt;R&gt;121&lt;/R&gt;&lt;C&gt;1&lt;/C&gt;&lt;D xsi:type="xsd:double"&gt;10.342562&lt;/D&gt;&lt;D xsi:type="xsd:double"&gt;2.9472828&lt;/D&gt;&lt;D xsi:type="xsd:double"&gt;-5.3401175&lt;/D&gt;&lt;D xsi:type="xsd:double"&gt;0.87025166&lt;/D&gt;&lt;D xsi:type="xsd:double"&gt;-3.6938727&lt;/D&gt;&lt;D xsi:type="xsd:double"&gt;0.28851032&lt;/D&gt;&lt;D xsi:type="xsd:double"&gt;2.1462917&lt;/D&gt;&lt;D xsi:type="xsd:double"&gt;1.548028&lt;/D&gt;&lt;D xsi:type="xsd:double"&gt;4.7909617&lt;/D&gt;&lt;D xsi:type="xsd:double"&gt;4.910648&lt;/D&gt;&lt;D xsi:type="xsd:double"&gt;2.9629827&lt;/D&gt;&lt;D xsi:type="xsd:double"&gt;9.365511&lt;/D&gt;&lt;D xsi:type="xsd:double"&gt;0.8637309&lt;/D&gt;&lt;D xsi:type="xsd:double"&gt;-3.0638933&lt;/D&gt;&lt;D xsi:type="xsd:double"&gt;9.239697&lt;/D&gt;&lt;D xsi:type="xsd:double"&gt;2.0985603&lt;/D&gt;&lt;D xsi:type="xsd:double"&gt;2.4721265&lt;/D&gt;&lt;D xsi:type="xsd:double"&gt;-2.136159&lt;/D&gt;&lt;D xsi:type="xsd:double"&gt;-9.537477&lt;/D&gt;&lt;D xsi:type="xsd:double"&gt;-1.43857&lt;/D&gt;&lt;D xsi:type="xsd:double"&gt;-3.7667215&lt;/D&gt;&lt;D xsi:type="xsd:double"&gt;-4.996628&lt;/D&gt;&lt;D xsi:type="xsd:double"&gt;-10.332346&lt;/D&gt;&lt;D xsi:type="xsd:double"&gt;-6.758732&lt;/D&gt;&lt;D xsi:type="xsd:double"&gt;3.4897208&lt;/D&gt;&lt;D xsi:type="xsd:double"&gt;9.161019&lt;/D&gt;&lt;D xsi:type="xsd:double"&gt;-0.31152368&lt;/D&gt;&lt;D xsi:type="xsd:double"&gt;-3.2224298&lt;/D&gt;&lt;D xsi:type="xsd:double"&gt;1.2370586&lt;/D&gt;&lt;D xsi:type="xsd:double"&gt;12.233818&lt;/D&gt;&lt;D xsi:type="xsd:double"&gt;15.0491&lt;/D&gt;&lt;D xsi:type="xsd:double"&gt;12.21553&lt;/D&gt;&lt;D xsi:type="xsd:double"&gt;16.296112&lt;/D&gt;&lt;D xsi:type="xsd:double"&gt;21.035803&lt;/D&gt;&lt;D xsi:type="xsd:double"&gt;30.57555&lt;/D&gt;&lt;D xsi:type="xsd:double"&gt;31.62216&lt;/D&gt;&lt;D xsi:type="xsd:double"&gt;26.114809&lt;/D&gt;&lt;D xsi:type="xsd:double"&gt;30.671036&lt;/D&gt;&lt;D xsi:type="xsd:double"&gt;32.30537&lt;/D&gt;&lt;D xsi:type="xsd:double"&gt;36.388397&lt;/D&gt;&lt;D xsi:type="xsd:double"&gt;34.362614&lt;/D&gt;&lt;D xsi:type="xsd:double"&gt;38.20238&lt;/D&gt;&lt;D xsi:type="xsd:double"&gt;27.238571&lt;/D&gt;&lt;D xsi:type="xsd:double"&gt;20.895588&lt;/D&gt;&lt;D xsi:type="xsd:double"&gt;17.284466&lt;/D&gt;&lt;D xsi:type="xsd:double"&gt;7.3622108&lt;/D&gt;&lt;D xsi:type="xsd:double"&gt;8.1945305&lt;/D&gt;&lt;D xsi:type="xsd:double"&gt;6.0448766&lt;/D&gt;&lt;D xsi:type="xsd:double"&gt;5.956888&lt;/D&gt;&lt;D xsi:type="xsd:double"&gt;-0.693202&lt;/D&gt;&lt;D xsi:type="xsd:double"&gt;-11.280298&lt;/D&gt;&lt;D xsi:type="xsd:double"&gt;-7.113266&lt;/D&gt;&lt;D xsi:type="xsd:double"&gt;-15.912258&lt;/D&gt;&lt;D xsi:type="xsd:double"&gt;-14.797658&lt;/D&gt;&lt;D xsi:type="xsd:double"&gt;-4.850352&lt;/D&gt;&lt;D xsi:type="xsd:double"&gt;-4.528016&lt;/D&gt;&lt;D xsi:type="xsd:double"&gt;-1.3260186&lt;/D&gt;&lt;D xsi:type="xsd:double"&gt;-2.3047864&lt;/D&gt;&lt;D xsi:type="xsd:double"&gt;5.1014066&lt;/D&gt;&lt;D xsi:type="xsd:double"&gt;2.2729993&lt;/D&gt;&lt;D xsi:type="xsd:double"&gt;-0.98784566&lt;/D&gt;&lt;D xsi:type="xsd:double"&gt;4.979062&lt;/D&gt;&lt;D xsi:type="xsd:double"&gt;20.672644&lt;/D&gt;&lt;D xsi:type="xsd:double"&gt;17.68278&lt;/D&gt;&lt;D xsi:type="xsd:double"&gt;33.30121&lt;/D&gt;&lt;D xsi:type="xsd:double"&gt;21.478092&lt;/D&gt;&lt;D xsi:type="xsd:double"&gt;5.658746&lt;/D&gt;&lt;D xsi:type="xsd:double"&gt;-11.211991&lt;/D&gt;&lt;D xsi:type="xsd:double"&gt;-4.9206676&lt;/D&gt;&lt;D xsi:type="xsd:double"&gt;6.32571&lt;/D&gt;&lt;D xsi:type="xsd:double"&gt;6.7131042&lt;/D&gt;&lt;D xsi:type="xsd:double"&gt;12.198448&lt;/D&gt;&lt;D xsi:type="xsd:double"&gt;20.497763&lt;/D&gt;&lt;D xsi:type="xsd:double"&gt;13.35243&lt;/D&gt;&lt;D xsi:type="xsd:double"&gt;8.398199&lt;/D&gt;&lt;D xsi:type="xsd:double"&gt;21.550167&lt;/D&gt;&lt;D xsi:type="xsd:double"&gt;24.230076&lt;/D&gt;&lt;D xsi:type="xsd:double"&gt;28.461218&lt;/D&gt;&lt;D xsi:type="xsd:double"&gt;40.022552&lt;/D&gt;&lt;D xsi:type="xsd:double"&gt;81.03538&lt;/D&gt;&lt;D xsi:type="xsd:double"&gt;71.139786&lt;/D&gt;&lt;D xsi:type="xsd:double"&gt;64.34241&lt;/D&gt;&lt;D xsi:type="xsd:double"&gt;51.456024&lt;/D&gt;&lt;D xsi:type="xsd:double"&gt;44.83793&lt;/D&gt;&lt;D xsi:type="xsd:double"&gt;48.463486&lt;/D&gt;&lt;D xsi:type="xsd:double"&gt;43.835293&lt;/D&gt;&lt;D xsi:type="xsd:double"&gt;53.17757&lt;/D&gt;&lt;D xsi:type="xsd:double"&gt;27.445126&lt;/D&gt;&lt;D xsi:type="xsd:double"&gt;21.613216&lt;/D&gt;&lt;D xsi:type="xsd:double"&gt;5.7031393&lt;/D&gt;&lt;D xsi:type="xsd:double"&gt;-1.6943455&lt;/D&gt;&lt;D xsi:type="xsd:double"&gt;-2.9394627&lt;/D&gt;&lt;D xsi:type="xsd:double"&gt;-20.70958&lt;/D&gt;&lt;D xsi:type="xsd:double"&gt;-19.322432&lt;/D&gt;&lt;D xsi:type="xsd:double"&gt;-26.825827&lt;/D&gt;&lt;D xsi:type="xsd:double"&gt;-22.940372&lt;/D&gt;&lt;D xsi:type="xsd:double"&gt;-32.41558&lt;/D&gt;&lt;D xsi:type="xsd:double"&gt;-37.458427&lt;/D&gt;&lt;D xsi:type="xsd:double"&gt;-35.795403&lt;/D&gt;&lt;D xsi:type="xsd:double"&gt;-22.348267&lt;/D&gt;&lt;D xsi:type="xsd:double"&gt;-23.11918&lt;/D&gt;&lt;D xsi:type="xsd:double"&gt;-3.1506538&lt;/D&gt;&lt;D xsi:type="xsd:double"&gt;-2.893263&lt;/D&gt;&lt;D xsi:type="xsd:double"&gt;-4.406911&lt;/D&gt;&lt;D xsi:type="xsd:double"&gt;10.6161&lt;/D&gt;&lt;D xsi:type="xsd:double"&gt;13.938797&lt;/D&gt;&lt;D xsi:type="xsd:double"&gt;23.886383&lt;/D&gt;&lt;D xsi:type="xsd:double"&gt;21.832705&lt;/D&gt;&lt;D xsi:type="xsd:double"&gt;21.47442&lt;/D&gt;&lt;D xsi:type="xsd:double"&gt;26.503313&lt;/D&gt;&lt;D xsi:type="xsd:double"&gt;13.8125305&lt;/D&gt;&lt;D xsi:type="xsd:double"&gt;13.55145&lt;/D&gt;&lt;D xsi:type="xsd:double"&gt;20.292355&lt;/D&gt;&lt;D xsi:type="xsd:double"&gt;10.669637&lt;/D&gt;&lt;D xsi:type="xsd:double"&gt;19.213438&lt;/D&gt;&lt;D xsi:type="xsd:double"&gt;24.658382&lt;/D&gt;&lt;D xsi:type="xsd:double"&gt;17.387272&lt;/D&gt;&lt;D xsi:type="xsd:double"&gt;20.644402&lt;/D&gt;&lt;D xsi:type="xsd:double"&gt;19.467545&lt;/D&gt;&lt;D xsi:type="xsd:double"&gt;8.999264&lt;/D&gt;&lt;D xsi:type="xsd:double"&gt;23.398458&lt;/D&gt;&lt;/FQL&gt;&lt;FQL&gt;&lt;Q&gt;ENZL^FMA_DIV_YLD(NTMA,-10AY,0,AM,"PORTAGG","MEANR")&lt;/Q&gt;&lt;R&gt;121&lt;/R&gt;&lt;C&gt;1&lt;/C&gt;&lt;D xsi:type="xsd:double"&gt;4.53899776998386&lt;/D&gt;&lt;D xsi:type="xsd:double"&gt;4.57125683700049&lt;/D&gt;&lt;D xsi:type="xsd:double"&gt;4.52908642954425&lt;/D&gt;&lt;D xsi:type="xsd:double"&gt;4.54861858802081&lt;/D&gt;&lt;D xsi:type="xsd:double"&gt;4.42996206239352&lt;/D&gt;&lt;D xsi:type="xsd:double"&gt;4.29900986117998&lt;/D&gt;&lt;D xsi:type="xsd:double"&gt;4.26227285815805&lt;/D&gt;&lt;D xsi:type="xsd:double"&gt;4.39963047108167&lt;/D&gt;&lt;D xsi:type="xsd:double"&gt;4.52804558272602&lt;/D&gt;&lt;D xsi:type="xsd:double"&gt;4.40904628672229&lt;/D&gt;&lt;D xsi:type="xsd:double"&gt;4.69100703587149&lt;/D&gt;&lt;D xsi:type="xsd:double"&gt;4.58872490952011&lt;/D&gt;&lt;D xsi:type="xsd:double"&gt;5.01368140299907&lt;/D&gt;&lt;D xsi:type="xsd:double"&gt;5.24312229762307&lt;/D&gt;&lt;D xsi:type="xsd:double"&gt;4.90480328230218&lt;/D&gt;&lt;D xsi:type="xsd:double"&gt;4.81372173146439&lt;/D&gt;&lt;D xsi:type="xsd:double"&gt;4.76014230130616&lt;/D&gt;&lt;D xsi:type="xsd:double"&gt;4.87497697761261&lt;/D&gt;&lt;D xsi:type="xsd:double"&gt;4.86408658009916&lt;/D&gt;&lt;D xsi:type="xsd:double"&gt;4.58893460539354&lt;/D&gt;&lt;D xsi:type="xsd:double"&gt;4.58125161388613&lt;/D&gt;&lt;D xsi:type="xsd:double"&gt;4.44755318030269&lt;/D&gt;&lt;D xsi:type="xsd:double"&gt;4.47713686578656&lt;/D&gt;&lt;D xsi:type="xsd:double"&gt;4.12344472784573&lt;/D&gt;&lt;D xsi:type="xsd:double"&gt;4.22758392646862&lt;/D&gt;&lt;D xsi:type="xsd:double"&gt;4.33274762917669&lt;/D&gt;&lt;D xsi:type="xsd:double"&gt;4.57688628452683&lt;/D&gt;&lt;D xsi:type="xsd:double"&gt;4.5979610467228&lt;/D&gt;&lt;D xsi:type="xsd:double"&gt;4.61831649644341&lt;/D&gt;&lt;D xsi:type="xsd:double"&gt;4.47939616113487&lt;/D&gt;&lt;D xsi:type="xsd:double"&gt;4.65708432864585&lt;/D&gt;&lt;D xsi:type="xsd:double"&gt;4.62028475919394&lt;/D&gt;&lt;D xsi:type="xsd:double"&gt;4.45831054108891&lt;/D&gt;&lt;D xsi:type="xsd:double"&gt;4.44322159044133&lt;/D&gt;&lt;D xsi:type="xsd:double"&gt;4.33403935890692&lt;/D&gt;&lt;D xsi:type="xsd:double"&gt;4.43363397692153&lt;/D&gt;&lt;D xsi:type="xsd:double"&gt;4.35614811169676&lt;/D&gt;&lt;D xsi:type="xsd:double"&gt;4.41229401725204&lt;/D&gt;&lt;D xsi:type="xsd:double"&gt;4.36629584804597&lt;/D&gt;&lt;D xsi:type="xsd:double"&gt;4.36982848765889&lt;/D&gt;&lt;D xsi:type="xsd:double"&gt;4.20128758471335&lt;/D&gt;&lt;D xsi:type="xsd:double"&gt;4.2429875819929&lt;/D&gt;&lt;D xsi:type="xsd:double"&gt;4.17407572230652&lt;/D&gt;&lt;D xsi:type="xsd:double"&gt;4.3162273701021&lt;/D&gt;&lt;D xsi:type="xsd:double"&gt;4.31122027068862&lt;/D&gt;&lt;D xsi:type="xsd:double"&gt;4.22004251836243&lt;/D&gt;&lt;D xsi:type="xsd:double"&gt;4.05433947621799&lt;/D&gt;&lt;D xsi:type="xsd:double"&gt;4.05913697025415&lt;/D&gt;&lt;D xsi:type="xsd:double"&gt;3.86798578139725&lt;/D&gt;&lt;D xsi:type="xsd:double"&gt;3.97900716158369&lt;/D&gt;&lt;D xsi:type="xsd:double"&gt;4.36201009887598&lt;/D&gt;&lt;D xsi:type="xsd:double"&gt;4.25630026120151&lt;/D&gt;&lt;D xsi:type="xsd:double"&gt;4.18458476178962&lt;/D&gt;&lt;D xsi:type="xsd:double"&gt;4.0876894064958&lt;/D&gt;&lt;D xsi:type="xsd:double"&gt;3.96160583866143&lt;/D&gt;&lt;D xsi:type="xsd:double"&gt;3.76110018677953&lt;/D&gt;&lt;D xsi:type="xsd:double"&gt;3.68326479179612&lt;/D&gt;&lt;D xsi:type="xsd:double"&gt;3.73400856190404&lt;/D&gt;&lt;D xsi:type="xsd:double"&gt;3.56275271946662&lt;/D&gt;&lt;D xsi:type="xsd:double"&gt;3.40635778387703&lt;/D&gt;&lt;D xsi:type="xsd:double"&gt;3.43300478864385&lt;/D&gt;&lt;D xsi:type="xsd:double"&gt;3.37937427518384&lt;/D&gt;&lt;D xsi:type="xsd:double"&gt;3.37807013112157&lt;/D&gt;&lt;D xsi:type="xsd:double"&gt;3.22070206143111&lt;/D&gt;&lt;D xsi:type="xsd:double"&gt;3.14079418403057&lt;/D&gt;&lt;D xsi:type="xsd:double"&gt;3.11265770668215&lt;/D&gt;&lt;D xsi:type="xsd:double"&gt;3.16993345843363&lt;/D&gt;&lt;D xsi:type="xsd:double"&gt;3.44708922141302&lt;/D&gt;&lt;D xsi:type="xsd:double"&gt;2.65086475547861&lt;/D&gt;&lt;D xsi:type="xsd:double"&gt;2.49348548155558&lt;/D&gt;&lt;D xsi:type="xsd:double"&gt;2.52320232687724&lt;/D&gt;&lt;D xsi:type="xsd:double"&gt;2.41358604225787&lt;/D&gt;&lt;D xsi:type="xsd:double"&gt;2.29349605311253&lt;/D&gt;&lt;D xsi:type="xsd:double"&gt;2.47043673618507&lt;/D&gt;&lt;D xsi:type="xsd:double"&gt;2.40828346652555&lt;/D&gt;&lt;D xsi:type="xsd:double"&gt;2.44193551866225&lt;/D&gt;&lt;D xsi:type="xsd:double"&gt;2.36659323084655&lt;/D&gt;&lt;D xsi:type="xsd:double"&gt;2.46449164328886&lt;/D&gt;&lt;D xsi:type="xsd:double"&gt;2.63905375014513&lt;/D&gt;&lt;D xsi:type="xsd:double"&gt;2.62128357911712&lt;/D&gt;&lt;D xsi:type="xsd:double"&gt;2.56366919968066&lt;/D&gt;&lt;D xsi:type="xsd:double"&gt;2.74304334825687&lt;/D&gt;&lt;D xsi:type="xsd:double"&gt;2.65801598602007&lt;/D&gt;&lt;D xsi:type="xsd:double"&gt;2.62506614900432&lt;/D&gt;&lt;D xsi:type="xsd:double"&gt;2.58455471437226&lt;/D&gt;&lt;D xsi:type="xsd:double"&gt;2.65517574663648&lt;/D&gt;&lt;D xsi:type="xsd:double"&gt;2.66070089637992&lt;/D&gt;&lt;D xsi:type="xsd:double"&gt;2.78658041449777&lt;/D&gt;&lt;D xsi:type="xsd:double"&gt;2.77320985713675&lt;/D&gt;&lt;D xsi:type="xsd:double"&gt;3.07022326131236&lt;/D&gt;&lt;D xsi:type="xsd:double"&gt;3.05800894408413&lt;/D&gt;&lt;D xsi:type="xsd:double"&gt;3.10751453622366&lt;/D&gt;&lt;D xsi:type="xsd:double"&gt;3.05983317463859&lt;/D&gt;&lt;D xsi:type="xsd:double"&gt;3.27688214158403&lt;/D&gt;&lt;D xsi:type="xsd:double"&gt;3.35119047574955&lt;/D&gt;&lt;D xsi:type="xsd:double"&gt;3.2689264032382&lt;/D&gt;&lt;D xsi:type="xsd:double"&gt;3.20338652901515&lt;/D&gt;&lt;D xsi:type="xsd:double"&gt;3.38269422267673&lt;/D&gt;&lt;D xsi:type="xsd:double"&gt;3.428446345525&lt;/D&gt;&lt;D xsi:type="xsd:double"&gt;3.42511633656691&lt;/D&gt;&lt;D xsi:type="xsd:double"&gt;3.44883017965367&lt;/D&gt;&lt;D xsi:type="xsd:double"&gt;3.3143519884008&lt;/D&gt;&lt;D xsi:type="xsd:double"&gt;3.37058087818336&lt;/D&gt;&lt;D xsi:type="xsd:double"&gt;3.44299412612485&lt;/D&gt;&lt;D xsi:type="xsd:double"&gt;3.38217498951632&lt;/D&gt;&lt;D xsi:type="xsd:double"&gt;3.50870281491997&lt;/D&gt;&lt;D xsi:type="xsd:double"&gt;3.4406297577113&lt;/D&gt;&lt;D xsi:type="xsd:double"&gt;3.42082712899268&lt;/D&gt;&lt;D xsi:type="xsd:double"&gt;3.48529408402382&lt;/D&gt;&lt;D xsi:type="xsd:double"&gt;3.42427644033148&lt;/D&gt;&lt;D xsi:type="xsd:double"&gt;3.6013076656932&lt;/D&gt;&lt;D xsi:type="xsd:double"&gt;3.29014253204063&lt;/D&gt;&lt;D xsi:type="xsd:double"&gt;2.96827759625584&lt;/D&gt;&lt;D xsi:type="xsd:double"&gt;2.97043701318118&lt;/D&gt;&lt;D xsi:type="xsd:double"&gt;2.89706492726687&lt;/D&gt;&lt;D xsi:type="xsd:double"&gt;2.74179906309109&lt;/D&gt;&lt;D xsi:type="xsd:double"&gt;2.75023679781181&lt;/D&gt;&lt;D xsi:type="xsd:double"&gt;2.7593830697208&lt;/D&gt;&lt;D xsi:type="xsd:double"&gt;2.762752008838&lt;/D&gt;&lt;D xsi:type="xsd:double"&gt;2.67421207278863&lt;/D&gt;&lt;D xsi:type="xsd:double"&gt;2.49322019808928&lt;/D&gt;&lt;/FQL&gt;&lt;FQL&gt;&lt;Q&gt;NI-FDS^FG_PRICE_CHANGE(0,-6AM)&lt;/Q&gt;&lt;R&gt;1&lt;/R&gt;&lt;C&gt;1&lt;/C&gt;&lt;D xsi:type="xsd:double"&gt;-4.01491253226269&lt;/D&gt;&lt;/FQL&gt;&lt;FQL&gt;&lt;Q&gt;COPP-FDS^MAX(FG_PRICE(0,-5AY))&lt;/Q&gt;&lt;R&gt;1&lt;/R&gt;&lt;C&gt;1&lt;/C&gt;&lt;D xsi:type="xsd:double"&gt;5.119&lt;/D&gt;&lt;/FQL&gt;&lt;FQL&gt;&lt;Q&gt;EWU^FG_PRICE(0)&lt;/Q&gt;&lt;R&gt;1&lt;/R&gt;&lt;C&gt;1&lt;/C&gt;&lt;D xsi:type="xsd:double"&gt;37.57&lt;/D&gt;&lt;/FQL&gt;&lt;FQL&gt;&lt;Q&gt;FXI^FG_TOTAL_RETURNC(0,-6AM)&lt;/Q&gt;&lt;R&gt;1&lt;/R&gt;&lt;C&gt;1&lt;/C&gt;&lt;D xsi:type="xsd:double"&gt;12.785446&lt;/D&gt;&lt;/FQL&gt;&lt;FQL&gt;&lt;Q&gt;VWO^FG_TOTAL_RETURNC(0,-3AM)&lt;/Q&gt;&lt;R&gt;1&lt;/R&gt;&lt;C&gt;1&lt;/C&gt;&lt;D xsi:type="xsd:double"&gt;2.8553128&lt;/D&gt;&lt;/FQL&gt;&lt;FQL&gt;&lt;Q&gt;EWJ^PERCENT_CHANGE(FMA_EPS(+1,0,,,,"PORTAGG","MEAN"),FMA_EPS(+1,-3AM,,,,"PORTAGG","MEAN"))&lt;/Q&gt;&lt;R&gt;1&lt;/R&gt;&lt;C&gt;1&lt;/C&gt;&lt;D xsi:type="xsd:double"&gt;10.7080874988487&lt;/D&gt;&lt;/FQL&gt;&lt;FQL&gt;&lt;Q&gt;ENZL^FG_TOTAL_RETURNC(0,-1AM)&lt;/Q&gt;&lt;R&gt;1&lt;/R&gt;&lt;C&gt;1&lt;/C&gt;&lt;D xsi:type="xsd:double"&gt;8.211267&lt;/D&gt;&lt;/FQL&gt;&lt;FQL&gt;&lt;Q&gt;SPY^FMA_COS_DOWN("EPS","1M",+1,0,,,"PORTAGG","MEANR")&lt;/Q&gt;&lt;R&gt;1&lt;/R&gt;&lt;C&gt;1&lt;/C&gt;&lt;D xsi:type="xsd:double"&gt;157&lt;/D&gt;&lt;/FQL&gt;&lt;FQL&gt;&lt;Q&gt;EWC^FMA_COS_DOWN("EPS","1M",+1,0,,,"PORTAGG","MEANR")&lt;/Q&gt;&lt;R&gt;1&lt;/R&gt;&lt;C&gt;1&lt;/C&gt;&lt;D xsi:type="xsd:double"&gt;37&lt;/D&gt;&lt;/FQL&gt;&lt;FQL&gt;&lt;Q&gt;EWD^FG_ROE(0)&lt;/Q&gt;&lt;R&gt;1&lt;/R&gt;&lt;C&gt;1&lt;/C&gt;&lt;D xsi:type="xsd:double"&gt;17.0060137626372&lt;/D&gt;&lt;/FQL&gt;&lt;FQL&gt;&lt;Q&gt;TRYQA10Y-FDS^FG_YIELD(-10AY,0,Y,,"YTM")&lt;/Q&gt;&lt;R&gt;10&lt;/R&gt;&lt;C&gt;1&lt;/C&gt;&lt;D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xsi:type="xsd:string"&gt;@NA&lt;/D&gt;&lt;/FQL&gt;&lt;FQL&gt;&lt;Q&gt;USDITL^FG_COMPANY_NAME&lt;/Q&gt;&lt;R&gt;1&lt;/R&gt;&lt;C&gt;1&lt;/C&gt;&lt;D xsi:type="xsd:string"&gt;Italian Lira per U.S. Dollar&lt;/D&gt;&lt;/FQL&gt;&lt;FQL&gt;&lt;Q&gt;USDCAD^FG_PRICE_CHANGE(0,-6AM)&lt;/Q&gt;&lt;R&gt;1&lt;/R&gt;&lt;C&gt;1&lt;/C&gt;&lt;D xsi:type="xsd:double"&gt;-0.6487906&lt;/D&gt;&lt;/FQL&gt;&lt;FQL&gt;&lt;Q&gt;USDNZD^FG_PRICE(0)&lt;/Q&gt;&lt;R&gt;1&lt;/R&gt;&lt;C&gt;1&lt;/C&gt;&lt;D xsi:type="xsd:double"&gt;1.5984654&lt;/D&gt;&lt;/FQL&gt;&lt;FQL&gt;&lt;Q&gt;EWL^FG_TOTAL_RETURNC(-10AY,0,AM)&lt;/Q&gt;&lt;R&gt;121&lt;/R&gt;&lt;C&gt;1&lt;/C&gt;&lt;D xsi:type="xsd:double"&gt;0.41803122&lt;/D&gt;&lt;D xsi:type="xsd:double"&gt;-3.419572&lt;/D&gt;&lt;D xsi:type="xsd:double"&gt;-1.6317725&lt;/D&gt;&lt;D xsi:type="xsd:double"&gt;3.881061&lt;/D&gt;&lt;D xsi:type="xsd:double"&gt;-3.1636&lt;/D&gt;&lt;D xsi:type="xsd:double"&gt;-0.28002262&lt;/D&gt;&lt;D xsi:type="xsd:double"&gt;3.9625645&lt;/D&gt;&lt;D xsi:type="xsd:double"&gt;1.0204077&lt;/D&gt;&lt;D xsi:type="xsd:double"&gt;2.7926326&lt;/D&gt;&lt;D xsi:type="xsd:double"&gt;2.3121476&lt;/D&gt;&lt;D xsi:type="xsd:double"&gt;-4.061508&lt;/D&gt;&lt;D xsi:type="xsd:double"&gt;2.2007942&lt;/D&gt;&lt;D xsi:type="xsd:double"&gt;-5.9882045&lt;/D&gt;&lt;D xsi:type="xsd:double"&gt;-6.0872316&lt;/D&gt;&lt;D xsi:type="xsd:double"&gt;6.5820217&lt;/D&gt;&lt;D xsi:type="xsd:double"&gt;-3.3542335&lt;/D&gt;&lt;D xsi:type="xsd:double"&gt;2.886796&lt;/D&gt;&lt;D xsi:type="xsd:double"&gt;-8.070618&lt;/D&gt;&lt;D xsi:type="xsd:double"&gt;-2.8463662&lt;/D&gt;&lt;D xsi:type="xsd:double"&gt;4.588771&lt;/D&gt;&lt;D xsi:type="xsd:double"&gt;3.3074617&lt;/D&gt;&lt;D xsi:type="xsd:double"&gt;0.7513881&lt;/D&gt;&lt;D xsi:type="xsd:double"&gt;-3.1966746&lt;/D&gt;&lt;D xsi:type="xsd:double"&gt;3.8858294&lt;/D&gt;&lt;D xsi:type="xsd:double"&gt;0.29791594&lt;/D&gt;&lt;D xsi:type="xsd:double"&gt;0.52804947&lt;/D&gt;&lt;D xsi:type="xsd:double"&gt;-4.5633609999999996&lt;/D&gt;&lt;D xsi:type="xsd:double"&gt;-2.2359788&lt;/D&gt;&lt;D xsi:type="xsd:double"&gt;3.1959414&lt;/D&gt;&lt;D xsi:type="xsd:double"&gt;4.7765255&lt;/D&gt;&lt;D xsi:type="xsd:double"&gt;1.0745764&lt;/D&gt;&lt;D xsi:type="xsd:double"&gt;3.543806&lt;/D&gt;&lt;D xsi:type="xsd:double"&gt;3.4225345&lt;/D&gt;&lt;D xsi:type="xsd:double"&gt;4.93381&lt;/D&gt;&lt;D xsi:type="xsd:double"&gt;0.5275488&lt;/D&gt;&lt;D xsi:type="xsd:double"&gt;0.11650324&lt;/D&gt;&lt;D xsi:type="xsd:double"&gt;-0.5528033&lt;/D&gt;&lt;D xsi:type="xsd:double"&gt;2.486825&lt;/D&gt;&lt;D xsi:type="xsd:double"&gt;-2.3122966&lt;/D&gt;&lt;D xsi:type="xsd:double"&gt;2.0455837&lt;/D&gt;&lt;D xsi:type="xsd:double"&gt;1.8900394&lt;/D&gt;&lt;D xsi:type="xsd:double"&gt;4.9465895&lt;/D&gt;&lt;D xsi:type="xsd:double"&gt;-6.480992&lt;/D&gt;&lt;D xsi:type="xsd:double"&gt;-1.5750289&lt;/D&gt;&lt;D xsi:type="xsd:double"&gt;-0.4655242&lt;/D&gt;&lt;D xsi:type="xsd:double"&gt;-2.1631062&lt;/D&gt;&lt;D xsi:type="xsd:double"&gt;-0.21814108&lt;/D&gt;&lt;D xsi:type="xsd:double"&gt;5.9545636&lt;/D&gt;&lt;D xsi:type="xsd:double"&gt;1.7960548&lt;/D&gt;&lt;D xsi:type="xsd:double"&gt;-1.2805939&lt;/D&gt;&lt;D xsi:type="xsd:double"&gt;-7.033724&lt;/D&gt;&lt;D xsi:type="xsd:double"&gt;3.038764&lt;/D&gt;&lt;D xsi:type="xsd:double"&gt;-5.5973473&lt;/D&gt;&lt;D xsi:type="xsd:double"&gt;5.6423306&lt;/D&gt;&lt;D xsi:type="xsd:double"&gt;4.3150306&lt;/D&gt;&lt;D xsi:type="xsd:double"&gt;2.3141384&lt;/D&gt;&lt;D xsi:type="xsd:double"&gt;2.0921707&lt;/D&gt;&lt;D xsi:type="xsd:double"&gt;-0.58155656&lt;/D&gt;&lt;D xsi:type="xsd:double"&gt;6.7739487&lt;/D&gt;&lt;D xsi:type="xsd:double"&gt;-0.15974641&lt;/D&gt;&lt;D xsi:type="xsd:double"&gt;-0.9600043&lt;/D&gt;&lt;D xsi:type="xsd:double"&gt;1.5347362&lt;/D&gt;&lt;D xsi:type="xsd:double"&gt;1.511538&lt;/D&gt;&lt;D xsi:type="xsd:double"&gt;1.6196489&lt;/D&gt;&lt;D xsi:type="xsd:double"&gt;4.755783&lt;/D&gt;&lt;D xsi:type="xsd:double"&gt;1.1533737&lt;/D&gt;&lt;D xsi:type="xsd:double"&gt;-8.102864&lt;/D&gt;&lt;D xsi:type="xsd:double"&gt;-8.157337&lt;/D&gt;&lt;D xsi:type="xsd:double"&gt;7.5596333&lt;/D&gt;&lt;D xsi:type="xsd:double"&gt;2.378416&lt;/D&gt;&lt;D xsi:type="xsd:double"&gt;3.111565&lt;/D&gt;&lt;D xsi:type="xsd:double"&gt;7.5636744&lt;/D&gt;&lt;D xsi:type="xsd:double"&gt;0.14350414&lt;/D&gt;&lt;D xsi:type="xsd:double"&gt;-1.5524209&lt;/D&gt;&lt;D xsi:type="xsd:double"&gt;-5.2401724&lt;/D&gt;&lt;D xsi:type="xsd:double"&gt;10.266256&lt;/D&gt;&lt;D xsi:type="xsd:double"&gt;4.303372&lt;/D&gt;&lt;D xsi:type="xsd:double"&gt;-1.9376457&lt;/D&gt;&lt;D xsi:type="xsd:double"&gt;-1.8169403&lt;/D&gt;&lt;D xsi:type="xsd:double"&gt;3.307891&lt;/D&gt;&lt;D xsi:type="xsd:double"&gt;4.81416&lt;/D&gt;&lt;D xsi:type="xsd:double"&gt;4.1016817&lt;/D&gt;&lt;D xsi:type="xsd:double"&gt;2.76407&lt;/D&gt;&lt;D xsi:type="xsd:double"&gt;1.7490387&lt;/D&gt;&lt;D xsi:type="xsd:double"&gt;2.2586465&lt;/D&gt;&lt;D xsi:type="xsd:double"&gt;-8.5613785&lt;/D&gt;&lt;D xsi:type="xsd:double"&gt;6.51989&lt;/D&gt;&lt;D xsi:type="xsd:double"&gt;-0.6221175&lt;/D&gt;&lt;D xsi:type="xsd:double"&gt;7.0678473&lt;/D&gt;&lt;D xsi:type="xsd:double"&gt;-8.185589&lt;/D&gt;&lt;D xsi:type="xsd:double"&gt;-1.520133&lt;/D&gt;&lt;D xsi:type="xsd:double"&gt;3.7964106&lt;/D&gt;&lt;D xsi:type="xsd:double"&gt;-6.7524076&lt;/D&gt;&lt;D xsi:type="xsd:double"&gt;-1.357758&lt;/D&gt;&lt;D xsi:type="xsd:double"&gt;-7.5684967&lt;/D&gt;&lt;D xsi:type="xsd:double"&gt;4.896295&lt;/D&gt;&lt;D xsi:type="xsd:double"&gt;-4.98966&lt;/D&gt;&lt;D xsi:type="xsd:double"&gt;-8.978701&lt;/D&gt;&lt;D xsi:type="xsd:double"&gt;4.626429&lt;/D&gt;&lt;D xsi:type="xsd:double"&gt;7.4205875&lt;/D&gt;&lt;D xsi:type="xsd:double"&gt;0.6860733&lt;/D&gt;&lt;D xsi:type="xsd:double"&gt;5.7095885&lt;/D&gt;&lt;D xsi:type="xsd:double"&gt;-3.600806&lt;/D&gt;&lt;D xsi:type="xsd:double"&gt;2.674663&lt;/D&gt;&lt;D xsi:type="xsd:double"&gt;7.994616&lt;/D&gt;&lt;D xsi:type="xsd:double"&gt;-1.5595734&lt;/D&gt;&lt;D xsi:type="xsd:double"&gt;-1.5779078&lt;/D&gt;&lt;D xsi:type="xsd:double"&gt;4.937458&lt;/D&gt;&lt;D xsi:type="xsd:double"&gt;-2.7185261&lt;/D&gt;&lt;D xsi:type="xsd:double"&gt;-6.341362&lt;/D&gt;&lt;D xsi:type="xsd:double"&gt;-4.4985056&lt;/D&gt;&lt;D xsi:type="xsd:double"&gt;8.723867&lt;/D&gt;&lt;D xsi:type="xsd:double"&gt;6.697607&lt;/D&gt;&lt;D xsi:type="xsd:double"&gt;0&lt;/D&gt;&lt;D xsi:type="xsd:double"&gt;-3.003937&lt;/D&gt;&lt;D xsi:type="xsd:double"&gt;1.6659498&lt;/D&gt;&lt;D xsi:type="xsd:double"&gt;-3.1932712&lt;/D&gt;&lt;D xsi:type="xsd:double"&gt;3.559029&lt;/D&gt;&lt;D xsi:type="xsd:double"&gt;3.1460881&lt;/D&gt;&lt;D xsi:type="xsd:double"&gt;3.1321406&lt;/D&gt;&lt;D xsi:type="xsd:double"&gt;6.1544657&lt;/D&gt;&lt;/FQL&gt;&lt;FQL&gt;&lt;Q&gt;EWQ^FMA_PE(LTMA,-10AY,0,AM,"PORTAGG","MEANR")&lt;/Q&gt;&lt;R&gt;121&lt;/R&gt;&lt;C&gt;1&lt;/C&gt;&lt;D xsi:type="xsd:double"&gt;15.4255219956301&lt;/D&gt;&lt;D xsi:type="xsd:double"&gt;15.2676290802322&lt;/D&gt;&lt;D xsi:type="xsd:double"&gt;14.6478445791126&lt;/D&gt;&lt;D xsi:type="xsd:double"&gt;15.4478417961018&lt;/D&gt;&lt;D xsi:type="xsd:double"&gt;15.1833746242979&lt;/D&gt;&lt;D xsi:type="xsd:double"&gt;16.2585399530973&lt;/D&gt;&lt;D xsi:type="xsd:double"&gt;17.5590988431393&lt;/D&gt;&lt;D xsi:type="xsd:double"&gt;17.5399411741343&lt;/D&gt;&lt;D xsi:type="xsd:double"&gt;17.4484382913072&lt;/D&gt;&lt;D xsi:type="xsd:double"&gt;17.3925517718493&lt;/D&gt;&lt;D xsi:type="xsd:double"&gt;17.0928864165816&lt;/D&gt;&lt;D xsi:type="xsd:double"&gt;17.2134106574046&lt;/D&gt;&lt;D xsi:type="xsd:double"&gt;16.2018849903923&lt;/D&gt;&lt;D xsi:type="xsd:double"&gt;15.2661802810499&lt;/D&gt;&lt;D xsi:type="xsd:double"&gt;16.3774708486047&lt;/D&gt;&lt;D xsi:type="xsd:double"&gt;16.3796450807112&lt;/D&gt;&lt;D xsi:type="xsd:double"&gt;15.6099587657909&lt;/D&gt;&lt;D xsi:type="xsd:double"&gt;14.7090533005549&lt;/D&gt;&lt;D xsi:type="xsd:double"&gt;15.1416256473815&lt;/D&gt;&lt;D xsi:type="xsd:double"&gt;15.124850892204&lt;/D&gt;&lt;D xsi:type="xsd:double"&gt;15.1765127198323&lt;/D&gt;&lt;D xsi:type="xsd:double"&gt;15.2619188509632&lt;/D&gt;&lt;D xsi:type="xsd:double"&gt;14.7395415172865&lt;/D&gt;&lt;D xsi:type="xsd:double"&gt;15.093070600551&lt;/D&gt;&lt;D xsi:type="xsd:double"&gt;14.8812392134884&lt;/D&gt;&lt;D xsi:type="xsd:double"&gt;14.8637512870336&lt;/D&gt;&lt;D xsi:type="xsd:double"&gt;15.0584470495502&lt;/D&gt;&lt;D xsi:type="xsd:double"&gt;14.9168896387796&lt;/D&gt;&lt;D xsi:type="xsd:double"&gt;15.6986158983787&lt;/D&gt;&lt;D xsi:type="xsd:double"&gt;15.6889412314576&lt;/D&gt;&lt;D xsi:type="xsd:double"&gt;15.5832062176459&lt;/D&gt;&lt;D xsi:type="xsd:double"&gt;15.6438773949671&lt;/D&gt;&lt;D xsi:type="xsd:double"&gt;15.7677768365969&lt;/D&gt;&lt;D xsi:type="xsd:double"&gt;15.805845667154&lt;/D&gt;&lt;D xsi:type="xsd:double"&gt;15.5566984302347&lt;/D&gt;&lt;D xsi:type="xsd:double"&gt;15.5432494066367&lt;/D&gt;&lt;D xsi:type="xsd:double"&gt;15.3446972030055&lt;/D&gt;&lt;D xsi:type="xsd:double"&gt;15.9446849679102&lt;/D&gt;&lt;D xsi:type="xsd:double"&gt;16.2793605653617&lt;/D&gt;&lt;D xsi:type="xsd:double"&gt;16.091336811298&lt;/D&gt;&lt;D xsi:type="xsd:double"&gt;15.9684031818278&lt;/D&gt;&lt;D xsi:type="xsd:double"&gt;16.5530969470294&lt;/D&gt;&lt;D xsi:type="xsd:double"&gt;15.6214282695546&lt;/D&gt;&lt;D xsi:type="xsd:double"&gt;15.4673578153265&lt;/D&gt;&lt;D xsi:type="xsd:double"&gt;15.5943383349066&lt;/D&gt;&lt;D xsi:type="xsd:double"&gt;15.4255146339051&lt;/D&gt;&lt;D xsi:type="xsd:double"&gt;15.1696652076955&lt;/D&gt;&lt;D xsi:type="xsd:double"&gt;15.3473106547823&lt;/D&gt;&lt;D xsi:type="xsd:double"&gt;15.200158081268&lt;/D&gt;&lt;D xsi:type="xsd:double"&gt;15.1034403151283&lt;/D&gt;&lt;D xsi:type="xsd:double"&gt;13.9369930986529&lt;/D&gt;&lt;D xsi:type="xsd:double"&gt;13.786372488238&lt;/D&gt;&lt;D xsi:type="xsd:double"&gt;12.8117959428372&lt;/D&gt;&lt;D xsi:type="xsd:double"&gt;13.5801061736455&lt;/D&gt;&lt;D xsi:type="xsd:double"&gt;14.5731947255995&lt;/D&gt;&lt;D xsi:type="xsd:double"&gt;14.5431723684416&lt;/D&gt;&lt;D xsi:type="xsd:double"&gt;14.6862851206007&lt;/D&gt;&lt;D xsi:type="xsd:double"&gt;14.3366696903221&lt;/D&gt;&lt;D xsi:type="xsd:double"&gt;14.6838894979361&lt;/D&gt;&lt;D xsi:type="xsd:double"&gt;14.9412919975648&lt;/D&gt;&lt;D xsi:type="xsd:double"&gt;14.7134655411954&lt;/D&gt;&lt;D xsi:type="xsd:double"&gt;15.1225834866721&lt;/D&gt;&lt;D xsi:type="xsd:double"&gt;15.6358359150116&lt;/D&gt;&lt;D xsi:type="xsd:double"&gt;16.0933141980819&lt;/D&gt;&lt;D xsi:type="xsd:double"&gt;16.622265830344&lt;/D&gt;&lt;D xsi:type="xsd:double"&gt;16.4388873988271&lt;/D&gt;&lt;D xsi:type="xsd:double"&gt;14.6441363459583&lt;/D&gt;&lt;D xsi:type="xsd:double"&gt;14.3441610195966&lt;/D&gt;&lt;D xsi:type="xsd:double"&gt;15.9010967800056&lt;/D&gt;&lt;D xsi:type="xsd:double"&gt;16.8652930335017&lt;/D&gt;&lt;D xsi:type="xsd:double"&gt;18.4902961534161&lt;/D&gt;&lt;D xsi:type="xsd:double"&gt;20.4594681600748&lt;/D&gt;&lt;D xsi:type="xsd:double"&gt;22.6072366656098&lt;/D&gt;&lt;D xsi:type="xsd:double"&gt;23.0803068550639&lt;/D&gt;&lt;D xsi:type="xsd:double"&gt;22.911359017418&lt;/D&gt;&lt;D xsi:type="xsd:double"&gt;28.1560525764494&lt;/D&gt;&lt;D xsi:type="xsd:double"&gt;29.1094623702569&lt;/D&gt;&lt;D xsi:type="xsd:double"&gt;27.2816852142834&lt;/D&gt;&lt;D xsi:type="xsd:double"&gt;27.0710572154549&lt;/D&gt;&lt;D xsi:type="xsd:double"&gt;26.3443247473402&lt;/D&gt;&lt;D xsi:type="xsd:double"&gt;25.5337290574352&lt;/D&gt;&lt;D xsi:type="xsd:double"&gt;24.7097661622561&lt;/D&gt;&lt;D xsi:type="xsd:double"&gt;23.7264908131199&lt;/D&gt;&lt;D xsi:type="xsd:double"&gt;22.4573724441498&lt;/D&gt;&lt;D xsi:type="xsd:double"&gt;21.1628647537208&lt;/D&gt;&lt;D xsi:type="xsd:double"&gt;19.6868150086659&lt;/D&gt;&lt;D xsi:type="xsd:double"&gt;18.8350018670851&lt;/D&gt;&lt;D xsi:type="xsd:double"&gt;17.3577983649883&lt;/D&gt;&lt;D xsi:type="xsd:double"&gt;17.2953438607265&lt;/D&gt;&lt;D xsi:type="xsd:double"&gt;16.2070506189848&lt;/D&gt;&lt;D xsi:type="xsd:double"&gt;15.4793464797258&lt;/D&gt;&lt;D xsi:type="xsd:double"&gt;15.3320251488491&lt;/D&gt;&lt;D xsi:type="xsd:double"&gt;14.8678883388555&lt;/D&gt;&lt;D xsi:type="xsd:double"&gt;14.4411733569588&lt;/D&gt;&lt;D xsi:type="xsd:double"&gt;13.6633400058406&lt;/D&gt;&lt;D xsi:type="xsd:double"&gt;13.4084060006308&lt;/D&gt;&lt;D xsi:type="xsd:double"&gt;12.6315720166923&lt;/D&gt;&lt;D xsi:type="xsd:double"&gt;11.3675648377145&lt;/D&gt;&lt;D xsi:type="xsd:double"&gt;11.8384112510001&lt;/D&gt;&lt;D xsi:type="xsd:double"&gt;12.0930440628262&lt;/D&gt;&lt;D xsi:type="xsd:double"&gt;11.7012699144681&lt;/D&gt;&lt;D xsi:type="xsd:double"&gt;12.8782828086893&lt;/D&gt;&lt;D xsi:type="xsd:double"&gt;12.9007030112978&lt;/D&gt;&lt;D xsi:type="xsd:double"&gt;12.9244305014328&lt;/D&gt;&lt;D xsi:type="xsd:double"&gt;13.2308014693638&lt;/D&gt;&lt;D xsi:type="xsd:double"&gt;13.1063165473447&lt;/D&gt;&lt;D xsi:type="xsd:double"&gt;13.2255443365165&lt;/D&gt;&lt;D xsi:type="xsd:double"&gt;13.4505599355244&lt;/D&gt;&lt;D xsi:type="xsd:double"&gt;13.3311935097913&lt;/D&gt;&lt;D xsi:type="xsd:double"&gt;12.9825633647097&lt;/D&gt;&lt;D xsi:type="xsd:double"&gt;12.4938024962678&lt;/D&gt;&lt;D xsi:type="xsd:double"&gt;13.3354417372214&lt;/D&gt;&lt;D xsi:type="xsd:double"&gt;14.0873839351291&lt;/D&gt;&lt;D xsi:type="xsd:double"&gt;14.4825154608427&lt;/D&gt;&lt;D xsi:type="xsd:double"&gt;15.4853083350774&lt;/D&gt;&lt;D xsi:type="xsd:double"&gt;15.5309918003759&lt;/D&gt;&lt;D xsi:type="xsd:double"&gt;15.4387666291351&lt;/D&gt;&lt;D xsi:type="xsd:double"&gt;15.2931888856059&lt;/D&gt;&lt;D xsi:type="xsd:double"&gt;14.8739325001717&lt;/D&gt;&lt;D xsi:type="xsd:double"&gt;14.8967413343496&lt;/D&gt;&lt;D xsi:type="xsd:double"&gt;15.028458536987&lt;/D&gt;&lt;/FQL&gt;&lt;FQL&gt;&lt;Q&gt;WL-FDS^FG_PRICE(0)/MAX(FG_PRICE(0,-1AY))&lt;/Q&gt;&lt;R&gt;1&lt;/R&gt;&lt;C&gt;1&lt;/C&gt;&lt;D xsi:type="xsd:double"&gt;0.729892585800367&lt;/D&gt;&lt;/FQL&gt;&lt;FQL&gt;&lt;Q&gt;CPALM-FDS^FG_PRICE_MAVG(0,,,,30)&lt;/Q&gt;&lt;R&gt;1&lt;/R&gt;&lt;C&gt;1&lt;/C&gt;&lt;D xsi:type="xsd:double"&gt;3946.8333&lt;/D&gt;&lt;/FQL&gt;&lt;FQL&gt;&lt;Q&gt;EWN^FG_PRICE_MAVG(0,,,,60)&lt;/Q&gt;&lt;R&gt;1&lt;/R&gt;&lt;C&gt;1&lt;/C&gt;&lt;D xsi:type="xsd:double"&gt;50.145&lt;/D&gt;&lt;/FQL&gt;&lt;FQL&gt;&lt;Q&gt;EWC^FG_COMPANY_NAME&lt;/Q&gt;&lt;R&gt;1&lt;/R&gt;&lt;C&gt;1&lt;/C&gt;&lt;D xsi:type="xsd:string"&gt;iShares MSCI Canada ETF&lt;/D&gt;&lt;/FQL&gt;&lt;FQL&gt;&lt;Q&gt;CAGDPY@CH^EE_ACTUAL_ANNUAL(MED,+1)&lt;/Q&gt;&lt;R&gt;1&lt;/R&gt;&lt;C&gt;1&lt;/C&gt;&lt;D xsi:type="xsd:double"&gt;8.1&lt;/D&gt;&lt;/FQL&gt;&lt;FQL&gt;&lt;Q&gt;USDANG^STD(FG_PRICE_CHANGE(0,-1AY,AM))&lt;/Q&gt;&lt;R&gt;1&lt;/R&gt;&lt;C&gt;1&lt;/C&gt;&lt;D xsi:type="xsd:double"&gt;0.101547390548198&lt;/D&gt;&lt;/FQL&gt;&lt;FQL&gt;&lt;Q&gt;USDEUR^FG_PRICE_CHANGE(0,-6AM)&lt;/Q&gt;&lt;R&gt;1&lt;/R&gt;&lt;C&gt;1&lt;/C&gt;&lt;D xsi:type="xsd:double"&gt;-2.249223&lt;/D&gt;&lt;/FQL&gt;&lt;FQL&gt;&lt;Q&gt;EWJ^FMA_EPS(NTMA,-20AY,0,CY,,"PORTAGG","MEANR")&lt;/Q&gt;&lt;R&gt;20&lt;/R&gt;&lt;C&gt;1&lt;/C&gt;&lt;D xsi:type="xsd:double"&gt;2.83572005832403&lt;/D&gt;&lt;D xsi:type="xsd:double"&gt;2.84830335934349&lt;/D&gt;&lt;D xsi:type="xsd:double"&gt;3.29156932486821&lt;/D&gt;&lt;D xsi:type="xsd:double"&gt;3.66778515674736&lt;/D&gt;&lt;D xsi:type="xsd:double"&gt;2.74393009109397&lt;/D&gt;&lt;D xsi:type="xsd:double"&gt;1.93733358061505&lt;/D&gt;&lt;D xsi:type="xsd:double"&gt;3.17729322550467&lt;/D&gt;&lt;D xsi:type="xsd:double"&gt;3.09458124193192&lt;/D&gt;&lt;D xsi:type="xsd:double"&gt;2.8747287105461&lt;/D&gt;&lt;D xsi:type="xsd:double"&gt;3.27496071085416&lt;/D&gt;&lt;D xsi:type="xsd:double"&gt;3.14456301788536&lt;/D&gt;&lt;D xsi:type="xsd:double"&gt;3.44827515089069&lt;/D&gt;&lt;D xsi:type="xsd:double"&gt;3.33160709427031&lt;/D&gt;&lt;D xsi:type="xsd:double"&gt;4.07233312791291&lt;/D&gt;&lt;D xsi:type="xsd:double"&gt;4.56488250158257&lt;/D&gt;&lt;D xsi:type="xsd:double"&gt;4.07638232764084&lt;/D&gt;&lt;D xsi:type="xsd:double"&gt;3.67789544317284&lt;/D&gt;&lt;D xsi:type="xsd:double"&gt;4.61613854439477&lt;/D&gt;&lt;D xsi:type="xsd:double"&gt;4.46089540048153&lt;/D&gt;&lt;D xsi:type="xsd:double"&gt;4.56673185665912&lt;/D&gt;&lt;/FQL&gt;&lt;FQL&gt;&lt;Q&gt;EWG^FMA_PE(NTMA,-10AY,0,AM,"PORTAGG","MEANR")&lt;/Q&gt;&lt;R&gt;121&lt;/R&gt;&lt;C&gt;1&lt;/C&gt;&lt;D xsi:type="xsd:double"&gt;12.5684138824964&lt;/D&gt;&lt;D xsi:type="xsd:double"&gt;12.4142415442774&lt;/D&gt;&lt;D xsi:type="xsd:double"&gt;12.0154022892922&lt;/D&gt;&lt;D xsi:type="xsd:double"&gt;13.0889943655129&lt;/D&gt;&lt;D xsi:type="xsd:double"&gt;12.9989826122206&lt;/D&gt;&lt;D xsi:type="xsd:double"&gt;14.0368717663562&lt;/D&gt;&lt;D xsi:type="xsd:double"&gt;14.8213749994138&lt;/D&gt;&lt;D xsi:type="xsd:double"&gt;15.3290308983866&lt;/D&gt;&lt;D xsi:type="xsd:double"&gt;14.5514410344855&lt;/D&gt;&lt;D xsi:type="xsd:double"&gt;14.0968650326133&lt;/D&gt;&lt;D xsi:type="xsd:double"&gt;13.5326937009761&lt;/D&gt;&lt;D xsi:type="xsd:double"&gt;13.6102257378736&lt;/D&gt;&lt;D xsi:type="xsd:double"&gt;12.5149363846906&lt;/D&gt;&lt;D xsi:type="xsd:double"&gt;11.5008260781316&lt;/D&gt;&lt;D xsi:type="xsd:double"&gt;13.2714690907575&lt;/D&gt;&lt;D xsi:type="xsd:double"&gt;14.0572703507699&lt;/D&gt;&lt;D xsi:type="xsd:double"&gt;13.4848758604764&lt;/D&gt;&lt;D xsi:type="xsd:double"&gt;12.3195530888269&lt;/D&gt;&lt;D xsi:type="xsd:double"&gt;12.1481120219163&lt;/D&gt;&lt;D xsi:type="xsd:double"&gt;12.5978580944169&lt;/D&gt;&lt;D xsi:type="xsd:double"&gt;12.7755065394228&lt;/D&gt;&lt;D xsi:type="xsd:double"&gt;12.7593261998522&lt;/D&gt;&lt;D xsi:type="xsd:double"&gt;11.8698713576851&lt;/D&gt;&lt;D xsi:type="xsd:double"&gt;12.7496981471905&lt;/D&gt;&lt;D xsi:type="xsd:double"&gt;12.8873977910698&lt;/D&gt;&lt;D xsi:type="xsd:double"&gt;12.7534030363997&lt;/D&gt;&lt;D xsi:type="xsd:double"&gt;12.9646662421008&lt;/D&gt;&lt;D xsi:type="xsd:double"&gt;12.7643189943667&lt;/D&gt;&lt;D xsi:type="xsd:double"&gt;13.6129111386941&lt;/D&gt;&lt;D xsi:type="xsd:double"&gt;13.950952794594&lt;/D&gt;&lt;D xsi:type="xsd:double"&gt;13.6862963204782&lt;/D&gt;&lt;D xsi:type="xsd:double"&gt;13.9889385786027&lt;/D&gt;&lt;D xsi:type="xsd:double"&gt;13.9737694644847&lt;/D&gt;&lt;D xsi:type="xsd:double"&gt;13.7520887255524&lt;/D&gt;&lt;D xsi:type="xsd:double"&gt;13.3618327032645&lt;/D&gt;&lt;D xsi:type="xsd:double"&gt;13.0703813084586&lt;/D&gt;&lt;D xsi:type="xsd:double"&gt;12.8067368413382&lt;/D&gt;&lt;D xsi:type="xsd:double"&gt;13.6674893399511&lt;/D&gt;&lt;D xsi:type="xsd:double"&gt;14.0481847610663&lt;/D&gt;&lt;D xsi:type="xsd:double"&gt;13.8516252872515&lt;/D&gt;&lt;D xsi:type="xsd:double"&gt;13.7384136589018&lt;/D&gt;&lt;D xsi:type="xsd:double"&gt;14.0245318662059&lt;/D&gt;&lt;D xsi:type="xsd:double"&gt;13.1139166925308&lt;/D&gt;&lt;D xsi:type="xsd:double"&gt;12.7480705914781&lt;/D&gt;&lt;D xsi:type="xsd:double"&gt;13.1752751880771&lt;/D&gt;&lt;D xsi:type="xsd:double"&gt;12.9763152086688&lt;/D&gt;&lt;D xsi:type="xsd:double"&gt;12.7246507591889&lt;/D&gt;&lt;D xsi:type="xsd:double"&gt;13.2768399613465&lt;/D&gt;&lt;D xsi:type="xsd:double"&gt;13.0405152686197&lt;/D&gt;&lt;D xsi:type="xsd:double"&gt;12.6567280375032&lt;/D&gt;&lt;D xsi:type="xsd:double"&gt;11.5569483414744&lt;/D&gt;&lt;D xsi:type="xsd:double"&gt;11.5925916095931&lt;/D&gt;&lt;D xsi:type="xsd:double"&gt;10.9309261627994&lt;/D&gt;&lt;D xsi:type="xsd:double"&gt;11.8134836800124&lt;/D&gt;&lt;D xsi:type="xsd:double"&gt;12.1105530419794&lt;/D&gt;&lt;D xsi:type="xsd:double"&gt;12.1338253409302&lt;/D&gt;&lt;D xsi:type="xsd:double"&gt;12.9807925631977&lt;/D&gt;&lt;D xsi:type="xsd:double"&gt;12.2141948952942&lt;/D&gt;&lt;D xsi:type="xsd:double"&gt;12.7511913848013&lt;/D&gt;&lt;D xsi:type="xsd:double"&gt;13.0214660820708&lt;/D&gt;&lt;D xsi:type="xsd:double"&gt;12.5139450991495&lt;/D&gt;&lt;D xsi:type="xsd:double"&gt;13.015560921491&lt;/D&gt;&lt;D xsi:type="xsd:double"&gt;13.5694997808299&lt;/D&gt;&lt;D xsi:type="xsd:double"&gt;14.0872778464288&lt;/D&gt;&lt;D xsi:type="xsd:double"&gt;14.1887287403125&lt;/D&gt;&lt;D xsi:type="xsd:double"&gt;14.1509538825986&lt;/D&gt;&lt;D xsi:type="xsd:double"&gt;12.6907237186621&lt;/D&gt;&lt;D xsi:type="xsd:double"&gt;11.5721298812413&lt;/D&gt;&lt;D xsi:type="xsd:double"&gt;15.4072253182675&lt;/D&gt;&lt;D xsi:type="xsd:double"&gt;16.5971365663729&lt;/D&gt;&lt;D xsi:type="xsd:double"&gt;17.6203864785556&lt;/D&gt;&lt;D xsi:type="xsd:double"&gt;18.2195459553466&lt;/D&gt;&lt;D xsi:type="xsd:double"&gt;17.8789536954641&lt;/D&gt;&lt;D xsi:type="xsd:double"&gt;16.9213414197502&lt;/D&gt;&lt;D xsi:type="xsd:double"&gt;14.6173288001685&lt;/D&gt;&lt;D xsi:type="xsd:double"&gt;16.1996170361077&lt;/D&gt;&lt;D xsi:type="xsd:double"&gt;16.1393198230042&lt;/D&gt;&lt;D xsi:type="xsd:double"&gt;15.3688849271311&lt;/D&gt;&lt;D xsi:type="xsd:double"&gt;15.3083667940233&lt;/D&gt;&lt;D xsi:type="xsd:double"&gt;15.9216104069645&lt;/D&gt;&lt;D xsi:type="xsd:double"&gt;15.2632821270161&lt;/D&gt;&lt;D xsi:type="xsd:double"&gt;14.8841803245684&lt;/D&gt;&lt;D xsi:type="xsd:double"&gt;14.8564615624792&lt;/D&gt;&lt;D xsi:type="xsd:double"&gt;14.3624607091859&lt;/D&gt;&lt;D xsi:type="xsd:double"&gt;14.2402664861022&lt;/D&gt;&lt;D xsi:type="xsd:double"&gt;13.6358879479005&lt;/D&gt;&lt;D xsi:type="xsd:double"&gt;13.6984344527226&lt;/D&gt;&lt;D xsi:type="xsd:double"&gt;12.9948592825427&lt;/D&gt;&lt;D xsi:type="xsd:double"&gt;13.3711344383277&lt;/D&gt;&lt;D xsi:type="xsd:double"&gt;12.7849182779796&lt;/D&gt;&lt;D xsi:type="xsd:double"&gt;11.8620758358814&lt;/D&gt;&lt;D xsi:type="xsd:double"&gt;11.9886762962973&lt;/D&gt;&lt;D xsi:type="xsd:double"&gt;11.1607123813548&lt;/D&gt;&lt;D xsi:type="xsd:double"&gt;10.9876829322855&lt;/D&gt;&lt;D xsi:type="xsd:double"&gt;9.8877913532048&lt;/D&gt;&lt;D xsi:type="xsd:double"&gt;10.2619094530624&lt;/D&gt;&lt;D xsi:type="xsd:double"&gt;9.57725592489794&lt;/D&gt;&lt;D xsi:type="xsd:double"&gt;8.87981932954454&lt;/D&gt;&lt;D xsi:type="xsd:double"&gt;9.87074391745571&lt;/D&gt;&lt;D xsi:type="xsd:double"&gt;10.7158687449895&lt;/D&gt;&lt;D xsi:type="xsd:double"&gt;10.5763907763484&lt;/D&gt;&lt;D xsi:type="xsd:double"&gt;11.5453013536818&lt;/D&gt;&lt;D xsi:type="xsd:double"&gt;11.5392153914345&lt;/D&gt;&lt;D xsi:type="xsd:double"&gt;11.2124691847613&lt;/D&gt;&lt;D xsi:type="xsd:double"&gt;11.3746518957681&lt;/D&gt;&lt;D xsi:type="xsd:double"&gt;10.9150254299427&lt;/D&gt;&lt;D xsi:type="xsd:double"&gt;10.7170569518343&lt;/D&gt;&lt;D xsi:type="xsd:double"&gt;11.0521072663686&lt;/D&gt;&lt;D xsi:type="xsd:double"&gt;10.6649519960927&lt;/D&gt;&lt;D xsi:type="xsd:double"&gt;10.3207022683732&lt;/D&gt;&lt;D xsi:type="xsd:double"&gt;9.79618831409456&lt;/D&gt;&lt;D xsi:type="xsd:double"&gt;10.9126282391897&lt;/D&gt;&lt;D xsi:type="xsd:double"&gt;11.1771400760286&lt;/D&gt;&lt;D xsi:type="xsd:double"&gt;11.515359541631&lt;/D&gt;&lt;D xsi:type="xsd:double"&gt;12.011181111812</t>
        </r>
      </text>
    </comment>
    <comment ref="A5" authorId="0" shapeId="0" xr:uid="{4B3730A8-D169-4083-93B1-3F6CEDC52CA5}">
      <text>
        <r>
          <rPr>
            <b/>
            <sz val="9"/>
            <color indexed="81"/>
            <rFont val="Tahoma"/>
            <charset val="1"/>
          </rPr>
          <t>1&lt;/D&gt;&lt;D xsi:type="xsd:double"&gt;12.3911844231591&lt;/D&gt;&lt;D xsi:type="xsd:double"&gt;12.0005129856984&lt;/D&gt;&lt;D xsi:type="xsd:double"&gt;11.8538498839943&lt;/D&gt;&lt;D xsi:type="xsd:double"&gt;11.7192919865571&lt;/D&gt;&lt;D xsi:type="xsd:double"&gt;11.7637739444146&lt;/D&gt;&lt;D xsi:type="xsd:double"&gt;11.9030285004895&lt;/D&gt;&lt;/FQL&gt;&lt;FQL&gt;&lt;Q&gt;PASP-FDS^FG_PRICE_CHANGE(0,-6AM)&lt;/Q&gt;&lt;R&gt;1&lt;/R&gt;&lt;C&gt;1&lt;/C&gt;&lt;D xsi:type="xsd:double"&gt;0&lt;/D&gt;&lt;/FQL&gt;&lt;FQL&gt;&lt;Q&gt;TIOS-FDS^FG_PRICE_CHANGE(0,-3AM)&lt;/Q&gt;&lt;R&gt;1&lt;/R&gt;&lt;C&gt;1&lt;/C&gt;&lt;D xsi:type="xsd:double"&gt;-16.230677764566&lt;/D&gt;&lt;/FQL&gt;&lt;FQL&gt;&lt;Q&gt;EWG^FG_PRICE(0)&lt;/Q&gt;&lt;R&gt;1&lt;/R&gt;&lt;C&gt;1&lt;/C&gt;&lt;D xsi:type="xsd:double"&gt;32.47&lt;/D&gt;&lt;/FQL&gt;&lt;FQL&gt;&lt;Q&gt;URTH^FG_TOTAL_RETURNC(0,-1AM)&lt;/Q&gt;&lt;R&gt;1&lt;/R&gt;&lt;C&gt;1&lt;/C&gt;&lt;D xsi:type="xsd:double"&gt;3.295517&lt;/D&gt;&lt;/FQL&gt;&lt;FQL&gt;&lt;Q&gt;VGK^PERCENT_CHANGE(FMA_EPS(+1,0,,,,"PORTAGG","MEAN"),FMA_EPS(+1,-1AM,,,,"PORTAGG","MEAN"))&lt;/Q&gt;&lt;R&gt;1&lt;/R&gt;&lt;C&gt;1&lt;/C&gt;&lt;D xsi:type="xsd:double"&gt;-0.139573558357959&lt;/D&gt;&lt;/FQL&gt;&lt;FQL&gt;&lt;Q&gt;EWD^PERCENT_CHANGE(FMA_EPS(+1,0,,,,"PORTAGG","MEAN"),FMA_EPS(+1,-1AM,,,,"PORTAGG","MEAN"))&lt;/Q&gt;&lt;R&gt;1&lt;/R&gt;&lt;C&gt;1&lt;/C&gt;&lt;D xsi:type="xsd:double"&gt;4.11041934776966&lt;/D&gt;&lt;/FQL&gt;&lt;FQL&gt;&lt;Q&gt;EWQ^PERCENT_CHANGE(FMA_EPS(+1,0,,,,"PORTAGG","MEAN"),FMA_EPS(+1,-1AM,,,,"PORTAGG","MEAN"))&lt;/Q&gt;&lt;R&gt;1&lt;/R&gt;&lt;C&gt;1&lt;/C&gt;&lt;D xsi:type="xsd:double"&gt;2.15802677934156&lt;/D&gt;&lt;/FQL&gt;&lt;FQL&gt;&lt;Q&gt;QQQ^PERCENT_CHANGE(FMA_EPS(+1,0,,,,"PORTAGG","MEAN"),FMA_EPS(+1,-1AM,,,,"PORTAGG","MEAN"))&lt;/Q&gt;&lt;R&gt;1&lt;/R&gt;&lt;C&gt;1&lt;/C&gt;&lt;D xsi:type="xsd:double"&gt;-1.80371176832857&lt;/D&gt;&lt;/FQL&gt;&lt;FQL&gt;&lt;Q&gt;EWG^PERCENT_CHANGE(FMA_EPS(+1,0,,,,"PORTAGG","MEAN"),FMA_EPS(+1,-1AM,,,,"PORTAGG","MEAN"))&lt;/Q&gt;&lt;R&gt;1&lt;/R&gt;&lt;C&gt;1&lt;/C&gt;&lt;D xsi:type="xsd:double"&gt;2.30530910104187&lt;/D&gt;&lt;/FQL&gt;&lt;FQL&gt;&lt;Q&gt;EWJ^FMA_COS_DOWN("EPS","1M",+1,0,,,"PORTAGG","MEANR")&lt;/Q&gt;&lt;R&gt;1&lt;/R&gt;&lt;C&gt;1&lt;/C&gt;&lt;D xsi:type="xsd:double"&gt;77&lt;/D&gt;&lt;/FQL&gt;&lt;FQL&gt;&lt;Q&gt;EWL^FMA_RBICS_REV_CURRENT(30, LOC, "PORTAGG")&lt;/Q&gt;&lt;R&gt;1&lt;/R&gt;&lt;C&gt;1&lt;/C&gt;&lt;D xsi:type="xsd:double"&gt;17.4105902747196&lt;/D&gt;&lt;/FQL&gt;&lt;FQL&gt;&lt;Q&gt;REFEUREFI-FDS^PROPER_NAME(0,,,"SECURITY","NAME")&lt;/Q&gt;&lt;R&gt;1&lt;/R&gt;&lt;C&gt;1&lt;/C&gt;&lt;D xsi:type="xsd:string"&gt;Eurozone Main Refinancing Operations Minimum Bid Rate&lt;/D&gt;&lt;/FQL&gt;&lt;FQL&gt;&lt;Q&gt;TRYNL10Y-FDS^PCTCHG(FG_YIELD(0,,,,"YTM"),FG_YIELD(-3AM,,,,"YTM"))&lt;/Q&gt;&lt;R&gt;1&lt;/R&gt;&lt;C&gt;1&lt;/C&gt;&lt;D xsi:type="xsd:double"&gt;-13.699553&lt;/D&gt;&lt;/FQL&gt;&lt;FQL&gt;&lt;Q&gt;TRYVN10Y-FDS^FG_YIELD(-10AY,0,Y,,"YTM")&lt;/Q&gt;&lt;R&gt;10&lt;/R&gt;&lt;C&gt;1&lt;/C&gt;&lt;D xsi:type="xsd:double"&gt;7.3&lt;/D&gt;&lt;D xsi:type="xsd:double"&gt;6.277413&lt;/D&gt;&lt;D xsi:type="xsd:double"&gt;7.1117578&lt;/D&gt;&lt;D xsi:type="xsd:double"&gt;5.6717234&lt;/D&gt;&lt;D xsi:type="xsd:double"&gt;4.738006&lt;/D&gt;&lt;D xsi:type="xsd:double"&gt;3.5404546&lt;/D&gt;&lt;D xsi:type="xsd:double"&gt;2.4877946&lt;/D&gt;&lt;D xsi:type="xsd:double"&gt;2.059403&lt;/D&gt;&lt;D xsi:type="xsd:double"&gt;4.687226&lt;/D&gt;&lt;D xsi:type="xsd:double"&gt;2.9473283&lt;/D&gt;&lt;/FQL&gt;&lt;FQL&gt;&lt;Q&gt;TRYJP10Y-FDS^FG_YIELD(-10AY,0,Y,,"YTM")&lt;/Q&gt;&lt;R&gt;10&lt;/R&gt;&lt;C&gt;1&lt;/C&gt;&lt;D xsi:type="xsd:double"&gt;0.3138&lt;/D&gt;&lt;D xsi:type="xsd:double"&gt;0.2604&lt;/D&gt;&lt;D xsi:type="xsd:double"&gt;0.0315&lt;/D&gt;&lt;D xsi:type="xsd:double"&gt;0.0465&lt;/D&gt;&lt;D xsi:type="xsd:double"&gt;-0.0051&lt;/D&gt;&lt;D xsi:type="xsd:double"&gt;-0.0208&lt;/D&gt;&lt;D xsi:type="xsd:double"&gt;0.0201&lt;/D&gt;&lt;D xsi:type="xsd:double"&gt;0.0672&lt;/D&gt;&lt;D xsi:type="xsd:double"&gt;0.4224&lt;/D&gt;&lt;D xsi:type="xsd:double"&gt;0.6127&lt;/D&gt;&lt;/FQL&gt;&lt;FQL&gt;&lt;Q&gt;CC_NZ^FG_COMPANY_NAME&lt;/Q&gt;&lt;R&gt;1&lt;/R&gt;&lt;C&gt;1&lt;/C&gt;&lt;D xsi:type="xsd:string"&gt;New Zealand&lt;/D&gt;&lt;/FQL&gt;&lt;FQL&gt;&lt;Q&gt;USDCHF^STD(FG_PRICE_CHANGE(0,-3AY,M))&lt;/Q&gt;&lt;R&gt;1&lt;/R&gt;&lt;C&gt;1&lt;/C&gt;&lt;D xsi:type="xsd:double"&gt;2.41737824980572&lt;/D&gt;&lt;/FQL&gt;&lt;FQL&gt;&lt;Q&gt;USDAUD^FG_PRICE(0)&lt;/Q&gt;&lt;R&gt;1&lt;/R&gt;&lt;C&gt;1&lt;/C&gt;&lt;D xsi:type="xsd:double"&gt;1.4723203&lt;/D&gt;&lt;/FQL&gt;&lt;FQL&gt;&lt;Q&gt;QQQ^FMA_DIV_YLD(NTMA,-10AY,0,AM,"PORTAGG","MEANR")&lt;/Q&gt;&lt;R&gt;121&lt;/R&gt;&lt;C&gt;1&lt;/C&gt;&lt;D xsi:type="xsd:double"&gt;1.21275980992652&lt;/D&gt;&lt;D xsi:type="xsd:double"&gt;1.24246305694532&lt;/D&gt;&lt;D xsi:type="xsd:double"&gt;1.24902947667013&lt;/D&gt;&lt;D xsi:type="xsd:double"&gt;1.18921478067016&lt;/D&gt;&lt;D xsi:type="xsd:double"&gt;1.20753642603994&lt;/D&gt;&lt;D xsi:type="xsd:double"&gt;1.23107681609199&lt;/D&gt;&lt;D xsi:type="xsd:double"&gt;1.21346631716943&lt;/D&gt;&lt;D xsi:type="xsd:double"&gt;1.27610806340731&lt;/D&gt;&lt;D xsi:type="xsd:double"&gt;1.23607653641407&lt;/D&gt;&lt;D xsi:type="xsd:double"&gt;1.23902653864636&lt;/D&gt;&lt;D xsi:type="xsd:double"&gt;1.28104325864194&lt;/D&gt;&lt;D xsi:type="xsd:double"&gt;1.25814340425258&lt;/D&gt;&lt;D xsi:type="xsd:double"&gt;1.34500334206083&lt;/D&gt;&lt;D xsi:type="xsd:double"&gt;1.43333808245686&lt;/D&gt;&lt;D xsi:type="xsd:double"&gt;1.2636573013405&lt;/D&gt;&lt;D xsi:type="xsd:double"&gt;1.27662096760661&lt;/D&gt;&lt;D xsi:type="xsd:double"&gt;1.26976695879221&lt;/D&gt;&lt;D xsi:type="xsd:double"&gt;1.35895408073496&lt;/D&gt;&lt;D xsi:type="xsd:double"&gt;1.41613152468331&lt;/D&gt;&lt;D xsi:type="xsd:double"&gt;1.33735352868494&lt;/D&gt;&lt;D xsi:type="xsd:double"&gt;1.39099344199501&lt;/D&gt;&lt;D xsi:type="xsd:double"&gt;1.34470187579383&lt;/D&gt;&lt;D xsi:type="xsd:double"&gt;1.38054661824226&lt;/D&gt;&lt;D xsi:type="xsd:double"&gt;1.28997458046823&lt;/D&gt;&lt;D xsi:type="xsd:double"&gt;1.28314312852511&lt;/D&gt;&lt;D xsi:type="xsd:double"&gt;1.26947686148105&lt;/D&gt;&lt;D xsi:type="xsd:double"&gt;1.28668803878597&lt;/D&gt;&lt;D xsi:type="xsd:double"&gt;1.27920249854643&lt;/D&gt;&lt;D xsi:type="xsd:double"&gt;1.28715401824055&lt;/D&gt;&lt;D xsi:type="xsd:double"&gt;1.23257209950237&lt;/D&gt;&lt;D xsi:type="xsd:double"&gt;1.22415700323872&lt;/D&gt;&lt;D xsi:type="xsd:double"&gt;1.2061883806206&lt;/D&gt;&lt;D xsi:type="xsd:double"&gt;1.18832593916955&lt;/D&gt;&lt;D xsi:type="xsd:double"&gt;1.15696651354697&lt;/D&gt;&lt;D xsi:type="xsd:double"&gt;1.19841137490781&lt;/D&gt;&lt;D xsi:type="xsd:double"&gt;1.16856157352267&lt;/D&gt;&lt;D xsi:type="xsd:double"&gt;1.18450718030868&lt;/D&gt;&lt;D xsi:type="xsd:double"&gt;1.16279797138161&lt;/D&gt;&lt;D xsi:type="xsd:double"&gt;1.1226420873206&lt;/D&gt;&lt;D xsi:type="xsd:double"&gt;1.11376582157034&lt;/D&gt;&lt;D xsi:type="xsd:double"&gt;1.10103549957568&lt;/D&gt;&lt;D xsi:type="xsd:double"&gt;1.02366563610451&lt;/D&gt;&lt;D xsi:type="xsd:double"&gt;1.06479442796328&lt;/D&gt;&lt;D xsi:type="xsd:double"&gt;1.12169010247195&lt;/D&gt;&lt;D xsi:type="xsd:double"&gt;1.11922655516481&lt;/D&gt;&lt;D xsi:type="xsd:double"&gt;1.08976286387882&lt;/D&gt;&lt;D xsi:type="xsd:double"&gt;1.07614608708486&lt;/D&gt;&lt;D xsi:type="xsd:double"&gt;1.09273382555311&lt;/D&gt;&lt;D xsi:type="xsd:double"&gt;1.04729261543433&lt;/D&gt;&lt;D xsi:type="xsd:double"&gt;1.06020338050617&lt;/D&gt;&lt;D xsi:type="xsd:double"&gt;1.22662796087663&lt;/D&gt;&lt;D xsi:type="xsd:double"&gt;1.20067727759451&lt;/D&gt;&lt;D xsi:type="xsd:double"&gt;1.32896766213063&lt;/D&gt;&lt;D xsi:type="xsd:double"&gt;1.27028297839328&lt;/D&gt;&lt;D xsi:type="xsd:double"&gt;1.17801506593521&lt;/D&gt;&lt;D xsi:type="xsd:double"&gt;1.13885454821726&lt;/D&gt;&lt;D xsi:type="xsd:double"&gt;1.08542500323408&lt;/D&gt;&lt;D xsi:type="xsd:double"&gt;1.18493643764628&lt;/D&gt;&lt;D xsi:type="xsd:double"&gt;1.11413385363496&lt;/D&gt;&lt;D xsi:type="xsd:double"&gt;1.07599051545859&lt;/D&gt;&lt;D xsi:type="xsd:double"&gt;1.11569089485669&lt;/D&gt;&lt;D xsi:type="xsd:double"&gt;1.12381384825336&lt;/D&gt;&lt;D xsi:type="xsd:double"&gt;1.08849222612419&lt;/D&gt;&lt;D xsi:type="xsd:double"&gt;1.07169013367975&lt;/D&gt;&lt;D xsi:type="xsd:double"&gt;1.04232624533762&lt;/D&gt;&lt;D xsi:type="xsd:double"&gt;1.01086366821697&lt;/D&gt;&lt;D xsi:type="xsd:double"&gt;1.09357289691384&lt;/D&gt;&lt;D xsi:type="xsd:double"&gt;1.22247489226382&lt;/D&gt;&lt;D xsi:type="xsd:double"&gt;1.02556435928556&lt;/D&gt;&lt;D xsi:type="xsd:double"&gt;0.950459892514067&lt;/D&gt;&lt;D xsi:type="xsd:double"&gt;0.911566265482863&lt;/D&gt;&lt;D xsi:type="xsd:double"&gt;0.852613245403673&lt;/D&gt;&lt;D xsi:type="xsd:double"&gt;0.75975564498371&lt;/D&gt;&lt;D xsi:type="xsd:double"&gt;0.807805960762887&lt;/D&gt;&lt;D xsi:type="xsd:double"&gt;0.815701882006689&lt;/D&gt;&lt;D xsi:type="xsd:double"&gt;0.756676534708408&lt;/D&gt;&lt;D xsi:type="xsd:double"&gt;0.765618214081526&lt;/D&gt;&lt;D xsi:type="xsd:double"&gt;0.765726301668023&lt;/D&gt;&lt;D xsi:type="xsd:double"&gt;0.774742302386571&lt;/D&gt;&lt;D xsi:type="xsd:double"&gt;0.774855204020799&lt;/D&gt;&lt;D xsi:type="xsd:double"&gt;0.725072191110524&lt;/D&gt;&lt;D xsi:type="xsd:double"&gt;0.740744193017404&lt;/D&gt;&lt;D xsi:type="xsd:double"&gt;0.703280256642279&lt;/D&gt;&lt;D xsi:type="xsd:double"&gt;0.699267201526715&lt;/D&gt;&lt;D xsi:type="xsd:double"&gt;0.68532553154197&lt;/D&gt;&lt;D xsi:type="xsd:double"&gt;0.724921709606374&lt;/D&gt;&lt;D xsi:type="xsd:double"&gt;0.67857418613222&lt;/D&gt;&lt;D xsi:type="xsd:double"&gt;0.660564025688737&lt;/D&gt;&lt;D xsi:type="xsd:double"&gt;0.660969221832982&lt;/D&gt;&lt;D xsi:type="xsd:double"&gt;0.761252642098599&lt;/D&gt;&lt;D xsi:type="xsd:double"&gt;0.787356253965437&lt;/D&gt;&lt;D xsi:type="xsd:double"&gt;0.738789889361044&lt;/D&gt;&lt;D xsi:type="xsd:double"&gt;0.878393684544827&lt;/D&gt;&lt;D xsi:type="xsd:double"&gt;0.898361387503222&lt;/D&gt;&lt;D xsi:type="xsd:double"&gt;0.985597080296248&lt;/D&gt;&lt;D xsi:type="xsd:double"&gt;0.893432097575553&lt;/D&gt;&lt;D xsi:type="xsd:double"&gt;0.930411626701561&lt;/D&gt;&lt;D xsi:type="xsd:double"&gt;1.05005725532207&lt;/D&gt;&lt;D xsi:type="xsd:double"&gt;1.02322449546969&lt;/D&gt;&lt;D xsi:type="xsd:double"&gt;1.03218854754355&lt;/D&gt;&lt;D xsi:type="xsd:double"&gt;1.03728985601272&lt;/D&gt;&lt;D xsi:type="xsd:double"&gt;0.943828020369464&lt;/D&gt;&lt;D xsi:type="xsd:double"&gt;0.962017708980778&lt;/D&gt;&lt;D xsi:type="xsd:double"&gt;0.906241787256917&lt;/D&gt;&lt;D xsi:type="xsd:double"&gt;0.863925213855745&lt;/D&gt;&lt;D xsi:type="xsd:double"&gt;0.803683235047492&lt;/D&gt;&lt;D xsi:type="xsd:double"&gt;0.774593090063236&lt;/D&gt;&lt;D xsi:type="xsd:double"&gt;0.856345288489375&lt;/D&gt;&lt;D xsi:type="xsd:double"&gt;0.880194070662829&lt;/D&gt;&lt;D xsi:type="xsd:double"&gt;0.945694228297222&lt;/D&gt;&lt;D xsi:type="xsd:double"&gt;0.987182937222156&lt;/D&gt;&lt;D xsi:type="xsd:double"&gt;0.884791685013259&lt;/D&gt;&lt;D xsi:type="xsd:double"&gt;0.919279185804027&lt;/D&gt;&lt;D xsi:type="xsd:double"&gt;0.877770955088638&lt;/D&gt;&lt;D xsi:type="xsd:double"&gt;0.882730282160275&lt;/D&gt;&lt;D xsi:type="xsd:double"&gt;0.882553291985189&lt;/D&gt;&lt;D xsi:type="xsd:double"&gt;0.926316045505243&lt;/D&gt;&lt;D xsi:type="xsd:double"&gt;0.886912887783913&lt;/D&gt;&lt;D xsi:type="xsd:double"&gt;0.843646857509439&lt;/D&gt;&lt;D xsi:type="xsd:double"&gt;0.865601946700057&lt;/D&gt;&lt;D xsi:type="xsd:double"&gt;0.845666709978547&lt;/D&gt;&lt;/FQL&gt;&lt;FQL&gt;&lt;Q&gt;DDR3512M-FDS^MAX(FG_PRICE(0,-5AY))&lt;/Q&gt;&lt;R&gt;1&lt;/R&gt;&lt;C&gt;1&lt;/C&gt;&lt;D xsi:type="xsd:double"&gt;3.3053632&lt;/D&gt;&lt;/FQL&gt;&lt;FQL&gt;&lt;Q&gt;PLATI-FDS^FG_PRICE_MAVG(0,,,,30)&lt;/Q&gt;&lt;R&gt;1&lt;/R&gt;&lt;C&gt;1&lt;/C&gt;&lt;D xsi:type="xsd:double"&gt;952.0333&lt;/D&gt;&lt;/FQL&gt;&lt;FQL&gt;&lt;Q&gt;BRENT-FDS^FG_PRICE_CHANGE(0,-1AY)&lt;/Q&gt;&lt;R&gt;1&lt;/R&gt;&lt;C&gt;1&lt;/C&gt;&lt;D xsi:type="xsd:double"&gt;-0.774297931353285&lt;/D&gt;&lt;/FQL&gt;&lt;FQL&gt;&lt;Q&gt;EWI^FG_PRICE_MAVG(0,,,,60)&lt;/Q&gt;&lt;R&gt;1&lt;/R&gt;&lt;C&gt;1&lt;/C&gt;&lt;D xsi:type="xsd:double"&gt;36.9855&lt;/D&gt;&lt;/FQL&gt;&lt;FQL&gt;&lt;Q&gt;QQQ^FG_PRICE_MAVG(0,,,,60)&lt;/Q&gt;&lt;R&gt;1&lt;/R&gt;&lt;C&gt;1&lt;/C&gt;&lt;D xsi:type="xsd:double"&gt;473.74634&lt;/D&gt;&lt;/FQL&gt;&lt;FQL&gt;&lt;Q&gt;EWL^FMA_PCT_ABOVE_MAVG(200,0,,,,"PORTAGG")&lt;/Q&gt;&lt;R&gt;1&lt;/R&gt;&lt;C&gt;1&lt;/C&gt;&lt;D xsi:type="xsd:double"&gt;69.5652173913043&lt;/D&gt;&lt;/FQL&gt;&lt;FQL&gt;&lt;Q&gt;EWA^PERCENT_CHANGE(FMA_EPS(+1,0,,,,"PORTAGG","MEAN"),FMA_EPS(+1,-1AM,,,,"PORTAGG","MEAN"))&lt;/Q&gt;&lt;R&gt;1&lt;/R&gt;&lt;C&gt;1&lt;/C&gt;&lt;D xsi:type="xsd:double"&gt;2.63703871451277&lt;/D&gt;&lt;/FQL&gt;&lt;FQL&gt;&lt;Q&gt;EWN^FMA_COS_DOWN("EPS","1M",+1,0,,,"PORTAGG","MEANR")&lt;/Q&gt;&lt;R&gt;1&lt;/R&gt;&lt;C&gt;1&lt;/C&gt;&lt;D xsi:type="xsd:double"&gt;15&lt;/D&gt;&lt;/FQL&gt;&lt;FQL&gt;&lt;Q&gt;ENZL^FG_ROE(0)&lt;/Q&gt;&lt;R&gt;1&lt;/R&gt;&lt;C&gt;1&lt;/C&gt;&lt;D xsi:type="xsd:double"&gt;3.51391620621594&lt;/D&gt;&lt;/FQL&gt;&lt;FQL&gt;&lt;Q&gt;SPY^FG_COMPANY_NAME&lt;/Q&gt;&lt;R&gt;1&lt;/R&gt;&lt;C&gt;1&lt;/C&gt;&lt;D xsi:type="xsd:string"&gt;SPDR S&amp;amp;P 500 ETF Trust&lt;/D&gt;&lt;/FQL&gt;&lt;FQL&gt;&lt;Q&gt;REFJPTON-FDS^PROPER_NAME(0,,,"SECURITY","NAME")&lt;/Q&gt;&lt;R&gt;1&lt;/R&gt;&lt;C&gt;1&lt;/C&gt;&lt;D xsi:type="xsd:string"&gt;Japan Policy Rate&lt;/D&gt;&lt;/FQL&gt;&lt;FQL&gt;&lt;Q&gt;TRYAU10Y-FDS^PCTCHG(FG_YIELD(0,,,,"YTM"),FG_YIELD(-1AM,,,,"YTM"))&lt;/Q&gt;&lt;R&gt;1&lt;/R&gt;&lt;C&gt;1&lt;/C&gt;&lt;D xsi:type="xsd:double"&gt;-7.5952277&lt;/D&gt;&lt;/FQL&gt;&lt;FQL&gt;&lt;Q&gt;CC_US^IMF_IFS_RCPI_Q(0)&lt;/Q&gt;&lt;R&gt;1&lt;/R&gt;&lt;C&gt;1&lt;/C&gt;&lt;D xsi:type="xsd:double"&gt;3.19889&lt;/D&gt;&lt;/FQL&gt;&lt;FQL&gt;&lt;Q&gt;EWD^FMA_PE(LTM,0,,,"PORTAGG","MEANR")&lt;/Q&gt;&lt;R&gt;1&lt;/R&gt;&lt;C&gt;1&lt;/C&gt;&lt;D xsi:type="xsd:double"&gt;14.458363002666&lt;/D&gt;&lt;/FQL&gt;&lt;FQL&gt;&lt;Q&gt;EWG^FG_FCF_YIELD_NTM(0)&lt;/Q&gt;&lt;R&gt;1&lt;/R&gt;&lt;C&gt;1&lt;/C&gt;&lt;D xsi:type="xsd:double"&gt;5.82004337112773&lt;/D&gt;&lt;/FQL&gt;&lt;FQL&gt;&lt;Q&gt;UUP^FG_TOTAL_RETURNC(0,-1AM)&lt;/Q&gt;&lt;R&gt;1&lt;/R&gt;&lt;C&gt;1&lt;/C&gt;&lt;D xsi:type="xsd:double"&gt;-2.4567425&lt;/D&gt;&lt;/FQL&gt;&lt;FQL&gt;&lt;Q&gt;USDITL^FG_PRICE_CHANGE(0,-1AY)&lt;/Q&gt;&lt;R&gt;1&lt;/R&gt;&lt;C&gt;1&lt;/C&gt;&lt;D xsi:type="xsd:double"&gt;-2.1814704&lt;/D&gt;&lt;/FQL&gt;&lt;FQL&gt;&lt;Q&gt;USDEUR^STD(FG_PRICE_CHANGE(0,-3AY,M))&lt;/Q&gt;&lt;R&gt;1&lt;/R&gt;&lt;C&gt;1&lt;/C&gt;&lt;D xsi:type="xsd:double"&gt;2.14381117647125&lt;/D&gt;&lt;/FQL&gt;&lt;FQL&gt;&lt;Q&gt;USDAUD^FG_COMPANY_NAME&lt;/Q&gt;&lt;R&gt;1&lt;/R&gt;&lt;C&gt;1&lt;/C&gt;&lt;D xsi:type="xsd:string"&gt;Australian Dollar per U.S. Dollar&lt;/D&gt;&lt;/FQL&gt;&lt;FQL&gt;&lt;Q&gt;EWJ^FG_TOTAL_RETURNC(-10AY,0,AM)&lt;/Q&gt;&lt;R&gt;121&lt;/R&gt;&lt;C&gt;1&lt;/C&gt;&lt;D xsi:type="xsd:double"&gt;-3.04026&lt;/D&gt;&lt;D xsi:type="xsd:double"&gt;0.33898354&lt;/D&gt;&lt;D xsi:type="xsd:double"&gt;-3.7162185&lt;/D&gt;&lt;D xsi:type="xsd:double"&gt;1.9298315&lt;/D&gt;&lt;D xsi:type="xsd:double"&gt;-0.9696901&lt;/D&gt;&lt;D xsi:type="xsd:double"&gt;2.185309&lt;/D&gt;&lt;D xsi:type="xsd:double"&gt;5.6458592&lt;/D&gt;&lt;D xsi:type="xsd:double"&gt;3.076911&lt;/D&gt;&lt;D xsi:type="xsd:double"&gt;3.6920667&lt;/D&gt;&lt;D xsi:type="xsd:double"&gt;-1.1363626&lt;/D&gt;&lt;D xsi:type="xsd:double"&gt;-1.8059254&lt;/D&gt;&lt;D xsi:type="xsd:double"&gt;0.4705906&lt;/D&gt;&lt;D xsi:type="xsd:double"&gt;-3.9031982&lt;/D&gt;&lt;D xsi:type="xsd:double"&gt;-9.098303&lt;/D&gt;&lt;D xsi:type="xsd:double"&gt;10.634506&lt;/D&gt;&lt;D xsi:type="xsd:double"&gt;0.8077502&lt;/D&gt;&lt;D xsi:type="xsd:double"&gt;-0.6440878&lt;/D&gt;&lt;D xsi:type="xsd:double"&gt;-6.580019&lt;/D&gt;&lt;D xsi:type="xsd:double"&gt;-5.3043423&lt;/D&gt;&lt;D xsi:type="xsd:double"&gt;6.8870544&lt;/D&gt;&lt;D xsi:type="xsd:double"&gt;-1.8900394&lt;/D&gt;&lt;D xsi:type="xsd:double"&gt;2.4080515&lt;/D&gt;&lt;D xsi:type="xsd:double"&gt;-0.025248528&lt;/D&gt;&lt;D xsi:type="xsd:double"&gt;3.9655209&lt;/D&gt;&lt;D xsi:type="xsd:double"&gt;1.6583681&lt;/D&gt;&lt;D xsi:type="xsd:double"&gt;2.4469852&lt;/D&gt;&lt;D xsi:type="xsd:double"&gt;0.4777074&lt;/D&gt;&lt;D xsi:type="xsd:double"&gt;-1.0102987&lt;/D&gt;&lt;D xsi:type="xsd:double"&gt;-1.0340273&lt;/D&gt;&lt;D xsi:type="xsd:double"&gt;3.9893627&lt;/D&gt;&lt;D xsi:type="xsd:double"&gt;0.7869363&lt;/D&gt;&lt;D xsi:type="xsd:double"&gt;2.0300627&lt;/D&gt;&lt;D xsi:type="xsd:double"&gt;-0.78439116&lt;/D&gt;&lt;D xsi:type="xsd:double"&gt;2.545309&lt;/D&gt;&lt;D xsi:type="xsd:double"&gt;1.1930346&lt;/D&gt;&lt;D xsi:type="xsd:double"&gt;2.0759344&lt;/D&gt;&lt;D xsi:type="xsd:double"&gt;-0.49468875&lt;/D&gt;&lt;D xsi:type="xsd:double"&gt;2.5777936&lt;/D&gt;&lt;D xsi:type="xsd:double"&gt;4.864478&lt;/D&gt;&lt;D xsi:type="xsd:double"&gt;2.4477959&lt;/D&gt;&lt;D xsi:type="xsd:double"&gt;0.804615&lt;/D&gt;&lt;D xsi:type="xsd:double"&gt;6.9914937&lt;/D&gt;&lt;D xsi:type="xsd:double"&gt;-4.756713&lt;/D&gt;&lt;D xsi:type="xsd:double"&gt;-0.6386101&lt;/D&gt;&lt;D xsi:type="xsd:double"&gt;0.16479492&lt;/D&gt;&lt;D xsi:type="xsd:double"&gt;-1.7275393&lt;/D&gt;&lt;D xsi:type="xsd:double"&gt;-2.2877514&lt;/D&gt;&lt;D xsi:type="xsd:double"&gt;2.624762&lt;/D&gt;&lt;D xsi:type="xsd:double"&gt;-1.5480459&lt;/D&gt;&lt;D xsi:type="xsd:double"&gt;2.9396653&lt;/D&gt;&lt;D xsi:type="xsd:double"&gt;-11.223639&lt;/D&gt;&lt;D xsi:type="xsd:double"&gt;3.4037828&lt;/D&gt;&lt;D xsi:type="xsd:double"&gt;-7.4446735&lt;/D&gt;&lt;D xsi:type="xsd:double"&gt;5.51399&lt;/D&gt;&lt;D xsi:type="xsd:double"&gt;1.45576&lt;/D&gt;&lt;D xsi:type="xsd:double"&gt;0.6622553&lt;/D&gt;&lt;D xsi:type="xsd:double"&gt;1.6447306&lt;/D&gt;&lt;D xsi:type="xsd:double"&gt;-4.6206417&lt;/D&gt;&lt;D xsi:type="xsd:double"&gt;3.818202&lt;/D&gt;&lt;D xsi:type="xsd:double"&gt;0.29314756&lt;/D&gt;&lt;D xsi:type="xsd:double"&gt;-1.8085539&lt;/D&gt;&lt;D xsi:type="xsd:double"&gt;5.0790668&lt;/D&gt;&lt;D xsi:type="xsd:double"&gt;3.5941958&lt;/D&gt;&lt;D xsi:type="xsd:double"&gt;1.5723825&lt;/D&gt;&lt;D xsi:type="xsd:double"&gt;1.4429688&lt;/D&gt;&lt;D xsi:type="xsd:double"&gt;-1.325947&lt;/D&gt;&lt;D xsi:type="xsd:double"&gt;-9.916657&lt;/D&gt;&lt;D xsi:type="xsd:double"&gt;-5.2492437&lt;/D&gt;&lt;D xsi:type="xsd:double"&gt;6.1378956&lt;/D&gt;&lt;D xsi:type="xsd:double"&gt;4.036808&lt;/D&gt;&lt;D xsi:type="xsd:double"&gt;0.9290695&lt;/D&gt;&lt;D xsi:type="xsd:double"&gt;2.0547986&lt;/D&gt;&lt;D xsi:type="xsd:double"&gt;2.613914&lt;/D&gt;&lt;D xsi:type="xsd:double"&gt;2.4612784&lt;/D&gt;&lt;D xsi:type="xsd:double"&gt;-1.5958309&lt;/D&gt;&lt;D xsi:type="xsd:double"&gt;13.059068&lt;/D&gt;&lt;D xsi:type="xsd:double"&gt;2.0440698&lt;/D&gt;&lt;D xsi:type="xsd:double"&gt;-0.49020052&lt;/D&gt;&lt;D xsi:type="xsd:double"&gt;1.8360972&lt;/D&gt;&lt;D xsi:type="xsd:double"&gt;2.1547914&lt;/D&gt;&lt;D xsi:type="xsd:double"&gt;-2.3676276&lt;/D&gt;&lt;D xsi:type="xsd:double"&gt;0.79364777&lt;/D&gt;&lt;D xsi:type="xsd:double"&gt;0.16115904&lt;/D&gt;&lt;D xsi:type="xsd:double"&gt;-0.49861073&lt;/D&gt;&lt;D xsi:type="xsd:double"&gt;0.41267872&lt;/D&gt;&lt;D xsi:type="xsd:double"&gt;4.19786&lt;/D&gt;&lt;D xsi:type="xsd:double"&gt;-3.6483943&lt;/D&gt;&lt;D xsi:type="xsd:double"&gt;-1.8274844&lt;/D&gt;&lt;D xsi:type="xsd:double"&gt;1.2523055&lt;/D&gt;&lt;D xsi:type="xsd:double"&gt;-6.4828577&lt;/D&gt;&lt;D xsi:type="xsd:double"&gt;0.3027916&lt;/D&gt;&lt;D xsi:type="xsd:double"&gt;0.12711287&lt;/D&gt;&lt;D xsi:type="xsd:double"&gt;-10.155511&lt;/D&gt;&lt;D xsi:type="xsd:double"&gt;3.0377984&lt;/D&gt;&lt;D xsi:type="xsd:double"&gt;-8.420247&lt;/D&gt;&lt;D xsi:type="xsd:double"&gt;6.1236143&lt;/D&gt;&lt;D xsi:type="xsd:double"&gt;-4.024935&lt;/D&gt;&lt;D xsi:type="xsd:double"&gt;-8.59158&lt;/D&gt;&lt;D xsi:type="xsd:double"&gt;2.0706415&lt;/D&gt;&lt;D xsi:type="xsd:double"&gt;9.765315&lt;/D&gt;&lt;D xsi:type="xsd:double"&gt;-0.35886168&lt;/D&gt;&lt;D xsi:type="xsd:double"&gt;7.1988344&lt;/D&gt;&lt;D xsi:type="xsd:double"&gt;-4.896295&lt;/D&gt;&lt;D xsi:type="xsd:double"&gt;3.1641006&lt;/D&gt;&lt;D xsi:type="xsd:double"&gt;1.9580722&lt;/D&gt;&lt;D xsi:type="xsd:double"&gt;2.3963332&lt;/D&gt;&lt;D xsi:type="xsd:double"&gt;2.812028&lt;/D&gt;&lt;D xsi:type="xsd:double"&gt;3.5604&lt;/D&gt;&lt;D xsi:type="xsd:double"&gt;-4.0816364&lt;/D&gt;&lt;D xsi:type="xsd:double"&gt;-1.3256907&lt;/D&gt;&lt;D xsi:type="xsd:double"&gt;-4.0968657&lt;/D&gt;&lt;D xsi:type="xsd:double"&gt;8.076799&lt;/D&gt;&lt;D xsi:type="xsd:double"&gt;4.0871263&lt;/D&gt;&lt;D xsi:type="xsd:double"&gt;3.164947&lt;/D&gt;&lt;D xsi:type="xsd:double"&gt;4.458225&lt;/D&gt;&lt;D xsi:type="xsd:double"&gt;3.2262683&lt;/D&gt;&lt;D xsi:type="xsd:double"&gt;-5.059564&lt;/D&gt;&lt;D xsi:type="xsd:double"&gt;-0.39857626&lt;/D&gt;&lt;D xsi:type="xsd:double"&gt;1.8971324&lt;/D&gt;&lt;D xsi:type="xsd:double"&gt;0.8939028&lt;/D&gt;&lt;D xsi:type="xsd:double"&gt;3.9070487&lt;/D&gt;&lt;/FQL&gt;&lt;FQL&gt;&lt;Q&gt;EWN^FMA_PE(NTMA,-10AY,0,AM,"PORTAGG","MEANR")&lt;/Q&gt;&lt;R&gt;121&lt;/R&gt;&lt;C&gt;1&lt;/C&gt;&lt;D xsi:type="xsd:double"&gt;14.4572310569034&lt;/D&gt;&lt;D xsi:type="xsd:double"&gt;14.5620025690777&lt;/D&gt;&lt;D xsi:type="xsd:double"&gt;14.1098363733159&lt;/D&gt;&lt;D xsi:type="xsd:double"&gt;15.2708740916053&lt;/D&gt;&lt;D xsi:type="xsd:double"&gt;14.8867683997006&lt;/D&gt;&lt;D xsi:type="xsd:double"&gt;15.8007523497157&lt;/D&gt;&lt;D xsi:type="xsd:double"&gt;16.9244555464129&lt;/D&gt;&lt;D xsi:type="xsd:double"&gt;17.0369201402442&lt;/D&gt;&lt;D xsi:type="xsd:double"&gt;16.9328463610594&lt;/D&gt;&lt;D xsi:type="xsd:double"&gt;17.0008564848339&lt;/D&gt;&lt;D xsi:type="xsd:double"&gt;16.2948542030643&lt;/D&gt;&lt;D xsi:type="xsd:double"&gt;16.6806794611902&lt;/D&gt;&lt;D xsi:type="xsd:double"&gt;15.0305176997617&lt;/D&gt;&lt;D xsi:type="xsd:double"&gt;14.0706772265629&lt;/D&gt;&lt;D xsi:type="xsd:double"&gt;15.8316172124974&lt;/D&gt;&lt;D xsi:type="xsd:double"&gt;16.5384330968825&lt;/D&gt;&lt;D xsi:type="xsd:double"&gt;15.7856966229435&lt;/D&gt;&lt;D xsi:type="xsd:double"&gt;15.0778451205177&lt;/D&gt;&lt;D xsi:type="xsd:double"&gt;14.8648040793015&lt;/D&gt;&lt;D xsi:type="xsd:double"&gt;15.338114455432&lt;/D&gt;&lt;D xsi:type="xsd:double"&gt;14.946129809202&lt;/D&gt;&lt;D xsi:type="xsd:double"&gt;15.3805035896872&lt;/D&gt;&lt;D xsi:type="xsd:double"&gt;13.9333752763881&lt;/D&gt;&lt;D xsi:type="xsd:double"&gt;14.7851056451738&lt;/D&gt;&lt;D xsi:type="xsd:double"&gt;14.9005641092898&lt;/D&gt;&lt;D xsi:type="xsd:double"&gt;14.8637631844409&lt;/D&gt;&lt;D xsi:type="xsd:double"&gt;14.7948942973229&lt;/D&gt;&lt;D xsi:type="xsd:double"&gt;14.5388779245693&lt;/D&gt;&lt;D xsi:type="xsd:double"&gt;15.0211860973824&lt;/D&gt;&lt;D xsi:type="xsd:double"&gt;15.1461186354191&lt;/D&gt;&lt;D xsi:type="xsd:double"&gt;15.4775278626066&lt;/D&gt;&lt;D xsi:type="xsd:double"&gt;15.9578826740497&lt;/D&gt;&lt;D xsi:type="xsd:double"&gt;16.3456238317593&lt;/D&gt;&lt;D xsi:type="xsd:double"&gt;16.3547968889701&lt;/D&gt;&lt;D xsi:type="xsd:double"&gt;15.6565447300579&lt;/D&gt;&lt;D xsi:type="xsd:double"&gt;15.9790912658229&lt;/D&gt;&lt;D xsi:type="xsd:double"&gt;15.4645818309304&lt;/D&gt;&lt;D xsi:type="xsd:double"&gt;16.0204057170152&lt;/D&gt;&lt;D xsi:type="xsd:double"&gt;16.2565971851708&lt;/D&gt;&lt;D xsi:type="xsd:double"&gt;15.9505390881808&lt;/D&gt;&lt;D xsi:type="xsd:double"&gt;15.907886313488&lt;/D&gt;&lt;D xsi:type="xsd:double"&gt;16.3348402974721&lt;/D&gt;&lt;D xsi:type="xsd:double"&gt;15.6135502244024&lt;/D&gt;&lt;D xsi:type="xsd:double"&gt;15.3810444251276&lt;/D&gt;&lt;D xsi:type="xsd:double"&gt;15.677400198192&lt;/D&gt;&lt;D xsi:type="xsd:double"&gt;15.766916344569&lt;/D&gt;&lt;D xsi:type="xsd:double"&gt;15.5222598755721&lt;/D&gt;&lt;D xsi:type="xsd:double"&gt;16.0704301945225&lt;/D&gt;&lt;D xsi:type="xsd:double"&gt;15.645773743205&lt;/D&gt;&lt;D xsi:type="xsd:double"&gt;14.9443294080648&lt;/D&gt;&lt;D xsi:type="xsd:double"&gt;13.7694158149957&lt;/D&gt;&lt;D xsi:type="xsd:double"&gt;14.147776528876&lt;/D&gt;&lt;D xsi:type="xsd:double"&gt;12.9703594783904&lt;/D&gt;&lt;D xsi:type="xsd:double"&gt;14.0388660380348&lt;/D&gt;&lt;D xsi:type="xsd:double"&gt;14.8504332804713&lt;/D&gt;&lt;D xsi:type="xsd:double"&gt;15.1517121988869&lt;/D&gt;&lt;D xsi:type="xsd:double"&gt;15.7122487969033&lt;/D&gt;&lt;D xsi:type="xsd:double"&gt;14.924135570028&lt;/D&gt;&lt;D xsi:type="xsd:double"&gt;15.4834378485148&lt;/D&gt;&lt;D xsi:type="xsd:double"&gt;15.9277208265122&lt;/D&gt;&lt;D xsi:type="xsd:double"&gt;15.411123426451&lt;/D&gt;&lt;D xsi:type="xsd:double"&gt;16.184677901641&lt;/D&gt;&lt;D xsi:type="xsd:double"&gt;16.2848384764375&lt;/D&gt;&lt;D xsi:type="xsd:double"&gt;16.7305213072439&lt;/D&gt;&lt;D xsi:type="xsd:double"&gt;17.1821495250251&lt;/D&gt;&lt;D xsi:type="xsd:double"&gt;17.1793570029612&lt;/D&gt;&lt;D xsi:type="xsd:double"&gt;15.652215115505&lt;/D&gt;&lt;D xsi:type="xsd:double"&gt;13.7338412928161&lt;/D&gt;&lt;D xsi:type="xsd:double"&gt;17.5222016931927&lt;/D&gt;&lt;D xsi:type="xsd:double"&gt;18.4182831593396&lt;/D&gt;&lt;D xsi:type="xsd:double"&gt;19.3756801518124&lt;/D&gt;&lt;D xsi:type="xsd:double"&gt;19.8979876948291&lt;/D&gt;&lt;D xsi:type="xsd:double"&gt;19.8467330585131&lt;/D&gt;&lt;D xsi:type="xsd:double"&gt;19.2048976367134&lt;/D&gt;&lt;D xsi:type="xsd:double"&gt;18.6281736396446&lt;/D&gt;&lt;D xsi:type="xsd:double"&gt;20.734021447468&lt;/D&gt;&lt;D xsi:type="xsd:double"&gt;20.6487526606645&lt;/D&gt;&lt;D xsi:type="xsd:double"&gt;20.829866004697&lt;/D&gt;&lt;D xsi:type="xsd:double"&gt;21.4166993700112&lt;/D&gt;&lt;D xsi:type="xsd:double"&gt;22.2370681932719&lt;/D&gt;&lt;D xsi:type="xsd:double"&gt;22.0506622934872&lt;/D&gt;&lt;D xsi:type="xsd:double"&gt;21.2145092805885&lt;/D&gt;&lt;D xsi:type="xsd:double"&gt;21.469141563654&lt;/D&gt;&lt;D xsi:type="xsd:double"&gt;21.5707900107498&lt;/D&gt;&lt;D xsi:type="xsd:double"&gt;21.9161825784566&lt;/D&gt;&lt;D xsi:type="xsd:double"&gt;20.5655709939361&lt;/D&gt;&lt;D xsi:type="xsd:double"&gt;21.2075945846614&lt;/D&gt;&lt;D xsi:type="xsd:double"&gt;20.2830416368964&lt;/D&gt;&lt;D xsi:type="xsd:double"&gt;20.5309545626651&lt;/D&gt;&lt;D xsi:type="xsd:double"&gt;18.2780994873101&lt;/D&gt;&lt;D xsi:type="xsd:double"&gt;17.4728515755676&lt;/D&gt;&lt;D xsi:type="xsd:double"&gt;18.8062076996232&lt;/D&gt;&lt;D xsi:type="xsd:double"&gt;17.1899384650319&lt;/D&gt;&lt;D xsi:type="xsd:double"&gt;17.2613078155288&lt;/D&gt;&lt;D xsi:type="xsd:double"&gt;16.1421730596068&lt;/D&gt;&lt;D xsi:type="xsd:double"&gt;18.0284286033431&lt;/D&gt;&lt;D xsi:type="xsd:double"&gt;16.4638403813634&lt;/D&gt;&lt;D xsi:type="xsd:double"&gt;14.1424278736344&lt;/D&gt;&lt;D xsi:type="xsd:double"&gt;15.1512264680533&lt;/D&gt;&lt;D xsi:type="xsd:double"&gt;16.3786806604134&lt;/D&gt;&lt;D xsi:type="xsd:double"&gt;15.5759354883131&lt;/D&gt;&lt;D xsi:type="xsd:double"&gt;17.131947211805&lt;/D&gt;&lt;D xsi:type="xsd:double"&gt;16.4807481202809&lt;/D&gt;&lt;D xsi:type="xsd:double"&gt;16.2310795037391&lt;/D&gt;&lt;D xsi:type="xsd:double"&gt;15.8332249132083&lt;/D&gt;&lt;D xsi:type="xsd:double"&gt;15.9889947034409&lt;/D&gt;&lt;D xsi:type="xsd:double"&gt;15.7118938788891&lt;/D&gt;&lt;D xsi:type="xsd:double"&gt;16.3822686244203&lt;/D&gt;&lt;D xsi:type="xsd:double"&gt;14.8015866206495&lt;/D&gt;&lt;D xsi:type="xsd:double"&gt;13.6306146163874&lt;/D&gt;&lt;D xsi:type="xsd:double"&gt;13.1294577249204&lt;/D&gt;&lt;D xsi:type="xsd:double"&gt;14.6217548919958&lt;/D&gt;&lt;D xsi:type="xsd:double"&gt;15.1008577463554&lt;/D&gt;&lt;D xsi:type="xsd:double"&gt;15.8421886702625&lt;/D&gt;&lt;D xsi:type="xsd:double"&gt;16.3356494510167&lt;/D&gt;&lt;D xsi:type="xsd:double"&gt;16.3740894877925&lt;/D&gt;&lt;D xsi:type="xsd:double"&gt;15.8180026073579&lt;/D&gt;&lt;D xsi:type="xsd:double"&gt;16.1208022099742&lt;/D&gt;&lt;D xsi:type="xsd:double"&gt;16.1966806240122&lt;/D&gt;&lt;D xsi:type="xsd:double"&gt;15.3316719058278&lt;/D&gt;&lt;D xsi:type="xsd:double"&gt;15.1350552673232&lt;/D&gt;&lt;/FQL&gt;&lt;FQL&gt;&lt;Q&gt;CPALM-FDS^FG_PRICE_CHANGE(0,-1AY)&lt;/Q&gt;&lt;R&gt;1&lt;/R&gt;&lt;C&gt;1&lt;/C&gt;&lt;D xsi:type="xsd:double"&gt;6.47198105761642&lt;/D&gt;&lt;/FQL&gt;&lt;FQL&gt;&lt;Q&gt;BRENT-FDS^FG_PRICE(0)&lt;/Q&gt;&lt;R&gt;1&lt;/R&gt;&lt;C&gt;1&lt;/C&gt;&lt;D xsi:type="xsd:double"&gt;85.86&lt;/D&gt;&lt;/FQL&gt;&lt;FQL&gt;&lt;Q&gt;FC0000CH^FG_PRICE(0)&lt;/Q&gt;&lt;R&gt;1&lt;/R&gt;&lt;C&gt;1&lt;/C&gt;&lt;D xsi:type="xsd:double"&gt;359.43457&lt;/D&gt;&lt;/FQL&gt;&lt;FQL&gt;&lt;Q&gt;EWC^FG_PRICE(0)&lt;/Q&gt;&lt;R&gt;1&lt;/R&gt;&lt;C&gt;1&lt;/C&gt;&lt;D xsi:type="xsd:double"&gt;40.23&lt;/D&gt;&lt;/FQL&gt;&lt;FQL&gt;&lt;Q&gt;EWJ^FMA_PCT_ABOVE_MAVG(200,0,,,,"PORTAGG")&lt;/Q&gt;&lt;R&gt;1&lt;/R&gt;&lt;C&gt;1&lt;/C&gt;&lt;D xsi:type="xsd:double"&gt;52.4509803921569&lt;/D&gt;&lt;/FQL&gt;&lt;FQL&gt;&lt;Q&gt;EWD^PERCENT_CHANGE(FMA_EPS(+1,0,,,,"PORTAGG","MEAN"),FMA_EPS(+1,-3AM,,,,"PORTAGG","MEAN"))&lt;/Q&gt;&lt;R&gt;1&lt;/R&gt;&lt;C&gt;1&lt;/C&gt;&lt;D xsi:type="xsd:double"&gt;-2.15899537543031&lt;/D&gt;&lt;/FQL&gt;&lt;FQL&gt;&lt;Q&gt;SPY^FG_TOTAL_RETURNC(0,-12AM)&lt;/Q&gt;&lt;R&gt;1&lt;/R&gt;&lt;C&gt;1&lt;/C&gt;&lt;D xsi:type="xsd:double"&gt;26.058138&lt;/D&gt;&lt;/FQL&gt;&lt;FQL&gt;&lt;Q&gt;EWU^FG_TOTAL_RETURNC(0,-6AM)&lt;/Q&gt;&lt;R&gt;1&lt;/R&gt;&lt;C&gt;1&lt;/C&gt;&lt;D xsi:type="xsd:double"&gt;16.964113&lt;/D&gt;&lt;/FQL&gt;&lt;FQL&gt;&lt;Q&gt;EWC^FMA_PCT_ABOVE_MAVG(200,0,,,,"PORTAGG")&lt;/Q&gt;&lt;R&gt;1&lt;/R&gt;&lt;C&gt;1&lt;/C&gt;&lt;D xsi:type="xsd:double"&gt;79.5454545454545&lt;/D&gt;&lt;/FQL&gt;&lt;FQL&gt;&lt;Q&gt;FXI^FMA_COS_DOWN("EPS","1M",+1,0,,,"PORTAGG","MEANR")&lt;/Q&gt;&lt;R&gt;1&lt;/R&gt;&lt;C&gt;1&lt;/C&gt;&lt;D xsi:type="xsd:double"&gt;22&lt;/D&gt;&lt;/FQL&gt;&lt;FQL&gt;&lt;Q&gt;EWL^FMA_COS_UP("EPS","1M",+1,0,,,"PORTAGG","MEANR")&lt;/Q&gt;&lt;R&gt;1&lt;/R&gt;&lt;C&gt;1&lt;/C&gt;&lt;D xsi:type="xsd:double"&gt;20&lt;/D&gt;&lt;/FQL&gt;&lt;FQL&gt;&lt;Q&gt;TRYDE10Y-FDS^PCTCHG(FG_YIELD(0,,,,"YTM"),FG_YIELD(-3AM,,,,"YTM"))&lt;/Q&gt;&lt;R&gt;1&lt;/R&gt;&lt;C&gt;1&lt;/C&gt;&lt;D xsi:type="xsd:double"&gt;-14.962406&lt;/D&gt;&lt;/FQL&gt;&lt;FQL&gt;&lt;Q&gt;CC_NL^IMF_IFS_RCPI_Q(0)&lt;/Q&gt;&lt;R&gt;1&lt;/R&gt;&lt;C&gt;1&lt;/C&gt;&lt;D xsi:type="xsd:double"&gt;2.888117&lt;/D&gt;&lt;/FQL&gt;&lt;FQL&gt;&lt;Q&gt;EWL^FMA_EVAL_EBITDA(NTMA,0,,,"PORTAGG","MEANR")&lt;/Q&gt;&lt;R&gt;1&lt;/R&gt;&lt;C&gt;1&lt;/C&gt;&lt;D xsi:type="xsd:double"&gt;13.3796704428194&lt;/D&gt;&lt;/FQL&gt;&lt;FQL&gt;&lt;Q&gt;ENZL^FMA_PE(NTMA,0,,,"PORTAGG","MEANR")&lt;/Q&gt;&lt;R&gt;1&lt;/R&gt;&lt;C&gt;1&lt;/C&gt;&lt;D xsi:type="xsd:double"&gt;26.9779315862113&lt;/D&gt;&lt;/FQL&gt;&lt;FQL&gt;&lt;Q&gt;DBA^FG_TOTAL_RETURNC(0,-1AM)&lt;/Q&gt;&lt;R&gt;1&lt;/R&gt;&lt;C&gt;1&lt;/C&gt;&lt;D xsi:type="xsd:double"&gt;5.247569&lt;/D&gt;&lt;/FQL&gt;&lt;FQL&gt;&lt;Q&gt;TRYCN10Y-FDS^FG_YIELD(-10AY,0,Y,,"YTM")&lt;/Q&gt;&lt;R&gt;10&lt;/R&gt;&lt;C&gt;1&lt;/C&gt;&lt;D xsi:type="xsd:double"&gt;3.653331&lt;/D&gt;&lt;D xsi:type="xsd:double"&gt;2.901145&lt;/D&gt;&lt;D xsi:type="xsd:double"&gt;3.070911&lt;/D&gt;&lt;D xsi:type="xsd:double"&gt;3.93859&lt;/D&gt;&lt;D xsi:type="xsd:double"&gt;3.259862&lt;/D&gt;&lt;D xsi:type="xsd:double"&gt;3.197311&lt;/D&gt;&lt;D xsi:type="xsd:double"&gt;3.1948&lt;/D&gt;&lt;D xsi:type="xsd:double"&gt;2.7893&lt;/D&gt;&lt;D xsi:type="xsd:double"&gt;2.855&lt;/D&gt;&lt;D xsi:type="xsd:double"&gt;2.574&lt;/D&gt;&lt;/FQL&gt;&lt;FQL&gt;&lt;Q&gt;CAGDPY@DE^EE_ACTUAL_ANNUAL(MED,+1)&lt;/Q&gt;&lt;R&gt;1&lt;/R&gt;&lt;C&gt;1&lt;/C&gt;&lt;D xsi:type="xsd:double"&gt;6.5&lt;/D&gt;&lt;/FQL&gt;&lt;FQL&gt;&lt;Q&gt;USDCHF^FG_PRICE_CHANGE(0,-1AM)&lt;/Q&gt;&lt;R&gt;1&lt;/R&gt;&lt;C&gt;1&lt;/C&gt;&lt;D xsi:type="xsd:double"&gt;-4.2700768&lt;/D&gt;&lt;/FQL&gt;&lt;FQL&gt;&lt;Q&gt;USDGBP^FG_PRICE_CHANGE(0,-6AM)&lt;/Q&gt;&lt;R&gt;1&lt;/R&gt;&lt;C&gt;1&lt;/C&gt;&lt;D xsi:type="xsd:double"&gt;-3.8536131&lt;/D&gt;&lt;/FQL&gt;&lt;FQL&gt;&lt;Q&gt;EWI^P_PRICE_RETURNS_PR('52W',2,-10AY,0,AM)&lt;/Q&gt;&lt;R&gt;121&lt;/R&gt;&lt;C&gt;1&lt;/C&gt;&lt;D xsi:type="xsd:double"&gt;23.475147&lt;/D&gt;&lt;D xsi:type="xsd:double"&gt;11.969721&lt;/D&gt;&lt;D xsi:type="xsd:double"&gt;-5.8421016&lt;/D&gt;&lt;D xsi:type="xsd:double"&gt;-0.22152662&lt;/D&gt;&lt;D xsi:type="xsd:double"&gt;-8.489143&lt;/D&gt;&lt;D xsi:type="xsd:double"&gt;-8.985859&lt;/D&gt;&lt;D xsi:type="xsd:double"&gt;-7.9752026&lt;/D&gt;&lt;D xsi:type="xsd:double"&gt;-11.855668&lt;/D&gt;&lt;D xsi:type="xsd:double"&gt;-13.607436&lt;/D&gt;&lt;D xsi:type="xsd:double"&gt;-9.678167&lt;/D&gt;&lt;D xsi:type="xsd:double"&gt;-12.362808&lt;/D&gt;&lt;D xsi:type="xsd:double"&gt;-6.5526485&lt;/D&gt;&lt;D xsi:type="xsd:double"&gt;-4.593396&lt;/D&gt;&lt;D xsi:type="xsd:double"&gt;-8.11311&lt;/D&gt;&lt;D xsi:type="xsd:double"&gt;4.512751&lt;/D&gt;&lt;D xsi:type="xsd:double"&gt;-1.7036259&lt;/D&gt;&lt;D xsi:type="xsd:double"&gt;4.6542525&lt;/D&gt;&lt;D xsi:type="xsd:double"&gt;-11.686301&lt;/D&gt;&lt;D xsi:type="xsd:double"&gt;-22.62491&lt;/D&gt;&lt;D xsi:type="xsd:double"&gt;-16.152494&lt;/D&gt;&lt;D xsi:type="xsd:double"&gt;-14.819402&lt;/D&gt;&lt;D xsi:type="xsd:double"&gt;-20.105522&lt;/D&gt;&lt;D xsi:type="xsd:double"&gt;-26.769596&lt;/D&gt;&lt;D xsi:type="xsd:double"&gt;-24.699295&lt;/D&gt;&lt;D xsi:type="xsd:double"&gt;-22.38705&lt;/D&gt;&lt;D xsi:type="xsd:double"&gt;-20.23182&lt;/D&gt;&lt;D xsi:type="xsd:double"&gt;-22.044682&lt;/D&gt;&lt;D xsi:type="xsd:double"&gt;-23.258179&lt;/D&gt;&lt;D xsi:type="xsd:double"&gt;-11.731249&lt;/D&gt;&lt;D xsi:type="xsd:double"&gt;4.9610734&lt;/D&gt;&lt;D xsi:type="xsd:double"&gt;8.428764&lt;/D&gt;&lt;D xsi:type="xsd:double"&gt;9.225548&lt;/D&gt;&lt;D xsi:type="xsd:double"&gt;8.430576&lt;/D&gt;&lt;D xsi:type="xsd:double"&gt;19.481743&lt;/D&gt;&lt;D xsi:type="xsd:double"&gt;35.133232&lt;/D&gt;&lt;D xsi:type="xsd:double"&gt;38.44911&lt;/D&gt;&lt;D xsi:type="xsd:double"&gt;38.973618&lt;/D&gt;&lt;D xsi:type="xsd:double"&gt;49.05367&lt;/D&gt;&lt;D xsi:type="xsd:double"&gt;38.68921&lt;/D&gt;&lt;D xsi:type="xsd:double"&gt;48.17953&lt;/D&gt;&lt;D xsi:type="xsd:double"&gt;29.315483&lt;/D&gt;&lt;D xsi:type="xsd:double"&gt;43.25893&lt;/D&gt;&lt;D xsi:type="xsd:double"&gt;37.27392&lt;/D&gt;&lt;D xsi:type="xsd:double"&gt;27.778578&lt;/D&gt;&lt;D xsi:type="xsd:double"&gt;30.374468&lt;/D&gt;&lt;D xsi:type="xsd:double"&gt;4.152012&lt;/D&gt;&lt;D xsi:type="xsd:double"&gt;7.422316&lt;/D&gt;&lt;D xsi:type="xsd:double"&gt;2.7049303&lt;/D&gt;&lt;D xsi:type="xsd:double"&gt;-4.2876425&lt;/D&gt;&lt;D xsi:type="xsd:double"&gt;-8.064437&lt;/D&gt;&lt;D xsi:type="xsd:double"&gt;-15.440422&lt;/D&gt;&lt;D xsi:type="xsd:double"&gt;-14.6021&lt;/D&gt;&lt;D xsi:type="xsd:double"&gt;-18.146223&lt;/D&gt;&lt;D xsi:type="xsd:double"&gt;-20.7071&lt;/D&gt;&lt;D xsi:type="xsd:double"&gt;-10.856366&lt;/D&gt;&lt;D xsi:type="xsd:double"&gt;-10.003763&lt;/D&gt;&lt;D xsi:type="xsd:double"&gt;-13.236809&lt;/D&gt;&lt;D xsi:type="xsd:double"&gt;-4.8764825&lt;/D&gt;&lt;D xsi:type="xsd:double"&gt;1.1313915&lt;/D&gt;&lt;D xsi:type="xsd:double"&gt;-1.3710141&lt;/D&gt;&lt;D xsi:type="xsd:double"&gt;1.1341453&lt;/D&gt;&lt;D xsi:type="xsd:double"&gt;-0.16402006&lt;/D&gt;&lt;D xsi:type="xsd:double"&gt;20.288158&lt;/D&gt;&lt;D xsi:type="xsd:double"&gt;18.874609&lt;/D&gt;&lt;D xsi:type="xsd:double"&gt;27.327358&lt;/D&gt;&lt;D xsi:type="xsd:double"&gt;18.80529&lt;/D&gt;&lt;D xsi:type="xsd:double"&gt;4.545784&lt;/D&gt;&lt;D xsi:type="xsd:double"&gt;-22.178047&lt;/D&gt;&lt;D xsi:type="xsd:double"&gt;-20.051252&lt;/D&gt;&lt;D xsi:type="xsd:double"&gt;-11.14881&lt;/D&gt;&lt;D xsi:type="xsd:double"&gt;-10.696613&lt;/D&gt;&lt;D xsi:type="xsd:double"&gt;-4.471588&lt;/D&gt;&lt;D xsi:type="xsd:double"&gt;-0.28297305&lt;/D&gt;&lt;D xsi:type="xsd:double"&gt;-8.819753&lt;/D&gt;&lt;D xsi:type="xsd:double"&gt;-19.067562&lt;/D&gt;&lt;D xsi:type="xsd:double"&gt;1.6799212&lt;/D&gt;&lt;D xsi:type="xsd:double"&gt;2.121544&lt;/D&gt;&lt;D xsi:type="xsd:double"&gt;-2.454573&lt;/D&gt;&lt;D xsi:type="xsd:double"&gt;9.492564&lt;/D&gt;&lt;D xsi:type="xsd:double"&gt;54.491364&lt;/D&gt;&lt;D xsi:type="xsd:double"&gt;51.87608&lt;/D&gt;&lt;D xsi:type="xsd:double"&gt;52.548027&lt;/D&gt;&lt;D xsi:type="xsd:double"&gt;37.97301&lt;/D&gt;&lt;D xsi:type="xsd:double"&gt;28.601456&lt;/D&gt;&lt;D xsi:type="xsd:double"&gt;30.856407&lt;/D&gt;&lt;D xsi:type="xsd:double"&gt;32.588566&lt;/D&gt;&lt;D xsi:type="xsd:double"&gt;49.4668&lt;/D&gt;&lt;D xsi:type="xsd:double"&gt;11.126089&lt;/D&gt;&lt;D xsi:type="xsd:double"&gt;13.898206&lt;/D&gt;&lt;D xsi:type="xsd:double"&gt;13.420189&lt;/D&gt;&lt;D xsi:type="xsd:double"&gt;3.7928224&lt;/D&gt;&lt;D xsi:type="xsd:double"&gt;-1.8767715&lt;/D&gt;&lt;D xsi:type="xsd:double"&gt;-12.383991&lt;/D&gt;&lt;D xsi:type="xsd:double"&gt;-11.168587&lt;/D&gt;&lt;D xsi:type="xsd:double"&gt;-21.908987&lt;/D&gt;&lt;D xsi:type="xsd:double"&gt;-21.22957&lt;/D&gt;&lt;D xsi:type="xsd:double"&gt;-25.326134&lt;/D&gt;&lt;D xsi:type="xsd:double"&gt;-29.421885&lt;/D&gt;&lt;D xsi:type="xsd:double"&gt;-24.647617&lt;/D&gt;&lt;D xsi:type="xsd:double"&gt;-9.9261465&lt;/D&gt;&lt;D xsi:type="xsd:double"&gt;-13.230139&lt;/D&gt;&lt;D xsi:type="xsd:double"&gt;-1.5193403&lt;/D&gt;&lt;D xsi:type="xsd:double"&gt;3.789258&lt;/D&gt;&lt;D xsi:type="xsd:double"&gt;4.723704&lt;/D&gt;&lt;D xsi:type="xsd:double"&gt;19.618881&lt;/D&gt;&lt;D xsi:type="xsd:double"&gt;10.455645&lt;/D&gt;&lt;D xsi:type="xsd:double"&gt;33.676563&lt;/D&gt;&lt;D xsi:type="xsd:double"&gt;44.569004&lt;/D&gt;&lt;D xsi:type="xsd:double"&gt;43.329193&lt;/D&gt;&lt;D xsi:type="xsd:double"&gt;47.208332&lt;/D&gt;&lt;D xsi:type="xsd:double"&gt;25.64001&lt;/D&gt;&lt;D xsi:type="xsd:double"&gt;25.86584&lt;/D&gt;&lt;D xsi:type="xsd:double"&gt;28.84742&lt;/D&gt;&lt;D xsi:type="xsd:double"&gt;14.950884&lt;/D&gt;&lt;D xsi:type="xsd:double"&gt;23.174942&lt;/D&gt;&lt;D xsi:type="xsd:double"&gt;31.894516&lt;/D&gt;&lt;D xsi:type="xsd:double"&gt;22.29346&lt;/D&gt;&lt;D xsi:type="xsd:double"&gt;29.793512&lt;/D&gt;&lt;D xsi:type="xsd:double"&gt;19.349766&lt;/D&gt;&lt;D xsi:type="xsd:double"&gt;15.499842&lt;/D&gt;&lt;D xsi:type="xsd:double"&gt;23.608112&lt;/D&gt;&lt;/FQL&gt;&lt;FQL&gt;&lt;Q&gt;EWA^FMA_PE(LTMA,-10AY,0,AM,"PORTAGG","MEANR")&lt;/Q&gt;&lt;R&gt;121&lt;/R&gt;&lt;C&gt;1&lt;/C&gt;&lt;D xsi:type="xsd:double"&gt;15.4733873600374&lt;/D&gt;&lt;D xsi:type="xsd:double"&gt;14.5961301241015&lt;/D&gt;&lt;D xsi:type="xsd:double"&gt;15.2141219912311&lt;/D&gt;&lt;D xsi:type="xsd:double"&gt;14.6159399654796&lt;/D&gt;&lt;D xsi:type="xsd:double"&gt;14.7635267168464&lt;/D&gt;&lt;D xsi:type="xsd:double"&gt;15.1357973539842&lt;/D&gt;&lt;D xsi:type="xsd:double"&gt;16.2153413101021&lt;/D&gt;&lt;D xsi:type="xsd:double"&gt;16.2704960022116&lt;/D&gt;&lt;D xsi:type="xsd:double"&gt;16.3769811669073&lt;/D&gt;&lt;D xsi:type="xsd:double"&gt;16.2684044607572&lt;/D&gt;&lt;D xsi:type="xsd:double"&gt;15.8155830902183&lt;/D&gt;&lt;D xsi:type="xsd:double"&gt;16.0530313640782&lt;/D&gt;&lt;D xsi:type="xsd:double"&gt;15.6147021055695&lt;/D&gt;&lt;D xsi:type="xsd:double"&gt;14.8242916783018&lt;/D&gt;&lt;D xsi:type="xsd:double"&gt;15.7171705523667&lt;/D&gt;&lt;D xsi:type="xsd:double"&gt;15.5527377319771&lt;/D&gt;&lt;D xsi:type="xsd:double"&gt;15.9081351855028&lt;/D&gt;&lt;D xsi:type="xsd:double"&gt;15.2110112431526&lt;/D&gt;&lt;D xsi:type="xsd:double"&gt;14.9240656400827&lt;/D&gt;&lt;D xsi:type="xsd:double"&gt;15.0880233678482&lt;/D&gt;&lt;D xsi:type="xsd:double"&gt;15.4385687174031&lt;/D&gt;&lt;D xsi:type="xsd:double"&gt;15.7921363274939&lt;/D&gt;&lt;D xsi:type="xsd:double"&gt;15.5954972679473&lt;/D&gt;&lt;D xsi:type="xsd:double"&gt;16.4563314824928&lt;/D&gt;&lt;D xsi:type="xsd:double"&gt;16.583723757557&lt;/D&gt;&lt;D xsi:type="xsd:double"&gt;16.7947288184605&lt;/D&gt;&lt;D xsi:type="xsd:double"&gt;16.6421835543836&lt;/D&gt;&lt;D xsi:type="xsd:double"&gt;17.2185865277872&lt;/D&gt;&lt;D xsi:type="xsd:double"&gt;17.8138595435939&lt;/D&gt;&lt;D xsi:type="xsd:double"&gt;17.7601050248075&lt;/D&gt;&lt;D xsi:type="xsd:double"&gt;17.525706890154&lt;/D&gt;&lt;D xsi:type="xsd:double"&gt;17.4073042903264&lt;/D&gt;&lt;D xsi:type="xsd:double"&gt;17.3031016060056&lt;/D&gt;&lt;D xsi:type="xsd:double"&gt;16.9521872566133&lt;/D&gt;&lt;D xsi:type="xsd:double"&gt;16.9284877002563&lt;/D&gt;&lt;D xsi:type="xsd:double"&gt;16.7875724538525&lt;/D&gt;&lt;D xsi:type="xsd:double"&gt;16.5831790105752&lt;/D&gt;&lt;D xsi:type="xsd:double"&gt;16.3183191989285&lt;/D&gt;&lt;D xsi:type="xsd:double"&gt;16.629462206132&lt;/D&gt;&lt;D xsi:type="xsd:double"&gt;16.6966004821647&lt;/D&gt;&lt;D xsi:type="xsd:double"&gt;16.8278911331571&lt;/D&gt;&lt;D xsi:type="xsd:double"&gt;16.8707031856989&lt;/D&gt;&lt;D xsi:type="xsd:double"&gt;16.5525904197488&lt;/D&gt;&lt;D xsi:type="xsd:double"&gt;16.2815090514869&lt;/D&gt;&lt;D xsi:type="xsd:double"&gt;16.277084815913&lt;/D&gt;&lt;D xsi:type="xsd:double"&gt;16.1945941939155&lt;/D&gt;&lt;D xsi:type="xsd:double"&gt;16.2800875614586&lt;/D&gt;&lt;D xsi:type="xsd:double"&gt;16.3664375721876&lt;/D&gt;&lt;D xsi:type="xsd:double"&gt;16.4299544215423&lt;/D&gt;&lt;D xsi:type="xsd:double"&gt;16.0770105289925&lt;/D&gt;&lt;D xsi:type="xsd:double"&gt;15.048440167459&lt;/D&gt;&lt;D xsi:type="xsd:double"&gt;15.1109300767556&lt;/D&gt;&lt;D xsi:type="xsd:double"&gt;14.6610893714583&lt;/D&gt;&lt;D xsi:type="xsd:double"&gt;15.2374801884914&lt;/D&gt;&lt;D xsi:type="xsd:double"&gt;15.9106076548454&lt;/D&gt;&lt;D xsi:type="xsd:double"&gt;15.8666437464871&lt;/D&gt;&lt;D xsi:type="xsd:double"&gt;15.891415100285&lt;/D&gt;&lt;D xsi:type="xsd:double"&gt;15.9667925139671&lt;/D&gt;&lt;D xsi:type="xsd:double"&gt;16.2586098308163&lt;/D&gt;&lt;D xsi:type="xsd:double"&gt;16.5273083025702&lt;/D&gt;&lt;D xsi:type="xsd:double"&gt;16.2495305438143&lt;/D&gt;&lt;D xsi:type="xsd:double"&gt;16.8614052269742&lt;/D&gt;&lt;D xsi:type="xsd:double"&gt;17.3732494013321&lt;/D&gt;&lt;D xsi:type="xsd:double"&gt;17.7420544225867&lt;/D&gt;&lt;D xsi:type="xsd:double"&gt;18.0649174893238&lt;/D&gt;&lt;D xsi:type="xsd:double"&gt;18.522988237959&lt;/D&gt;&lt;D xsi:type="xsd:double"&gt;16.946384516145&lt;/D&gt;&lt;D xsi:type="xsd:double"&gt;16.1583348406845&lt;/D&gt;&lt;D xsi:type="xsd:double"&gt;17.188573928989&lt;/D&gt;&lt;D xsi:type="xsd:double"&gt;17.937792407827&lt;/D&gt;&lt;D xsi:type="xsd:double"&gt;18.251138983775&lt;/D&gt;&lt;D xsi:type="xsd:double"&gt;19.094502079276&lt;/D&gt;&lt;D xsi:type="xsd:double"&gt;19.8242357548298&lt;/D&gt;&lt;D xsi:type="xsd:double"&gt;19.4229613966267&lt;/D&gt;&lt;D xsi:type="xsd:double"&gt;19.5837607562288&lt;/D&gt;&lt;D xsi:type="xsd:double"&gt;22.2236447314244&lt;/D&gt;&lt;D xsi:type="xsd:double"&gt;23.2287991643691&lt;/D&gt;&lt;D xsi:type="xsd:double"&gt;22.4120238044229&lt;/D&gt;&lt;D xsi:type="xsd:double"&gt;21.8034729969148&lt;/D&gt;&lt;D xsi:type="xsd:double"&gt;21.3487693534007&lt;/D&gt;&lt;D xsi:type="xsd:double"&gt;21.0809551300924&lt;/D&gt;&lt;D xsi:type="xsd:double"&gt;20.7408731655517&lt;/D&gt;&lt;D xsi:type="xsd:double"&gt;20.0041356933885&lt;/D&gt;&lt;D xsi:type="xsd:double"&gt;19.2911895708631&lt;/D&gt;&lt;D xsi:type="xsd:double"&gt;19.1099665254231&lt;/D&gt;&lt;D xsi:type="xsd:double"&gt;18.2409936104833&lt;/D&gt;&lt;D xsi:type="xsd:double"&gt;18.5560764677824&lt;/D&gt;&lt;D xsi:type="xsd:double"&gt;17.5113186025618&lt;/D&gt;&lt;D xsi:type="xsd:double"&gt;17.984988231512&lt;/D&gt;&lt;D xsi:type="xsd:double"&gt;16.5087695489396&lt;/D&gt;&lt;D xsi:type="xsd:double"&gt;15.6714131906656&lt;/D&gt;&lt;D xsi:type="xsd:double"&gt;15.8160773664&lt;/D&gt;&lt;D xsi:type="xsd:double"&gt;15.4451641663444&lt;/D&gt;&lt;D xsi:type="xsd:double"&gt;15.0647434703676&lt;/D&gt;&lt;D xsi:type="xsd:double"&gt;14.2294591560027&lt;/D&gt;&lt;D xsi:type="xsd:double"&gt;14.5092909327015&lt;/D&gt;&lt;D xsi:type</t>
        </r>
      </text>
    </comment>
    <comment ref="A6" authorId="0" shapeId="0" xr:uid="{39A03008-F0B8-432A-B3C2-EBE70B96C3DC}">
      <text>
        <r>
          <rPr>
            <b/>
            <sz val="9"/>
            <color indexed="81"/>
            <rFont val="Tahoma"/>
            <charset val="1"/>
          </rPr>
          <t>="xsd:double"&gt;14.3954358429505&lt;/D&gt;&lt;D xsi:type="xsd:double"&gt;13.3645992405474&lt;/D&gt;&lt;D xsi:type="xsd:double"&gt;13.4469785819856&lt;/D&gt;&lt;D xsi:type="xsd:double"&gt;14.3949187462944&lt;/D&gt;&lt;D xsi:type="xsd:double"&gt;14.0093594396004&lt;/D&gt;&lt;D xsi:type="xsd:double"&gt;14.9598157496564&lt;/D&gt;&lt;D xsi:type="xsd:double"&gt;14.2663938470017&lt;/D&gt;&lt;D xsi:type="xsd:double"&gt;14.1677267237398&lt;/D&gt;&lt;D xsi:type="xsd:double"&gt;14.3273091999696&lt;/D&gt;&lt;D xsi:type="xsd:double"&gt;14.2076625511532&lt;/D&gt;&lt;D xsi:type="xsd:double"&gt;14.5651627761759&lt;/D&gt;&lt;D xsi:type="xsd:double"&gt;15.1005216213547&lt;/D&gt;&lt;D xsi:type="xsd:double"&gt;14.9933003856191&lt;/D&gt;&lt;D xsi:type="xsd:double"&gt;14.8131305964158&lt;/D&gt;&lt;D xsi:type="xsd:double"&gt;14.4537759211948&lt;/D&gt;&lt;D xsi:type="xsd:double"&gt;15.1246224803107&lt;/D&gt;&lt;D xsi:type="xsd:double"&gt;16.5692900489886&lt;/D&gt;&lt;D xsi:type="xsd:double"&gt;16.4605107920572&lt;/D&gt;&lt;D xsi:type="xsd:double"&gt;16.6062394324781&lt;/D&gt;&lt;D xsi:type="xsd:double"&gt;16.674841958028&lt;/D&gt;&lt;D xsi:type="xsd:double"&gt;16.5771359977151&lt;/D&gt;&lt;D xsi:type="xsd:double"&gt;16.6245779381113&lt;/D&gt;&lt;D xsi:type="xsd:double"&gt;16.8533812611703&lt;/D&gt;&lt;D xsi:type="xsd:double"&gt;17.1766958123496&lt;/D&gt;&lt;D xsi:type="xsd:double"&gt;17.5588432214612&lt;/D&gt;&lt;/FQL&gt;&lt;FQL&gt;&lt;Q&gt;PASP-FDS^FG_PRICE_CHANGE(0,-3AM)&lt;/Q&gt;&lt;R&gt;1&lt;/R&gt;&lt;C&gt;1&lt;/C&gt;&lt;D xsi:type="xsd:double"&gt;-0.206825232678387&lt;/D&gt;&lt;/FQL&gt;&lt;FQL&gt;&lt;Q&gt;COPP-FDS^FG_PRICE_CHANGE(0,-1AY)&lt;/Q&gt;&lt;R&gt;1&lt;/R&gt;&lt;C&gt;1&lt;/C&gt;&lt;D xsi:type="xsd:double"&gt;9.34616398629053&lt;/D&gt;&lt;/FQL&gt;&lt;FQL&gt;&lt;Q&gt;QQQ^FG_PRICE(0)&lt;/Q&gt;&lt;R&gt;1&lt;/R&gt;&lt;C&gt;1&lt;/C&gt;&lt;D xsi:type="xsd:double"&gt;470.66&lt;/D&gt;&lt;/FQL&gt;&lt;FQL&gt;&lt;Q&gt;FXI^PERCENT_CHANGE(FMA_EPS(+1,0,,,,"PORTAGG","MEAN"),FMA_EPS(+1,-3AM,,,,"PORTAGG","MEAN"))&lt;/Q&gt;&lt;R&gt;1&lt;/R&gt;&lt;C&gt;1&lt;/C&gt;&lt;D xsi:type="xsd:double"&gt;4.5289069572635&lt;/D&gt;&lt;/FQL&gt;&lt;FQL&gt;&lt;Q&gt;VGK^FG_TOTAL_RETURNC(0,-6AM)&lt;/Q&gt;&lt;R&gt;1&lt;/R&gt;&lt;C&gt;1&lt;/C&gt;&lt;D xsi:type="xsd:double"&gt;10.790992&lt;/D&gt;&lt;/FQL&gt;&lt;FQL&gt;&lt;Q&gt;EWJ^PERCENT_CHANGE(FMA_EPS(+1,0,,,,"PORTAGG","MEAN"),FMA_EPS(+1,-1AM,,,,"PORTAGG","MEAN"))&lt;/Q&gt;&lt;R&gt;1&lt;/R&gt;&lt;C&gt;1&lt;/C&gt;&lt;D xsi:type="xsd:double"&gt;7.38211210464584&lt;/D&gt;&lt;/FQL&gt;&lt;FQL&gt;&lt;Q&gt;ENZL^FMA_RBICS_REV_CURRENT(30, LOC, "PORTAGG")&lt;/Q&gt;&lt;R&gt;1&lt;/R&gt;&lt;C&gt;1&lt;/C&gt;&lt;D xsi:type="xsd:double"&gt;14.3368259139163&lt;/D&gt;&lt;/FQL&gt;&lt;FQL&gt;&lt;Q&gt;TRYCH10Y-FDS^FG_YIELD_NAME&lt;/Q&gt;&lt;R&gt;1&lt;/R&gt;&lt;C&gt;1&lt;/C&gt;&lt;D xsi:type="xsd:string"&gt;Treasury - Switzerland Benchmark Bond 10Y&lt;/D&gt;&lt;/FQL&gt;&lt;FQL&gt;&lt;Q&gt;REFGBBANK-FDS^FG_YIELD(NOW,,,0)&lt;/Q&gt;&lt;R&gt;1&lt;/R&gt;&lt;C&gt;1&lt;/C&gt;&lt;D xsi:type="xsd:double"&gt;5&lt;/D&gt;&lt;/FQL&gt;&lt;FQL&gt;&lt;Q&gt;TRYUS10Y-FDS^FG_YIELD(0,,,,"YTM")&lt;/Q&gt;&lt;R&gt;1&lt;/R&gt;&lt;C&gt;1&lt;/C&gt;&lt;D xsi:type="xsd:double"&gt;3.8682&lt;/D&gt;&lt;/FQL&gt;&lt;FQL&gt;&lt;Q&gt;VGK^FMA_EVAL_EBITDA(NTMA,0,,,"PORTAGG","MEANR")&lt;/Q&gt;&lt;R&gt;1&lt;/R&gt;&lt;C&gt;1&lt;/C&gt;&lt;D xsi:type="xsd:double"&gt;8.86146203585589&lt;/D&gt;&lt;/FQL&gt;&lt;FQL&gt;&lt;Q&gt;EWD^JULIAN(FMA_DIV_YLD(NTMA,NOW,NOW,M,"PORTAGG","MEANR").DATES)&lt;/Q&gt;&lt;R&gt;1&lt;/R&gt;&lt;C&gt;1&lt;/C&gt;&lt;D xsi:type="xsd:long"&gt;45530&lt;/D&gt;&lt;/FQL&gt;&lt;FQL&gt;&lt;Q&gt;SPY^FMA_PE(NTMA,0,,,"PORTAGG","MEANR")&lt;/Q&gt;&lt;R&gt;1&lt;/R&gt;&lt;C&gt;1&lt;/C&gt;&lt;D xsi:type="xsd:double"&gt;21.2102191675657&lt;/D&gt;&lt;/FQL&gt;&lt;FQL&gt;&lt;Q&gt;EWC^FMA_EVAL_EBIT(LTMA,NOW,NOW,M,"PORTAGG","MEANR")&lt;/Q&gt;&lt;R&gt;1&lt;/R&gt;&lt;C&gt;1&lt;/C&gt;&lt;D xsi:type="xsd:double"&gt;16.1163345071399&lt;/D&gt;&lt;/FQL&gt;&lt;FQL&gt;&lt;Q&gt;VWO^FG_TOTAL_RETURNC(0,-1AM)&lt;/Q&gt;&lt;R&gt;1&lt;/R&gt;&lt;C&gt;1&lt;/C&gt;&lt;D xsi:type="xsd:double"&gt;2.3640037&lt;/D&gt;&lt;/FQL&gt;&lt;FQL&gt;&lt;Q&gt;USDEUR^STD(FG_PRICE_CHANGE(0,-1AY,AM))&lt;/Q&gt;&lt;R&gt;1&lt;/R&gt;&lt;C&gt;1&lt;/C&gt;&lt;D xsi:type="xsd:double"&gt;1.73448492137318&lt;/D&gt;&lt;/FQL&gt;&lt;FQL&gt;&lt;Q&gt;USDNZD^STD(FG_PRICE_CHANGE(0,-3AY,M))&lt;/Q&gt;&lt;R&gt;1&lt;/R&gt;&lt;C&gt;1&lt;/C&gt;&lt;D xsi:type="xsd:double"&gt;3.47996847402444&lt;/D&gt;&lt;/FQL&gt;&lt;FQL&gt;&lt;Q&gt;CPALM-FDS^FG_PRICE_CHANGE(0,-6AM)&lt;/Q&gt;&lt;R&gt;1&lt;/R&gt;&lt;C&gt;1&lt;/C&gt;&lt;D xsi:type="xsd:double"&gt;0.54658385093167&lt;/D&gt;&lt;/FQL&gt;&lt;FQL&gt;&lt;Q&gt;EWI^FG_PRICE_MAVG(0,,,,200)&lt;/Q&gt;&lt;R&gt;1&lt;/R&gt;&lt;C&gt;1&lt;/C&gt;&lt;D xsi:type="xsd:double"&gt;35.89065&lt;/D&gt;&lt;/FQL&gt;&lt;FQL&gt;&lt;Q&gt;EWA^FG_PRICE_MAVG(0,,,,200)&lt;/Q&gt;&lt;R&gt;1&lt;/R&gt;&lt;C&gt;1&lt;/C&gt;&lt;D xsi:type="xsd:double"&gt;24.09465&lt;/D&gt;&lt;/FQL&gt;&lt;FQL&gt;&lt;Q&gt;URTH^P_PRICE(0)/P_PRICE_LOW_PR(0,,,,,,"PRICE","INTRA","52W")-1&lt;/Q&gt;&lt;R&gt;1&lt;/R&gt;&lt;C&gt;1&lt;/C&gt;&lt;D xsi:type="xsd:double"&gt;0.33356595&lt;/D&gt;&lt;/FQL&gt;&lt;FQL&gt;&lt;Q&gt;EWD^FMA_PCT_ABOVE_MAVG(200,0,,,,"PORTAGG")&lt;/Q&gt;&lt;R&gt;1&lt;/R&gt;&lt;C&gt;1&lt;/C&gt;&lt;D xsi:type="xsd:double"&gt;68.1818181818182&lt;/D&gt;&lt;/FQL&gt;&lt;FQL&gt;&lt;Q&gt;EWA^FG_TOTAL_RETURNC(0,-12AM)&lt;/Q&gt;&lt;R&gt;1&lt;/R&gt;&lt;C&gt;1&lt;/C&gt;&lt;D xsi:type="xsd:double"&gt;22.535181&lt;/D&gt;&lt;/FQL&gt;&lt;FQL&gt;&lt;Q&gt;FXI^FMA_COS_UP("EPS","1M",+1,0,,,"PORTAGG","MEANR")&lt;/Q&gt;&lt;R&gt;1&lt;/R&gt;&lt;C&gt;1&lt;/C&gt;&lt;D xsi:type="xsd:double"&gt;23&lt;/D&gt;&lt;/FQL&gt;&lt;FQL&gt;&lt;Q&gt;TRYIT10Y-FDS^PCTCHG(FG_YIELD(0,,,,"YTM"),FG_YIELD(-3AM,,,,"YTM"))&lt;/Q&gt;&lt;R&gt;1&lt;/R&gt;&lt;C&gt;1&lt;/C&gt;&lt;D xsi:type="xsd:double"&gt;-8.15915&lt;/D&gt;&lt;/FQL&gt;&lt;FQL&gt;&lt;Q&gt;TRYDE10Y-FDS^PCTCHG(FG_YIELD(0,,,,"YTM"),FG_YIELD(-1AM,,,,"YTM"))&lt;/Q&gt;&lt;R&gt;1&lt;/R&gt;&lt;C&gt;1&lt;/C&gt;&lt;D xsi:type="xsd:double"&gt;-4.2742205&lt;/D&gt;&lt;/FQL&gt;&lt;FQL&gt;&lt;Q&gt;CC_FR^IMF_IFS_RCPI_Q(0)&lt;/Q&gt;&lt;R&gt;1&lt;/R&gt;&lt;C&gt;1&lt;/C&gt;&lt;D xsi:type="xsd:double"&gt;2.2093682&lt;/D&gt;&lt;/FQL&gt;&lt;FQL&gt;&lt;Q&gt;VGK^FG_FCF_YIELD_NTM(0)&lt;/Q&gt;&lt;R&gt;1&lt;/R&gt;&lt;C&gt;1&lt;/C&gt;&lt;D xsi:type="xsd:double"&gt;5.28335888617342&lt;/D&gt;&lt;/FQL&gt;&lt;FQL&gt;&lt;Q&gt;EWL^FG_FCF_YIELD_NTM(0)&lt;/Q&gt;&lt;R&gt;1&lt;/R&gt;&lt;C&gt;1&lt;/C&gt;&lt;D xsi:type="xsd:double"&gt;4.67034597400495&lt;/D&gt;&lt;/FQL&gt;&lt;FQL&gt;&lt;Q&gt;QQQ^FG_TOTAL_RETURNC(0,-6AM)&lt;/Q&gt;&lt;R&gt;1&lt;/R&gt;&lt;C&gt;1&lt;/C&gt;&lt;D xsi:type="xsd:double"&gt;7.52486&lt;/D&gt;&lt;/FQL&gt;&lt;FQL&gt;&lt;Q&gt;TRY10Y-FDS^FG_YIELD(-10AY,0,Y,,"YTM")&lt;/Q&gt;&lt;R&gt;10&lt;/R&gt;&lt;C&gt;1&lt;/C&gt;&lt;D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xsi:type="xsd:string"&gt;@NA&lt;/D&gt;&lt;/FQL&gt;&lt;FQL&gt;&lt;Q&gt;CAGDPY@DE^EE_ACTUAL_ANNUAL(MED,0)&lt;/Q&gt;&lt;R&gt;1&lt;/R&gt;&lt;C&gt;1&lt;/C&gt;&lt;D xsi:type="xsd:double"&gt;6.06252463833905&lt;/D&gt;&lt;/FQL&gt;&lt;FQL&gt;&lt;Q&gt;USDSEK^STD(FG_PRICE_CHANGE(0,-3AY,M))&lt;/Q&gt;&lt;R&gt;1&lt;/R&gt;&lt;C&gt;1&lt;/C&gt;&lt;D xsi:type="xsd:double"&gt;2.969808137363&lt;/D&gt;&lt;/FQL&gt;&lt;FQL&gt;&lt;Q&gt;QQQ^FMA_PE(NTMA,-10AY,0,AM,"PORTAGG","MEANR")&lt;/Q&gt;&lt;R&gt;121&lt;/R&gt;&lt;C&gt;1&lt;/C&gt;&lt;D xsi:type="xsd:double"&gt;17.8774265439494&lt;/D&gt;&lt;D xsi:type="xsd:double"&gt;17.4358804061516&lt;/D&gt;&lt;D xsi:type="xsd:double"&gt;17.3800777038902&lt;/D&gt;&lt;D xsi:type="xsd:double"&gt;18.3086652065781&lt;/D&gt;&lt;D xsi:type="xsd:double"&gt;17.9260725004848&lt;/D&gt;&lt;D xsi:type="xsd:double"&gt;16.9980704058706&lt;/D&gt;&lt;D xsi:type="xsd:double"&gt;18.0987091619455&lt;/D&gt;&lt;D xsi:type="xsd:double"&gt;17.6059471023599&lt;/D&gt;&lt;D xsi:type="xsd:double"&gt;18.1281357559271&lt;/D&gt;&lt;D xsi:type="xsd:double"&gt;18.0168586017461&lt;/D&gt;&lt;D xsi:type="xsd:double"&gt;17.3969213472783&lt;/D&gt;&lt;D xsi:type="xsd:double"&gt;18.4078753607615&lt;/D&gt;&lt;D xsi:type="xsd:double"&gt;17.5018453826991&lt;/D&gt;&lt;D xsi:type="xsd:double"&gt;16.3910050672669&lt;/D&gt;&lt;D xsi:type="xsd:double"&gt;18.6430470979958&lt;/D&gt;&lt;D xsi:type="xsd:double"&gt;18.7137447256753&lt;/D&gt;&lt;D xsi:type="xsd:double"&gt;18.7259851052622&lt;/D&gt;&lt;D xsi:type="xsd:double"&gt;17.3170674814134&lt;/D&gt;&lt;D xsi:type="xsd:double"&gt;16.8542378058808&lt;/D&gt;&lt;D xsi:type="xsd:double"&gt;17.8254483642314&lt;/D&gt;&lt;D xsi:type="xsd:double"&gt;17.4707196772289&lt;/D&gt;&lt;D xsi:type="xsd:double"&gt;18.0088908096734&lt;/D&gt;&lt;D xsi:type="xsd:double"&gt;17.4042186207255&lt;/D&gt;&lt;D xsi:type="xsd:double"&gt;18.6503515019565&lt;/D&gt;&lt;D xsi:type="xsd:double"&gt;18.5955203818666&lt;/D&gt;&lt;D xsi:type="xsd:double"&gt;18.5401567694144&lt;/D&gt;&lt;D xsi:type="xsd:double"&gt;18.179631471741&lt;/D&gt;&lt;D xsi:type="xsd:double"&gt;18.2731934442536&lt;/D&gt;&lt;D xsi:type="xsd:double"&gt;18.2558391175546&lt;/D&gt;&lt;D xsi:type="xsd:double"&gt;19.3264981523412&lt;/D&gt;&lt;D xsi:type="xsd:double"&gt;20.0414707039038&lt;/D&gt;&lt;D xsi:type="xsd:double"&gt;20.1423112765091&lt;/D&gt;&lt;D xsi:type="xsd:double"&gt;20.3610006572493&lt;/D&gt;&lt;D xsi:type="xsd:double"&gt;20.9496030825611&lt;/D&gt;&lt;D xsi:type="xsd:double"&gt;20.1186057994094&lt;/D&gt;&lt;D xsi:type="xsd:double"&gt;20.7942796579655&lt;/D&gt;&lt;D xsi:type="xsd:double"&gt;20.2834092575162&lt;/D&gt;&lt;D xsi:type="xsd:double"&gt;20.37612210329&lt;/D&gt;&lt;D xsi:type="xsd:double"&gt;20.7484258693142&lt;/D&gt;&lt;D xsi:type="xsd:double"&gt;20.7440600684044&lt;/D&gt;&lt;D xsi:type="xsd:double"&gt;20.7947525332183&lt;/D&gt;&lt;D xsi:type="xsd:double"&gt;21.9577295229524&lt;/D&gt;&lt;D xsi:type="xsd:double"&gt;20.7809153180452&lt;/D&gt;&lt;D xsi:type="xsd:double"&gt;19.7763057603438&lt;/D&gt;&lt;D xsi:type="xsd:double"&gt;19.496332881483&lt;/D&gt;&lt;D xsi:type="xsd:double"&gt;19.9645984616079&lt;/D&gt;&lt;D xsi:type="xsd:double"&gt;20.087014612319&lt;/D&gt;&lt;D xsi:type="xsd:double"&gt;20.4605850933668&lt;/D&gt;&lt;D xsi:type="xsd:double"&gt;21.1669367978178&lt;/D&gt;&lt;D xsi:type="xsd:double"&gt;20.8792510819679&lt;/D&gt;&lt;D xsi:type="xsd:double"&gt;18.1117946040948&lt;/D&gt;&lt;D xsi:type="xsd:double"&gt;18.6653245927101&lt;/D&gt;&lt;D xsi:type="xsd:double"&gt;17.1033334043296&lt;/D&gt;&lt;D xsi:type="xsd:double"&gt;18.2358552069316&lt;/D&gt;&lt;D xsi:type="xsd:double"&gt;19.6719211421104&lt;/D&gt;&lt;D xsi:type="xsd:double"&gt;20.3249038810677&lt;/D&gt;&lt;D xsi:type="xsd:double"&gt;21.4178628496702&lt;/D&gt;&lt;D xsi:type="xsd:double"&gt;19.5948127789881&lt;/D&gt;&lt;D xsi:type="xsd:double"&gt;20.8118707355088&lt;/D&gt;&lt;D xsi:type="xsd:double"&gt;21.4344602929846&lt;/D&gt;&lt;D xsi:type="xsd:double"&gt;20.4901666047782&lt;/D&gt;&lt;D xsi:type="xsd:double"&gt;20.2764991426123&lt;/D&gt;&lt;D xsi:type="xsd:double"&gt;21.0429224675815&lt;/D&gt;&lt;D xsi:type="xsd:double"&gt;22.0033636055341&lt;/D&gt;&lt;D xsi:type="xsd:double"&gt;22.8643637761971&lt;/D&gt;&lt;D xsi:type="xsd:double"&gt;23.2368813136395&lt;/D&gt;&lt;D xsi:type="xsd:double"&gt;21.3634002771718&lt;/D&gt;&lt;D xsi:type="xsd:double"&gt;19.9634009383931&lt;/D&gt;&lt;D xsi:type="xsd:double"&gt;25.1037492636022&lt;/D&gt;&lt;D xsi:type="xsd:double"&gt;27.3863827051622&lt;/D&gt;&lt;D xsi:type="xsd:double"&gt;27.8529336667593&lt;/D&gt;&lt;D xsi:type="xsd:double"&gt;28.9761161424032&lt;/D&gt;&lt;D xsi:type="xsd:double"&gt;31.2978925851233&lt;/D&gt;&lt;D xsi:type="xsd:double"&gt;28.9720153324495&lt;/D&gt;&lt;D xsi:type="xsd:double"&gt;28.4102236339195&lt;/D&gt;&lt;D xsi:type="xsd:double"&gt;29.678510451649&lt;/D&gt;&lt;D xsi:type="xsd:double"&gt;30.0425998818987&lt;/D&gt;&lt;D xsi:type="xsd:double"&gt;28.8909635467967&lt;/D&gt;&lt;D xsi:type="xsd:double"&gt;27.8476226514322&lt;/D&gt;&lt;D xsi:type="xsd:double"&gt;27.7168775873812&lt;/D&gt;&lt;D xsi:type="xsd:double"&gt;28.1854609796345&lt;/D&gt;&lt;D xsi:type="xsd:double"&gt;26.9600675272844&lt;/D&gt;&lt;D xsi:type="xsd:double"&gt;28.3868304120016&lt;/D&gt;&lt;D xsi:type="xsd:double"&gt;28.2074750124458&lt;/D&gt;&lt;D xsi:type="xsd:double"&gt;28.4368664231477&lt;/D&gt;&lt;D xsi:type="xsd:double"&gt;27.00014954038&lt;/D&gt;&lt;D xsi:type="xsd:double"&gt;28.9228226986539&lt;/D&gt;&lt;D xsi:type="xsd:double"&gt;29.5043889376879&lt;/D&gt;&lt;D xsi:type="xsd:double"&gt;29.4736291900543&lt;/D&gt;&lt;D xsi:type="xsd:double"&gt;25.3824193305527&lt;/D&gt;&lt;D xsi:type="xsd:double"&gt;24.7940749737171&lt;/D&gt;&lt;D xsi:type="xsd:double"&gt;26.3267245853426&lt;/D&gt;&lt;D xsi:type="xsd:double"&gt;22.4601553381739&lt;/D&gt;&lt;D xsi:type="xsd:double"&gt;21.9131373577837&lt;/D&gt;&lt;D xsi:type="xsd:double"&gt;20.0562076233316&lt;/D&gt;&lt;D xsi:type="xsd:double"&gt;23.0159826342251&lt;/D&gt;&lt;D xsi:type="xsd:double"&gt;22.2114627670991&lt;/D&gt;&lt;D xsi:type="xsd:double"&gt;19.7737905946967&lt;/D&gt;&lt;D xsi:type="xsd:double"&gt;21.3641207563804&lt;/D&gt;&lt;D xsi:type="xsd:double"&gt;21.3731691213144&lt;/D&gt;&lt;D xsi:type="xsd:double"&gt;20.9152250670471&lt;/D&gt;&lt;D xsi:type="xsd:double"&gt;23.5583325225121&lt;/D&gt;&lt;D xsi:type="xsd:double"&gt;23.0997179031221&lt;/D&gt;&lt;D xsi:type="xsd:double"&gt;24.4385592678958&lt;/D&gt;&lt;D xsi:type="xsd:double"&gt;24.5979455672586&lt;/D&gt;&lt;D xsi:type="xsd:double"&gt;25.7817002774847&lt;/D&gt;&lt;D xsi:type="xsd:double"&gt;26.3872346353663&lt;/D&gt;&lt;D xsi:type="xsd:double"&gt;25.8855678851135&lt;/D&gt;&lt;D xsi:type="xsd:double"&gt;24.5199622972953&lt;/D&gt;&lt;D xsi:type="xsd:double"&gt;23.1704665737264&lt;/D&gt;&lt;D xsi:type="xsd:double"&gt;21.9620002033314&lt;/D&gt;&lt;D xsi:type="xsd:double"&gt;24.3013389340521&lt;/D&gt;&lt;D xsi:type="xsd:double"&gt;25.0896941037527&lt;/D&gt;&lt;D xsi:type="xsd:double"&gt;26.1838983309296&lt;/D&gt;&lt;D xsi:type="xsd:double"&gt;26.2087997885724&lt;/D&gt;&lt;D xsi:type="xsd:double"&gt;26.188453362784&lt;/D&gt;&lt;D xsi:type="xsd:double"&gt;25.2292684893005&lt;/D&gt;&lt;D xsi:type="xsd:double"&gt;26.0458808580915&lt;/D&gt;&lt;D xsi:type="xsd:double"&gt;26.9613697724333&lt;/D&gt;&lt;D xsi:type="xsd:double"&gt;25.806613981776&lt;/D&gt;&lt;D xsi:type="xsd:double"&gt;26.0421999475104&lt;/D&gt;&lt;/FQL&gt;&lt;FQL&gt;&lt;Q&gt;ENZL^FMA_PE(LTMA,-10AY,0,AM,"PORTAGG","MEANR")&lt;/Q&gt;&lt;R&gt;121&lt;/R&gt;&lt;C&gt;1&lt;/C&gt;&lt;D xsi:type="xsd:double"&gt;18.0499421595283&lt;/D&gt;&lt;D xsi:type="xsd:double"&gt;17.9126714362189&lt;/D&gt;&lt;D xsi:type="xsd:double"&gt;18.3045959452555&lt;/D&gt;&lt;D xsi:type="xsd:double"&gt;18.4770941038802&lt;/D&gt;&lt;D xsi:type="xsd:double"&gt;19.2517944830086&lt;/D&gt;&lt;D xsi:type="xsd:double"&gt;19.9099548347242&lt;/D&gt;&lt;D xsi:type="xsd:double"&gt;20.5337322033324&lt;/D&gt;&lt;D xsi:type="xsd:double"&gt;20.2006707560209&lt;/D&gt;&lt;D xsi:type="xsd:double"&gt;20.0268930910607&lt;/D&gt;&lt;D xsi:type="xsd:double"&gt;20.0576477764403&lt;/D&gt;&lt;D xsi:type="xsd:double"&gt;19.5513642099931&lt;/D&gt;&lt;D xsi:type="xsd:double"&gt;19.7639402537867&lt;/D&gt;&lt;D xsi:type="xsd:double"&gt;19.2539410452504&lt;/D&gt;&lt;D xsi:type="xsd:double"&gt;18.7045496449507&lt;/D&gt;&lt;D xsi:type="xsd:double"&gt;19.5345624371053&lt;/D&gt;&lt;D xsi:type="xsd:double"&gt;19.5938339966836&lt;/D&gt;&lt;D xsi:type="xsd:double"&gt;19.9313764801637&lt;/D&gt;&lt;D xsi:type="xsd:double"&gt;19.1505838899285&lt;/D&gt;&lt;D xsi:type="xsd:double"&gt;19.2608458712223&lt;/D&gt;&lt;D xsi:type="xsd:double"&gt;19.325896815245&lt;/D&gt;&lt;D xsi:type="xsd:double"&gt;19.4245354060829&lt;/D&gt;&lt;D xsi:type="xsd:double"&gt;19.7113687304568&lt;/D&gt;&lt;D xsi:type="xsd:double"&gt;19.5382774134355&lt;/D&gt;&lt;D xsi:type="xsd:double"&gt;20.5680266521813&lt;/D&gt;&lt;D xsi:type="xsd:double"&gt;20.8464649710822&lt;/D&gt;&lt;D xsi:type="xsd:double"&gt;20.9063120390254&lt;/D&gt;&lt;D xsi:type="xsd:double"&gt;20.0749684485734&lt;/D&gt;&lt;D xsi:type="xsd:double"&gt;20.0556404165628&lt;/D&gt;&lt;D xsi:type="xsd:double"&gt;20.0370985414004&lt;/D&gt;&lt;D xsi:type="xsd:double"&gt;20.6890630841297&lt;/D&gt;&lt;D xsi:type="xsd:double"&gt;19.7021358680457&lt;/D&gt;&lt;D xsi:type="xsd:double"&gt;19.759660497624&lt;/D&gt;&lt;D xsi:type="xsd:double"&gt;19.9491833529165&lt;/D&gt;&lt;D xsi:type="xsd:double"&gt;20.018662549414&lt;/D&gt;&lt;D xsi:type="xsd:double"&gt;20.2505820863943&lt;/D&gt;&lt;D xsi:type="xsd:double"&gt;20.2788784152449&lt;/D&gt;&lt;D xsi:type="xsd:double"&gt;20.5392140483977&lt;/D&gt;&lt;D xsi:type="xsd:double"&gt;20.6402295727802&lt;/D&gt;&lt;D xsi:type="xsd:double"&gt;21.2738816920246&lt;/D&gt;&lt;D xsi:type="xsd:double"&gt;21.3866708406207&lt;/D&gt;&lt;D xsi:type="xsd:double"&gt;22.3889251547657&lt;/D&gt;&lt;D xsi:type="xsd:double"&gt;22.1156094890306&lt;/D&gt;&lt;D xsi:type="xsd:double"&gt;22.6915007290246&lt;/D&gt;&lt;D xsi:type="xsd:double"&gt;22.3954716683229&lt;/D&gt;&lt;D xsi:type="xsd:double"&gt;22.2664753550181&lt;/D&gt;&lt;D xsi:type="xsd:double"&gt;22.3681191062191&lt;/D&gt;&lt;D xsi:type="xsd:double"&gt;22.8475905494538&lt;/D&gt;&lt;D xsi:type="xsd:double"&gt;22.9621223800791&lt;/D&gt;&lt;D xsi:type="xsd:double"&gt;23.8662064914046&lt;/D&gt;&lt;D xsi:type="xsd:double"&gt;23.5544135019859&lt;/D&gt;&lt;D xsi:type="xsd:double"&gt;22.2858963009436&lt;/D&gt;&lt;D xsi:type="xsd:double"&gt;22.629419151301&lt;/D&gt;&lt;D xsi:type="xsd:double"&gt;22.9248217065475&lt;/D&gt;&lt;D xsi:type="xsd:double"&gt;23.2385573286067&lt;/D&gt;&lt;D xsi:type="xsd:double"&gt;24.1815760550784&lt;/D&gt;&lt;D xsi:type="xsd:double"&gt;24.1751665012234&lt;/D&gt;&lt;D xsi:type="xsd:double"&gt;24.2062875026305&lt;/D&gt;&lt;D xsi:type="xsd:double"&gt;24.2654507439174&lt;/D&gt;&lt;D xsi:type="xsd:double"&gt;24.6848111926374&lt;/D&gt;&lt;D xsi:type="xsd:double"&gt;25.3011340521027&lt;/D&gt;&lt;D xsi:type="xsd:double"&gt;27.6180524236735&lt;/D&gt;&lt;D xsi:type="xsd:double"&gt;28.3667682013023&lt;/D&gt;&lt;D xsi:type="xsd:double"&gt;28.6950554485386&lt;/D&gt;&lt;D xsi:type="xsd:double"&gt;31.2537203147485&lt;/D&gt;&lt;D xsi:type="xsd:double"&gt;32.6498180472433&lt;/D&gt;&lt;D xsi:type="xsd:double"&gt;32.5486469717738&lt;/D&gt;&lt;D xsi:type="xsd:double"&gt;31.1164202842496&lt;/D&gt;&lt;D xsi:type="xsd:double"&gt;30.3305862666326&lt;/D&gt;&lt;D xsi:type="xsd:double"&gt;31.708147555774&lt;/D&gt;&lt;D xsi:type="xsd:double"&gt;32.5400463154974&lt;/D&gt;&lt;D xsi:type="xsd:double"&gt;32.5329458902903&lt;/D&gt;&lt;D xsi:type="xsd:double"&gt;33.5507821673309&lt;/D&gt;&lt;D xsi:type="xsd:double"&gt;34.5065602866794&lt;/D&gt;&lt;D xsi:type="xsd:double"&gt;33.6679366748454&lt;/D&gt;&lt;D xsi:type="xsd:double"&gt;35.187822523204&lt;/D&gt;&lt;D xsi:type="xsd:double"&gt;35.3171921537724&lt;/D&gt;&lt;D xsi:type="xsd:double"&gt;38.4767661003216&lt;/D&gt;&lt;D xsi:type="xsd:double"&gt;37.1346259511647&lt;/D&gt;&lt;D xsi:type="xsd:double"&gt;34.3437409257866&lt;/D&gt;&lt;D xsi:type="xsd:double"&gt;34.4217893534116&lt;/D&gt;&lt;D xsi:type="xsd:double"&gt;34.6020721785856&lt;/D&gt;&lt;D xsi:type="xsd:double"&gt;34.8523571738549&lt;/D&gt;&lt;D xsi:type="xsd:double"&gt;36.0767168652815&lt;/D&gt;&lt;D xsi:type="xsd:double"&gt;36.5669282873246&lt;/D&gt;&lt;D xsi:type="xsd:double"&gt;37.9228829617447&lt;/D&gt;&lt;D xsi:type="xsd:double"&gt;38.5296768639937&lt;/D&gt;&lt;D xsi:type="xsd:double"&gt;39.2928678220484&lt;/D&gt;&lt;D xsi:type="xsd:double"&gt;37.6784650585292&lt;/D&gt;&lt;D xsi:type="xsd:double"&gt;39.1845135697741&lt;/D&gt;&lt;D xsi:type="xsd:double"&gt;35.9252840202751&lt;/D&gt;&lt;D xsi:type="xsd:double"&gt;35.2856899235504&lt;/D&gt;&lt;D xsi:type="xsd:double"&gt;35.0505468006381&lt;/D&gt;&lt;D xsi:type="xsd:double"&gt;34.6100890008135&lt;/D&gt;&lt;D xsi:type="xsd:double"&gt;33.6730168098908&lt;/D&gt;&lt;D xsi:type="xsd:double"&gt;33.026014321905&lt;/D&gt;&lt;D xsi:type="xsd:double"&gt;33.1517368904988&lt;/D&gt;&lt;D xsi:type="xsd:double"&gt;34.207658276063&lt;/D&gt;&lt;D xsi:type="xsd:double"&gt;32.0475885492217&lt;/D&gt;&lt;D xsi:type="xsd:double"&gt;31.1603399728811&lt;/D&gt;&lt;D xsi:type="xsd:double"&gt;30.0396210906062&lt;/D&gt;&lt;D xsi:type="xsd:double"&gt;29.2983499603626&lt;/D&gt;&lt;D xsi:type="xsd:double"&gt;29.9135173023169&lt;/D&gt;&lt;D xsi:type="xsd:double"&gt;29.6107728543115&lt;/D&gt;&lt;D xsi:type="xsd:double"&gt;28.9149156253527&lt;/D&gt;&lt;D xsi:type="xsd:double"&gt;28.5523055121322&lt;/D&gt;&lt;D xsi:type="xsd:double"&gt;28.015046681685&lt;/D&gt;&lt;D xsi:type="xsd:double"&gt;26.051774127829&lt;/D&gt;&lt;D xsi:type="xsd:double"&gt;25.3922147114173&lt;/D&gt;&lt;D xsi:type="xsd:double"&gt;24.3961927734974&lt;/D&gt;&lt;D xsi:type="xsd:double"&gt;23.8230599621873&lt;/D&gt;&lt;D xsi:type="xsd:double"&gt;22.3274437998573&lt;/D&gt;&lt;D xsi:type="xsd:double"&gt;22.1181784092918&lt;/D&gt;&lt;D xsi:type="xsd:double"&gt;24.0799065843605&lt;/D&gt;&lt;D xsi:type="xsd:double"&gt;23.4971445876958&lt;/D&gt;&lt;D xsi:type="xsd:double"&gt;23.3289896193867&lt;/D&gt;&lt;D xsi:type="xsd:double"&gt;24.0463237926062&lt;/D&gt;&lt;D xsi:type="xsd:double"&gt;24.3759284370946&lt;/D&gt;&lt;D xsi:type="xsd:double"&gt;24.4868905874189&lt;/D&gt;&lt;D xsi:type="xsd:double"&gt;24.2372924934923&lt;/D&gt;&lt;D xsi:type="xsd:double"&gt;25.0047589519961&lt;/D&gt;&lt;D xsi:type="xsd:double"&gt;26.6047124811587&lt;/D&gt;&lt;/FQL&gt;&lt;FQL&gt;&lt;Q&gt;EWG^FMA_ROE(NTMA,-20AY,NOW,FY,"PORTAGG","MEANR")&lt;/Q&gt;&lt;R&gt;20&lt;/R&gt;&lt;C&gt;1&lt;/C&gt;&lt;D xsi:type="xsd:double"&gt;11.8275550599933&lt;/D&gt;&lt;D xsi:type="xsd:double"&gt;12.5810872006639&lt;/D&gt;&lt;D xsi:type="xsd:double"&gt;13.372977849048&lt;/D&gt;&lt;D xsi:type="xsd:double"&gt;14.712722857709&lt;/D&gt;&lt;D xsi:type="xsd:double"&gt;11.5210886767193&lt;/D&gt;&lt;D xsi:type="xsd:double"&gt;11.0094337648339&lt;/D&gt;&lt;D xsi:type="xsd:double"&gt;13.0475804034897&lt;/D&gt;&lt;D xsi:type="xsd:double"&gt;12.3546044213534&lt;/D&gt;&lt;D xsi:type="xsd:double"&gt;12.1037876491794&lt;/D&gt;&lt;D xsi:type="xsd:double"&gt;12.1465108243325&lt;/D&gt;&lt;D xsi:type="xsd:double"&gt;11.8873581616615&lt;/D&gt;&lt;D xsi:type="xsd:double"&gt;12.0284649417774&lt;/D&gt;&lt;D xsi:type="xsd:double"&gt;11.8967042128795&lt;/D&gt;&lt;D xsi:type="xsd:double"&gt;12.2469207943648&lt;/D&gt;&lt;D xsi:type="xsd:double"&gt;11.6510152415578&lt;/D&gt;&lt;D xsi:type="xsd:double"&gt;10.4475672102116&lt;/D&gt;&lt;D xsi:type="xsd:double"&gt;9.71471543630713&lt;/D&gt;&lt;D xsi:type="xsd:double"&gt;12.1997093940908&lt;/D&gt;&lt;D xsi:type="xsd:double"&gt;11.8187115511422&lt;/D&gt;&lt;D xsi:type="xsd:double"&gt;11.93889064433&lt;/D&gt;&lt;/FQL&gt;&lt;FQL&gt;&lt;Q&gt;EWD^SIZE(FG_CONSTITUENTS)&lt;/Q&gt;&lt;R&gt;1&lt;/R&gt;&lt;C&gt;1&lt;/C&gt;&lt;D xsi:type="xsd:long"&gt;45&lt;/D&gt;&lt;/FQL&gt;&lt;FQL&gt;&lt;Q&gt;EWC^FG_TOTAL_RETURNC(-10AY,0,AM)&lt;/Q&gt;&lt;R&gt;121&lt;/R&gt;&lt;C&gt;1&lt;/C&gt;&lt;D xsi:type="xsd:double"&gt;1.0766029&lt;/D&gt;&lt;D xsi:type="xsd:double"&gt;-6.0864267&lt;/D&gt;&lt;D xsi:type="xsd:double"&gt;-3.1756341&lt;/D&gt;&lt;D xsi:type="xsd:double"&gt;0.20080805&lt;/D&gt;&lt;D xsi:type="xsd:double"&gt;-2.2760987&lt;/D&gt;&lt;D xsi:type="xsd:double"&gt;-7.9002085&lt;/D&gt;&lt;D xsi:type="xsd:double"&gt;5.417609&lt;/D&gt;&lt;D xsi:type="xsd:double"&gt;-3.3904374&lt;/D&gt;&lt;D xsi:type="xsd:double"&gt;9.124494&lt;/D&gt;&lt;D xsi:type="xsd:double"&gt;-5.9580207&lt;/D&gt;&lt;D xsi:type="xsd:double"&gt;-2.9664218&lt;/D&gt;&lt;D xsi:type="xsd:double"&gt;-4.672897&lt;/D&gt;&lt;D xsi:type="xsd:double"&gt;-5.0980387&lt;/D&gt;&lt;D xsi:type="xsd:double"&gt;-7.7272773&lt;/D&gt;&lt;D xsi:type="xsd:double"&gt;8.419168&lt;/D&gt;&lt;D xsi:type="xsd:double"&gt;-4.5435724&lt;/D&gt;&lt;D xsi:type="xsd:double"&gt;-3.9487958&lt;/D&gt;&lt;D xsi:type="xsd:double"&gt;-4.5205474&lt;/D&gt;&lt;D xsi:type="xsd:double"&gt;3.4433246&lt;/D&gt;&lt;D xsi:type="xsd:double"&gt;8.506703&lt;/D&gt;&lt;D xsi:type="xsd:double"&gt;8.223259&lt;/D&gt;&lt;D xsi:type="xsd:double"&gt;-2.6377976&lt;/D&gt;&lt;D xsi:type="xsd:double"&gt;-0.67316294&lt;/D&gt;&lt;D xsi:type="xsd:double"&gt;3.5699606&lt;/D&gt;&lt;D xsi:type="xsd:double"&gt;1.6244054&lt;/D&gt;&lt;D xsi:type="xsd:double"&gt;-0.15594363&lt;/D&gt;&lt;D xsi:type="xsd:double"&gt;-0.624758&lt;/D&gt;&lt;D xsi:type="xsd:double"&gt;1.571703&lt;/D&gt;&lt;D xsi:type="xsd:double"&gt;2.2494555&lt;/D&gt;&lt;D xsi:type="xsd:double"&gt;4.165077&lt;/D&gt;&lt;D xsi:type="xsd:double"&gt;-2.0909727&lt;/D&gt;&lt;D xsi:type="xsd:double"&gt;1.3113499&lt;/D&gt;&lt;D xsi:type="xsd:double"&gt;-2.8846204&lt;/D&gt;&lt;D xsi:type="xsd:double"&gt;0.45696497&lt;/D&gt;&lt;D xsi:type="xsd:double"&gt;2.3917794&lt;/D&gt;&lt;D xsi:type="xsd:double"&gt;4.1433334&lt;/D&gt;&lt;D xsi:type="xsd:double"&gt;-0.8960545&lt;/D&gt;&lt;D xsi:type="xsd:double"&gt;4.66547&lt;/D&gt;&lt;D xsi:type="xsd:double"&gt;-0.38009882&lt;/D&gt;&lt;D xsi:type="xsd:double"&gt;0.10405779&lt;/D&gt;&lt;D xsi:type="xsd:double"&gt;4.0180445&lt;/D&gt;&lt;D xsi:type="xsd:double"&gt;1.3495326&lt;/D&gt;&lt;D xsi:type="xsd:double"&gt;-7.490015&lt;/D&gt;&lt;D xsi:type="xsd:double"&gt;-0.8276403&lt;/D&gt;&lt;D xsi:type="xsd:double"&gt;2.3584843&lt;/D&gt;&lt;D xsi:type="xsd:double"&gt;0.42538643&lt;/D&gt;&lt;D xsi:type="xsd:double"&gt;1.4343739&lt;/D&gt;&lt;D xsi:type="xsd:double"&gt;1.8589973&lt;/D&gt;&lt;D xsi:type="xsd:double"&gt;0.9641886&lt;/D&gt;&lt;D xsi:type="xsd:double"&gt;-1.8417418&lt;/D&gt;&lt;D xsi:type="xsd:double"&gt;-9.833217&lt;/D&gt;&lt;D xsi:type="xsd:double"&gt;2.6204228&lt;/D&gt;&lt;D xsi:type="xsd:double"&gt;-8.939779&lt;/D&gt;&lt;D xsi:type="xsd:double"&gt;12.075472&lt;/D&gt;&lt;D xsi:type="xsd:double"&gt;4.1900516&lt;/D&gt;&lt;D xsi:type="xsd:double"&gt;-0.7540405&lt;/D&gt;&lt;D xsi:type="xsd:double"&gt;3.183794&lt;/D&gt;&lt;D xsi:type="xsd:double"&gt;-3.5063088&lt;/D&gt;&lt;D xsi:type="xsd:double"&gt;4.942012&lt;/D&gt;&lt;D xsi:type="xsd:double"&gt;0.10482073&lt;/D&gt;&lt;D xsi:type="xsd:double"&gt;-1.7801046&lt;/D&gt;&lt;D xsi:type="xsd:double"&gt;2.6297092&lt;/D&gt;&lt;D xsi:type="xsd:double"&gt;-0.103873014&lt;/D&gt;&lt;D xsi:type="xsd:double"&gt;2.703631&lt;/D&gt;&lt;D xsi:type="xsd:double"&gt;1.9504547&lt;/D&gt;&lt;D xsi:type="xsd:double"&gt;0.97283125&lt;/D&gt;&lt;D xsi:type="xsd:double"&gt;-8.338869&lt;/D&gt;&lt;D xsi:type="xsd:double"&gt;-25.117796&lt;/D&gt;&lt;D xsi:type="xsd:double"&gt;21.539211&lt;/D&gt;&lt;D xsi:type="xsd:double"&gt;0.11947155&lt;/D&gt;&lt;D xsi:type="xsd:double"&gt;2.4529696&lt;/D&gt;&lt;D xsi:type="xsd:double"&gt;8.313727&lt;/D&gt;&lt;D xsi:type="xsd:double"&gt;4.7429323&lt;/D&gt;&lt;D xsi:type="xsd:double"&gt;-5.184931&lt;/D&gt;&lt;D xsi:type="xsd:double"&gt;-2.952969&lt;/D&gt;&lt;D xsi:type="xsd:double"&gt;14.575505&lt;/D&gt;&lt;D xsi:type="xsd:double"&gt;2.6790142&lt;/D&gt;&lt;D xsi:type="xsd:double"&gt;-1.0669231&lt;/D&gt;&lt;D xsi:type="xsd:double"&gt;5.130708&lt;/D&gt;&lt;D xsi:type="xsd:double"&gt;5.875051&lt;/D&gt;&lt;D xsi:type="xsd:double"&gt;5.695832&lt;/D&gt;&lt;D xsi:type="xsd:double"&gt;5.1944375&lt;/D&gt;&lt;D xsi:type="xsd:double"&gt;-0.8457482&lt;/D&gt;&lt;D xsi:type="xsd:double"&gt;0.32154322&lt;/D&gt;&lt;D xsi:type="xsd:double"&gt;0.32051802&lt;/D&gt;&lt;D xsi:type="xsd:double"&gt;-3.3280075&lt;/D&gt;&lt;D xsi:type="xsd:double"&gt;7.90416&lt;/D&gt;&lt;D xsi:type="xsd:double"&gt;-2.3226142&lt;/D&gt;&lt;D xsi:type="xsd:double"&gt;0.92384815&lt;/D&gt;&lt;D xsi:type="xsd:double"&gt;-2.1243155&lt;/D&gt;&lt;D xsi:type="xsd:double"&gt;2.41158&lt;/D&gt;&lt;D xsi:type="xsd:double"&gt;6.2009335&lt;/D&gt;&lt;D xsi:type="xsd:double"&gt;-8.721363&lt;/D&gt;&lt;D xsi:type="xsd:double"&gt;1.5384555&lt;/D&gt;&lt;D xsi:type="xsd:double"&gt;-8.975613&lt;/D&gt;&lt;D xsi:type="xsd:double"&gt;3.883493&lt;/D&gt;&lt;D xsi:type="xsd:double"&gt;-0.93458295&lt;/D&gt;&lt;D xsi:type="xsd:double"&gt;-11.149227&lt;/D&gt;&lt;D xsi:type="xsd:double"&gt;6.5636992&lt;/D&gt;&lt;D xsi:type="xsd:double"&gt;4.4082165&lt;/D&gt;&lt;D xsi:type="xsd:double"&gt;-3.2372475&lt;/D&gt;&lt;D xsi:type="xsd:double"&gt;8.156454&lt;/D&gt;&lt;D xsi:type="xsd:double"&gt;-4.54163&lt;/D&gt;&lt;D xsi:type="xsd:double"&gt;-1.32159&lt;/D&gt;&lt;D xsi:type="xsd:double"&gt;4.7619104&lt;/D&gt;&lt;D xsi:type="xsd:double"&gt;-4.034096&lt;/D&gt;&lt;D xsi:type="xsd:double"&gt;3.4353614&lt;/D&gt;&lt;D xsi:type="xsd:double"&gt;3.4402966&lt;/D&gt;&lt;D xsi:type="xsd:double"&gt;-3.6333144&lt;/D&gt;&lt;D xsi:type="xsd:double"&gt;-2.9582381&lt;/D&gt;&lt;D xsi:type="xsd:double"&gt;-5.9175134&lt;/D&gt;&lt;D xsi:type="xsd:double"&gt;10.101652&lt;/D&gt;&lt;D xsi:type="xsd:double"&gt;7.2699666&lt;/D&gt;&lt;D xsi:type="xsd:double"&gt;0.05452633&lt;/D&gt;&lt;D xsi:type="xsd:double"&gt;0.19073486&lt;/D&gt;&lt;D xsi:type="xsd:double"&gt;4.106605&lt;/D&gt;&lt;D xsi:type="xsd:double"&gt;-1.5673935&lt;/D&gt;&lt;D xsi:type="xsd:double"&gt;-0.98195076&lt;/D&gt;&lt;D xsi:type="xsd:double"&gt;0.35158396&lt;/D&gt;&lt;D xsi:type="xsd:double"&gt;3.0466437&lt;/D&gt;&lt;D xsi:type="xsd:double"&gt;5.259025&lt;/D&gt;&lt;/FQL&gt;&lt;FQL&gt;&lt;Q&gt;EWU^FG_TOTAL_RETURNC(0,-3AM)&lt;/Q&gt;&lt;R&gt;1&lt;/R&gt;&lt;C&gt;1&lt;/C&gt;&lt;D xsi:type="xsd:double"&gt;7.4796557&lt;/D&gt;&lt;/FQL&gt;&lt;FQL&gt;&lt;Q&gt;EWC^FMA_ROE(NTMA,-20AY,NOW,FY,"PORTAGG","MEANR")&lt;/Q&gt;&lt;R&gt;20&lt;/R&gt;&lt;C&gt;1&lt;/C&gt;&lt;D xsi:type="xsd:double"&gt;14.6738571923606&lt;/D&gt;&lt;D xsi:type="xsd:double"&gt;15.7709471724654&lt;/D&gt;&lt;D xsi:type="xsd:double"&gt;15.8547136543611&lt;/D&gt;&lt;D xsi:type="xsd:double"&gt;16.5705490516163&lt;/D&gt;&lt;D xsi:type="xsd:double"&gt;13.8099900139916&lt;/D&gt;&lt;D xsi:type="xsd:double"&gt;11.8327104416904&lt;/D&gt;&lt;D xsi:type="xsd:double"&gt;12.6984457284378&lt;/D&gt;&lt;D xsi:type="xsd:double"&gt;13.5092848924233&lt;/D&gt;&lt;D xsi:type="xsd:double"&gt;12.804929450575&lt;/D&gt;&lt;D xsi:type="xsd:double"&gt;12.2925364029644&lt;/D&gt;&lt;D xsi:type="xsd:double"&gt;11.8034021278505&lt;/D&gt;&lt;D xsi:type="xsd:double"&gt;10.9923508764539&lt;/D&gt;&lt;D xsi:type="xsd:double"&gt;11.4792366602027&lt;/D&gt;&lt;D xsi:type="xsd:double"&gt;11.3979128674428&lt;/D&gt;&lt;D xsi:type="xsd:double"&gt;12.4990081822477&lt;/D&gt;&lt;D xsi:type="xsd:double"&gt;11.9786783863837&lt;/D&gt;&lt;D xsi:type="xsd:double"&gt;11.1922086822881&lt;/D&gt;&lt;D xsi:type="xsd:double"&gt;14.1061782856045&lt;/D&gt;&lt;D xsi:type="xsd:double"&gt;14.0029403106189&lt;/D&gt;&lt;D xsi:type="xsd:double"&gt;13.1491479008301&lt;/D&gt;&lt;/FQL&gt;&lt;FQL&gt;&lt;Q&gt;USDCHF^FG_PRICE(0)&lt;/Q&gt;&lt;R&gt;1&lt;/R&gt;&lt;C&gt;1&lt;/C&gt;&lt;D xsi:type="xsd:double"&gt;0.84855&lt;/D&gt;&lt;/FQL&gt;&lt;FQL&gt;&lt;Q&gt;EWD^P_PRICE_RETURNS_PR('52W',2,-10AY,0,AM)&lt;/Q&gt;&lt;R&gt;121&lt;/R&gt;&lt;C&gt;1&lt;/C&gt;&lt;D xsi:type="xsd:double"&gt;8.693493&lt;/D&gt;&lt;D xsi:type="xsd:double"&gt;-1.2727082&lt;/D&gt;&lt;D xsi:type="xsd:double"&gt;-4.281223&lt;/D&gt;&lt;D xsi:type="xsd:double"&gt;0.86021423&lt;/D&gt;&lt;D xsi:type="xsd:double"&gt;-5.589998&lt;/D&gt;&lt;D xsi:type="xsd:double"&gt;-2.3093224&lt;/D&gt;&lt;D xsi:type="xsd:double"&gt;-0.61775446&lt;/D&gt;&lt;D xsi:type="xsd:double"&gt;-2.9622078&lt;/D&gt;&lt;D xsi:type="xsd:double"&gt;-2.1174014&lt;/D&gt;&lt;D xsi:type="xsd:double"&gt;-4.971993&lt;/D&gt;&lt;D xsi:type="xsd:double"&gt;-4.727292&lt;/D&gt;&lt;D xsi:type="xsd:double"&gt;-4.983288&lt;/D&gt;&lt;D xsi:type="xsd:double"&gt;-6.5965295&lt;/D&gt;&lt;D xsi:type="xsd:double"&gt;-9.75647&lt;/D&gt;&lt;D xsi:type="xsd:double"&gt;-2.6905239&lt;/D&gt;&lt;D xsi:type="xsd:double"&gt;-7.75947&lt;/D&gt;&lt;D xsi:type="xsd:double"&gt;-3.3637762&lt;/D&gt;&lt;D xsi:type="xsd:double"&gt;-13.091821&lt;/D&gt;&lt;D xsi:type="xsd:double"&gt;-18.11444&lt;/D&gt;&lt;D xsi:type="xsd:double"&gt;-10.473543&lt;/D&gt;&lt;D xsi:type="xsd:double"&gt;-8.683979&lt;/D&gt;&lt;D xsi:type="xsd:double"&gt;-10.385376&lt;/D&gt;&lt;D xsi:type="xsd:double"&gt;-13.387614&lt;/D&gt;&lt;D xsi:type="xsd:double"&gt;-7.9949856&lt;/D&gt;&lt;D xsi:type="xsd:double"&gt;-1.3747573&lt;/D&gt;&lt;D xsi:type="xsd:double"&gt;5.2229166&lt;/D&gt;&lt;D xsi:type="xsd:double"&gt;-4.4159594&lt;/D&gt;&lt;D xsi:type="xsd:double"&gt;-4.665911&lt;/D&gt;&lt;D xsi:type="xsd:double"&gt;-0.43517947&lt;/D&gt;&lt;D xsi:type="xsd:double"&gt;14.757895&lt;/D&gt;&lt;D xsi:type="xsd:double"&gt;14.393353&lt;/D&gt;&lt;D xsi:type="xsd:double"&gt;13.211226&lt;/D&gt;&lt;D xsi:type="xsd:double"&gt;13.02272&lt;/D&gt;&lt;D xsi:type="xsd:double"&gt;18.985199&lt;/D&gt;&lt;D xsi:type="xsd:double"&gt;28.921091&lt;/D&gt;&lt;D xsi:type="xsd:double"&gt;26.029575&lt;/D&gt;&lt;D xsi:type="xsd:double"&gt;21.50755&lt;/D&gt;&lt;D xsi:type="xsd:double"&gt;27.700603&lt;/D&gt;&lt;D xsi:type="xsd:double"&gt;31.282055&lt;/D&gt;&lt;D xsi:type="xsd:double"&gt;28.484917&lt;/D&gt;&lt;D xsi:type="xsd:double"&gt;22.180641&lt;/D&gt;&lt;D xsi:type="xsd:double"&gt;23.96754&lt;/D&gt;&lt;D xsi:type="xsd:double"&gt;15.597582&lt;/D&gt;&lt;D xsi:type="xsd:double"&gt;9.336495&lt;/D&gt;&lt;D xsi:type="xsd:double"&gt;4.4814587&lt;/D&gt;&lt;D xsi:type="xsd:double"&gt;-2.431929&lt;/D&gt;&lt;D xsi:type="xsd:double"&gt;-4.41224&lt;/D&gt;&lt;D xsi:type="xsd:double"&gt;-0.5984247&lt;/D&gt;&lt;D xsi:type="xsd:double"&gt;-0.94363093&lt;/D&gt;&lt;D xsi:type="xsd:double"&gt;-2.5199413&lt;/D&gt;&lt;D xsi:type="xsd:double"&gt;-15.024233&lt;/D&gt;&lt;D xsi:type="xsd:double"&gt;-10.41854&lt;/D&gt;&lt;D xsi:type="xsd:double"&gt;-14.262128&lt;/D&gt;&lt;D xsi:type="xsd:double"&gt;-14.848221&lt;/D&gt;&lt;D xsi:type="xsd:double"&gt;-6.8861127&lt;/D&gt;&lt;D xsi:type="xsd:double"&gt;-5.4747224&lt;/D&gt;&lt;D xsi:type="xsd:double"&gt;1.4985919&lt;/D&gt;&lt;D xsi:type="xsd:double"&gt;-3.7986338&lt;/D&gt;&lt;D xsi:type="xsd:double"&gt;5.9779406&lt;/D&gt;&lt;D xsi:type="xsd:double"&gt;-2.8357804&lt;/D&gt;&lt;D xsi:type="xsd:double"&gt;-10.250574&lt;/D&gt;&lt;D xsi:type="xsd:double"&gt;-8.60042&lt;/D&gt;&lt;D xsi:type="xsd:double"&gt;13.51372&lt;/D&gt;&lt;D xsi:type="xsd:double"&gt;12.098169&lt;/D&gt;&lt;D xsi:type="xsd:double"&gt;26.462292&lt;/D&gt;&lt;D xsi:type="xsd:double"&gt;14.413393&lt;/D&gt;&lt;D xsi:type="xsd:double"&gt;5.2574396&lt;/D&gt;&lt;D xsi:type="xsd:double"&gt;-15.198785&lt;/D&gt;&lt;D xsi:type="xsd:double"&gt;-9.23127&lt;/D&gt;&lt;D xsi:type="xsd:double"&gt;6.650114&lt;/D&gt;&lt;D xsi:type="xsd:double"&gt;2.6587486&lt;/D&gt;&lt;D xsi:type="xsd:double"&gt;18.674814&lt;/D&gt;&lt;D xsi:type="xsd:double"&gt;32.149887&lt;/D&gt;&lt;D xsi:type="xsd:double"&gt;22.693848&lt;/D&gt;&lt;D xsi:type="xsd:double"&gt;9.129214&lt;/D&gt;&lt;D xsi:type="xsd:double"&gt;26.821745&lt;/D&gt;&lt;D xsi:type="xsd:double"&gt;22.55553&lt;/D&gt;&lt;D xsi:type="xsd:double"&gt;27.317083&lt;/D&gt;&lt;D xsi:type="xsd:double"&gt;35.03207&lt;/D&gt;&lt;D xsi:type="xsd:double"&gt;82.39329&lt;/D&gt;&lt;D xsi:type="xsd:double"&gt;70.52282&lt;/D&gt;&lt;D xsi:type="xsd:double"&gt;62.79924&lt;/D&gt;&lt;D xsi:type="xsd:double"&gt;54.492973&lt;/D&gt;&lt;D xsi:type="xsd:double"&gt;43.1543&lt;/D&gt;&lt;D xsi:type="xsd:double"&gt;38.89084&lt;/D&gt;&lt;D xsi:type="xsd:double"&gt;29.484426&lt;/D&gt;&lt;D xsi:type="xsd:double"&gt;46.17517&lt;/D&gt;&lt;D xsi:type="xsd:double"&gt;17.467796&lt;/D&gt;&lt;D xsi:type="xsd:double"&gt;21.773863&lt;/D&gt;&lt;D xsi:type="xsd:double"&gt;5.163443&lt;/D&gt;&lt;D xsi:type="xsd:double"&gt;-5.0035295&lt;/D&gt;&lt;D xsi:type="xsd:double"&gt;-4.1656017&lt;/D&gt;&lt;D xsi:type="xsd:double"&gt;-20.257551&lt;/D&gt;&lt;D xsi:type="xsd:double"&gt;-20.37754&lt;/D&gt;&lt;D xsi:type="xsd:double"&gt;-29.860342&lt;/D&gt;&lt;D xsi:type="xsd:double"&gt;-26.111149&lt;/D&gt;&lt;D xsi:type="xsd:double"&gt;-33.137638&lt;/D&gt;&lt;D xsi:type="xsd:double"&gt;-36.0132&lt;/D&gt;&lt;D xsi:type="xsd:double"&gt;-33.84978&lt;/D&gt;&lt;D xsi:type="xsd:double"&gt;-23.228819&lt;/D&gt;&lt;D xsi:type="xsd:double"&gt;-27.29792&lt;/D&gt;&lt;D xsi:type="xsd:double"&gt;-10.211963&lt;/D&gt;&lt;D xsi:type="xsd:double"&gt;-3.3576787&lt;/D&gt;&lt;D xsi:type="xsd:double"&gt;-12.131924&lt;/D&gt;&lt;D xsi:type="xsd:double"&gt;6.2526107&lt;/D&gt;&lt;D xsi:type="xsd:double"&gt;0.99829435&lt;/D&gt;&lt;D xsi:type="xsd:double"&gt;13.244974&lt;/D&gt;&lt;D xsi:type="xsd:double"&gt;8.884168&lt;/D&gt;&lt;D xsi:type="xsd:double"&gt;12.066555&lt;/D&gt;&lt;D xsi:type="xsd:double"&gt;23.17419&lt;/D&gt;&lt;D xsi:type="xsd:double"&gt;4.4020414&lt;/D&gt;&lt;D xsi:type="xsd:double"&gt;11.586559&lt;/D&gt;&lt;D xsi:type="xsd:double"&gt;23.231815&lt;/D&gt;&lt;D xsi:type="xsd:double"&gt;7.987237&lt;/D&gt;&lt;D xsi:type="xsd:double"&gt;14.712393&lt;/D&gt;&lt;D xsi:type="xsd:double"&gt;21.216059&lt;/D&gt;&lt;D xsi:type="xsd:double"&gt;8.335054&lt;/D&gt;&lt;D xsi:type="xsd:double"&gt;19.762611&lt;/D&gt;&lt;D xsi:type="xsd:double"&gt;20.565392&lt;/D&gt;&lt;D xsi:type="xsd:double"&gt;15.272177&lt;/D&gt;&lt;D xsi:type="xsd:double"&gt;29.48128&lt;/D&gt;&lt;/FQL&gt;&lt;FQL&gt;&lt;Q&gt;PASP-FDS^FG_PRICE_CHANGE(0,-1AM)&lt;/Q&gt;&lt;R&gt;1&lt;/R&gt;&lt;C&gt;1&lt;/C&gt;&lt;D xsi:type="xsd:double"&gt;4.32432432432432&lt;/D&gt;&lt;/FQL&gt;&lt;FQL&gt;&lt;Q&gt;TRYMX10Y-FDS^FG_YIELD(-10AY,0,Y,,"YTM")&lt;/Q&gt;&lt;R&gt;10&lt;/R&gt;&lt;C&gt;1&lt;/C&gt;&lt;D xsi:type="xsd:double"&gt;5.8237&lt;/D&gt;&lt;D xsi:type="xsd:double"&gt;6.2537&lt;/D&gt;&lt;D xsi:type="xsd:double"&gt;7.5651&lt;/D&gt;&lt;D xsi:type="xsd:double"&gt;7.6401&lt;/D&gt;&lt;D xsi:type="xsd:double"&gt;8.7069&lt;/D&gt;&lt;D xsi:type="xsd:double"&gt;6.8373&lt;/D&gt;&lt;D xsi:type="xsd:double"&gt;5.552&lt;/D&gt;&lt;D xsi:type="xsd:double"&gt;7.558&lt;/D&gt;&lt;D xsi:type="xsd:double"&gt;9.0223&lt;/D&gt;&lt;D xsi:type="xsd:double"&gt;8.95&lt;/D&gt;&lt;/FQL&gt;&lt;FQL&gt;&lt;Q&gt;USDUSD^STD(FG_PRICE_CHANGE(0,-1AY,AM))&lt;/Q&gt;&lt;R&gt;1&lt;/R&gt;&lt;C&gt;1&lt;/C&gt;&lt;D xsi:type="xsd:double"&gt;0&lt;/D&gt;&lt;/FQL&gt;&lt;FQL&gt;&lt;Q&gt;USDCAD^FG_COMPANY_NAME&lt;/Q&gt;&lt;R&gt;1&lt;/R&gt;&lt;C&gt;1&lt;/C&gt;&lt;D xsi:type="xsd:string"&gt;Canadian Dollar per U.S. Dollar&lt;/D&gt;&lt;/FQL&gt;&lt;FQL&gt;&lt;Q&gt;SPY^FMA_EPS(NTMA,-20AY,0,CY,,"PORTAGG","MEANR")&lt;/Q&gt;&lt;R&gt;20&lt;/R&gt;&lt;C&gt;1&lt;/C&gt;&lt;D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xsi:type="xsd:double"&gt;17.7294354415451&lt;/D&gt;&lt;D xsi:type="xsd:double"&gt;16.6617703289926&lt;/D&gt;&lt;D xsi:type="xsd:double"&gt;22.2767073851685&lt;/D&gt;&lt;D xsi:type="xsd:double"&gt;22.9687104615331&lt;/D&gt;&lt;D xsi:type="xsd:double"&gt;24.3449867619937&lt;/D&gt;&lt;/FQL&gt;&lt;FQL&gt;&lt;Q&gt;ENZL^P_PRICE_RETURNS_PR('52W',2,-10AY,0,AM)&lt;/Q&gt;&lt;R&gt;121&lt;/R&gt;&lt;C&gt;1&lt;/C&gt;&lt;D xsi:type="xsd:double"&gt;25.00683&lt;/D&gt;&lt;D xsi:type="xsd:double"&gt;3.3031225&lt;/D&gt;&lt;D xsi:type="xsd:double"&gt;4.670298&lt;/D&gt;&lt;D xsi:type="xsd:double"&gt;9.209024&lt;/D&gt;&lt;D xsi:type="xsd:double"&gt;12.749648&lt;/D&gt;&lt;D xsi:type="xsd:double"&gt;7.628536&lt;/D&gt;&lt;D xsi:type="xsd:double"&gt;8.312106&lt;/D&gt;&lt;D xsi:type="xsd:double"&gt;0.83146095&lt;/D&gt;&lt;D xsi:type="xsd:double"&gt;0.47211647&lt;/D&gt;&lt;D xsi:type="xsd:double"&gt;-5.0462666&lt;/D&gt;&lt;D xsi:type="xsd:double"&gt;-12.912416&lt;/D&gt;&lt;D xsi:type="xsd:double"&gt;-9.534836&lt;/D&gt;&lt;D xsi:type="xsd:double"&gt;-15.653503&lt;/D&gt;&lt;D xsi:type="xsd:double"&gt;-12.323981&lt;/D&gt;&lt;D xsi:type="xsd:double"&gt;-3.4706771&lt;/D&gt;&lt;D xsi:type="xsd:double"&gt;-7.555169&lt;/D&gt;&lt;D xsi:type="xsd:double"&gt;-1.6717434&lt;/D&gt;&lt;D xsi:type="xsd:double"&gt;-5.6719723&lt;/D&gt;&lt;D xsi:type="xsd:double"&gt;-7.7569666&lt;/D&gt;&lt;D xsi:type="xsd:double"&gt;3.4760833&lt;/D&gt;&lt;D xsi:type="xsd:double"&gt;7.6375127&lt;/D&gt;&lt;D xsi:type="xsd:double"&gt;12.448978&lt;/D&gt;&lt;D xsi:type="xsd:double"&gt;26.236475&lt;/D&gt;&lt;D xsi:type="xsd:double"&gt;37.02644&lt;/D&gt;&lt;D xsi:type="xsd:double"&gt;47.63384&lt;/D&gt;&lt;D xsi:type="xsd:double"&gt;50.126053&lt;/D&gt;&lt;D xsi:type="xsd:double"&gt;23.400259&lt;/D&gt;&lt;D xsi:type="xsd:double"&gt;23.708618&lt;/D&gt;&lt;D xsi:type="xsd:double"&gt;11.597323&lt;/D&gt;&lt;D xsi:type="xsd:double"&gt;32.269108&lt;/D&gt;&lt;D xsi:type="xsd:double"&gt;23.936033&lt;/D&gt;&lt;D xsi:type="xsd:double"&gt;8.162081&lt;/D&gt;&lt;D xsi:type="xsd:double"&gt;7.6562405&lt;/D&gt;&lt;D xsi:type="xsd:double"&gt;12.167358&lt;/D&gt;&lt;D xsi:type="xsd:double"&gt;13.995802&lt;/D&gt;&lt;D xsi:type="xsd:double"&gt;9.961689&lt;/D&gt;&lt;D xsi:type="xsd:double"&gt;4.152441&lt;/D&gt;&lt;D xsi:type="xsd:double"&gt;7.3923707&lt;/D&gt;&lt;D xsi:type="xsd:double"&gt;12.532436&lt;/D&gt;&lt;D xsi:type="xsd:double"&gt;12.841833&lt;/D&gt;&lt;D xsi:type="xsd:double"&gt;22.99831&lt;/D&gt;&lt;D xsi:type="xsd:double"&gt;16.396093&lt;/D&gt;&lt;D xsi:type="xsd:double"&gt;16.050316&lt;/D&gt;&lt;D xsi:type="xsd:double"&gt;21.153248&lt;/D&gt;&lt;D xsi:type="xsd:double"&gt;17.193449&lt;/D&gt;&lt;D xsi:type="xsd:double"&gt;11.4178295&lt;/D&gt;&lt;D xsi:type="xsd:double"&gt;8.741915&lt;/D&gt;&lt;D xsi:type="xsd:double"&gt;5.470836&lt;/D&gt;&lt;D xsi:type="xsd:double"&gt;11.653269&lt;/D&gt;&lt;D xsi:type="xsd:double"&gt;6.7557573&lt;/D&gt;&lt;D xsi:type="xsd:double"&gt;0.2780676&lt;/D&gt;&lt;D xsi:type="xsd:double"&gt;8.868432&lt;/D&gt;&lt;D xsi:type="xsd:double"&gt;0.2032876&lt;/D&gt;&lt;D xsi:type="xsd:double"&gt;2.1306157&lt;/D&gt;&lt;D xsi:type="xsd:double"&gt;6.1311364&lt;/D&gt;&lt;D xsi:type="xsd:double"&gt;10.915017&lt;/D&gt;&lt;D xsi:type="xsd:double"&gt;12.686896&lt;/D&gt;&lt;D xsi:type="xsd:double"&gt;10.174942&lt;/D&gt;&lt;D xsi:type="xsd:double"&gt;13.758814&lt;/D&gt;&lt;D xsi:type="xsd:double"&gt;17.886246&lt;/D&gt;&lt;D xsi:type="xsd:double"&gt;5.9624553&lt;/D&gt;&lt;D xsi:type="xsd:double"&gt;10.067833&lt;/D&gt;&lt;D xsi:type="xsd:double"&gt;22.279406&lt;/D&gt;&lt;D xsi:type="xsd:double"&gt;20.654179&lt;/D&gt;&lt;D xsi:type="xsd:double"&gt;29.2261&lt;/D&gt;&lt;D xsi:type="xsd:double"&gt;23.633469&lt;/D&gt;&lt;D xsi:type="xsd:double"&gt;10.86787&lt;/D&gt;&lt;D xsi:type="xsd:double"&gt;-12.229377&lt;/D&gt;&lt;D xsi:type="xsd:double"&gt;0.34964085&lt;/D&gt;&lt;D xsi:type="xsd:double"&gt;5.25285&lt;/D&gt;&lt;D xsi:type="xsd:double"&gt;6.368232&lt;/D&gt;&lt;D xsi:type="xsd:double"&gt;10.605693&lt;/D&gt;&lt;D xsi:type="xsd:double"&gt;22.61164&lt;/D&gt;&lt;D xsi:type="xsd:double"&gt;13.687265&lt;/D&gt;&lt;D xsi:type="xsd:double"&gt;18.92885&lt;/D&gt;&lt;D xsi:type="xsd:double"&gt;23.804546&lt;/D&gt;&lt;D xsi:type="xsd:double"&gt;21.116304&lt;/D&gt;&lt;D xsi:type="xsd:double"&gt;20.325232&lt;/D&gt;&lt;D xsi:type="xsd:double"&gt;15.762925&lt;/D&gt;&lt;D xsi:type="xsd:double"&gt;46.32152&lt;/D&gt;&lt;D xsi:type="xsd:double"&gt;31.720947&lt;/D&gt;&lt;D xsi:type="x</t>
        </r>
      </text>
    </comment>
    <comment ref="A7" authorId="0" shapeId="0" xr:uid="{465A52D2-40A8-4088-9E10-9B13CEC52980}">
      <text>
        <r>
          <rPr>
            <b/>
            <sz val="9"/>
            <color indexed="81"/>
            <rFont val="Tahoma"/>
            <charset val="1"/>
          </rPr>
          <t>sd:double"&gt;23.299658&lt;/D&gt;&lt;D xsi:type="xsd:double"&gt;13.123918&lt;/D&gt;&lt;D xsi:type="xsd:double"&gt;5.8589816&lt;/D&gt;&lt;D xsi:type="xsd:double"&gt;5.7263017&lt;/D&gt;&lt;D xsi:type="xsd:double"&gt;9.680033&lt;/D&gt;&lt;D xsi:type="xsd:double"&gt;7.740867&lt;/D&gt;&lt;D xsi:type="xsd:double"&gt;-10.053337&lt;/D&gt;&lt;D xsi:type="xsd:double"&gt;-12.534052&lt;/D&gt;&lt;D xsi:type="xsd:double"&gt;-23.020119&lt;/D&gt;&lt;D xsi:type="xsd:double"&gt;-10.869855&lt;/D&gt;&lt;D xsi:type="xsd:double"&gt;-9.330153&lt;/D&gt;&lt;D xsi:type="xsd:double"&gt;-21.67635&lt;/D&gt;&lt;D xsi:type="xsd:double"&gt;-21.01115&lt;/D&gt;&lt;D xsi:type="xsd:double"&gt;-24.736982&lt;/D&gt;&lt;D xsi:type="xsd:double"&gt;-19.619762&lt;/D&gt;&lt;D xsi:type="xsd:double"&gt;-23.775131&lt;/D&gt;&lt;D xsi:type="xsd:double"&gt;-29.63311&lt;/D&gt;&lt;D xsi:type="xsd:double"&gt;-30.397856&lt;/D&gt;&lt;D xsi:type="xsd:double"&gt;-17.10202&lt;/D&gt;&lt;D xsi:type="xsd:double"&gt;-14.993275&lt;/D&gt;&lt;D xsi:type="xsd:double"&gt;0.30043125&lt;/D&gt;&lt;D xsi:type="xsd:double"&gt;-8.5211935&lt;/D&gt;&lt;D xsi:type="xsd:double"&gt;-9.162045&lt;/D&gt;&lt;D xsi:type="xsd:double"&gt;0.11956692&lt;/D&gt;&lt;D xsi:type="xsd:double"&gt;3.4167051&lt;/D&gt;&lt;D xsi:type="xsd:double"&gt;8.507276&lt;/D&gt;&lt;D xsi:type="xsd:double"&gt;4.710984&lt;/D&gt;&lt;D xsi:type="xsd:double"&gt;-0.5551934&lt;/D&gt;&lt;D xsi:type="xsd:double"&gt;6.871724&lt;/D&gt;&lt;D xsi:type="xsd:double"&gt;-2.4090886&lt;/D&gt;&lt;D xsi:type="xsd:double"&gt;-0.40950775&lt;/D&gt;&lt;D xsi:type="xsd:double"&gt;1.6126633&lt;/D&gt;&lt;D xsi:type="xsd:double"&gt;-6.786948&lt;/D&gt;&lt;D xsi:type="xsd:double"&gt;-5.132723&lt;/D&gt;&lt;D xsi:type="xsd:double"&gt;-4.6717644&lt;/D&gt;&lt;D xsi:type="xsd:double"&gt;-6.3977957&lt;/D&gt;&lt;D xsi:type="xsd:double"&gt;-4.270768&lt;/D&gt;&lt;D xsi:type="xsd:double"&gt;-1.4715075&lt;/D&gt;&lt;D xsi:type="xsd:double"&gt;-5.6004643&lt;/D&gt;&lt;D xsi:type="xsd:double"&gt;9.774804&lt;/D&gt;&lt;/FQL&gt;&lt;FQL&gt;&lt;Q&gt;TIOS-FDS^FG_PRICE_MAVG(0,,,,30)&lt;/Q&gt;&lt;R&gt;1&lt;/R&gt;&lt;C&gt;1&lt;/C&gt;&lt;D xsi:type="xsd:double"&gt;102.117&lt;/D&gt;&lt;/FQL&gt;&lt;FQL&gt;&lt;Q&gt;FC0000AU^FG_PRICE(0)&lt;/Q&gt;&lt;R&gt;1&lt;/R&gt;&lt;C&gt;1&lt;/C&gt;&lt;D xsi:type="xsd:double"&gt;380.06387&lt;/D&gt;&lt;/FQL&gt;&lt;FQL&gt;&lt;Q&gt;EWQ^FG_PRICE_MAVG(0,,,,30)&lt;/Q&gt;&lt;R&gt;1&lt;/R&gt;&lt;C&gt;1&lt;/C&gt;&lt;D xsi:type="xsd:double"&gt;38.518&lt;/D&gt;&lt;/FQL&gt;&lt;FQL&gt;&lt;Q&gt;EWJ^P_PRICE(0)/P_PRICE_LOW_PR(0,,,,,,"PRICE","INTRA","52W")-1&lt;/Q&gt;&lt;R&gt;1&lt;/R&gt;&lt;C&gt;1&lt;/C&gt;&lt;D xsi:type="xsd:double"&gt;0.25069928&lt;/D&gt;&lt;/FQL&gt;&lt;FQL&gt;&lt;Q&gt;EWI^FMA_PCT_ABOVE_MAVG(200,0,,,,"PORTAGG")&lt;/Q&gt;&lt;R&gt;1&lt;/R&gt;&lt;C&gt;1&lt;/C&gt;&lt;D xsi:type="xsd:double"&gt;64&lt;/D&gt;&lt;/FQL&gt;&lt;FQL&gt;&lt;Q&gt;EWQ^P_PRICE(0)/P_PRICE_HIGH_PR(0,,,,,,"PRICE","INTRA","52W")&lt;/Q&gt;&lt;R&gt;1&lt;/R&gt;&lt;C&gt;1&lt;/C&gt;&lt;D xsi:type="xsd:double"&gt;0.9349766&lt;/D&gt;&lt;/FQL&gt;&lt;FQL&gt;&lt;Q&gt;QQQ^FG_TOTAL_RETURNC(0,-3AM)&lt;/Q&gt;&lt;R&gt;1&lt;/R&gt;&lt;C&gt;1&lt;/C&gt;&lt;D xsi:type="xsd:double"&gt;3.2810807&lt;/D&gt;&lt;/FQL&gt;&lt;FQL&gt;&lt;Q&gt;EWC^FG_TOTAL_RETURNC(0,-12AM)&lt;/Q&gt;&lt;R&gt;1&lt;/R&gt;&lt;C&gt;1&lt;/C&gt;&lt;D xsi:type="xsd:double"&gt;19.38585&lt;/D&gt;&lt;/FQL&gt;&lt;FQL&gt;&lt;Q&gt;VWO^FMA_COS_UP("EPS","1M",+1,0,,,"PORTAGG","MEANR")&lt;/Q&gt;&lt;R&gt;1&lt;/R&gt;&lt;C&gt;1&lt;/C&gt;&lt;D xsi:type="xsd:double"&gt;965&lt;/D&gt;&lt;/FQL&gt;&lt;FQL&gt;&lt;Q&gt;QQQ^FMA_COS_DOWN("EPS","1M",+1,0,,,"PORTAGG","MEANR")&lt;/Q&gt;&lt;R&gt;1&lt;/R&gt;&lt;C&gt;1&lt;/C&gt;&lt;D xsi:type="xsd:double"&gt;36&lt;/D&gt;&lt;/FQL&gt;&lt;FQL&gt;&lt;Q&gt;SPY^FMA_RBICS_REV_CURRENT(30, LOC, "PORTAGG")&lt;/Q&gt;&lt;R&gt;1&lt;/R&gt;&lt;C&gt;1&lt;/C&gt;&lt;D xsi:type="xsd:double"&gt;12.5765138366263&lt;/D&gt;&lt;/FQL&gt;&lt;FQL&gt;&lt;Q&gt;REFCATARG-FDS^FG_YIELD(NOW,,,0)&lt;/Q&gt;&lt;R&gt;1&lt;/R&gt;&lt;C&gt;1&lt;/C&gt;&lt;D xsi:type="xsd:double"&gt;4.5&lt;/D&gt;&lt;/FQL&gt;&lt;FQL&gt;&lt;Q&gt;TRYSE10Y-FDS^FG_YIELD(0,,,,"YTM")&lt;/Q&gt;&lt;R&gt;1&lt;/R&gt;&lt;C&gt;1&lt;/C&gt;&lt;D xsi:type="xsd:double"&gt;2.073&lt;/D&gt;&lt;/FQL&gt;&lt;FQL&gt;&lt;Q&gt;TRYCA10Y-FDS^FG_YIELD_NAME&lt;/Q&gt;&lt;R&gt;1&lt;/R&gt;&lt;C&gt;1&lt;/C&gt;&lt;D xsi:type="xsd:string"&gt;Canada Benchmark Bond - 10 Year&lt;/D&gt;&lt;/FQL&gt;&lt;FQL&gt;&lt;Q&gt;EWI^JULIAN(FMA_DIV_YLD(NTMA,NOW,NOW,M,"PORTAGG","MEANR").DATES)&lt;/Q&gt;&lt;R&gt;1&lt;/R&gt;&lt;C&gt;1&lt;/C&gt;&lt;D xsi:type="xsd:long"&gt;45531&lt;/D&gt;&lt;/FQL&gt;&lt;FQL&gt;&lt;Q&gt;EWU^FMA_EVAL_EBITDA(NTMA,0,,,"PORTAGG","MEANR")&lt;/Q&gt;&lt;R&gt;1&lt;/R&gt;&lt;C&gt;1&lt;/C&gt;&lt;D xsi:type="xsd:double"&gt;7.63830214278797&lt;/D&gt;&lt;/FQL&gt;&lt;FQL&gt;&lt;Q&gt;USO^P_PRICE(0)/P_PRICE_HIGH_PR(0,,,USD,,,"PRICE","INTRA","52W")&lt;/Q&gt;&lt;R&gt;1&lt;/R&gt;&lt;C&gt;1&lt;/C&gt;&lt;D xsi:type="xsd:double"&gt;0.92039317&lt;/D&gt;&lt;/FQL&gt;&lt;FQL&gt;&lt;Q&gt;GLD^FG_TOTAL_RETURNC(0,-1AM)&lt;/Q&gt;&lt;R&gt;1&lt;/R&gt;&lt;C&gt;1&lt;/C&gt;&lt;D xsi:type="xsd:double"&gt;5.73256&lt;/D&gt;&lt;/FQL&gt;&lt;FQL&gt;&lt;Q&gt;EWI^FMA_ROE(NTMA,-20AY,NOW,FY,"PORTAGG","MEANR")&lt;/Q&gt;&lt;R&gt;20&lt;/R&gt;&lt;C&gt;1&lt;/C&gt;&lt;D xsi:type="xsd:double"&gt;12.7201174133668&lt;/D&gt;&lt;D xsi:type="xsd:double"&gt;14.3538872460945&lt;/D&gt;&lt;D xsi:type="xsd:double"&gt;15.0689086026843&lt;/D&gt;&lt;D xsi:type="xsd:double"&gt;13.8121430445963&lt;/D&gt;&lt;D xsi:type="xsd:double"&gt;10.7897502226351&lt;/D&gt;&lt;D xsi:type="xsd:double"&gt;8.0585564947071&lt;/D&gt;&lt;D xsi:type="xsd:double"&gt;8.81990423698703&lt;/D&gt;&lt;D xsi:type="xsd:double"&gt;8.11660136585425&lt;/D&gt;&lt;D xsi:type="xsd:double"&gt;7.83939542493847&lt;/D&gt;&lt;D xsi:type="xsd:double"&gt;7.34575996709421&lt;/D&gt;&lt;D xsi:type="xsd:double"&gt;7.29870487123998&lt;/D&gt;&lt;D xsi:type="xsd:double"&gt;7.28937842659948&lt;/D&gt;&lt;D xsi:type="xsd:double"&gt;7.64480507807432&lt;/D&gt;&lt;D xsi:type="xsd:double"&gt;9.05384965064241&lt;/D&gt;&lt;D xsi:type="xsd:double"&gt;10.3909656073461&lt;/D&gt;&lt;D xsi:type="xsd:double"&gt;10.2353053584578&lt;/D&gt;&lt;D xsi:type="xsd:double"&gt;8.27578853786002&lt;/D&gt;&lt;D xsi:type="xsd:double"&gt;11.7277999998841&lt;/D&gt;&lt;D xsi:type="xsd:double"&gt;13.3202789860828&lt;/D&gt;&lt;D xsi:type="xsd:double"&gt;13.3572149047324&lt;/D&gt;&lt;/FQL&gt;&lt;FQL&gt;&lt;Q&gt;CAGDPY@US^EE_ACTUAL_ANNUAL(MED,+1)&lt;/Q&gt;&lt;R&gt;1&lt;/R&gt;&lt;C&gt;1&lt;/C&gt;&lt;D xsi:type="xsd:double"&gt;-3.2&lt;/D&gt;&lt;/FQL&gt;&lt;FQL&gt;&lt;Q&gt;CC_DE^FG_COMPANY_NAME&lt;/Q&gt;&lt;R&gt;1&lt;/R&gt;&lt;C&gt;1&lt;/C&gt;&lt;D xsi:type="xsd:string"&gt;Germany&lt;/D&gt;&lt;/FQL&gt;&lt;FQL&gt;&lt;Q&gt;USDJPY^STD(FG_PRICE_CHANGE(0,-1AY,AM))&lt;/Q&gt;&lt;R&gt;1&lt;/R&gt;&lt;C&gt;1&lt;/C&gt;&lt;D xsi:type="xsd:double"&gt;3.34896839656272&lt;/D&gt;&lt;/FQL&gt;&lt;FQL&gt;&lt;Q&gt;EWD^FG_TOTAL_RETURNC(-10AY,0,AM)&lt;/Q&gt;&lt;R&gt;121&lt;/R&gt;&lt;C&gt;1&lt;/C&gt;&lt;D xsi:type="xsd:double"&gt;-2.141428&lt;/D&gt;&lt;D xsi:type="xsd:double"&gt;-3.5394251&lt;/D&gt;&lt;D xsi:type="xsd:double"&gt;-1.5834391&lt;/D&gt;&lt;D xsi:type="xsd:double"&gt;3.7438035&lt;/D&gt;&lt;D xsi:type="xsd:double"&gt;-3.5918653&lt;/D&gt;&lt;D xsi:type="xsd:double"&gt;1.6827703&lt;/D&gt;&lt;D xsi:type="xsd:double"&gt;6.405151&lt;/D&gt;&lt;D xsi:type="xsd:double"&gt;-3.1682074&lt;/D&gt;&lt;D xsi:type="xsd:double"&gt;2.022612&lt;/D&gt;&lt;D xsi:type="xsd:double"&gt;-0.99125504&lt;/D&gt;&lt;D xsi:type="xsd:double"&gt;-1.9684076&lt;/D&gt;&lt;D xsi:type="xsd:double"&gt;-1.4303446&lt;/D&gt;&lt;D xsi:type="xsd:double"&gt;-3.8170397&lt;/D&gt;&lt;D xsi:type="xsd:double"&gt;-6.789112&lt;/D&gt;&lt;D xsi:type="xsd:double"&gt;6.122446&lt;/D&gt;&lt;D xsi:type="xsd:double"&gt;-0.6631315&lt;/D&gt;&lt;D xsi:type="xsd:double"&gt;-0.011467934&lt;/D&gt;&lt;D xsi:type="xsd:double"&gt;-8.55329&lt;/D&gt;&lt;D xsi:type="xsd:double"&gt;0.2557516&lt;/D&gt;&lt;D xsi:type="xsd:double"&gt;5.867338&lt;/D&gt;&lt;D xsi:type="xsd:double"&gt;4.061961&lt;/D&gt;&lt;D xsi:type="xsd:double"&gt;-1.7201483&lt;/D&gt;&lt;D xsi:type="xsd:double"&gt;-6.32835&lt;/D&gt;&lt;D xsi:type="xsd:double"&gt;4.706764&lt;/D&gt;&lt;D xsi:type="xsd:double"&gt;3.1038165&lt;/D&gt;&lt;D xsi:type="xsd:double"&gt;-0.5536318&lt;/D&gt;&lt;D xsi:type="xsd:double"&gt;-3.3750832&lt;/D&gt;&lt;D xsi:type="xsd:double"&gt;-1.1523187&lt;/D&gt;&lt;D xsi:type="xsd:double"&gt;4.4258&lt;/D&gt;&lt;D xsi:type="xsd:double"&gt;5.4780126&lt;/D&gt;&lt;D xsi:type="xsd:double"&gt;0.2646327&lt;/D&gt;&lt;D xsi:type="xsd:double"&gt;4.3550014&lt;/D&gt;&lt;D xsi:type="xsd:double"&gt;4.6791077&lt;/D&gt;&lt;D xsi:type="xsd:double"&gt;2.9598236&lt;/D&gt;&lt;D xsi:type="xsd:double"&gt;1.2211561&lt;/D&gt;&lt;D xsi:type="xsd:double"&gt;1.4819264&lt;/D&gt;&lt;D xsi:type="xsd:double"&gt;0.26285648&lt;/D&gt;&lt;D xsi:type="xsd:double"&gt;4.515004&lt;/D&gt;&lt;D xsi:type="xsd:double"&gt;-0.8082509&lt;/D&gt;&lt;D xsi:type="xsd:double"&gt;-3.1188548&lt;/D&gt;&lt;D xsi:type="xsd:double"&gt;-0.6979823&lt;/D&gt;&lt;D xsi:type="xsd:double"&gt;7.0206404&lt;/D&gt;&lt;D xsi:type="xsd:double"&gt;-6.504965&lt;/D&gt;&lt;D xsi:type="xsd:double"&gt;-1.297164&lt;/D&gt;&lt;D xsi:type="xsd:double"&gt;-0.059735775&lt;/D&gt;&lt;D xsi:type="xsd:double"&gt;-3.7656844&lt;/D&gt;&lt;D xsi:type="xsd:double"&gt;-0.83328485&lt;/D&gt;&lt;D xsi:type="xsd:double"&gt;4.883647&lt;/D&gt;&lt;D xsi:type="xsd:double"&gt;0.5312443&lt;/D&gt;&lt;D xsi:type="xsd:double"&gt;2.020526&lt;/D&gt;&lt;D xsi:type="xsd:double"&gt;-12.827539&lt;/D&gt;&lt;D xsi:type="xsd:double"&gt;2.1321177&lt;/D&gt;&lt;D xsi:type="xsd:double"&gt;-4.7343674&lt;/D&gt;&lt;D xsi:type="xsd:double"&gt;6.0388207&lt;/D&gt;&lt;D xsi:type="xsd:double"&gt;2.2372842&lt;/D&gt;&lt;D xsi:type="xsd:double"&gt;0.19893646&lt;/D&gt;&lt;D xsi:type="xsd:double"&gt;7.313037&lt;/D&gt;&lt;D xsi:type="xsd:double"&gt;-8.788162&lt;/D&gt;&lt;D xsi:type="xsd:double"&gt;7.5975537&lt;/D&gt;&lt;D xsi:type="xsd:double"&gt;-2.3670554&lt;/D&gt;&lt;D xsi:type="xsd:double"&gt;-7.1404877&lt;/D&gt;&lt;D xsi:type="xsd:double"&gt;5.257511&lt;/D&gt;&lt;D xsi:type="xsd:double"&gt;6.863749&lt;/D&gt;&lt;D xsi:type="xsd:double"&gt;0.8584976&lt;/D&gt;&lt;D xsi:type="xsd:double"&gt;6.5843463&lt;/D&gt;&lt;D xsi:type="xsd:double"&gt;-3.264451&lt;/D&gt;&lt;D xsi:type="xsd:double"&gt;-5.94427&lt;/D&gt;&lt;D xsi:type="xsd:double"&gt;-18.926924&lt;/D&gt;&lt;D xsi:type="xsd:double"&gt;14.372719&lt;/D&gt;&lt;D xsi:type="xsd:double"&gt;7.1707487&lt;/D&gt;&lt;D xsi:type="xsd:double"&gt;3.5707355&lt;/D&gt;&lt;D xsi:type="xsd:double"&gt;12.864935&lt;/D&gt;&lt;D xsi:type="xsd:double"&gt;2.3308635&lt;/D&gt;&lt;D xsi:type="xsd:double"&gt;-1.2500048&lt;/D&gt;&lt;D xsi:type="xsd:double"&gt;-4.9507675&lt;/D&gt;&lt;D xsi:type="xsd:double"&gt;18.023087&lt;/D&gt;&lt;D xsi:type="xsd:double"&gt;2.2894382&lt;/D&gt;&lt;D xsi:type="xsd:double"&gt;0.4939437&lt;/D&gt;&lt;D xsi:type="xsd:double"&gt;3.2686234&lt;/D&gt;&lt;D xsi:type="xsd:double"&gt;5.782962&lt;/D&gt;&lt;D xsi:type="xsd:double"&gt;6.9291234&lt;/D&gt;&lt;D xsi:type="xsd:double"&gt;1.977706&lt;/D&gt;&lt;D xsi:type="xsd:double"&gt;-1.3869703&lt;/D&gt;&lt;D xsi:type="xsd:double"&gt;4.5814633&lt;/D&gt;&lt;D xsi:type="xsd:double"&gt;-1.3510764&lt;/D&gt;&lt;D xsi:type="xsd:double"&gt;-7.345915&lt;/D&gt;&lt;D xsi:type="xsd:double"&gt;7.3012233&lt;/D&gt;&lt;D xsi:type="xsd:double"&gt;-5.1555037&lt;/D&gt;&lt;D xsi:type="xsd:double"&gt;6.039119&lt;/D&gt;&lt;D xsi:type="xsd:double"&gt;-11.742126&lt;/D&gt;&lt;D xsi:type="xsd:double"&gt;-8.270675&lt;/D&gt;&lt;D xsi:type="xsd:double"&gt;6.716025&lt;/D&gt;&lt;D xsi:type="xsd:double"&gt;-11.025768&lt;/D&gt;&lt;D xsi:type="xsd:double"&gt;1.7822266&lt;/D&gt;&lt;D xsi:type="xsd:double"&gt;-13.095629&lt;/D&gt;&lt;D xsi:type="xsd:double"&gt;10.171676&lt;/D&gt;&lt;D xsi:type="xsd:double"&gt;-10.732132&lt;/D&gt;&lt;D xsi:type="xsd:double"&gt;-11.3307&lt;/D&gt;&lt;D xsi:type="xsd:double"&gt;12.109959&lt;/D&gt;&lt;D xsi:type="xsd:double"&gt;8.913183&lt;/D&gt;&lt;D xsi:type="xsd:double"&gt;0.41872263&lt;/D&gt;&lt;D xsi:type="xsd:double"&gt;8.074355&lt;/D&gt;&lt;D xsi:type="xsd:double"&gt;-0.42289495&lt;/D&gt;&lt;D xsi:type="xsd:double"&gt;-2.9728174&lt;/D&gt;&lt;D xsi:type="xsd:double"&gt;8.578932&lt;/D&gt;&lt;D xsi:type="xsd:double"&gt;-6.04676&lt;/D&gt;&lt;D xsi:type="xsd:double"&gt;-0.5720854&lt;/D&gt;&lt;D xsi:type="xsd:double"&gt;2.8768659&lt;/D&gt;&lt;D xsi:type="xsd:double"&gt;-5.3970814&lt;/D&gt;&lt;D xsi:type="xsd:double"&gt;-2.5421262&lt;/D&gt;&lt;D xsi:type="xsd:double"&gt;-6.5817475&lt;/D&gt;&lt;D xsi:type="xsd:double"&gt;18.409098&lt;/D&gt;&lt;D xsi:type="xsd:double"&gt;10.898495&lt;/D&gt;&lt;D xsi:type="xsd:double"&gt;-5.295163&lt;/D&gt;&lt;D xsi:type="xsd:double"&gt;5.7784915&lt;/D&gt;&lt;D xsi:type="xsd:double"&gt;1.0622144&lt;/D&gt;&lt;D xsi:type="xsd:double"&gt;-1.5515506&lt;/D&gt;&lt;D xsi:type="xsd:double"&gt;3.863752&lt;/D&gt;&lt;D xsi:type="xsd:double"&gt;0.094389915&lt;/D&gt;&lt;D xsi:type="xsd:double"&gt;-1.6397536&lt;/D&gt;&lt;D xsi:type="xsd:double"&gt;6.2642097&lt;/D&gt;&lt;/FQL&gt;&lt;FQL&gt;&lt;Q&gt;EWJ^FMA_DIV_YLD(NTMA,-10AY,0,AM,"PORTAGG","MEANR")&lt;/Q&gt;&lt;R&gt;121&lt;/R&gt;&lt;C&gt;1&lt;/C&gt;&lt;D xsi:type="xsd:double"&gt;2.08374180140113&lt;/D&gt;&lt;D xsi:type="xsd:double"&gt;2.00545374807216&lt;/D&gt;&lt;D xsi:type="xsd:double"&gt;2.12750805939975&lt;/D&gt;&lt;D xsi:type="xsd:double"&gt;1.94863501610075&lt;/D&gt;&lt;D xsi:type="xsd:double"&gt;1.946428192021&lt;/D&gt;&lt;D xsi:type="xsd:double"&gt;2.00432054588738&lt;/D&gt;&lt;D xsi:type="xsd:double"&gt;1.87834190262488&lt;/D&gt;&lt;D xsi:type="xsd:double"&gt;1.86334318932593&lt;/D&gt;&lt;D xsi:type="xsd:double"&gt;1.81187662192873&lt;/D&gt;&lt;D xsi:type="xsd:double"&gt;1.82498370805908&lt;/D&gt;&lt;D xsi:type="xsd:double"&gt;1.92477570472252&lt;/D&gt;&lt;D xsi:type="xsd:double"&gt;1.93382677692171&lt;/D&gt;&lt;D xsi:type="xsd:double"&gt;2.05112479339955&lt;/D&gt;&lt;D xsi:type="xsd:double"&gt;2.34214314687921&lt;/D&gt;&lt;D xsi:type="xsd:double"&gt;2.06311066289316&lt;/D&gt;&lt;D xsi:type="xsd:double"&gt;2.01981949048267&lt;/D&gt;&lt;D xsi:type="xsd:double"&gt;2.09978413047512&lt;/D&gt;&lt;D xsi:type="xsd:double"&gt;2.28045936184802&lt;/D&gt;&lt;D xsi:type="xsd:double"&gt;2.48527142938945&lt;/D&gt;&lt;D xsi:type="xsd:double"&gt;2.34376570627402&lt;/D&gt;&lt;D xsi:type="xsd:double"&gt;2.39094788334759&lt;/D&gt;&lt;D xsi:type="xsd:double"&gt;2.36844391779497&lt;/D&gt;&lt;D xsi:type="xsd:double"&gt;2.53894228951929&lt;/D&gt;&lt;D xsi:type="xsd:double"&gt;2.38055813556632&lt;/D&gt;&lt;D xsi:type="xsd:double"&gt;2.39459623089796&lt;/D&gt;&lt;D xsi:type="xsd:double"&gt;2.37169454377698&lt;/D&gt;&lt;D xsi:type="xsd:double"&gt;2.3060109133492&lt;/D&gt;&lt;D xsi:type="xsd:double"&gt;2.1885683110496&lt;/D&gt;&lt;D xsi:type="xsd:double"&gt;2.12449635040399&lt;/D&gt;&lt;D xsi:type="xsd:double"&gt;2.10091573860012&lt;/D&gt;&lt;D xsi:type="xsd:double"&gt;2.16104578716086&lt;/D&gt;&lt;D xsi:type="xsd:double"&gt;2.17748486692378&lt;/D&gt;&lt;D xsi:type="xsd:double"&gt;2.21407683036057&lt;/D&gt;&lt;D xsi:type="xsd:double"&gt;2.19172837721417&lt;/D&gt;&lt;D xsi:type="xsd:double"&gt;2.15318197392326&lt;/D&gt;&lt;D xsi:type="xsd:double"&gt;2.1717059367162&lt;/D&gt;&lt;D xsi:type="xsd:double"&gt;2.23320309912541&lt;/D&gt;&lt;D xsi:type="xsd:double"&gt;2.15654878610097&lt;/D&gt;&lt;D xsi:type="xsd:double"&gt;2.05531968888097&lt;/D&gt;&lt;D xsi:type="xsd:double"&gt;2.08435027077737&lt;/D&gt;&lt;D xsi:type="xsd:double"&gt;2.05879632782467&lt;/D&gt;&lt;D xsi:type="xsd:double"&gt;2.00562916069213&lt;/D&gt;&lt;D xsi:type="xsd:double"&gt;2.19077462782696&lt;/D&gt;&lt;D xsi:type="xsd:double"&gt;2.28771578081579&lt;/D&gt;&lt;D xsi:type="xsd:double"&gt;2.20675187675582&lt;/D&gt;&lt;D xsi:type="xsd:double"&gt;2.26006504477001&lt;/D&gt;&lt;D xsi:type="xsd:double"&gt;2.30306871971896&lt;/D&gt;&lt;D xsi:type="xsd:double"&gt;2.25156992187565&lt;/D&gt;&lt;D xsi:type="xsd:double"&gt;2.30619078181481&lt;/D&gt;&lt;D xsi:type="xsd:double"&gt;2.21792325480422&lt;/D&gt;&lt;D xsi:type="xsd:double"&gt;2.54032337567241&lt;/D&gt;&lt;D xsi:type="xsd:double"&gt;2.47348196798905&lt;/D&gt;&lt;D xsi:type="xsd:double"&gt;2.75036359596829&lt;/D&gt;&lt;D xsi:type="xsd:double"&gt;2.64997481913668&lt;/D&gt;&lt;D xsi:type="xsd:double"&gt;2.56991061921489&lt;/D&gt;&lt;D xsi:type="xsd:double"&gt;2.60032708973296&lt;/D&gt;&lt;D xsi:type="xsd:double"&gt;2.56608151726657&lt;/D&gt;&lt;D xsi:type="xsd:double"&gt;2.70802802355154&lt;/D&gt;&lt;D xsi:type="xsd:double"&gt;2.68339003087462&lt;/D&gt;&lt;D xsi:type="xsd:double"&gt;2.66241951544119&lt;/D&gt;&lt;D xsi:type="xsd:double"&gt;2.78888071898196&lt;/D&gt;&lt;D xsi:type="xsd:double"&gt;2.597275251738&lt;/D&gt;&lt;D xsi:type="xsd:double"&gt;2.51832009084467&lt;/D&gt;&lt;D xsi:type="xsd:double"&gt;2.46703565069828&lt;/D&gt;&lt;D xsi:type="xsd:double"&gt;2.42607937345393&lt;/D&gt;&lt;D xsi:type="xsd:double"&gt;2.47384993519479&lt;/D&gt;&lt;D xsi:type="xsd:double"&gt;2.76169772404813&lt;/D&gt;&lt;D xsi:type="xsd:double"&gt;2.87196509534092&lt;/D&gt;&lt;D xsi:type="xsd:double"&gt;2.82850564123667&lt;/D&gt;&lt;D xsi:type="xsd:double"&gt;2.57904796076175&lt;/D&gt;&lt;D xsi:type="xsd:double"&gt;2.52613264409786&lt;/D&gt;&lt;D xsi:type="xsd:double"&gt;2.52095279315777&lt;/D&gt;&lt;D xsi:type="xsd:double"&gt;2.39601555304812&lt;/D&gt;&lt;D xsi:type="xsd:double"&gt;2.34970030244665&lt;/D&gt;&lt;D xsi:type="xsd:double"&gt;2.41428895236243&lt;/D&gt;&lt;D xsi:type="xsd:double"&gt;2.16686416887045&lt;/D&gt;&lt;D xsi:type="xsd:double"&gt;2.1230516009369&lt;/D&gt;&lt;D xsi:type="xsd:double"&gt;2.15371374144602&lt;/D&gt;&lt;D xsi:type="xsd:double"&gt;2.12331496657383&lt;/D&gt;&lt;D xsi:type="xsd:double"&gt;2.03186145673102&lt;/D&gt;&lt;D xsi:type="xsd:double"&gt;2.13850285314803&lt;/D&gt;&lt;D xsi:type="xsd:double"&gt;2.14637172502948&lt;/D&gt;&lt;D xsi:type="xsd:double"&gt;2.18852376999932&lt;/D&gt;&lt;D xsi:type="xsd:double"&gt;2.24014021861567&lt;/D&gt;&lt;D xsi:type="xsd:double"&gt;2.28376227151313&lt;/D&gt;&lt;D xsi:type="xsd:double"&gt;2.19492983955954&lt;/D&gt;&lt;D xsi:type="xsd:double"&gt;2.24766785367213&lt;/D&gt;&lt;D xsi:type="xsd:double"&gt;2.33193993371144&lt;/D&gt;&lt;D xsi:type="xsd:double"&gt;2.3061200013872&lt;/D&gt;&lt;D xsi:type="xsd:double"&gt;2.48476483877569&lt;/D&gt;&lt;D xsi:type="xsd:double"&gt;2.53107097261202&lt;/D&gt;&lt;D xsi:type="xsd:double"&gt;2.44941626257747&lt;/D&gt;&lt;D xsi:type="xsd:double"&gt;2.59144098377952&lt;/D&gt;&lt;D xsi:type="xsd:double"&gt;2.63541945049942&lt;/D&gt;&lt;D xsi:type="xsd:double"&gt;2.66971372900005&lt;/D&gt;&lt;D xsi:type="xsd:double"&gt;2.61584539927894&lt;/D&gt;&lt;D xsi:type="xsd:double"&gt;2.62000870920905&lt;/D&gt;&lt;D xsi:type="xsd:double"&gt;2.7676853747092&lt;/D&gt;&lt;D xsi:type="xsd:double"&gt;2.71232636791224&lt;/D&gt;&lt;D xsi:type="xsd:double"&gt;2.59534132444825&lt;/D&gt;&lt;D xsi:type="xsd:double"&gt;2.75009606337879&lt;/D&gt;&lt;D xsi:type="xsd:double"&gt;2.61531946236751&lt;/D&gt;&lt;D xsi:type="xsd:double"&gt;2.6236984375387&lt;/D&gt;&lt;D xsi:type="xsd:double"&gt;2.63400456670947&lt;/D&gt;&lt;D xsi:type="xsd:double"&gt;2.56541138651427&lt;/D&gt;&lt;D xsi:type="xsd:double"&gt;2.46964499674181&lt;/D&gt;&lt;D xsi:type="xsd:double"&gt;2.32416271960109&lt;/D&gt;&lt;D xsi:type="xsd:double"&gt;2.35339072188236&lt;/D&gt;&lt;D xsi:type="xsd:double"&gt;2.38295727137419&lt;/D&gt;&lt;D xsi:type="xsd:double"&gt;2.3888924504773&lt;/D&gt;&lt;D xsi:type="xsd:double"&gt;2.47849822736187&lt;/D&gt;&lt;D xsi:type="xsd:double"&gt;2.40249186312664&lt;/D&gt;&lt;D xsi:type="xsd:double"&gt;2.42815251022587&lt;/D&gt;&lt;D xsi:type="xsd:double"&gt;2.27954205244458&lt;/D&gt;&lt;D xsi:type="xsd:double"&gt;2.19334319463937&lt;/D&gt;&lt;D xsi:type="xsd:double"&gt;2.15769906164831&lt;/D&gt;&lt;D xsi:type="xsd:double"&gt;2.25013639250043&lt;/D&gt;&lt;D xsi:type="xsd:double"&gt;2.23635840684827&lt;/D&gt;&lt;D xsi:type="xsd:double"&gt;2.23314016901472&lt;/D&gt;&lt;D xsi:type="xsd:double"&gt;2.31224685295103&lt;/D&gt;&lt;D xsi:type="xsd:double"&gt;2.42368715063833&lt;/D&gt;&lt;/FQL&gt;&lt;FQL&gt;&lt;Q&gt;WL-FDS^FG_PRICE_CHANGE(0,-3AM)&lt;/Q&gt;&lt;R&gt;1&lt;/R&gt;&lt;C&gt;1&lt;/C&gt;&lt;D xsi:type="xsd:double"&gt;2.53956569746046&lt;/D&gt;&lt;/FQL&gt;&lt;FQL&gt;&lt;Q&gt;PLATI-FDS^FG_PRICE_CHANGE(0,-1AY)&lt;/Q&gt;&lt;R&gt;1&lt;/R&gt;&lt;C&gt;1&lt;/C&gt;&lt;D xsi:type="xsd:double"&gt;-4.06091370558376&lt;/D&gt;&lt;/FQL&gt;&lt;FQL&gt;&lt;Q&gt;EWL^PERCENT_CHANGE(FMA_EPS(+1,0,,,,"PORTAGG","MEAN"),FMA_EPS(+1,-1AM,,,,"PORTAGG","MEAN"))&lt;/Q&gt;&lt;R&gt;1&lt;/R&gt;&lt;C&gt;1&lt;/C&gt;&lt;D xsi:type="xsd:double"&gt;3.70091466033722&lt;/D&gt;&lt;/FQL&gt;&lt;FQL&gt;&lt;Q&gt;ENZL^FG_TOTAL_RETURNC(0,-6AM)&lt;/Q&gt;&lt;R&gt;1&lt;/R&gt;&lt;C&gt;1&lt;/C&gt;&lt;D xsi:type="xsd:double"&gt;9.088874&lt;/D&gt;&lt;/FQL&gt;&lt;FQL&gt;&lt;Q&gt;ENZL^FMA_COS_DOWN("EPS","1M",+1,0,,,"PORTAGG","MEANR")&lt;/Q&gt;&lt;R&gt;1&lt;/R&gt;&lt;C&gt;1&lt;/C&gt;&lt;D xsi:type="xsd:double"&gt;7&lt;/D&gt;&lt;/FQL&gt;&lt;FQL&gt;&lt;Q&gt;EWA^FG_ROE(0)&lt;/Q&gt;&lt;R&gt;1&lt;/R&gt;&lt;C&gt;1&lt;/C&gt;&lt;D xsi:type="xsd:double"&gt;12.5108203133605&lt;/D&gt;&lt;/FQL&gt;&lt;FQL&gt;&lt;Q&gt;TRYGB10Y-FDS^PCTCHG(FG_YIELD(0,,,,"YTM"),FG_YIELD(-3AM,,,,"YTM"))&lt;/Q&gt;&lt;R&gt;1&lt;/R&gt;&lt;C&gt;1&lt;/C&gt;&lt;D xsi:type="xsd:double"&gt;-9.012093&lt;/D&gt;&lt;/FQL&gt;&lt;FQL&gt;&lt;Q&gt;VWO^FMA_EVAL_EBITDA(NTMA,0,,,"PORTAGG","MEANR")&lt;/Q&gt;&lt;R&gt;1&lt;/R&gt;&lt;C&gt;1&lt;/C&gt;&lt;D xsi:type="xsd:double"&gt;8.97770263753823&lt;/D&gt;&lt;/FQL&gt;&lt;FQL&gt;&lt;Q&gt;EWQ^FMA_PE(NTMA,0,,,"PORTAGG","MEANR")&lt;/Q&gt;&lt;R&gt;1&lt;/R&gt;&lt;C&gt;1&lt;/C&gt;&lt;D xsi:type="xsd:double"&gt;13.7573735991581&lt;/D&gt;&lt;/FQL&gt;&lt;FQL&gt;&lt;Q&gt;EWA^FMA_PE(NTMA,0,,,"PORTAGG","MEANR")&lt;/Q&gt;&lt;R&gt;1&lt;/R&gt;&lt;C&gt;1&lt;/C&gt;&lt;D xsi:type="xsd:double"&gt;17.8614632315917&lt;/D&gt;&lt;/FQL&gt;&lt;FQL&gt;&lt;Q&gt;EWN^FMA_ROE(NTMA,-20AY,NOW,FY,"PORTAGG","MEANR")&lt;/Q&gt;&lt;R&gt;20&lt;/R&gt;&lt;C&gt;1&lt;/C&gt;&lt;D xsi:type="xsd:double"&gt;20.5027022731768&lt;/D&gt;&lt;D xsi:type="xsd:double"&gt;18.4388432839057&lt;/D&gt;&lt;D xsi:type="xsd:double"&gt;17.2963282197402&lt;/D&gt;&lt;D xsi:type="xsd:double"&gt;16.6220124304454&lt;/D&gt;&lt;D xsi:type="xsd:double"&gt;13.9821831035128&lt;/D&gt;&lt;D xsi:type="xsd:double"&gt;13.3304023919735&lt;/D&gt;&lt;D xsi:type="xsd:double"&gt;14.6594809949092&lt;/D&gt;&lt;D xsi:type="xsd:double"&gt;13.0989988533626&lt;/D&gt;&lt;D xsi:type="xsd:double"&gt;12.0023835077373&lt;/D&gt;&lt;D xsi:type="xsd:double"&gt;12.1486145572934&lt;/D&gt;&lt;D xsi:type="xsd:double"&gt;12.2197829564797&lt;/D&gt;&lt;D xsi:type="xsd:double"&gt;12.4442703427853&lt;/D&gt;&lt;D xsi:type="xsd:double"&gt;11.8415876112609&lt;/D&gt;&lt;D xsi:type="xsd:double"&gt;13.007558022755&lt;/D&gt;&lt;D xsi:type="xsd:double"&gt;13.2228677711132&lt;/D&gt;&lt;D xsi:type="xsd:double"&gt;13.0917636337237&lt;/D&gt;&lt;D xsi:type="xsd:double"&gt;9.77856566503728&lt;/D&gt;&lt;D xsi:type="xsd:double"&gt;10.8991459518594&lt;/D&gt;&lt;D xsi:type="xsd:double"&gt;12.0158891532418&lt;/D&gt;&lt;D xsi:type="xsd:double"&gt;12.7459856653411&lt;/D&gt;&lt;/FQL&gt;&lt;FQL&gt;&lt;Q&gt;USDANG^FG_PRICE_CHANGE(0,-1AY)&lt;/Q&gt;&lt;R&gt;1&lt;/R&gt;&lt;C&gt;1&lt;/C&gt;&lt;D xsi:type="xsd:double"&gt;0&lt;/D&gt;&lt;/FQL&gt;&lt;FQL&gt;&lt;Q&gt;USDUSD^FG_PRICE_CHANGE(0,-6AM)&lt;/Q&gt;&lt;R&gt;1&lt;/R&gt;&lt;C&gt;1&lt;/C&gt;&lt;D xsi:type="xsd:double"&gt;0&lt;/D&gt;&lt;/FQL&gt;&lt;FQL&gt;&lt;Q&gt;USDAUD^STD(FG_PRICE_CHANGE(0,-3AY,M))&lt;/Q&gt;&lt;R&gt;1&lt;/R&gt;&lt;C&gt;1&lt;/C&gt;&lt;D xsi:type="xsd:double"&gt;3.06365637155364&lt;/D&gt;&lt;/FQL&gt;&lt;FQL&gt;&lt;Q&gt;EWU^FMA_EPS(NTMA,-20AY,0,CY,,"PORTAGG","MEANR")&lt;/Q&gt;&lt;R&gt;20&lt;/R&gt;&lt;C&gt;1&lt;/C&gt;&lt;D xsi:type="xsd:double"&gt;2.78829402631307&lt;/D&gt;&lt;D xsi:type="xsd:double"&gt;2.94932484667975&lt;/D&gt;&lt;D xsi:type="xsd:double"&gt;3.75488864741091&lt;/D&gt;&lt;D xsi:type="xsd:double"&gt;4.07523919059458&lt;/D&gt;&lt;D xsi:type="xsd:double"&gt;2.818707383858&lt;/D&gt;&lt;D xsi:type="xsd:double"&gt;2.6972177795125&lt;/D&gt;&lt;D xsi:type="xsd:double"&gt;3.36495665882676&lt;/D&gt;&lt;D xsi:type="xsd:double"&gt;3.43468170545609&lt;/D&gt;&lt;D xsi:type="xsd:double"&gt;3.30605625416888&lt;/D&gt;&lt;D xsi:type="xsd:double"&gt;3.23218168522276&lt;/D&gt;&lt;D xsi:type="xsd:double"&gt;2.60589751741525&lt;/D&gt;&lt;D xsi:type="xsd:double"&gt;2.12294202915382&lt;/D&gt;&lt;D xsi:type="xsd:double"&gt;2.123898319152&lt;/D&gt;&lt;D xsi:type="xsd:double"&gt;2.42405089418043&lt;/D&gt;&lt;D xsi:type="xsd:double"&gt;2.57732227429949&lt;/D&gt;&lt;D xsi:type="xsd:double"&gt;2.53482233795695&lt;/D&gt;&lt;D xsi:type="xsd:double"&gt;2.03507562384137&lt;/D&gt;&lt;D xsi:type="xsd:double"&gt;2.71427224340631&lt;/D&gt;&lt;D xsi:type="xsd:double"&gt;3.12760121442786&lt;/D&gt;&lt;D xsi:type="xsd:double"&gt;3.00269886912718&lt;/D&gt;&lt;/FQL&gt;&lt;FQL&gt;&lt;Q&gt;SPY^FMA_PE(LTMA,-10AY,0,AM,"PORTAGG","MEANR")&lt;/Q&gt;&lt;R&gt;121&lt;/R&gt;&lt;C&gt;1&lt;/C&gt;&lt;D xsi:type="xsd:double"&gt;16.5165946550167&lt;/D&gt;&lt;D xsi:type="xsd:double"&gt;16.4096128850155&lt;/D&gt;&lt;D xsi:type="xsd:double"&gt;16.4969161494494&lt;/D&gt;&lt;D xsi:type="xsd:double"&gt;17.1148636188273&lt;/D&gt;&lt;D xsi:type="xsd:double"&gt;17.5468381992888&lt;/D&gt;&lt;D xsi:type="xsd:double"&gt;16.9537685922532&lt;/D&gt;&lt;D xsi:type="xsd:double"&gt;17.59103730002&lt;/D&gt;&lt;D xsi:type="xsd:double"&gt;17.494488374599&lt;/D&gt;&lt;D xsi:type="xsd:double"&gt;17.5680610301991&lt;/D&gt;&lt;D xsi:type="xsd:double"&gt;17.5147419982975&lt;/D&gt;&lt;D xsi:type="xsd:double"&gt;17.3008322285926&lt;/D&gt;&lt;D xsi:type="xsd:double"&gt;17.5341496877117&lt;/D&gt;&lt;D xsi:type="xsd:double"&gt;16.9143178043277&lt;/D&gt;&lt;D xsi:type="xsd:double"&gt;16.2382947723804&lt;/D&gt;&lt;D xsi:type="xsd:double"&gt;17.4898374777228&lt;/D&gt;&lt;D xsi:type="xsd:double"&gt;17.4962548504994&lt;/D&gt;&lt;D xsi:type="xsd:double"&gt;17.3971259074637&lt;/D&gt;&lt;D xsi:type="xsd:double"&gt;16.2966838906097&lt;/D&gt;&lt;D xsi:type="xsd:double"&gt;16.18819342752&lt;/D&gt;&lt;D xsi:type="xsd:double"&gt;16.18819342752&lt;/D&gt;&lt;D xsi:type="xsd:double"&gt;16.565182572191&lt;/D&gt;&lt;D xsi:type="xsd:double"&gt;16.7505275257683&lt;/D&gt;&lt;D xsi:type="xsd:double"&gt;16.7740158310483&lt;/D&gt;&lt;D xsi:type="xsd:double"&gt;17.3852036643489&lt;/D&gt;&lt;D xsi:type="xsd:double"&gt;17.5951209737213&lt;/D&gt;&lt;D xsi:type="xsd:double"&gt;17.6374793074859&lt;/D&gt;&lt;D xsi:type="xsd:double"&gt;17.5366805511185&lt;/D&gt;&lt;D xsi:type="xsd:double"&gt;18.2966696531517&lt;/D&gt;&lt;D xsi:type="xsd:double"&gt;18.8703487494046&lt;/D&gt;&lt;D xsi:type="xsd:double"&gt;19.0923490355538&lt;/D&gt;&lt;D xsi:type="xsd:double"&gt;19.4949236055791&lt;/D&gt;&lt;D xsi:type="xsd:double"&gt;19.3499987353811&lt;/D&gt;&lt;D xsi:type="xsd:double"&gt;19.2294920728576&lt;/D&gt;&lt;D xsi:type="xsd:double"&gt;19.1914525240663&lt;/D&gt;&lt;D xsi:type="xsd:double"&gt;19.0763408400651&lt;/D&gt;&lt;D xsi:type="xsd:double"&gt;19.1828759477783&lt;/D&gt;&lt;D xsi:type="xsd:double"&gt;18.9549776375272&lt;/D&gt;&lt;D xsi:type="xsd:double"&gt;19.3338918115731&lt;/D&gt;&lt;D xsi:type="xsd:double"&gt;19.6519421968673&lt;/D&gt;&lt;D xsi:type="xsd:double"&gt;19.8806944296486&lt;/D&gt;&lt;D xsi:type="xsd:double"&gt;20.2347233132771&lt;/D&gt;&lt;D xsi:type="xsd:double"&gt;21.2764575982761&lt;/D&gt;&lt;D xsi:type="xsd:double"&gt;19.7961415133282&lt;/D&gt;&lt;D xsi:type="xsd:double"&gt;19.442240691761&lt;/D&gt;&lt;D xsi:type="xsd:double"&gt;19.1526422058075&lt;/D&gt;&lt;D xsi:type="xsd:double"&gt;18.8327101658661&lt;/D&gt;&lt;D xsi:type="xsd:double"&gt;18.6134370089549&lt;/D&gt;&lt;D xsi:type="xsd:double"&gt;18.6682207451327&lt;/D&gt;&lt;D xsi:type="xsd:double"&gt;18.765530971868&lt;/D&gt;&lt;D xsi:type="xsd:double"&gt;18.5967626970535&lt;/D&gt;&lt;D xsi:type="xsd:double"&gt;16.9561687381188&lt;/D&gt;&lt;D xsi:type="xsd:double"&gt;17.1354986723572&lt;/D&gt;&lt;D xsi:type="xsd:double"&gt;15.3994994148198&lt;/D&gt;&lt;D xsi:type="xsd:double"&gt;16.3121261717659&lt;/D&gt;&lt;D xsi:type="xsd:double"&gt;17.1101396920555&lt;/D&gt;&lt;D xsi:type="xsd:double"&gt;17.136536634805&lt;/D&gt;&lt;D xsi:type="xsd:double"&gt;17.3127489552315&lt;/D&gt;&lt;D xsi:type="xsd:double"&gt;16.9484130001522&lt;/D&gt;&lt;D xsi:type="xsd:double"&gt;17.4039736504324&lt;/D&gt;&lt;D xsi:type="xsd:double"&gt;17.7922613536084&lt;/D&gt;&lt;D xsi:type="xsd:double"&gt;17.521408279488&lt;/D&gt;&lt;D xsi:type="xsd:double"&gt;17.794849770959&lt;/D&gt;&lt;D xsi:type="xsd:double"&gt;18.3401011048704&lt;/D&gt;&lt;D xsi:type="xsd:double"&gt;19.0907003478438&lt;/D&gt;&lt;D xsi:type="xsd:double"&gt;19.9048224719265&lt;/D&gt;&lt;D xsi:type="xsd:double"&gt;20.0106295049207&lt;/D&gt;&lt;D xsi:type="xsd:double"&gt;17.9045011587721&lt;/D&gt;&lt;D xsi:type="xsd:double"&gt;17.5178035440557&lt;/D&gt;&lt;D xsi:type="xsd:double"&gt;19.36223142437&lt;/D&gt;&lt;D xsi:type="xsd:double"&gt;20.4473825843083&lt;/D&gt;&lt;D xsi:type="xsd:double"&gt;21.0312906216844&lt;/D&gt;&lt;D xsi:type="xsd:double"&gt;22.2460277136366&lt;/D&gt;&lt;D xsi:type="xsd:double"&gt;23.6538679236928&lt;/D&gt;&lt;D xsi:type="xsd:double"&gt;23.3763137427665&lt;/D&gt;&lt;D xsi:type="xsd:double"&gt;23.2777949175097&lt;/D&gt;&lt;D xsi:type="xsd:double"&gt;25.377006459161&lt;/D&gt;&lt;D xsi:type="xsd:double"&gt;27.1699695133812&lt;/D&gt;&lt;D xsi:type="xsd:double"&gt;26.2991881714123&lt;/D&gt;&lt;D xsi:type="xsd:double"&gt;26.2931693975887&lt;/D&gt;&lt;D xsi:type="xsd:double"&gt;26.0316261057633&lt;/D&gt;&lt;D xsi:type="xsd:double"&gt;25.6812835487621&lt;/D&gt;&lt;D xsi:type="xsd:double"&gt;25.1175797905106&lt;/D&gt;&lt;D xsi:type="xsd:double"&gt;24.8303764485983&lt;/D&gt;&lt;D xsi:type="xsd:double"&gt;24.2806967103706&lt;/D&gt;&lt;D xsi:type="xsd:double"&gt;24.0129849896188&lt;/D&gt;&lt;D xsi:type="xsd:double"&gt;23.1118513439538&lt;/D&gt;&lt;D xsi:type="xsd:double"&gt;23.3454320268327&lt;/D&gt;&lt;D xsi:type="xsd:double"&gt;23.0559700750324&lt;/D&gt;&lt;D xsi:type="xsd:double"&gt;23.3890702013022&lt;/D&gt;&lt;D xsi:type="xsd:double"&gt;21.3974826073206&lt;/D&gt;&lt;D xsi:type="xsd:double"&gt;20.7184478631199&lt;/D&gt;&lt;D xsi:type="xsd:double"&gt;20.8206405937866&lt;/D&gt;&lt;D xsi:type="xsd:double"&gt;20.0247566197936&lt;/D&gt;&lt;D xsi:type="xsd:double"&gt;19.8217811966934&lt;/D&gt;&lt;D xsi:type="xsd:double"&gt;18.8282728381917&lt;/D&gt;&lt;D xsi:type="xsd:double"&gt;19.3722304086352&lt;/D&gt;&lt;D xsi:type="xsd:double"&gt;18.8942899266669&lt;/D&gt;&lt;D xsi:type="xsd:double"&gt;17.442091289629&lt;/D&gt;&lt;D xsi:type="xsd:double"&gt;18.2029673093134&lt;/D&gt;&lt;D xsi:type="xsd:double"&gt;18.1633734014933&lt;/D&gt;&lt;D xsi:type="xsd:double"&gt;17.4632106641751&lt;/D&gt;&lt;D xsi:type="xsd:double"&gt;18.4998907291421&lt;/D&gt;&lt;D xsi:type="xsd:double"&gt;18.0557703029734&lt;/D&gt;&lt;D xsi:type="xsd:double"&gt;18.1208409931733&lt;/D&gt;&lt;D xsi:type="xsd:double"&gt;18.331645338095&lt;/D&gt;&lt;D xsi:type="xsd:double"&gt;18.4393232077919&lt;/D&gt;&lt;D xsi:type="xsd:double"&gt;19.0102312868127&lt;/D&gt;&lt;D xsi:type="xsd:double"&gt;19.6778684618193&lt;/D&gt;&lt;D xsi:type="xsd:double"&gt;19.5032035873703&lt;/D&gt;&lt;D xsi:type="xsd:double"&gt;19.0496651932481&lt;/D&gt;&lt;D xsi:type="xsd:double"&gt;18.560928434487&lt;/D&gt;&lt;D xsi:type="xsd:double"&gt;20.3771053463371&lt;/D&gt;&lt;D xsi:type="xsd:double"&gt;21.7256395465349&lt;/D&gt;&lt;D xsi:type="xsd:double"&gt;22.4272031581724&lt;/D&gt;&lt;D xsi:type="xsd:double"&gt;22.7769945451275&lt;/D&gt;&lt;D xsi:type="xsd:double"&gt;22.7674307809079&lt;/D&gt;&lt;D xsi:type="xsd:double"&gt;22.4370609165264&lt;/D&gt;&lt;D xsi:type="xsd:double"&gt;22.5516578823856&lt;/D&gt;&lt;D xsi:type="xsd:double"&gt;22.7756128862945&lt;/D&gt;&lt;D xsi:type="xsd:double"&gt;22.7684861842802&lt;/D&gt;&lt;D xsi:type="xsd:double"&gt;23.1813878573769&lt;/D&gt;&lt;/FQL&gt;&lt;FQL&gt;&lt;Q&gt;BRENT-FDS^FG_PRICE(0)/MAX(FG_PRICE(0,-1AY))&lt;/Q&gt;&lt;R&gt;1&lt;/R&gt;&lt;C&gt;1&lt;/C&gt;&lt;D xsi:type="xsd:double"&gt;0.870614479821537&lt;/D&gt;&lt;/FQL&gt;&lt;FQL&gt;&lt;Q&gt;TIOS-FDS^FG_PRICE(0)&lt;/Q&gt;&lt;R&gt;1&lt;/R&gt;&lt;C&gt;1&lt;/C&gt;&lt;D xsi:type="xsd:double"&gt;98.63&lt;/D&gt;&lt;/FQL&gt;&lt;FQL&gt;&lt;Q&gt;EWQ^FG_PRICE(0)&lt;/Q&gt;&lt;R&gt;1&lt;/R&gt;&lt;C&gt;1&lt;/C&gt;&lt;D xsi:type="xsd:double"&gt;39.83&lt;/D&gt;&lt;/FQL&gt;&lt;FQL&gt;&lt;Q&gt;EWG^FG_PRICE_MAVG(0,,,,60)&lt;/Q&gt;&lt;R&gt;1&lt;/R&gt;&lt;C&gt;1&lt;/C&gt;&lt;D xsi:type="xsd:double"&gt;31.056&lt;/D&gt;&lt;/FQL&gt;&lt;FQL&gt;&lt;Q&gt;EWJ^P_PRICE(0)/P_PRICE_HIGH_PR(0,,,,,,"PRICE","INTRA","52W")&lt;/Q&gt;&lt;R&gt;1&lt;/R&gt;&lt;C&gt;1&lt;/C&gt;&lt;D xsi:type="xsd:double"&gt;0.99010456&lt;/D&gt;&lt;/FQL&gt;&lt;FQL&gt;&lt;Q&gt;EWD^FG_TOTAL_RETURNC(0,-12AM)&lt;/Q&gt;&lt;R&gt;1&lt;/R&gt;&lt;C&gt;1&lt;/C&gt;&lt;D xsi:type="xsd:double"&gt;29.48128&lt;/D&gt;&lt;/FQL&gt;&lt;FQL&gt;&lt;Q&gt;EWQ^FG_TOTAL_RETURNC(0,-6AM)&lt;/Q&gt;&lt;R&gt;1&lt;/R&gt;&lt;C&gt;1&lt;/C&gt;&lt;D xsi:type="xsd:double"&gt;1.356101&lt;/D&gt;&lt;/FQL&gt;&lt;FQL&gt;&lt;Q&gt;QQQ^FG_TOTAL_RETURNC(0,-1AM)&lt;/Q&gt;&lt;R&gt;1&lt;/R&gt;&lt;C&gt;1&lt;/C&gt;&lt;D xsi:type="xsd:double"&gt;1.4572144&lt;/D&gt;&lt;/FQL&gt;&lt;FQL&gt;&lt;Q&gt;EWC^P_PRICE(0)/P_PRICE_HIGH_PR(0,,,,,,"PRICE","INTRA","52W")&lt;/Q&gt;&lt;R&gt;1&lt;/R&gt;&lt;C&gt;1&lt;/C&gt;&lt;D xsi:type="xsd:double"&gt;0.9930808&lt;/D&gt;&lt;/FQL&gt;&lt;FQL&gt;&lt;Q&gt;VGK^SIZE(FG_CONSTITUENTS)&lt;/Q&gt;&lt;R&gt;1&lt;/R&gt;&lt;C&gt;1&lt;/C&gt;&lt;D xsi:type="xsd:long"&gt;1287&lt;/D&gt;&lt;/FQL&gt;&lt;FQL&gt;&lt;Q&gt;QQQ^FMA_COS_UP("EPS","1M",+1,0,,,"PORTAGG","MEANR")&lt;/Q&gt;&lt;R&gt;1&lt;/R&gt;&lt;C&gt;1&lt;/C&gt;&lt;D xsi:type="xsd:double"&gt;48&lt;/D&gt;&lt;/FQL&gt;&lt;FQL&gt;&lt;Q&gt;QQQ^FMA_RBICS_REV_CURRENT(30, LOC, "PORTAGG")&lt;/Q&gt;&lt;R&gt;1&lt;/R&gt;&lt;C&gt;1&lt;/C&gt;&lt;D xsi:type="xsd:double"&gt;0.834681122892297&lt;/D&gt;&lt;/FQL&gt;&lt;FQL&gt;&lt;Q&gt;REFFFUND-FDS^FG_YIELD(NOW,,,0)&lt;/Q&gt;&lt;R&gt;1&lt;/R&gt;&lt;C&gt;1&lt;/C&gt;&lt;D xsi:type="xsd:double"&gt;5.5&lt;/D&gt;&lt;/FQL&gt;&lt;FQL&gt;&lt;Q&gt;REFCATARG-FDS^PROPER_NAME(0,,,"SECURITY","NAME")&lt;/Q&gt;&lt;R&gt;1&lt;/R&gt;&lt;C&gt;1&lt;/C&gt;&lt;D xsi:type="xsd:string"&gt;Canada Target Rate&lt;/D&gt;&lt;/FQL&gt;&lt;FQL&gt;&lt;Q&gt;TRYAU10Y-FDS^FG_YIELD(0,,,,"YTM")&lt;/Q&gt;&lt;R&gt;1&lt;/R&gt;&lt;C&gt;1&lt;/C&gt;&lt;D xsi:type="xsd:double"&gt;3.954&lt;/D&gt;&lt;/FQL&gt;&lt;FQL&gt;&lt;Q&gt;EWD^FMA_EVAL_EBIT(LTMA,NOW,NOW,M,"PORTAGG","MEANR")&lt;/Q&gt;&lt;R&gt;1&lt;/R&gt;&lt;C&gt;1&lt;/C&gt;&lt;D xsi:type="xsd:double"&gt;16.2041448775468&lt;/D&gt;&lt;/FQL&gt;&lt;FQL&gt;&lt;Q&gt;EWU^FG_FCF_YIELD_NTM(0)&lt;/Q&gt;&lt;R&gt;1&lt;/R&gt;&lt;C&gt;1&lt;/C&gt;&lt;D xsi:type="xsd:double"&gt;6.26630391869435&lt;/D&gt;&lt;/FQL&gt;&lt;FQL&gt;&lt;Q&gt;EWG^FMA_EVAL_EBIT(LTMA,NOW,NOW,M,"PORTAGG","MEANR")&lt;/Q&gt;&lt;R&gt;1&lt;/R&gt;&lt;C&gt;1&lt;/C&gt;&lt;D xsi:type="xsd:double"&gt;13.709384251534&lt;/D&gt;&lt;/FQL&gt;&lt;FQL&gt;&lt;Q&gt;USO^FG_TOTAL_RETURNC(0,-6AM)&lt;/Q&gt;&lt;R&gt;1&lt;/R&gt;&lt;C&gt;1&lt;/C&gt;&lt;D xsi:type="xsd:double"&gt;4.648304&lt;/D&gt;&lt;/FQL&gt;&lt;FQL&gt;&lt;Q&gt;SPY^P_PRICE(0)/P_PRICE_HIGH_PR(0,,,USD,,,"PRICE","INTRA","52W")&lt;/Q&gt;&lt;R&gt;1&lt;/R&gt;&lt;C&gt;1&lt;/C&gt;&lt;D xsi:type="xsd:double"&gt;0.9879503&lt;/D&gt;&lt;/FQL&gt;&lt;FQL&gt;&lt;Q&gt;TRYUS10Y-FDS^FG_YIELD(-10AY,0,Y,,"YTM")&lt;/Q&gt;&lt;R&gt;10&lt;/R&gt;&lt;C&gt;1&lt;/C&gt;&lt;D xsi:type="xsd:double"&gt;2.1881&lt;/D&gt;&lt;D xsi:type="xsd:double"&gt;2.2961&lt;/D&gt;&lt;D xsi:type="xsd:double"&gt;2.4752&lt;/D&gt;&lt;D xsi:type="xsd:double"&gt;2.4325&lt;/D&gt;&lt;D xsi:type="xsd:double"&gt;2.6836&lt;/D&gt;&lt;D xsi:type="xsd:double"&gt;1.9185&lt;/D&gt;&lt;D xsi:type="xsd:double"&gt;0.9174&lt;/D&gt;&lt;D xsi:type="xsd:double"&gt;1.5119&lt;/D&gt;&lt;D xsi:type="xsd:double"&gt;3.8776&lt;/D&gt;&lt;D xsi:type="xsd:double"&gt;3.8791&lt;/D&gt;&lt;/FQL&gt;&lt;FQL&gt;&lt;Q&gt;CAGDPY@US^EE_ACTUAL_ANNUAL(MED,0)&lt;/Q&gt;&lt;R&gt;1&lt;/R&gt;&lt;C&gt;1&lt;/C&gt;&lt;D xsi:type="xsd:double"&gt;-3.31108668288718&lt;/D&gt;&lt;/FQL&gt;&lt;FQL&gt;&lt;Q&gt;CC_AU^FG_COMPANY_NAME&lt;/Q&gt;&lt;R&gt;1&lt;/R&gt;&lt;C&gt;1&lt;/C&gt;&lt;D xsi:type="xsd:string"&gt;Australia&lt;/D&gt;&lt;/FQL&gt;&lt;FQL&gt;&lt;Q&gt;USDJPY^FG_PRICE_CHANGE(0,-6AM)&lt;/Q&gt;&lt;R&gt;1&lt;/R&gt;&lt;C&gt;1&lt;/C&gt;&lt;D xsi:type="xsd:double"&gt;-2.862966&lt;/D&gt;&lt;/FQL&gt;&lt;FQL&gt;&lt;Q&gt;EWN^FG_TOTAL_RETURNC(-10AY,0,AM)&lt;/Q&gt;&lt;R&gt;121&lt;/R&gt;&lt;C&gt;1&lt;/C&gt;&lt;D xsi:type="xsd:double"&gt;0.5312681&lt;/D&gt;&lt;D xsi:type="xsd:double"&gt;-1.9512177&lt;/D&gt;&lt;D xsi:type="xsd:double"&gt;-3.4411252&lt;/D&gt;&lt;D xsi:type="xsd:double"&gt;6.9557667&lt;/D&gt;&lt;D xsi:type="xsd:double"&gt;-2.3568094&lt;/D&gt;&lt;D xsi:type="xsd:double"&gt;0.28877258&lt;/D&gt;&lt;D xsi:type="xsd:double"&gt;5.2653313&lt;/D&gt;&lt;D xsi:type="xsd:double"&gt;-0.50801635&lt;/D&gt;&lt;D xsi:type="xsd:double"&gt;2.7101398&lt;/D&gt;&lt;D xsi:type="xsd:double"&gt;1.6061187&lt;/D&gt;&lt;D xsi:type="xsd:double"&gt;-1.9065142&lt;/D&gt;&lt;D xsi:type="xsd:double"&gt;2.3291945&lt;/D&gt;&lt;D xsi:type="xsd:double"&gt;-7.283765&lt;/D&gt;&lt;D xsi:type="xsd:double"&gt;-5.769229&lt;/D&gt;&lt;D xsi:type="xsd:double"&gt;8.814585&lt;/D&gt;&lt;D xsi:type="xsd:double"&gt;-0.7182777&lt;/D&gt;&lt;D xsi:type="xsd:double"&gt;-1.3261259&lt;/D&gt;&lt;D xsi:type="xsd:double"&gt;-4.221308&lt;/D&gt;&lt;D xsi:type="xsd:double"&gt;-2.695769&lt;/D&gt;&lt;D xsi:type="xsd:double"&gt;8.399296&lt;/D&gt;&lt;D xsi:type="xsd:double"&gt;0.28398037&lt;/D&gt;&lt;D xsi:type="xsd:double"&gt;1.2135983&lt;/D&gt;&lt;D xsi:type="xsd:double"&gt;-8.244598&lt;/D&gt;&lt;D xsi:type="xsd:double"&gt;6.407428&lt;/D&gt;&lt;D xsi:type="xsd:double"&gt;2.9069781&lt;/D&gt;&lt;D xsi:type="xsd:double"&gt;-0.60533285&lt;/D&gt;&lt;D xsi:type="xsd:double"&gt;-0.5684078&lt;/D&gt;&lt;D xsi:type="xsd:double"&gt;-3.674966&lt;/D&gt;&lt;D xsi:type="xsd:double"&gt;3.220737&lt;/D&gt;&lt;D xsi:type="xsd:double"&gt;3.410983&lt;/D&gt;&lt;D xsi:type="xsd:double"&gt;2.37329&lt;/D&gt;&lt;D xsi:type="xsd:double"&gt;5.776024&lt;/D&gt;&lt;D xsi:type="xsd:double"&gt;4.309058&lt;/D&gt;&lt;D xsi:type="xsd:double"&gt;4.914522&lt;/D&gt;&lt;D xsi:type="xsd:double"&gt;-0.9730816&lt;/D&gt;&lt;D xsi:type="xsd:double"&gt;6.2803626&lt;/D&gt;&lt;D xsi:type="xsd:double"&gt;-0.48971176&lt;/D&gt;&lt;D xsi:type="xsd:double"&gt;2.985561&lt;/D&gt;&lt;D xsi:type="xsd:double"&gt;0.22300482&lt;/D&gt;&lt;D xsi:type="xsd:double"&gt;-0.2542913&lt;/D&gt;&lt;D xsi:type="xsd:double"&gt;1.6876101&lt;/D&gt;&lt;D xsi:type="xsd:double"&gt;6.366217&lt;/D&gt;&lt;D xsi:type="xsd:double"&gt;-5.748147&lt;/D&gt;&lt;D xsi:type="xsd:double"&gt;0.5029917&lt;/D&gt;&lt;D xsi:type="xsd:double"&gt;1.1573434&lt;/D&gt;&lt;D xsi:type="xsd:double"&gt;-3.9270282&lt;/D&gt;&lt;D xsi:type="xsd:double"&gt;-0.20537376&lt;/D&gt;&lt;D xsi:type="xsd:double"&gt;3.998685&lt;/D&gt;&lt;D xsi:type="xsd:double"&gt;-0.40970445&lt;/D&gt;&lt;D xsi:type="xsd:double"&gt;-4.4620275&lt;/D&gt;&lt;D xsi:type="xsd:double"&gt;-9.539586&lt;/D&gt;&lt;D xsi:type="xsd:double"&gt;4.430616&lt;/D&gt;&lt;D xsi:type="xsd:double"&gt;-7.974082&lt;/D&gt;&lt;D xsi:type="xsd:double"&gt;7.810104&lt;/D&gt;&lt;D xsi:type="xsd:double"&gt;5.2556753&lt;/D&gt;&lt;D xsi:type="xsd:double"&gt;0.8434534&lt;/D&gt;&lt;D xsi:type="xsd:double"&gt;4.550016&lt;/D&gt;&lt;D xsi:type="xsd:double"&gt;-4.879999&lt;/D&gt;&lt;D xsi:type="xsd:double"&gt;6.3043118&lt;/D&gt;&lt;D xsi:type="xsd:double"&gt;2.2049308&lt;/D&gt;&lt;D xsi:type="xsd:double"&gt;-3.5850286&lt;/D&gt;&lt;D xsi:type="xsd:double"&gt;2.3692012&lt;/D&gt;&lt;D xsi:type="xsd:double"&gt;2.8929472&lt;/D&gt;&lt;D xsi:type="xsd:double"&gt;1.8431783&lt;/D&gt;&lt;D xsi:type="xsd:double"&gt;4.19935&lt;/D&gt;&lt;D xsi:type="xsd:double"&gt;-1.714462&lt;/D&gt;&lt;D xsi:type="xsd:double"&gt;-8.451128&lt;/D&gt;&lt;D xsi:type="xsd:double"&gt;-15.76873&lt;/D&gt;&lt;D xsi:type="xsd:double"&gt;12.636507&lt;/D&gt;&lt;D xsi:type="xsd:double"&gt;6.371188&lt;/D&gt;&lt;D xsi:type="xsd:double"&gt;6.6916347&lt;/D&gt;&lt;D xsi:type="xsd:double"&gt;7.4585557&lt;/D&gt;&lt;D xsi:type="xsd:double"&gt;2.4564385&lt;/D&gt;&lt;D xsi:type="xsd:double"&gt;-2.676326&lt;/D&gt;&lt;D xsi:type="xsd:double"&gt;-1.6041279&lt;/D&gt;&lt;D xsi:type="xsd:double"&gt;14.585161&lt;/D&gt;&lt;D xsi:type="xsd:double"&gt;6.138563&lt;/D&gt;&lt;D xsi:type="xsd:double"&gt;1.633048&lt;/D&gt;&lt;D xsi:type="xsd:double"&gt;4.0170193&lt;/D&gt;&lt;D xsi:type="xsd:double"&gt;4.475236&lt;/D&gt;&lt;D xsi:type="xsd:double"&gt;6.4796686&lt;/D&gt;&lt;D xsi:type="xsd:double"&gt;1.0822892&lt;/D&gt;&lt;D xsi:type="xsd:double"&gt;-0.63924193&lt;/D&gt;&lt;D xsi:type="xsd:double"&gt;2.7629972&lt;/D&gt;&lt;D xsi:type="xsd:double"&gt;4.6405077&lt;/D&gt;&lt;D xsi:type="xsd:double"&gt;-5.3673387&lt;/D&gt;&lt;D xsi:type="xsd:double"&gt;4.7868013&lt;/D&gt;&lt;D xsi:type="xsd:double"&gt;-4.664111&lt;/D&gt;&lt;D xsi:type="xsd:double"&gt;1.281631&lt;/D&gt;&lt;D xsi:type="xsd:double"&gt;-10.055858&lt;/D&gt;&lt;D xsi:type="xsd:double"&gt;-4.991126&lt;/D&gt;&lt;D xsi:type="xsd:double"&gt;3.151989&lt;/D&gt;&lt;D xsi:type="xsd:double"&gt;-13.014936&lt;/D&gt;&lt;D xsi:type="xsd:double"&gt;2.1857977&lt;/D&gt;&lt;D xsi:type="xsd:double"&gt;-9.293884&lt;/D&gt;&lt;D xsi:type="xsd:double"&gt;8.219564&lt;/D&gt;&lt;D xsi:type="xsd:double"&gt;-8.226019&lt;/D&gt;&lt;D xsi:type="xsd:double"&gt;-12.428403&lt;/D&gt;&lt;D xsi:type="xsd:double"&gt;8.502293&lt;/D&gt;&lt;D xsi:type="xsd:double"&gt;14.315855&lt;/D&gt;&lt;D xsi:type="xsd:double"&gt;0.2761364&lt;/D&gt;&lt;D xsi:type="xsd:double"&gt;12.275135&lt;/D&gt;&lt;D xsi:type="xsd:double"&gt;-3.8642764&lt;/D&gt;&lt;D xsi:type="xsd:double"&gt;1.5441179&lt;/D&gt;&lt;D xsi:type="xsd:double"&gt;2.148199&lt;/D&gt;&lt;D xsi:type="xsd:double"&gt;1.6304374&lt;/D&gt;&lt;D xsi:type="xsd:double"&gt;0.6501436&lt;/D&gt;&lt;D xsi:type="xsd:double"&gt;5.1389813&lt;/D&gt;&lt;D xsi:type="xsd:double"&gt;-7.3761406&lt;/D&gt;&lt;D xsi:type="xsd:double"&gt;-8.803063&lt;/D&gt;&lt;D xsi:type="xsd:double"&gt;-3.3535004&lt;/D&gt;&lt;D xsi:type="xsd:double"&gt;15.199351&lt;/D&gt;&lt;D xsi:type="xsd:double"&gt;6.2289476&lt;/D&gt;&lt;D xsi:type="xsd:double"&gt;3.2937407&lt;/D&gt;&lt;D xsi:type="xsd:double"&gt;3.5574913&lt;/D&gt;&lt;D xsi:type="xsd:double"&gt;3.6447406&lt;/D&gt;&lt;D xsi:type="xsd:double"&gt;-1.4551342&lt;/D&gt;&lt;D xsi:type="xsd:double"&gt;4.450369&lt;/D&gt;&lt;D xsi:type="xsd:double"&gt;-0.26182532&lt;/D&gt;&lt;D xsi:type="xsd:double"&gt;-4.1409492&lt;/D&gt;&lt;D xsi:type="xsd:double"&gt;4.859817&lt;/D&gt;&lt;/FQL&gt;&lt;FQL&gt;&lt;Q&gt;EWG^FMA_DIV_YLD(NTMA,-10AY,0,AM,"PORTAGG","MEANR")&lt;/Q&gt;&lt;R&gt;121&lt;/R&gt;&lt;C&gt;1&lt;/C&gt;&lt;D xsi:type="xsd:double"&gt;3.17618926569511&lt;/D&gt;&lt;D xsi:type="xsd:double"&gt;3.20661567750948&lt;/D&gt;&lt;D xsi:type="xsd:double"&gt;3.34585983047912&lt;/D&gt;&lt;D xsi:type="xsd:double"&gt;3.12789091800153&lt;/D&gt;&lt;D xsi:type="xsd:double"&gt;3.15277066275975&lt;/D&gt;&lt;D xsi:type="xsd:double"&gt;2.93783683182674&lt;/D&gt;&lt;D xsi:type="xsd:double"&gt;2.78173214454678&lt;/D&gt;&lt;D xsi:type="xsd:double"&gt;2.70153237687039&lt;/D&gt;&lt;D xsi:type="xsd:double"&gt;2.86187400223114&lt;/D&gt;&lt;D xsi:type="xsd:double"&gt;2.9389200999986&lt;/D&gt;&lt;D xsi:type="xsd:double"&gt;3.05332498243139&lt;/D&gt;&lt;D xsi:type="xsd:double"&gt;3.033085982023&lt;/D&gt;&lt;D xsi:type="xsd:double"&gt;3.31556701153143&lt;/D&gt;&lt;D xsi:type="xsd:double"&gt;3.57531943159165&lt;/D&gt;&lt;D xsi:type="xsd:double"&gt;3.06952451142673&lt;/D&gt;&lt;D xsi:type="xsd:double"&gt;2.88268759826885&lt;/D&gt;&lt;D xsi:type="xsd:double"&gt;3.00904047839554&lt;/D&gt;&lt;D xsi:type="xsd:double"&gt;3.34471113459531&lt;/D&gt;&lt;D xsi:type="xsd:double"&gt;3.45962809725543&lt;/D&gt;&lt;D xsi:type="xsd:double"&gt;3.31832241204475&lt;/D&gt;&lt;D xsi:type="xsd:double"&gt;3.2918871979604&lt;/D&gt;&lt;D xsi:type="xsd:double"&gt;3.27075647027927&lt;/D&gt;&lt;D xsi:type="xsd:double"&gt;3.5188308242084&lt;/D&gt;&lt;D xsi:type="xsd:dou</t>
        </r>
      </text>
    </comment>
    <comment ref="A8" authorId="0" shapeId="0" xr:uid="{048E7231-1ECA-4B77-AEDD-6F33B50DDB36}">
      <text>
        <r>
          <rPr>
            <b/>
            <sz val="9"/>
            <color indexed="81"/>
            <rFont val="Tahoma"/>
            <charset val="1"/>
          </rPr>
          <t>ble"&gt;3.26557764935111&lt;/D&gt;&lt;D xsi:type="xsd:double"&gt;3.19675864165343&lt;/D&gt;&lt;D xsi:type="xsd:double"&gt;3.21951048426387&lt;/D&gt;&lt;D xsi:type="xsd:double"&gt;3.14147322244269&lt;/D&gt;&lt;D xsi:type="xsd:double"&gt;3.19209528187892&lt;/D&gt;&lt;D xsi:type="xsd:double"&gt;2.98009368795117&lt;/D&gt;&lt;D xsi:type="xsd:double"&gt;2.90539953181078&lt;/D&gt;&lt;D xsi:type="xsd:double"&gt;2.95452596437925&lt;/D&gt;&lt;D xsi:type="xsd:double"&gt;2.93001700406668&lt;/D&gt;&lt;D xsi:type="xsd:double"&gt;2.8942566420826&lt;/D&gt;&lt;D xsi:type="xsd:double"&gt;2.93556448903773&lt;/D&gt;&lt;D xsi:type="xsd:double"&gt;3.01526269202359&lt;/D&gt;&lt;D xsi:type="xsd:double"&gt;3.07977661898126&lt;/D&gt;&lt;D xsi:type="xsd:double"&gt;3.18322919498603&lt;/D&gt;&lt;D xsi:type="xsd:double"&gt;2.99038375230085&lt;/D&gt;&lt;D xsi:type="xsd:double"&gt;2.90485634173562&lt;/D&gt;&lt;D xsi:type="xsd:double"&gt;2.9348950838008&lt;/D&gt;&lt;D xsi:type="xsd:double"&gt;2.95370495795088&lt;/D&gt;&lt;D xsi:type="xsd:double"&gt;2.90586428947241&lt;/D&gt;&lt;D xsi:type="xsd:double"&gt;3.12778045347504&lt;/D&gt;&lt;D xsi:type="xsd:double"&gt;3.24717650440132&lt;/D&gt;&lt;D xsi:type="xsd:double"&gt;3.16382522416928&lt;/D&gt;&lt;D xsi:type="xsd:double"&gt;3.19735356792212&lt;/D&gt;&lt;D xsi:type="xsd:double"&gt;3.27480156728605&lt;/D&gt;&lt;D xsi:type="xsd:double"&gt;3.13887377399888&lt;/D&gt;&lt;D xsi:type="xsd:double"&gt;3.20498513642196&lt;/D&gt;&lt;D xsi:type="xsd:double"&gt;3.32370763382734&lt;/D&gt;&lt;D xsi:type="xsd:double"&gt;3.66294288862884&lt;/D&gt;&lt;D xsi:type="xsd:double"&gt;3.66230039381574&lt;/D&gt;&lt;D xsi:type="xsd:double"&gt;3.96862957428848&lt;/D&gt;&lt;D xsi:type="xsd:double"&gt;3.69673979217806&lt;/D&gt;&lt;D xsi:type="xsd:double"&gt;3.61231623795558&lt;/D&gt;&lt;D xsi:type="xsd:double"&gt;3.61859325369304&lt;/D&gt;&lt;D xsi:type="xsd:double"&gt;3.3924738345004&lt;/D&gt;&lt;D xsi:type="xsd:double"&gt;3.61970059541176&lt;/D&gt;&lt;D xsi:type="xsd:double"&gt;3.48770832349963&lt;/D&gt;&lt;D xsi:type="xsd:double"&gt;3.40513700319641&lt;/D&gt;&lt;D xsi:type="xsd:double"&gt;3.55231236928533&lt;/D&gt;&lt;D xsi:type="xsd:double"&gt;3.40266575427458&lt;/D&gt;&lt;D xsi:type="xsd:double"&gt;3.26949880799525&lt;/D&gt;&lt;D xsi:type="xsd:double"&gt;3.09715514407385&lt;/D&gt;&lt;D xsi:type="xsd:double"&gt;3.07735047874971&lt;/D&gt;&lt;D xsi:type="xsd:double"&gt;3.0821977072985&lt;/D&gt;&lt;D xsi:type="xsd:double"&gt;3.43280005946778&lt;/D&gt;&lt;D xsi:type="xsd:double"&gt;4.05034714806666&lt;/D&gt;&lt;D xsi:type="xsd:double"&gt;3.28296036926388&lt;/D&gt;&lt;D xsi:type="xsd:double"&gt;3.12222063838843&lt;/D&gt;&lt;D xsi:type="xsd:double"&gt;2.95125896022591&lt;/D&gt;&lt;D xsi:type="xsd:double"&gt;2.82705014598854&lt;/D&gt;&lt;D xsi:type="xsd:double"&gt;2.80109955153885&lt;/D&gt;&lt;D xsi:type="xsd:double"&gt;2.86108839689258&lt;/D&gt;&lt;D xsi:type="xsd:double"&gt;3.16361807274184&lt;/D&gt;&lt;D xsi:type="xsd:double"&gt;2.81345230526804&lt;/D&gt;&lt;D xsi:type="xsd:double"&gt;2.70870184953438&lt;/D&gt;&lt;D xsi:type="xsd:double"&gt;2.81322050851559&lt;/D&gt;&lt;D xsi:type="xsd:double"&gt;2.84200926461744&lt;/D&gt;&lt;D xsi:type="xsd:double"&gt;2.7434249769713&lt;/D&gt;&lt;D xsi:type="xsd:double"&gt;2.77521941074842&lt;/D&gt;&lt;D xsi:type="xsd:double"&gt;2.80497326819081&lt;/D&gt;&lt;D xsi:type="xsd:double"&gt;2.78734356877661&lt;/D&gt;&lt;D xsi:type="xsd:double"&gt;2.81953591939753&lt;/D&gt;&lt;D xsi:type="xsd:double"&gt;2.85217513372546&lt;/D&gt;&lt;D xsi:type="xsd:double"&gt;2.96361969267839&lt;/D&gt;&lt;D xsi:type="xsd:double"&gt;2.9643055686188&lt;/D&gt;&lt;D xsi:type="xsd:double"&gt;3.12109430506412&lt;/D&gt;&lt;D xsi:type="xsd:double"&gt;3.04004934365879&lt;/D&gt;&lt;D xsi:type="xsd:double"&gt;3.19621646994913&lt;/D&gt;&lt;D xsi:type="xsd:double"&gt;3.4702635522923&lt;/D&gt;&lt;D xsi:type="xsd:double"&gt;3.43340152522897&lt;/D&gt;&lt;D xsi:type="xsd:double"&gt;3.69682281990904&lt;/D&gt;&lt;D xsi:type="xsd:double"&gt;3.74348504500663&lt;/D&gt;&lt;D xsi:type="xsd:double"&gt;4.1350592398918&lt;/D&gt;&lt;D xsi:type="xsd:double"&gt;4.02206005365405&lt;/D&gt;&lt;D xsi:type="xsd:double"&gt;4.2043028509899&lt;/D&gt;&lt;D xsi:type="xsd:double"&gt;4.53756922953842&lt;/D&gt;&lt;D xsi:type="xsd:double"&gt;4.13497504669277&lt;/D&gt;&lt;D xsi:type="xsd:double"&gt;3.76314665528583&lt;/D&gt;&lt;D xsi:type="xsd:double"&gt;3.80913941787237&lt;/D&gt;&lt;D xsi:type="xsd:double"&gt;3.5015276919582&lt;/D&gt;&lt;D xsi:type="xsd:double"&gt;3.52099338927732&lt;/D&gt;&lt;D xsi:type="xsd:double"&gt;3.59150387777393&lt;/D&gt;&lt;D xsi:type="xsd:double"&gt;3.50639902551289&lt;/D&gt;&lt;D xsi:type="xsd:double"&gt;3.60675682757833&lt;/D&gt;&lt;D xsi:type="xsd:double"&gt;3.66581513402699&lt;/D&gt;&lt;D xsi:type="xsd:double"&gt;3.57560277005313&lt;/D&gt;&lt;D xsi:type="xsd:double"&gt;3.71117760545318&lt;/D&gt;&lt;D xsi:type="xsd:double"&gt;3.85852448007125&lt;/D&gt;&lt;D xsi:type="xsd:double"&gt;4.0682675227399&lt;/D&gt;&lt;D xsi:type="xsd:double"&gt;3.65843623835112&lt;/D&gt;&lt;D xsi:type="xsd:double"&gt;3.55310279376187&lt;/D&gt;&lt;D xsi:type="xsd:double"&gt;3.53571583562247&lt;/D&gt;&lt;D xsi:type="xsd:double"&gt;3.43329000176114&lt;/D&gt;&lt;D xsi:type="xsd:double"&gt;3.24692297836378&lt;/D&gt;&lt;D xsi:type="xsd:double"&gt;3.35223110800483&lt;/D&gt;&lt;D xsi:type="xsd:double"&gt;3.38246482494226&lt;/D&gt;&lt;D xsi:type="xsd:double"&gt;3.41879576952376&lt;/D&gt;&lt;D xsi:type="xsd:double"&gt;3.42366199847652&lt;/D&gt;&lt;D xsi:type="xsd:double"&gt;3.39490286693089&lt;/D&gt;&lt;/FQL&gt;&lt;FQL&gt;&lt;Q&gt;WL-FDS^FG_PRICE_CHANGE(0,-1AM)&lt;/Q&gt;&lt;R&gt;1&lt;/R&gt;&lt;C&gt;1&lt;/C&gt;&lt;D xsi:type="xsd:double"&gt;3.81963853176821&lt;/D&gt;&lt;/FQL&gt;&lt;FQL&gt;&lt;Q&gt;PLATI-FDS^FG_PRICE_CHANGE(0,-6AM)&lt;/Q&gt;&lt;R&gt;1&lt;/R&gt;&lt;C&gt;1&lt;/C&gt;&lt;D xsi:type="xsd:double"&gt;5.58659217877095&lt;/D&gt;&lt;/FQL&gt;&lt;FQL&gt;&lt;Q&gt;VWO^PERCENT_CHANGE(FMA_EPS(+1,0,,,,"PORTAGG","MEAN"),FMA_EPS(+1,-3AM,,,,"PORTAGG","MEAN"))&lt;/Q&gt;&lt;R&gt;1&lt;/R&gt;&lt;C&gt;1&lt;/C&gt;&lt;D xsi:type="xsd:double"&gt;0.632794803448124&lt;/D&gt;&lt;/FQL&gt;&lt;FQL&gt;&lt;Q&gt;ENZL^FG_TOTAL_RETURNC(0,-3AM)&lt;/Q&gt;&lt;R&gt;1&lt;/R&gt;&lt;C&gt;1&lt;/C&gt;&lt;D xsi:type="xsd:double"&gt;9.380304&lt;/D&gt;&lt;/FQL&gt;&lt;FQL&gt;&lt;Q&gt;ENZL^FMA_COS_UP("EPS","1M",+1,0,,,"PORTAGG","MEANR")&lt;/Q&gt;&lt;R&gt;1&lt;/R&gt;&lt;C&gt;1&lt;/C&gt;&lt;D xsi:type="xsd:double"&gt;5&lt;/D&gt;&lt;/FQL&gt;&lt;FQL&gt;&lt;Q&gt;REFAUCASH-FDS^(SUBARRAY(NOT_NA(NO_REPEAT_F(FG_YIELD(NOW,-10AY,D))),0,1)-SUBARRAY(NOT_NA(NO_REPEAT_F(FG_YIELD(NOW,-10AY,D))),1,1))*100&lt;/Q&gt;&lt;R&gt;1&lt;/R&gt;&lt;C&gt;1&lt;/C&gt;&lt;D xsi:type="xsd:double"&gt;25&lt;/D&gt;&lt;/FQL&gt;&lt;FQL&gt;&lt;Q&gt;TRYGB10Y-FDS^PCTCHG(FG_YIELD(0,,,,"YTM"),FG_YIELD(-1AM,,,,"YTM"))&lt;/Q&gt;&lt;R&gt;1&lt;/R&gt;&lt;C&gt;1&lt;/C&gt;&lt;D xsi:type="xsd:double"&gt;-1.4822121&lt;/D&gt;&lt;/FQL&gt;&lt;FQL&gt;&lt;Q&gt;TRYNL10Y-FDS^FG_YIELD(0,,,,"YTM")&lt;/Q&gt;&lt;R&gt;1&lt;/R&gt;&lt;C&gt;1&lt;/C&gt;&lt;D xsi:type="xsd:double"&gt;2.545&lt;/D&gt;&lt;/FQL&gt;&lt;FQL&gt;&lt;Q&gt;VWO^FMA_DIV_YLD(NTMA,NOW,NOW,M,"PORTAGG","MEANR")&lt;/Q&gt;&lt;R&gt;1&lt;/R&gt;&lt;C&gt;1&lt;/C&gt;&lt;D xsi:type="xsd:double"&gt;2.9435751847481&lt;/D&gt;&lt;/FQL&gt;&lt;FQL&gt;&lt;Q&gt;TRYSA10Y-FDS^FG_YIELD(-10AY,0,Y,,"YTM")&lt;/Q&gt;&lt;R&gt;10&lt;/R&gt;&lt;C&gt;1&lt;/C&gt;&lt;D xsi:type="xsd:string"&gt;@NA&lt;/D&gt;&lt;D xsi:type="xsd:string"&gt;@NA&lt;/D&gt;&lt;D xsi:type="xsd:double"&gt;3.8912454&lt;/D&gt;&lt;D xsi:type="xsd:double"&gt;3.7299898&lt;/D&gt;&lt;D xsi:type="xsd:double"&gt;4.5715504&lt;/D&gt;&lt;D xsi:type="xsd:double"&gt;2.8775356&lt;/D&gt;&lt;D xsi:type="xsd:double"&gt;2.0844028&lt;/D&gt;&lt;D xsi:type="xsd:double"&gt;2.5113702&lt;/D&gt;&lt;D xsi:type="xsd:double"&gt;4.613973&lt;/D&gt;&lt;D xsi:type="xsd:double"&gt;4.608568&lt;/D&gt;&lt;/FQL&gt;&lt;FQL&gt;&lt;Q&gt;USDEUR^FG_PRICE_CHANGE(0,-3AM)&lt;/Q&gt;&lt;R&gt;1&lt;/R&gt;&lt;C&gt;1&lt;/C&gt;&lt;D xsi:type="xsd:double"&gt;-2.3169637&lt;/D&gt;&lt;/FQL&gt;&lt;FQL&gt;&lt;Q&gt;EWI^FMA_EPS(NTMA,-20AY,0,CY,,"PORTAGG","MEANR")&lt;/Q&gt;&lt;R&gt;20&lt;/R&gt;&lt;C&gt;1&lt;/C&gt;&lt;D xsi:type="xsd:double"&gt;3.169168339117&lt;/D&gt;&lt;D xsi:type="xsd:double"&gt;3.12405993279458&lt;/D&gt;&lt;D xsi:type="xsd:double"&gt;5.04981282066684&lt;/D&gt;&lt;D xsi:type="xsd:double"&gt;5.56224784875388&lt;/D&gt;&lt;D xsi:type="xsd:double"&gt;4.17624790880873&lt;/D&gt;&lt;D xsi:type="xsd:double"&gt;3.08892808052067&lt;/D&gt;&lt;D xsi:type="xsd:double"&gt;3.32359348097665&lt;/D&gt;&lt;D xsi:type="xsd:double"&gt;2.98712765861625&lt;/D&gt;&lt;D xsi:type="xsd:double"&gt;2.83099275676073&lt;/D&gt;&lt;D xsi:type="xsd:double"&gt;2.51709042577162&lt;/D&gt;&lt;D xsi:type="xsd:double"&gt;2.20451072320163&lt;/D&gt;&lt;D xsi:type="xsd:double"&gt;1.95489186317479&lt;/D&gt;&lt;D xsi:type="xsd:double"&gt;1.78844259381098&lt;/D&gt;&lt;D xsi:type="xsd:double"&gt;2.35129536081733&lt;/D&gt;&lt;D xsi:type="xsd:double"&gt;2.64924756496654&lt;/D&gt;&lt;D xsi:type="xsd:double"&gt;2.59251661571796&lt;/D&gt;&lt;D xsi:type="xsd:double"&gt;1.99711745729498&lt;/D&gt;&lt;D xsi:type="xsd:double"&gt;2.96400297596909&lt;/D&gt;&lt;D xsi:type="xsd:double"&gt;3.54736708862932&lt;/D&gt;&lt;D xsi:type="xsd:double"&gt;3.81180271683843&lt;/D&gt;&lt;/FQL&gt;&lt;FQL&gt;&lt;Q&gt;COPP-FDS^FG_PRICE_CHANGE(0,-6AM)&lt;/Q&gt;&lt;R&gt;1&lt;/R&gt;&lt;C&gt;1&lt;/C&gt;&lt;D xsi:type="xsd:double"&gt;8.16273308123614&lt;/D&gt;&lt;/FQL&gt;&lt;FQL&gt;&lt;Q&gt;SPY^FG_PRICE_MAVG(0,,,,30)&lt;/Q&gt;&lt;R&gt;1&lt;/R&gt;&lt;C&gt;1&lt;/C&gt;&lt;D xsi:type="xsd:double"&gt;545.9843&lt;/D&gt;&lt;/FQL&gt;&lt;FQL&gt;&lt;Q&gt;ENZL^FG_PRICE_MAVG(0,,,,200)&lt;/Q&gt;&lt;R&gt;1&lt;/R&gt;&lt;C&gt;1&lt;/C&gt;&lt;D xsi:type="xsd:double"&gt;46.03779&lt;/D&gt;&lt;/FQL&gt;&lt;FQL&gt;&lt;Q&gt;EWJ^FG_TOTAL_RETURNC(0,-3AM)&lt;/Q&gt;&lt;R&gt;1&lt;/R&gt;&lt;C&gt;1&lt;/C&gt;&lt;D xsi:type="xsd:double"&gt;6.8247437&lt;/D&gt;&lt;/FQL&gt;&lt;FQL&gt;&lt;Q&gt;VGK^P_PRICE(0)/P_PRICE_HIGH_PR(0,,,,,,"PRICE","INTRA","52W")&lt;/Q&gt;&lt;R&gt;1&lt;/R&gt;&lt;C&gt;1&lt;/C&gt;&lt;D xsi:type="xsd:double"&gt;0.99521863&lt;/D&gt;&lt;/FQL&gt;&lt;FQL&gt;&lt;Q&gt;QQQ^P_PRICE(0)/P_PRICE_HIGH_PR(0,,,,,,"PRICE","INTRA","52W")&lt;/Q&gt;&lt;R&gt;1&lt;/R&gt;&lt;C&gt;1&lt;/C&gt;&lt;D xsi:type="xsd:double"&gt;0.9347395&lt;/D&gt;&lt;/FQL&gt;&lt;FQL&gt;&lt;Q&gt;URTH^SIZE(FG_CONSTITUENTS)&lt;/Q&gt;&lt;R&gt;1&lt;/R&gt;&lt;C&gt;1&lt;/C&gt;&lt;D xsi:type="xsd:long"&gt;1430&lt;/D&gt;&lt;/FQL&gt;&lt;FQL&gt;&lt;Q&gt;TRYIT10Y-FDS^PCTCHG(FG_YIELD(0,,,,"YTM"),FG_YIELD(-1AM,,,,"YTM"))&lt;/Q&gt;&lt;R&gt;1&lt;/R&gt;&lt;C&gt;1&lt;/C&gt;&lt;D xsi:type="xsd:double"&gt;-1.7245996&lt;/D&gt;&lt;/FQL&gt;&lt;FQL&gt;&lt;Q&gt;TRYNZ10Y-FDS^PCTCHG(FG_YIELD(0,,,,"YTM"),FG_YIELD(-1AM,,,,"YTM"))&lt;/Q&gt;&lt;R&gt;1&lt;/R&gt;&lt;C&gt;1&lt;/C&gt;&lt;D xsi:type="xsd:double"&gt;-1.7538215&lt;/D&gt;&lt;/FQL&gt;&lt;FQL&gt;&lt;Q&gt;TRYCA10Y-FDS^FG_YIELD(0,,,,"YTM")&lt;/Q&gt;&lt;R&gt;1&lt;/R&gt;&lt;C&gt;1&lt;/C&gt;&lt;D xsi:type="xsd:double"&gt;3.1279&lt;/D&gt;&lt;/FQL&gt;&lt;FQL&gt;&lt;Q&gt;VWO^JULIAN(FMA_DIV_YLD(NTMA,NOW,NOW,M,"PORTAGG","MEANR").DATES)&lt;/Q&gt;&lt;R&gt;1&lt;/R&gt;&lt;C&gt;1&lt;/C&gt;&lt;D xsi:type="xsd:long"&gt;45504&lt;/D&gt;&lt;/FQL&gt;&lt;FQL&gt;&lt;Q&gt;EWJ^FMA_PE(LTM,0,,,"PORTAGG","MEANR")&lt;/Q&gt;&lt;R&gt;1&lt;/R&gt;&lt;C&gt;1&lt;/C&gt;&lt;D xsi:type="xsd:double"&gt;17.5773483343069&lt;/D&gt;&lt;/FQL&gt;&lt;FQL&gt;&lt;Q&gt;ENZL^FG_FCF_YIELD_NTM(0)&lt;/Q&gt;&lt;R&gt;1&lt;/R&gt;&lt;C&gt;1&lt;/C&gt;&lt;D xsi:type="xsd:double"&gt;1.57916941329352&lt;/D&gt;&lt;/FQL&gt;&lt;FQL&gt;&lt;Q&gt;TRYTW10Y-FDS^FG_YIELD(-10AY,0,Y,,"YTM")&lt;/Q&gt;&lt;R&gt;10&lt;/R&gt;&lt;C&gt;1&lt;/C&gt;&lt;D xsi:type="xsd:double"&gt;1.6015&lt;/D&gt;&lt;D xsi:type="xsd:double"&gt;1.015&lt;/D&gt;&lt;D xsi:type="xsd:double"&gt;1.2037&lt;/D&gt;&lt;D xsi:type="xsd:double"&gt;0.9478&lt;/D&gt;&lt;D xsi:type="xsd:double"&gt;0.8648&lt;/D&gt;&lt;D xsi:type="xsd:double"&gt;0.672&lt;/D&gt;&lt;D xsi:type="xsd:double"&gt;0.315&lt;/D&gt;&lt;D xsi:type="xsd:double"&gt;0.7413&lt;/D&gt;&lt;D xsi:type="xsd:double"&gt;1.2812&lt;/D&gt;&lt;D xsi:type="xsd:double"&gt;1.211&lt;/D&gt;&lt;/FQL&gt;&lt;FQL&gt;&lt;Q&gt;CAGDPY@CA^EE_ACTUAL_ANNUAL(MED,+1)&lt;/Q&gt;&lt;R&gt;1&lt;/R&gt;&lt;C&gt;1&lt;/C&gt;&lt;D xsi:type="xsd:double"&gt;-0.65&lt;/D&gt;&lt;/FQL&gt;&lt;FQL&gt;&lt;Q&gt;USDSEK^FG_PRICE(0)&lt;/Q&gt;&lt;R&gt;1&lt;/R&gt;&lt;C&gt;1&lt;/C&gt;&lt;D xsi:type="xsd:double"&gt;10.2473&lt;/D&gt;&lt;/FQL&gt;&lt;FQL&gt;&lt;Q&gt;USDUSD^FG_PRICE(0)&lt;/Q&gt;&lt;R&gt;1&lt;/R&gt;&lt;C&gt;1&lt;/C&gt;&lt;D xsi:type="xsd:double"&gt;1&lt;/D&gt;&lt;/FQL&gt;&lt;FQL&gt;&lt;Q&gt;EWQ^FG_TOTAL_RETURNC(-10AY,0,AM)&lt;/Q&gt;&lt;R&gt;121&lt;/R&gt;&lt;C&gt;1&lt;/C&gt;&lt;D xsi:type="xsd:double"&gt;-1.7112255&lt;/D&gt;&lt;D xsi:type="xsd:double"&gt;-4.0623846&lt;/D&gt;&lt;D xsi:type="xsd:double"&gt;-5.444235&lt;/D&gt;&lt;D xsi:type="xsd:double"&gt;5.1979184&lt;/D&gt;&lt;D xsi:type="xsd:double"&gt;-3.3681035&lt;/D&gt;&lt;D xsi:type="xsd:double"&gt;0.95237494&lt;/D&gt;&lt;D xsi:type="xsd:double"&gt;4.1666627&lt;/D&gt;&lt;D xsi:type="xsd:double"&gt;-0.3018856&lt;/D&gt;&lt;D xsi:type="xsd:double"&gt;2.4981022&lt;/D&gt;&lt;D xsi:type="xsd:double"&gt;-0.5539119&lt;/D&gt;&lt;D xsi:type="xsd:double"&gt;-1.6311765&lt;/D&gt;&lt;D xsi:type="xsd:double"&gt;1.8810034&lt;/D&gt;&lt;D xsi:type="xsd:double"&gt;-5.5764914&lt;/D&gt;&lt;D xsi:type="xsd:double"&gt;-5.6264935&lt;/D&gt;&lt;D xsi:type="xsd:double"&gt;8.964062&lt;/D&gt;&lt;D xsi:type="xsd:double"&gt;-2.4447083&lt;/D&gt;&lt;D xsi:type="xsd:double"&gt;-1.2336314&lt;/D&gt;&lt;D xsi:type="xsd:double"&gt;-5.8609486&lt;/D&gt;&lt;D xsi:type="xsd:double"&gt;-2.533275&lt;/D&gt;&lt;D xsi:type="xsd:double"&gt;6.2995553&lt;/D&gt;&lt;D xsi:type="xsd:double"&gt;2.569425&lt;/D&gt;&lt;D xsi:type="xsd:double"&gt;0&lt;/D&gt;&lt;D xsi:type="xsd:double"&gt;-7.037121&lt;/D&gt;&lt;D xsi:type="xsd:double"&gt;6.776643&lt;/D&gt;&lt;D xsi:type="xsd:double"&gt;-0.08351207&lt;/D&gt;&lt;D xsi:type="xsd:double"&gt;-0.5432546&lt;/D&gt;&lt;D xsi:type="xsd:double"&gt;1.0924339&lt;/D&gt;&lt;D xsi:type="xsd:double"&gt;-2.3275137&lt;/D&gt;&lt;D xsi:type="xsd:double"&gt;4.5873165&lt;/D&gt;&lt;D xsi:type="xsd:double"&gt;2.6541471&lt;/D&gt;&lt;D xsi:type="xsd:double"&gt;-0.91487765&lt;/D&gt;&lt;D xsi:type="xsd:double"&gt;6.3026905&lt;/D&gt;&lt;D xsi:type="xsd:double"&gt;5.8157086&lt;/D&gt;&lt;D xsi:type="xsd:double"&gt;4.8179865&lt;/D&gt;&lt;D xsi:type="xsd:double"&gt;-0.28002858&lt;/D&gt;&lt;D xsi:type="xsd:double"&gt;2.4661303&lt;/D&gt;&lt;D xsi:type="xsd:double"&gt;0.44068098&lt;/D&gt;&lt;D xsi:type="xsd:double"&gt;4.286194&lt;/D&gt;&lt;D xsi:type="xsd:double"&gt;0.9708762&lt;/D&gt;&lt;D xsi:type="xsd:double"&gt;0.5128145&lt;/D&gt;&lt;D xsi:type="xsd:double"&gt;-0.14382005&lt;/D&gt;&lt;D xsi:type="xsd:double"&gt;7.110822&lt;/D&gt;&lt;D xsi:type="xsd:double"&gt;-5.4126797&lt;/D&gt;&lt;D xsi:type="xsd:double"&gt;-0.7271588&lt;/D&gt;&lt;D xsi:type="xsd:double"&gt;4.394901&lt;/D&gt;&lt;D xsi:type="xsd:double"&gt;-4.636967&lt;/D&gt;&lt;D xsi:type="xsd:double"&gt;-0.32767653&lt;/D&gt;&lt;D xsi:type="xsd:double"&gt;3.2765388&lt;/D&gt;&lt;D xsi:type="xsd:double"&gt;1.0469556&lt;/D&gt;&lt;D xsi:type="xsd:double"&gt;-1.4442742&lt;/D&gt;&lt;D xsi:type="xsd:double"&gt;-10.927046&lt;/D&gt;&lt;D xsi:type="xsd:double"&gt;1.0372043&lt;/D&gt;&lt;D xsi:type="xsd:double"&gt;-6.403393&lt;/D&gt;&lt;D xsi:type="xsd:double"&gt;5.4711223&lt;/D&gt;&lt;D xsi:type="xsd:double"&gt;5.7276607&lt;/D&gt;&lt;D xsi:type="xsd:double"&gt;0.4088521&lt;/D&gt;&lt;D xsi:type="xsd:double"&gt;4.3773413&lt;/D&gt;&lt;D xsi:type="xsd:double"&gt;-5.624187&lt;/D&gt;&lt;D xsi:type="xsd:double"&gt;8.19838&lt;/D&gt;&lt;D xsi:type="xsd:double"&gt;-0.45676827&lt;/D&gt;&lt;D xsi:type="xsd:double"&gt;-3.7037075&lt;/D&gt;&lt;D xsi:type="xsd:double"&gt;1.8720269&lt;/D&gt;&lt;D xsi:type="xsd:double"&gt;4.1429996&lt;/D&gt;&lt;D xsi:type="xsd:double"&gt;1.5720248&lt;/D&gt;&lt;D xsi:type="xsd:double"&gt;3.4098983&lt;/D&gt;&lt;D xsi:type="xsd:double"&gt;-2.203846&lt;/D&gt;&lt;D xsi:type="xsd:double"&gt;-9.452271&lt;/D&gt;&lt;D xsi:type="xsd:double"&gt;-18.285519&lt;/D&gt;&lt;D xsi:type="xsd:double"&gt;5.5414557&lt;/D&gt;&lt;D xsi:type="xsd:double"&gt;3.9278507&lt;/D&gt;&lt;D xsi:type="xsd:double"&gt;6.3595176&lt;/D&gt;&lt;D xsi:type="xsd:double"&gt;6.058395&lt;/D&gt;&lt;D xsi:type="xsd:double"&gt;1.8238187&lt;/D&gt;&lt;D xsi:type="xsd:double"&gt;-5.1368713&lt;/D&gt;&lt;D xsi:type="xsd:double"&gt;-5.0231576&lt;/D&gt;&lt;D xsi:type="xsd:double"&gt;24.343597&lt;/D&gt;&lt;D xsi:type="xsd:double"&gt;2.1623373&lt;/D&gt;&lt;D xsi:type="xsd:double"&gt;-3.887242&lt;/D&gt;&lt;D xsi:type="xsd:double"&gt;4.569316&lt;/D&gt;&lt;D xsi:type="xsd:double"&gt;2.7753234&lt;/D&gt;&lt;D xsi:type="xsd:double"&gt;8.072388&lt;/D&gt;&lt;D xsi:type="xsd:double"&gt;3.6151052&lt;/D&gt;&lt;D xsi:type="xsd:double"&gt;-0.984174&lt;/D&gt;&lt;D xsi:type="xsd:double"&gt;0.6811738&lt;/D&gt;&lt;D xsi:type="xsd:double"&gt;0.23418665&lt;/D&gt;&lt;D xsi:type="xsd:double"&gt;-2.4922073&lt;/D&gt;&lt;D xsi:type="xsd:double"&gt;4.6592116&lt;/D&gt;&lt;D xsi:type="xsd:double"&gt;-3.6886334&lt;/D&gt;&lt;D xsi:type="xsd:double"&gt;5.725026&lt;/D&gt;&lt;D xsi:type="xsd:double"&gt;-3.8510919&lt;/D&gt;&lt;D xsi:type="xsd:double"&gt;-5.6608796&lt;/D&gt;&lt;D xsi:type="xsd:double"&gt;3.0568838&lt;/D&gt;&lt;D xsi:type="xsd:double"&gt;-9.502882&lt;/D&gt;&lt;D xsi:type="xsd:double"&gt;4.8558354&lt;/D&gt;&lt;D xsi:type="xsd:double"&gt;-9.952587&lt;/D&gt;&lt;D xsi:type="xsd:double"&gt;5.7908654&lt;/D&gt;&lt;D xsi:type="xsd:double"&gt;-5.9743524&lt;/D&gt;&lt;D xsi:type="xsd:double"&gt;-10.878241&lt;/D&gt;&lt;D xsi:type="xsd:double"&gt;12.691296&lt;/D&gt;&lt;D xsi:type="xsd:double"&gt;9.53958&lt;/D&gt;&lt;D xsi:type="xsd:double"&gt;1.6656518&lt;/D&gt;&lt;D xsi:type="xsd:double"&gt;9.99999&lt;/D&gt;&lt;D xsi:type="xsd:double"&gt;-0.89551806&lt;/D&gt;&lt;D xsi:type="xsd:double"&gt;1.6976953&lt;/D&gt;&lt;D xsi:type="xsd:double"&gt;6.542814&lt;/D&gt;&lt;D xsi:type="xsd:double"&gt;-4.068738&lt;/D&gt;&lt;D xsi:type="xsd:double"&gt;2.235639&lt;/D&gt;&lt;D xsi:type="xsd:double"&gt;3.2402515&lt;/D&gt;&lt;D xsi:type="xsd:double"&gt;-2.5771856&lt;/D&gt;&lt;D xsi:type="xsd:double"&gt;-6.783658&lt;/D&gt;&lt;D xsi:type="xsd:double"&gt;-5.1418962&lt;/D&gt;&lt;D xsi:type="xsd:double"&gt;11.4632845&lt;/D&gt;&lt;D xsi:type="xsd:double"&gt;4.7971845&lt;/D&gt;&lt;D xsi:type="xsd:double"&gt;-0.17865896&lt;/D&gt;&lt;D xsi:type="xsd:double"&gt;2.8125763&lt;/D&gt;&lt;D xsi:type="xsd:double"&gt;2.984333&lt;/D&gt;&lt;D xsi:type="xsd:double"&gt;-1.9560516&lt;/D&gt;&lt;D xsi:type="xsd:double"&gt;1.2068987&lt;/D&gt;&lt;D xsi:type="xsd:double"&gt;-5.91954&lt;/D&gt;&lt;D xsi:type="xsd:double"&gt;1.164639&lt;/D&gt;&lt;D xsi:type="xsd:double"&gt;4.212451&lt;/D&gt;&lt;/FQL&gt;&lt;FQL&gt;&lt;Q&gt;EWU^FMA_PE(NTMA,-10AY,0,AM,"PORTAGG","MEANR")&lt;/Q&gt;&lt;R&gt;121&lt;/R&gt;&lt;C&gt;1&lt;/C&gt;&lt;D xsi:type="xsd:double"&gt;13.5557307291156&lt;/D&gt;&lt;D xsi:type="xsd:double"&gt;13.1355101964125&lt;/D&gt;&lt;D xsi:type="xsd:double"&gt;13.0351701391203&lt;/D&gt;&lt;D xsi:type="xsd:double"&gt;13.5634694393154&lt;/D&gt;&lt;D xsi:type="xsd:double"&gt;13.903198413452&lt;/D&gt;&lt;D xsi:type="xsd:double"&gt;15.0745886123042&lt;/D&gt;&lt;D xsi:type="xsd:double"&gt;15.7673388929755&lt;/D&gt;&lt;D xsi:type="xsd:double"&gt;15.5444133060368&lt;/D&gt;&lt;D xsi:type="xsd:double"&gt;16.1150749560633&lt;/D&gt;&lt;D xsi:type="xsd:double"&gt;15.9826389200667&lt;/D&gt;&lt;D xsi:type="xsd:double"&gt;15.2172990369064&lt;/D&gt;&lt;D xsi:type="xsd:double"&gt;15.2775100923026&lt;/D&gt;&lt;D xsi:type="xsd:double"&gt;14.3473149702538&lt;/D&gt;&lt;D xsi:type="xsd:double"&gt;13.8822810181968&lt;/D&gt;&lt;D xsi:type="xsd:double"&gt;15.342959762407&lt;/D&gt;&lt;D xsi:type="xsd:double"&gt;15.4114620864583&lt;/D&gt;&lt;D xsi:type="xsd:double"&gt;15.3998647431995&lt;/D&gt;&lt;D xsi:type="xsd:double"&gt;15.5045578309475&lt;/D&gt;&lt;D xsi:type="xsd:double"&gt;15.612412794759&lt;/D&gt;&lt;D xsi:type="xsd:double"&gt;15.9542588032802&lt;/D&gt;&lt;D xsi:type="xsd:double"&gt;16.2175590994556&lt;/D&gt;&lt;D xsi:type="xsd:double"&gt;16.0303554522739&lt;/D&gt;&lt;D xsi:type="xsd:double"&gt;15.7076688160778&lt;/D&gt;&lt;D xsi:type="xsd:double"&gt;16.1830905739224&lt;/D&gt;&lt;D xsi:type="xsd:double"&gt;16.0510023350374&lt;/D&gt;&lt;D xsi:type="xsd:double"&gt;15.7618153054096&lt;/D&gt;&lt;D xsi:type="xsd:double"&gt;14.9845031846469&lt;/D&gt;&lt;D xsi:type="xsd:double"&gt;14.2207135127035&lt;/D&gt;&lt;D xsi:type="xsd:double"&gt;14.3394525458697&lt;/D&gt;&lt;D xsi:type="xsd:double"&gt;14.3254374262404&lt;/D&gt;&lt;D xsi:type="xsd:double"&gt;14.3874260448601&lt;/D&gt;&lt;D xsi:type="xsd:double"&gt;14.4601227978655&lt;/D&gt;&lt;D xsi:type="xsd:double"&gt;14.3108472927418&lt;/D&gt;&lt;D xsi:type="xsd:double"&gt;14.7786969487001&lt;/D&gt;&lt;D xsi:type="xsd:double"&gt;14.4784752972587&lt;/D&gt;&lt;D xsi:type="xsd:double"&gt;14.7127350565832&lt;/D&gt;&lt;D xsi:type="xsd:double"&gt;14.4363703648257&lt;/D&gt;&lt;D xsi:type="xsd:double"&gt;14.5413076611886&lt;/D&gt;&lt;D xsi:type="xsd:double"&gt;14.490782578503&lt;/D&gt;&lt;D xsi:type="xsd:double"&gt;14.2532812229524&lt;/D&gt;&lt;D xsi:type="xsd:double"&gt;14.7771218833858&lt;/D&gt;&lt;D xsi:type="xsd:double"&gt;14.5875802890754&lt;/D&gt;&lt;D xsi:type="xsd:double"&gt;13.116669102772&lt;/D&gt;&lt;D xsi:type="xsd:double"&gt;13.2236066575751&lt;/D&gt;&lt;D xsi:type="xsd:double"&gt;13.8111767484273&lt;/D&gt;&lt;D xsi:type="xsd:double"&gt;13.5404844802632&lt;/D&gt;&lt;D xsi:type="xsd:double"&gt;13.2933875981989&lt;/D&gt;&lt;D xsi:type="xsd:double"&gt;13.2538713603503&lt;/D&gt;&lt;D xsi:type="xsd:double"&gt;12.8615345804753&lt;/D&gt;&lt;D xsi:type="xsd:double"&gt;12.7726243200956&lt;/D&gt;&lt;D xsi:type="xsd:double"&gt;11.708490269748&lt;/D&gt;&lt;D xsi:type="xsd:double"&gt;11.8078128714442&lt;/D&gt;&lt;D xsi:type="xsd:double"&gt;11.4061714361872&lt;/D&gt;&lt;D xsi:type="xsd:double"&gt;11.9127003307761&lt;/D&gt;&lt;D xsi:type="xsd:double"&gt;12.3996300525624&lt;/D&gt;&lt;D xsi:type="xsd:double"&gt;12.5347448196817&lt;/D&gt;&lt;D xsi:type="xsd:double"&gt;12.6584151769049&lt;/D&gt;&lt;D xsi:type="xsd:double"&gt;12.179310959912&lt;/D&gt;&lt;D xsi:type="xsd:double"&gt;12.587925071526&lt;/D&gt;&lt;D xsi:type="xsd:double"&gt;12.7804648970031&lt;/D&gt;&lt;D xsi:type="xsd:double"&gt;11.9957798242495&lt;/D&gt;&lt;D xsi:type="xsd:double"&gt;12.4875835194207&lt;/D&gt;&lt;D xsi:type="xsd:double"&gt;12.6216209385445&lt;/D&gt;&lt;D xsi:type="xsd:double"&gt;12.9936396162924&lt;/D&gt;&lt;D xsi:type="xsd:double"&gt;13.5909814871824&lt;/D&gt;&lt;D xsi:type="xsd:double"&gt;13.2652793091719&lt;/D&gt;&lt;D xsi:type="xsd:double"&gt;11.8680728997362&lt;/D&gt;&lt;D xsi:type="xsd:double"&gt;11.352387230417&lt;/D&gt;&lt;D xsi:type="xsd:double"&gt;15.2540103016577&lt;/D&gt;&lt;D xsi:type="xsd:double"&gt;15.7806538905947&lt;/D&gt;&lt;D xsi:type="xsd:double"&gt;15.8883761571476&lt;/D&gt;&lt;D xsi:type="xsd:double"&gt;15.6708636957142&lt;/D&gt;&lt;D xsi:type="xsd:double"&gt;15.335029835533&lt;/D&gt;&lt;D xsi:type="xsd:double"&gt;14.4044216958857&lt;/D&gt;&lt;D xsi:type="xsd:double"&gt;12.9634391083281&lt;/D&gt;&lt;D xsi:type="xsd:double"&gt;14.6357174891849&lt;/D&gt;&lt;D xsi:type="xsd:double"&gt;14.6784570428739&lt;/D&gt;&lt;D xsi:type="xsd:double"&gt;13.6520698806609&lt;/D&gt;&lt;D xsi:type="xsd:double"&gt;13.7601498222767&lt;/D&gt;&lt;D xsi:type="xsd:double"&gt;13.622989443072&lt;/D&gt;&lt;D xsi:type="xsd:double"&gt;13.2942447563564&lt;/D&gt;&lt;D xsi:type="xsd:double"&gt;13.1852922087574&lt;/D&gt;&lt;D xsi:type="xsd:double"&gt;12.7540894395681&lt;/D&gt;&lt;D xsi:type="xsd:double"&gt;12.3975179964642&lt;/D&gt;&lt;D xsi:type="xsd:double"&gt;12.1586100627239&lt;/D&gt;&lt;D xsi:type="xsd:double"&gt;11.8984041035805&lt;/D&gt;&lt;D xsi:type="xsd:double"&gt;12.1943708544878&lt;/D&gt;&lt;D xsi:type="xsd:double"&gt;11.7157265012309&lt;/D&gt;&lt;D xsi:type="xsd:double"&gt;12.2677481522469&lt;/D&gt;&lt;D xsi:type="xsd:double"&gt;12.1739906327401&lt;/D&gt;&lt;D xsi:type="xsd:double"&gt;11.9513201635207&lt;/D&gt;&lt;D xsi:type="xsd:double"&gt;11.3117129367954&lt;/D&gt;&lt;D xsi:type="xsd:double"&gt;10.8203395738645&lt;/D&gt;&lt;D xsi:type="xsd:double"&gt;10.5375737626959&lt;/D&gt;&lt;D xsi:type="xsd:double"&gt;9.91119699244553&lt;/D&gt;&lt;D xsi:type="xsd:double"&gt;9.90257533294086&lt;/D&gt;&lt;D xsi:type="xsd:double"&gt;9.48439430331365&lt;/D&gt;&lt;D xsi:type="xsd:double"&gt;8.46711139299561&lt;/D&gt;&lt;D xsi:type="xsd:double"&gt;8.9990275976749&lt;/D&gt;&lt;D xsi:type="xsd:double"&gt;9.75570387542128&lt;/D&gt;&lt;D xsi:type="xsd:double"&gt;9.91479137833936&lt;/D&gt;&lt;D xsi:type="xsd:double"&gt;10.558378410613&lt;/D&gt;&lt;D xsi:type="xsd:double"&gt;10.5157001781152&lt;/D&gt;&lt;D xsi:type="xsd:double"&gt;10.2363275731441&lt;/D&gt;&lt;D xsi:type="xsd:double"&gt;10.83191178982&lt;/D&gt;&lt;D xsi:type="xsd:double"&gt;10.236786674451&lt;/D&gt;&lt;D xsi:type="xsd:double"&gt;10.2183858084732&lt;/D&gt;&lt;D xsi:type="xsd:double"&gt;10.7778646738848&lt;/D&gt;&lt;D xsi:type="xsd:double"&gt;10.3466496556132&lt;/D&gt;&lt;D xsi:type="xsd:double"&gt;10.4275401746652&lt;/D&gt;&lt;D xsi:type="xsd:double"&gt;9.92034323182933&lt;/D&gt;&lt;D xsi:type="xsd:double"&gt;10.4391876481502&lt;/D&gt;&lt;D xsi:type="xsd:double"&gt;11.0068145436794&lt;/D&gt;&lt;D xsi:type="xsd:double"&gt;11.0558731478554&lt;/D&gt;&lt;D xsi:type="xsd:double"&gt;11.1500020846872&lt;/D&gt;&lt;D xsi:type="xsd:double"&gt;11.541281187907&lt;/D&gt;&lt;D xsi:type="xsd:double"&gt;11.6452719241776&lt;/D&gt;&lt;D xsi:type="xsd:double"&gt;11.5525010417078&lt;/D&gt;&lt;D xsi:type="xsd:double"&gt;11.3385124619034&lt;/D&gt;&lt;D xsi:type="xsd:double"&gt;11.6127259637368&lt;/D&gt;&lt;D xsi:type="xsd:double"&gt;11.7138707440388&lt;/D&gt;&lt;/FQL&gt;&lt;FQL&gt;&lt;Q&gt;DDR3512M-FDS^FG_PRICE_CHANGE(0,-1AM)&lt;/Q&gt;&lt;R&gt;1&lt;/R&gt;&lt;C&gt;1&lt;/C&gt;&lt;D xsi:type="xsd:double"&gt;-2.34646093150723&lt;/D&gt;&lt;/FQL&gt;&lt;FQL&gt;&lt;Q&gt;PLATI-FDS^FG_PRICE_CHANGE(0,-3AM)&lt;/Q&gt;&lt;R&gt;1&lt;/R&gt;&lt;C&gt;1&lt;/C&gt;&lt;D xsi:type="xsd:double"&gt;-9.30902111324377&lt;/D&gt;&lt;/FQL&gt;&lt;FQL&gt;&lt;Q&gt;EWN^FG_TOTAL_RETURNC(0,-3AM)&lt;/Q&gt;&lt;R&gt;1&lt;/R&gt;&lt;C&gt;1&lt;/C&gt;&lt;D xsi:type="xsd:double"&gt;0.2544403&lt;/D&gt;&lt;/FQL&gt;&lt;FQL&gt;&lt;Q&gt;EWU^SIZE(FG_CONSTITUENTS)&lt;/Q&gt;&lt;R&gt;1&lt;/R&gt;&lt;C&gt;1&lt;/C&gt;&lt;D xsi:type="xsd:long"&gt;81&lt;/D&gt;&lt;/FQL&gt;&lt;FQL&gt;&lt;Q&gt;QQQ^FG_ROE(0)&lt;/Q&gt;&lt;R&gt;1&lt;/R&gt;&lt;C&gt;1&lt;/C&gt;&lt;D xsi:type="xsd:double"&gt;22.4474121424173&lt;/D&gt;&lt;/FQL&gt;&lt;FQL&gt;&lt;Q&gt;EWN^FMA_DIV_YLD(NTMA,NOW,NOW,M,"PORTAGG","MEANR")&lt;/Q&gt;&lt;R&gt;1&lt;/R&gt;&lt;C&gt;1&lt;/C&gt;&lt;D xsi:type="xsd:double"&gt;2.60879720848069&lt;/D&gt;&lt;/FQL&gt;&lt;FQL&gt;&lt;Q&gt;QQQ^FMA_PE(LTM,0,,,"PORTAGG","MEANR")&lt;/Q&gt;&lt;R&gt;1&lt;/R&gt;&lt;C&gt;1&lt;/C&gt;&lt;D xsi:type="xsd:double"&gt;34.6614227471005&lt;/D&gt;&lt;/FQL&gt;&lt;FQL&gt;&lt;Q&gt;TLT^FG_TOTAL_RETURNC(0,-1AM)&lt;/Q&gt;&lt;R&gt;1&lt;/R&gt;&lt;C&gt;1&lt;/C&gt;&lt;D xsi:type="xsd:double"&gt;4.665947&lt;/D&gt;&lt;/FQL&gt;&lt;FQL&gt;&lt;Q&gt;TRYID10Y-FDS^FG_YIELD(-10AY,0,Y,,"YTM")&lt;/Q&gt;&lt;R&gt;10&lt;/R&gt;&lt;C&gt;1&lt;/C&gt;&lt;D xsi:type="xsd:double"&gt;7.922017&lt;/D&gt;&lt;D xsi:type="xsd:double"&gt;8.942368&lt;/D&gt;&lt;D xsi:type="xsd:double"&gt;7.89735&lt;/D&gt;&lt;D xsi:type="xsd:double"&gt;6.462641&lt;/D&gt;&lt;D xsi:type="xsd:double"&gt;8.148183&lt;/D&gt;&lt;D xsi:type="xsd:double"&gt;7.263584&lt;/D&gt;&lt;D xsi:type="xsd:double"&gt;5.902206&lt;/D&gt;&lt;D xsi:type="xsd:double"&gt;6.458283&lt;/D&gt;&lt;D xsi:type="xsd:double"&gt;6.936579&lt;/D&gt;&lt;D xsi:type="xsd:double"&gt;6.498571&lt;/D&gt;&lt;/FQL&gt;&lt;FQL&gt;&lt;Q&gt;TRYKR10Y-FDS^FG_YIELD(-10AY,0,Y,,"YTM")&lt;/Q&gt;&lt;R&gt;10&lt;/R&gt;&lt;C&gt;1&lt;/C&gt;&lt;D xsi:type="xsd:double"&gt;2.6272&lt;/D&gt;&lt;D xsi:type="xsd:double"&gt;2.0852&lt;/D&gt;&lt;D xsi:type="xsd:double"&gt;2.0916&lt;/D&gt;&lt;D xsi:type="xsd:double"&gt;2.4797&lt;/D&gt;&lt;D xsi:type="xsd:double"&gt;1.9804&lt;/D&gt;&lt;D xsi:type="xsd:double"&gt;1.6728&lt;/D&gt;&lt;D xsi:type="xsd:double"&gt;1.7238&lt;/D&gt;&lt;D xsi:type="xsd:double"&gt;2.2417&lt;/D&gt;&lt;D xsi:type="xsd:double"&gt;3.6906&lt;/D&gt;&lt;D xsi:type="xsd:double"&gt;3.1928&lt;/D&gt;&lt;/FQL&gt;&lt;FQL&gt;&lt;Q&gt;USDEUR^FG_PRICE_CHANGE(0,-1AM)&lt;/Q&gt;&lt;R&gt;1&lt;/R&gt;&lt;C&gt;1&lt;/C&gt;&lt;D xsi:type="xsd:double"&gt;-2.2988975&lt;/D&gt;&lt;/FQL&gt;&lt;FQL&gt;&lt;Q&gt;EWD^FMA_EPS(NTMA,-20AY,0,CY,,"PORTAGG","MEANR")&lt;/Q&gt;&lt;R&gt;20&lt;/R&gt;&lt;C&gt;1&lt;/C&gt;&lt;D xsi:type="xsd:double"&gt;1.55275820794805&lt;/D&gt;&lt;D xsi:type="xsd:double"&gt;1.54581744522321&lt;/D&gt;&lt;D xsi:type="xsd:double"&gt;2.18886161040082&lt;/D&gt;&lt;D xsi:type="xsd:double"&gt;2.54439610565031&lt;/D&gt;&lt;D xsi:type="xsd:double"&gt;1.55027933568846&lt;/D&gt;&lt;D xsi:type="xsd:double"&gt;1.36361799599867&lt;/D&gt;&lt;D xsi:type="xsd:double"&gt;2.27207932583515&lt;/D&gt;&lt;D xsi:type="xsd:double"&gt;2.18253517023992&lt;/D&gt;&lt;D xsi:type="xsd:double"&gt;2.32063293486455&lt;/D&gt;&lt;D xsi:type="xsd:double"&gt;2.31545066006368&lt;/D&gt;&lt;D xsi:type="xsd:double"&gt;2.02872425818202&lt;/D&gt;&lt;D xsi:type="xsd:double"&gt;1.94857888922314&lt;/D&gt;&lt;D xsi:type="xsd:double"&gt;1.75138174890933&lt;/D&gt;&lt;D xsi:type="xsd:double"&gt;2.10390186893761&lt;/D&gt;&lt;D xsi:type="xsd:double"&gt;2.115438961001&lt;/D&gt;&lt;D xsi:type="xsd:double"&gt;2.04500092616456&lt;/D&gt;&lt;D xsi:type="xsd:double"&gt;2.21310873799954&lt;/D&gt;&lt;D xsi:type="xsd:double"&gt;2.48981565234839&lt;/D&gt;&lt;D xsi:type="xsd:double"&gt;2.56381617192707&lt;/D&gt;&lt;D xsi:type="xsd:double"&gt;2.51009258677616&lt;/D&gt;&lt;/FQL&gt;&lt;FQL&gt;&lt;Q&gt;COPP-FDS^FG_PRICE_CHANGE(0,-3AM)&lt;/Q&gt;&lt;R&gt;1&lt;/R&gt;&lt;C&gt;1&lt;/C&gt;&lt;D xsi:type="xsd:double"&gt;-13.6926438455936&lt;/D&gt;&lt;/FQL&gt;&lt;FQL&gt;&lt;Q&gt;ENZL^FG_PRICE_MAVG(0,,,,60)&lt;/Q&gt;&lt;R&gt;1&lt;/R&gt;&lt;C&gt;1&lt;/C&gt;&lt;D xsi:type="xsd:double"&gt;46.493664&lt;/D&gt;&lt;/FQL&gt;&lt;FQL&gt;&lt;Q&gt;EWJ^FG_TOTAL_RETURNC(0,-1AM)&lt;/Q&gt;&lt;R&gt;1&lt;/R&gt;&lt;C&gt;1&lt;/C&gt;&lt;D xsi:type="xsd:double"&gt;3.9070487&lt;/D&gt;&lt;/FQL&gt;&lt;FQL&gt;&lt;Q&gt;VGK^PERCENT_CHANGE(FMA_EPS(+1,0,,,,"PORTAGG","MEAN"),FMA_EPS(+1,-3AM,,,,"PORTAGG","MEAN"))&lt;/Q&gt;&lt;R&gt;1&lt;/R&gt;&lt;C&gt;1&lt;/C&gt;&lt;D xsi:type="xsd:double"&gt;0.92609698416987&lt;/D&gt;&lt;/FQL&gt;&lt;FQL&gt;&lt;Q&gt;EWA^FG_TOTAL_RETURNC(0,-6AM)&lt;/Q&gt;&lt;R&gt;1&lt;/R&gt;&lt;C&gt;1&lt;/C&gt;&lt;D xsi:type="xsd:double"&gt;11.026788&lt;/D&gt;&lt;/FQL&gt;&lt;FQL&gt;&lt;Q&gt;URTH^FMA_COS_DOWN("EPS","1M",+1,0,,,"PORTAGG","MEANR")&lt;/Q&gt;&lt;R&gt;1&lt;/R&gt;&lt;C&gt;1&lt;/C&gt;&lt;D xsi:type="xsd:double"&gt;539&lt;/D&gt;&lt;/FQL&gt;&lt;FQL&gt;&lt;Q&gt;TRYSE10Y-FDS^PCTCHG(FG_YIELD(0,,,,"YTM"),FG_YIELD(-3AM,,,,"YTM"))&lt;/Q&gt;&lt;R&gt;1&lt;/R&gt;&lt;C&gt;1&lt;/C&gt;&lt;D xsi:type="xsd:double"&gt;-15.075789&lt;/D&gt;&lt;/FQL&gt;&lt;FQL&gt;&lt;Q&gt;TRYAU10Y-FDS^FG_YIELD_NAME&lt;/Q&gt;&lt;R&gt;1&lt;/R&gt;&lt;C&gt;1&lt;/C&gt;&lt;D xsi:type="xsd:string"&gt;Australia Benchmark Bond - 10 Year&lt;/D&gt;&lt;/FQL&gt;&lt;FQL&gt;&lt;Q&gt;VGK^FMA_EVAL_EBIT(LTMA,NOW,NOW,M,"PORTAGG","MEANR")&lt;/Q&gt;&lt;R&gt;1&lt;/R&gt;&lt;C&gt;1&lt;/C&gt;&lt;D xsi:type="xsd:double"&gt;13.3463272698328&lt;/D&gt;&lt;/FQL&gt;&lt;FQL&gt;&lt;Q&gt;EWG^FMA_EVAL_EBITDA(NTMA,0,,,"PORTAGG","MEANR")&lt;/Q&gt;&lt;R&gt;1&lt;/R&gt;&lt;C&gt;1&lt;/C&gt;&lt;D xsi:type="xsd:double"&gt;8.51954596819227&lt;/D&gt;&lt;/FQL&gt;&lt;FQL&gt;&lt;Q&gt;ENZL^FMA_DIV_YLD(NTMA,NOW,NOW,M,"PORTAGG","MEANR")&lt;/Q&gt;&lt;R&gt;1&lt;/R&gt;&lt;C&gt;1&lt;/C&gt;&lt;D xsi:type="xsd:double"&gt;2.47828639752246&lt;/D&gt;&lt;/FQL&gt;&lt;FQL&gt;&lt;Q&gt;CAGDPY@NZ^EE_ACTUAL_ANNUAL(MED,+1)&lt;/Q&gt;&lt;R&gt;1&lt;/R&gt;&lt;C&gt;1&lt;/C&gt;&lt;D xsi:type="xsd:double"&gt;-6.15&lt;/D&gt;&lt;/FQL&gt;&lt;FQL&gt;&lt;Q&gt;USDSEK^FG_COMPANY_NAME&lt;/Q&gt;&lt;R&gt;1&lt;/R&gt;&lt;C&gt;1&lt;/C&gt;&lt;D xsi:type="xsd:string"&gt;Swedish Krona per U.S. Dollar&lt;/D&gt;&lt;/FQL&gt;&lt;FQL&gt;&lt;Q&gt;USDUSD^FG_COMPANY_NAME&lt;/Q&gt;&lt;R&gt;1&lt;/R&gt;&lt;C&gt;1&lt;/C&gt;&lt;D xsi:type="xsd:string"&gt;U.S. Dollar per U.S. Dollar&lt;/D&gt;&lt;/FQL&gt;&lt;FQL&gt;&lt;Q&gt;SPY^FG_TOTAL_RETURNC(-10AY,0,AM)&lt;/Q&gt;&lt;R&gt;121&lt;/R&gt;&lt;C&gt;1&lt;/C&gt;&lt;D xsi:type="xsd:double"&gt;1.9091249&lt;/D&gt;&lt;D xsi:type="xsd:double"&gt;-1.1188388&lt;/D&gt;&lt;D xsi:type="xsd:double"&gt;0.288558&lt;/D&gt;&lt;D xsi:type="xsd:double"&gt;4.5883536&lt;/D&gt;&lt;D xsi:type="xsd:double"&gt;1.2871623&lt;/D&gt;&lt;D xsi:type="xsd:double"&gt;-3.2243192&lt;/D&gt;&lt;D xsi:type="xsd:double"&gt;4.29219&lt;/D&gt;&lt;D xsi:type="xsd:double"&gt;-1.9034684&lt;/D&gt;&lt;D xsi:type="xsd:double"&gt;2.3476243&lt;/D&gt;&lt;D xsi:type="xsd:double"&gt;0.27068853&lt;/D&gt;&lt;D xsi:type="xsd:double"&gt;-2.2337198&lt;/D&gt;&lt;D xsi:type="xsd:double"&gt;2.604425&lt;/D&gt;&lt;D xsi:type="xsd:double"&gt;-5.451441&lt;/D&gt;&lt;D xsi:type="xsd:double"&gt;-5.1010313&lt;/D&gt;&lt;D xsi:type="xsd:double"&gt;11.00893&lt;/D&gt;&lt;D xsi:type="xsd:double"&gt;0.34956932&lt;/D&gt;&lt;D xsi:type="xsd:double"&gt;-0.4312575&lt;/D&gt;&lt;D xsi:type="xsd:double"&gt;-6.595564&lt;/D&gt;&lt;D xsi:type="xsd:double"&gt;-0.08300543&lt;/D&gt;&lt;D xsi:type="xsd:double"&gt;6.5169454&lt;/D&gt;&lt;D xsi:type="xsd:double"&gt;0.58989525&lt;/D&gt;&lt;D xsi:type="xsd:double"&gt;1.894629&lt;/D&gt;&lt;D xsi:type="xsd:double"&gt;-1.189506&lt;/D&gt;&lt;D xsi:type="xsd:double"&gt;5.0614476&lt;/D&gt;&lt;D xsi:type="xsd:double"&gt;0.5714774&lt;/D&gt;&lt;D xsi:type="xsd:double"&gt;-1.1870742&lt;/D&gt;&lt;D xsi:type="xsd:double"&gt;-0.99683404&lt;/D&gt;&lt;D xsi:type="xsd:double"&gt;3.9380908&lt;/D&gt;&lt;D xsi:type="xsd:double"&gt;2.1569252&lt;/D&gt;&lt;D xsi:type="xsd:double"&gt;2.0592809&lt;/D&gt;&lt;D xsi:type="xsd:double"&gt;3.2755375&lt;/D&gt;&lt;D xsi:type="xsd:double"&gt;0.040864944&lt;/D&gt;&lt;D xsi:type="xsd:double"&gt;1.0783792&lt;/D&gt;&lt;D xsi:type="xsd:double"&gt;1.5246987&lt;/D&gt;&lt;D xsi:type="xsd:double"&gt;0.3379345&lt;/D&gt;&lt;D xsi:type="xsd:double"&gt;2.3037076&lt;/D&gt;&lt;D xsi:type="xsd:double"&gt;-0.83431005&lt;/D&gt;&lt;D xsi:type="xsd:double"&gt;3.114009&lt;/D&gt;&lt;D xsi:type="xsd:double"&gt;2.5793076&lt;/D&gt;&lt;D xsi:type="xsd:double"&gt;1.940167&lt;/D&gt;&lt;D xsi:type="xsd:double"&gt;2.0947576&lt;/D&gt;&lt;D xsi:type="xsd:double"&gt;6.6776633&lt;/D&gt;&lt;D xsi:type="xsd:double"&gt;-4.57707&lt;/D&gt;&lt;D xsi:type="xsd:double"&gt;-2.7415514&lt;/D&gt;&lt;D xsi:type="xsd:double"&gt;1.2958407&lt;/D&gt;&lt;D xsi:type="xsd:double"&gt;0.92287064&lt;/D&gt;&lt;D xsi:type="xsd:double"&gt;1.2933135&lt;/D&gt;&lt;D xsi:type="xsd:double"&gt;3.737843&lt;/D&gt;&lt;D xsi:type="xsd:double"&gt;3.574729&lt;/D&gt;&lt;D xsi:type="xsd:double"&gt;0.1910448&lt;/D&gt;&lt;D xsi:type="xsd:double"&gt;-9.239138&lt;/D&gt;&lt;D xsi:type="xsd:double"&gt;3.83538&lt;/D&gt;&lt;D xsi:type="xsd:double"&gt;-9.034431&lt;/D&gt;&lt;D xsi:type="xsd:double"&gt;6.320894&lt;/D&gt;&lt;D xsi:type="xsd:double"&gt;5.7970405&lt;/D&gt;&lt;D xsi:type="xsd:double"&gt;1.8079042&lt;/D&gt;&lt;D xsi:type="xsd:double"&gt;4.032135&lt;/D&gt;&lt;D xsi:type="xsd:double"&gt;-5.308473&lt;/D&gt;&lt;D xsi:type="xsd:double"&gt;5.806148&lt;/D&gt;&lt;D xsi:type="xsd:double"&gt;2.8873682&lt;/D&gt;&lt;D xsi:type="xsd:double"&gt;-2.9456675&lt;/D&gt;&lt;D xsi:type="xsd:double"&gt;1.4321804&lt;/D&gt;&lt;D xsi:type="xsd:double"&gt;2.6438713&lt;/D&gt;&lt;D xsi:type="xsd:double"&gt;3.6608338&lt;/D&gt;&lt;D xsi:type="xsd:double"&gt;3.2230735&lt;/D&gt;&lt;D xsi:type="xsd:double"&gt;1.1645913&lt;/D&gt;&lt;D xsi:type="xsd:double"&gt;-9.295201&lt;/D&gt;&lt;D xsi:type="xsd:double"&gt;-13.934792&lt;/D&gt;&lt;D xsi:type="xsd:double"&gt;15.70121&lt;/D&gt;&lt;D xsi:type="xsd:double"&gt;3.789103&lt;/D&gt;&lt;D xsi:type="xsd:double"&gt;0.48886538&lt;/D&gt;&lt;D xsi:type="xsd:double"&gt;6.785786&lt;/D&gt;&lt;D xsi:type="xsd:double"&gt;7.8309536&lt;/D&gt;&lt;D xsi:type="xsd:double"&gt;-4.810256&lt;/D&gt;&lt;D xsi:type="xsd:double"&gt;-0.71907043&lt;/D&gt;&lt;D xsi:type="xsd:double"&gt;10.209715&lt;/D&gt;&lt;D xsi:type="xsd:double"&gt;2.5791883&lt;/D&gt;&lt;D xsi:type="xsd:double"&gt;-0.374192&lt;/D&gt;&lt;D xsi:type="xsd:double"&gt;2.7805448&lt;/D&gt;&lt;D xsi:type="xsd:double"&gt;4.3954372&lt;/D&gt;&lt;D xsi:type="xsd:double"&gt;6.1347246&lt;/D&gt;&lt;D xsi:type="xsd:double"&gt;-0.0047564507&lt;/D&gt;&lt;D xsi:type="xsd:double"&gt;2.1612763&lt;/D&gt;&lt;D xsi:type="xsd:double"&gt;3.0278206&lt;/D&gt;&lt;D xsi:type="xsd:double"&gt;2.1785975&lt;/D&gt;&lt;D xsi:type="xsd:double"&gt;-3.1969726&lt;/D&gt;&lt;D xsi:type="xsd:double"&gt;5.7083607&lt;/D&gt;&lt;D xsi:type="xsd:double"&gt;1.1649489&lt;/D&gt;&lt;D xsi:type="xsd:double"&gt;3.1379938&lt;/D&gt;&lt;D xsi:type="xsd:double"&gt;-7.441151&lt;/D&gt;&lt;D xsi:type="xsd:double"&gt;-1.2037575&lt;/D&gt;&lt;D xsi:type="xsd:double"&gt;6.0321927&lt;/D&gt;&lt;D xsi:type="xsd:double"&gt;-10.735565&lt;/D&gt;&lt;D xsi:type="xsd:double"&gt;0.7912636&lt;/D&gt;&lt;D xsi:type="xsd:double"&gt;-8.014441&lt;/D&gt;&lt;D xsi:type="xsd:double"&gt;8.3215&lt;/D&gt;&lt;D xsi:type="xsd:double"&gt;-2.2718966&lt;/D&gt;&lt;D xsi:type="xsd:double"&gt;-9.52186&lt;/D&gt;&lt;D xsi:type="xsd:double"&gt;7.2300673&lt;/D&gt;&lt;D xsi:type="xsd:double"&gt;1.5963197&lt;/D&gt;&lt;D xsi:type="xsd:double"&gt;-2.5321543&lt;/D&gt;&lt;D xsi:type="xsd:double"&gt;5.800128&lt;/D&gt;&lt;D xsi:type="xsd:double"&gt;-2.322024&lt;/D&gt;&lt;D xsi:type="xsd:double"&gt;1.6756892&lt;/D&gt;&lt;D xsi:type="xsd:double"&gt;3.6327362&lt;/D&gt;&lt;D xsi:type="xsd:double"&gt;0.9833336&lt;/D&gt;&lt;D xsi:type="xsd:double"&gt;4.695809&lt;/D&gt;&lt;D xsi:type="xsd:double"&gt;4.2934537&lt;/D&gt;&lt;D xsi:type="xsd:double"&gt;-1.6983271&lt;/D&gt;&lt;D xsi:type="xsd:double"&gt;-4.4869423&lt;/D&gt;&lt;D xsi:type="xsd:double"&gt;-3.9300144&lt;/D&gt;&lt;D xsi:type="xsd:double"&gt;10.696888&lt;/D&gt;&lt;D xsi:type="xsd:double"&gt;4.9779654&lt;/D&gt;&lt;D xsi:type="xsd:double"&gt;3.3578038&lt;/D&gt;&lt;D xsi:type="xsd:double"&gt;3.4217477&lt;/D&gt;&lt;D xsi:type="xsd:double"&gt;3.2723904&lt;/D&gt;&lt;D xsi:type="xsd:double"&gt;-2.4872422&lt;/D&gt;&lt;D xsi:type="xsd:double"&gt;3.1447291&lt;/D&gt;&lt;D xsi:type="xsd:double"&gt;3.778386&lt;/D&gt;&lt;D xsi:type="xsd:double"&gt;0.09922981&lt;/D&gt;&lt;D xsi:type="xsd:double"&gt;2.494669&lt;/D&gt;&lt;/FQL&gt;&lt;FQL&gt;&lt;Q&gt;EWL^FMA_PE(NTMA,-10AY,0,AM,"PORTAGG","MEANR")&lt;/Q&gt;&lt;R&gt;121&lt;/R&gt;&lt;C&gt;1&lt;/C&gt;&lt;D xsi:type="xsd:double"&gt;16.1158865051966&lt;/D&gt;&lt;D xsi:type="xsd:double"&gt;15.9079759634702&lt;/D&gt;&lt;D xsi:type="xsd:double"&gt;15.7061721151113&lt;/D&gt;&lt;D xsi:type="xsd:double"&gt;16.3738988714137&lt;/D&gt;&lt;D xsi:type="xsd:double"&gt;15.8354705739412&lt;/D&gt;&lt;D xsi:type="xsd:double"&gt;16.3567959534295&lt;/D&gt;&lt;D xsi:type="xsd:double"&gt;17.6281338147808&lt;/D&gt;&lt;D xsi:type="xsd:double"&gt;17.627552240632&lt;/D&gt;&lt;D xsi:type="xsd:double"&gt;17.8262808224987&lt;/D&gt;&lt;D xsi:type="xsd:double"&gt;17.6337153950386&lt;/D&gt;&lt;D xsi:type="xsd:double"&gt;16.9606270935542&lt;/D&gt;&lt;D xsi:type="xsd:double"&gt;17.7868243487537&lt;/D&gt;&lt;D xsi:type="xsd:double"&gt;16.4956290184996&lt;/D&gt;&lt;D xsi:type="xsd:double"&gt;15.6176173440146&lt;/D&gt;&lt;D xsi:type="xsd:double"&gt;16.9542634487277&lt;/D&gt;&lt;D xsi:type="xsd:double"&gt;16.9893104258978&lt;/D&gt;&lt;D xsi:type="xsd:double"&gt;17.100512927453&lt;/D&gt;&lt;D xsi:type="xsd:double"&gt;16.2358473101891&lt;/D&gt;&lt;D xsi:type="xsd:double"&gt;16.2822068640712&lt;/D&gt;&lt;D xsi:type="xsd:double"&gt;16.3261880759362&lt;/D&gt;&lt;D xsi:type="xsd:double"&gt;16.7255752354645&lt;/D&gt;&lt;D xsi:type="xsd:double"&gt;17.2976131951892&lt;/D&gt;&lt;D xsi:type="xsd:double"&gt;16.602106812582&lt;/D&gt;&lt;D xsi:type="xsd:double"&gt;17.1947093969876&lt;/D&gt;&lt;D xsi:type="xsd:double"&gt;17.254981166165&lt;/D&gt;&lt;D xsi:type="xsd:double"&gt;17.1666806011293&lt;/D&gt;&lt;D xsi:type="xsd:double"&gt;16.6051569296645&lt;/D&gt;&lt;D xsi:type="xsd:double"&gt;16.280127472902&lt;/D&gt;&lt;D xsi:type="xsd:double"&gt;16.7960184834277&lt;/D&gt;&lt;D xsi:type="xsd:double"&gt;17.2085932255089&lt;/D&gt;&lt;D xsi:type="xsd:double"&gt;17.5438016459009&lt;/D&gt;&lt;D xsi:type="xsd:double"&gt;17.4179607696992&lt;/D&gt;&lt;D xsi:type="xsd:double"&gt;17.8214731202023&lt;/D&gt;&lt;D xsi:type="xsd:double"&gt;18.0706202636987&lt;/D&gt;&lt;D xsi:type="xsd:double"&gt;17.7872142217951&lt;/D&gt;&lt;D xsi:type="xsd:double"&gt;17.7365683346339&lt;/D&gt;&lt;D xsi:type="xsd:double"&gt;17.3340073823077&lt;/D&gt;&lt;D xsi:type="xsd:double"&gt;17.7546068746608&lt;/D&gt;&lt;D xsi:type="xsd:double"&gt;17.8056902577492&lt;/D&gt;&lt;D xsi:type="xsd:double"&gt;17.6901826652349&lt;/D&gt;&lt;D xsi:type="xsd:double"&gt;17.6917910480203&lt;/D&gt;&lt;D xsi:type="xsd:double"&gt;17.768946527039&lt;/D&gt;&lt;D xsi:type="xsd:double"&gt;16.5582122766861&lt;/D&gt;&lt;D xsi:type="xsd:double"&gt;16.0706668651794&lt;/D&gt;&lt;D xsi:type="xsd:double"&gt;16.1471310380195&lt;/D&gt;&lt;D xsi:type="xsd:double"&gt;15.7571036038549&lt;/D&gt;&lt;D xsi:type="xsd:double"&gt;15.5840372409696&lt;/D&gt;&lt;D xsi:type="xsd:double"&gt;16.358453265246&lt;/D&gt;&lt;D xsi:type="xsd:double"&gt;16.1561749914272&lt;/D&gt;&lt;D xsi:type="xsd:double"&gt;16.0676655498757&lt;/D&gt;&lt;D xsi:type="xsd:double"&gt;15.2670910387073&lt;/D&gt;&lt;D xsi:type="xsd:double"&gt;15.6771336259389&lt;/D&gt;&lt;D xsi:type="xsd:double"&gt;14.5150176052196&lt;/D&gt;&lt;D xsi:type="xsd:double"&gt;15.4945136299608&lt;/D&gt;&lt;D xsi:type="xsd:double"&gt;16.3380739480788&lt;/D&gt;&lt;D xsi:type="xsd:double"&gt;16.579177769501&lt;/D&gt;&lt;D xsi:type="xsd:double"&gt;16.9142242174332&lt;/D&gt;&lt;D xsi:type="xsd:double"&gt;16.4693844988537&lt;/D&gt;&lt;D xsi:type="xsd:double"&gt;17.1768867870763&lt;/D&gt;&lt;D xsi:type="xsd:double"&gt;17.1411411998364&lt;/D&gt;&lt;D xsi:type="xsd:double"&gt;16.8990330378957&lt;/D&gt;&lt;D xsi:type="xsd:double"&gt;17.1095214315649&lt;/D&gt;&lt;D xsi:type="xsd:double"&gt;17.3143982178051&lt;/D&gt;&lt;D xsi:type="xsd:double"&gt;17.5284411459798&lt;/D&gt;&lt;D xsi:type="xsd:double"&gt;17.9720331604032&lt;/D&gt;&lt;D xsi:type="xsd:double"&gt;18.1544404817865&lt;/D&gt;&lt;D xsi:type="xsd:double"&gt;16.481213972625&lt;/D&gt;&lt;D xsi:type="xsd:double"&gt;15.3945458553283&lt;/D&gt;&lt;D xsi:type="xsd:double"&gt;18.5691493087563&lt;/D&gt;&lt;D xsi:type="xsd:double"&gt;19.0085351770023&lt;/D&gt;&lt;D xsi:type="xsd:double"&gt;19.2584216021768&lt;/D&gt;&lt;D xsi:type="xsd:double"&gt;19.7520268608468&lt;/D&gt;&lt;D xsi:type="xsd:double"&gt;19.4802405765169&lt;/D&gt;&lt;D xsi:type="xsd:double"&gt;18.9894049898151&lt;/D&gt;&lt;D xsi:type="xsd:double"&gt;17.5020770271253&lt;/D&gt;&lt;D xsi:type="xsd:double"&gt;18.8436571141205&lt;/D&gt;&lt;D xsi:type="xsd:double"&gt;18.847751434853&lt;/D&gt;&lt;D xsi:type="xsd:double"&gt;18.4239060344743&lt;/D&gt;&lt;D xsi:type="xsd:double"&gt;18.2374865926649&lt;/D&gt;&lt;D xsi:type="xsd:double"&gt;18.7724596144391&lt;/D&gt;&lt;D xsi:type="xsd:double"&gt;18.3596237252368&lt;/D&gt;&lt;D xsi:type="xsd:double"&gt;19.3911816465349&lt;/D&gt;&lt;D xsi:type="xsd:double"&gt;19.9269516489171&lt;/D&gt;&lt;D xsi:type="xsd:double"&gt;19.6950373626581&lt;/D&gt;&lt;D xsi:type="xsd:double"&gt;19.9537018354844&lt;/D&gt;&lt;D xsi:type="xsd:double"&gt;18.2893250346712&lt;/D&gt;&lt;D xsi:type="xsd:double"&gt;18.975985090026&lt;/D&gt;&lt;D xsi:type="xsd:double"&gt;18.7082585425851&lt;/D&gt;&lt;D xsi:type="xsd:double"&gt;19.8815990246241&lt;/D&gt;&lt;D xsi:type="xsd:double"&gt;18.0274270613335&lt;/D&gt;&lt;D xsi:type="xsd:double"&gt;18.0709321099099&lt;/</t>
        </r>
      </text>
    </comment>
    <comment ref="A9" authorId="0" shapeId="0" xr:uid="{1406791C-8D73-469D-81BB-F91C74C7B988}">
      <text>
        <r>
          <rPr>
            <b/>
            <sz val="9"/>
            <color indexed="81"/>
            <rFont val="Tahoma"/>
            <charset val="1"/>
          </rPr>
          <t>D&gt;&lt;D xsi:type="xsd:double"&gt;18.5456386601219&lt;/D&gt;&lt;D xsi:type="xsd:double"&gt;17.9257583177869&lt;/D&gt;&lt;D xsi:type="xsd:double"&gt;17.1169805057366&lt;/D&gt;&lt;D xsi:type="xsd:double"&gt;15.8442994929332&lt;/D&gt;&lt;D xsi:type="xsd:double"&gt;16.8854921880258&lt;/D&gt;&lt;D xsi:type="xsd:double"&gt;16.1739590993689&lt;/D&gt;&lt;D xsi:type="xsd:double"&gt;14.756109342418&lt;/D&gt;&lt;D xsi:type="xsd:double"&gt;15.7281862207067&lt;/D&gt;&lt;D xsi:type="xsd:double"&gt;16.6155055319314&lt;/D&gt;&lt;D xsi:type="xsd:double"&gt;16.4376244726169&lt;/D&gt;&lt;D xsi:type="xsd:double"&gt;17.3376477123223&lt;/D&gt;&lt;D xsi:type="xsd:double"&gt;17.041634285392&lt;/D&gt;&lt;D xsi:type="xsd:double"&gt;16.9133780613305&lt;/D&gt;&lt;D xsi:type="xsd:double"&gt;17.540422422225&lt;/D&gt;&lt;D xsi:type="xsd:double"&gt;17.2005575242223&lt;/D&gt;&lt;D xsi:type="xsd:double"&gt;16.315950627388&lt;/D&gt;&lt;D xsi:type="xsd:double"&gt;16.9997936395707&lt;/D&gt;&lt;D xsi:type="xsd:double"&gt;16.6025339141459&lt;/D&gt;&lt;D xsi:type="xsd:double"&gt;16.1711476608732&lt;/D&gt;&lt;D xsi:type="xsd:double"&gt;15.2779235753588&lt;/D&gt;&lt;D xsi:type="xsd:double"&gt;16.252255309098&lt;/D&gt;&lt;D xsi:type="xsd:double"&gt;16.8506095866157&lt;/D&gt;&lt;D xsi:type="xsd:double"&gt;17.2973296542004&lt;/D&gt;&lt;D xsi:type="xsd:double"&gt;17.4399993079901&lt;/D&gt;&lt;D xsi:type="xsd:double"&gt;17.6928879629312&lt;/D&gt;&lt;D xsi:type="xsd:double"&gt;16.7881903151474&lt;/D&gt;&lt;D xsi:type="xsd:double"&gt;16.9415675303201&lt;/D&gt;&lt;D xsi:type="xsd:double"&gt;17.0724548561639&lt;/D&gt;&lt;D xsi:type="xsd:double"&gt;17.3236963198039&lt;/D&gt;&lt;D xsi:type="xsd:double"&gt;17.6222898973855&lt;/D&gt;&lt;/FQL&gt;&lt;FQL&gt;&lt;Q&gt;DDR3512M-FDS^FG_PRICE_MAVG(0,,,,30)&lt;/Q&gt;&lt;R&gt;1&lt;/R&gt;&lt;C&gt;1&lt;/C&gt;&lt;D xsi:type="xsd:double"&gt;0.8980385&lt;/D&gt;&lt;/FQL&gt;&lt;FQL&gt;&lt;Q&gt;PLATI-FDS^FG_PRICE_CHANGE(0,-1AM)&lt;/Q&gt;&lt;R&gt;1&lt;/R&gt;&lt;C&gt;1&lt;/C&gt;&lt;D xsi:type="xsd:double"&gt;0&lt;/D&gt;&lt;/FQL&gt;&lt;FQL&gt;&lt;Q&gt;QQQ^FG_PRICE_MAVG(0,,,,30)&lt;/Q&gt;&lt;R&gt;1&lt;/R&gt;&lt;C&gt;1&lt;/C&gt;&lt;D xsi:type="xsd:double"&gt;465.033&lt;/D&gt;&lt;/FQL&gt;&lt;FQL&gt;&lt;Q&gt;EWN^PERCENT_CHANGE(FMA_EPS(+1,0,,,,"PORTAGG","MEAN"),FMA_EPS(+1,-3AM,,,,"PORTAGG","MEAN"))&lt;/Q&gt;&lt;R&gt;1&lt;/R&gt;&lt;C&gt;1&lt;/C&gt;&lt;D xsi:type="xsd:double"&gt;1.08083344264034&lt;/D&gt;&lt;/FQL&gt;&lt;FQL&gt;&lt;Q&gt;EWU^FMA_COS_DOWN("EPS","1M",+1,0,,,"PORTAGG","MEANR")&lt;/Q&gt;&lt;R&gt;1&lt;/R&gt;&lt;C&gt;1&lt;/C&gt;&lt;D xsi:type="xsd:double"&gt;44&lt;/D&gt;&lt;/FQL&gt;&lt;FQL&gt;&lt;Q&gt;EWU^FG_ROE(0)&lt;/Q&gt;&lt;R&gt;1&lt;/R&gt;&lt;C&gt;1&lt;/C&gt;&lt;D xsi:type="xsd:double"&gt;13.8950914816627&lt;/D&gt;&lt;/FQL&gt;&lt;FQL&gt;&lt;Q&gt;REFFFUND-FDS^PROPER_NAME(0,,,"SECURITY","NAME")&lt;/Q&gt;&lt;R&gt;1&lt;/R&gt;&lt;C&gt;1&lt;/C&gt;&lt;D xsi:type="xsd:string"&gt;US Federal Funds Target Rate&lt;/D&gt;&lt;/FQL&gt;&lt;FQL&gt;&lt;Q&gt;QQQ^JULIAN(FMA_DIV_YLD(NTMA,NOW,NOW,M,"PORTAGG","MEANR").DATES)&lt;/Q&gt;&lt;R&gt;1&lt;/R&gt;&lt;C&gt;1&lt;/C&gt;&lt;D xsi:type="xsd:long"&gt;45532&lt;/D&gt;&lt;/FQL&gt;&lt;FQL&gt;&lt;Q&gt;VWO^FG_TOTAL_RETURNC(0,-6AM)&lt;/Q&gt;&lt;R&gt;1&lt;/R&gt;&lt;C&gt;1&lt;/C&gt;&lt;D xsi:type="xsd:double"&gt;9.25001&lt;/D&gt;&lt;/FQL&gt;&lt;FQL&gt;&lt;Q&gt;TRYAE10Y-FDS^FG_YIELD(-10AY,0,Y,,"YTM")&lt;/Q&gt;&lt;R&gt;10&lt;/R&gt;&lt;C&gt;1&lt;/C&gt;&lt;D xsi:type="xsd:string"&gt;@NA&lt;/D&gt;&lt;D xsi:type="xsd:string"&gt;@NA&lt;/D&gt;&lt;D xsi:type="xsd:string"&gt;@NA&lt;/D&gt;&lt;D xsi:type="xsd:double"&gt;3.371059&lt;/D&gt;&lt;D xsi:type="xsd:double"&gt;3.6940188&lt;/D&gt;&lt;D xsi:type="xsd:double"&gt;2.542721&lt;/D&gt;&lt;D xsi:type="xsd:double"&gt;1.7060698&lt;/D&gt;&lt;D xsi:type="xsd:double"&gt;2.0444937&lt;/D&gt;&lt;D xsi:type="xsd:double"&gt;4.2739367&lt;/D&gt;&lt;D xsi:type="xsd:string"&gt;@NA&lt;/D&gt;&lt;/FQL&gt;&lt;FQL&gt;&lt;Q&gt;TRYPL10Y-FDS^FG_YIELD(-10AY,0,Y,,"YTM")&lt;/Q&gt;&lt;R&gt;10&lt;/R&gt;&lt;C&gt;1&lt;/C&gt;&lt;D xsi:type="xsd:double"&gt;2.5048&lt;/D&gt;&lt;D xsi:type="xsd:double"&gt;2.9303&lt;/D&gt;&lt;D xsi:type="xsd:double"&gt;3.6245&lt;/D&gt;&lt;D xsi:type="xsd:double"&gt;3.292&lt;/D&gt;&lt;D xsi:type="xsd:double"&gt;2.8144&lt;/D&gt;&lt;D xsi:type="xsd:double"&gt;2.1086&lt;/D&gt;&lt;D xsi:type="xsd:double"&gt;1.235&lt;/D&gt;&lt;D xsi:type="xsd:double"&gt;3.6216&lt;/D&gt;&lt;D xsi:type="xsd:double"&gt;6.8411&lt;/D&gt;&lt;D xsi:type="xsd:double"&gt;5.1912&lt;/D&gt;&lt;/FQL&gt;&lt;FQL&gt;&lt;Q&gt;USDEUR^FG_PRICE(0)&lt;/Q&gt;&lt;R&gt;1&lt;/R&gt;&lt;C&gt;1&lt;/C&gt;&lt;D xsi:type="xsd:double"&gt;0.9033016&lt;/D&gt;&lt;/FQL&gt;&lt;FQL&gt;&lt;Q&gt;EWN^FMA_EPS(NTMA,-20AY,0,CY,,"PORTAGG","MEANR")&lt;/Q&gt;&lt;R&gt;20&lt;/R&gt;&lt;C&gt;1&lt;/C&gt;&lt;D xsi:type="xsd:double"&gt;1.49109929215903&lt;/D&gt;&lt;D xsi:type="xsd:double"&gt;1.5900517234348&lt;/D&gt;&lt;D xsi:type="xsd:double"&gt;2.15625739003115&lt;/D&gt;&lt;D xsi:type="xsd:double"&gt;2.62697068480407&lt;/D&gt;&lt;D xsi:type="xsd:double"&gt;1.79921066251297&lt;/D&gt;&lt;D xsi:type="xsd:double"&gt;1.65442974417331&lt;/D&gt;&lt;D xsi:type="xsd:double"&gt;2.1135843669069&lt;/D&gt;&lt;D xsi:type="xsd:double"&gt;1.84050659390711&lt;/D&gt;&lt;D xsi:type="xsd:double"&gt;1.84155905202006&lt;/D&gt;&lt;D xsi:type="xsd:double"&gt;1.85694784607263&lt;/D&gt;&lt;D xsi:type="xsd:double"&gt;1.61003576125895&lt;/D&gt;&lt;D xsi:type="xsd:double"&gt;1.5506283745409&lt;/D&gt;&lt;D xsi:type="xsd:double"&gt;1.60511092021475&lt;/D&gt;&lt;D xsi:type="xsd:double"&gt;1.99467947715871&lt;/D&gt;&lt;D xsi:type="xsd:double"&gt;2.00955458235889&lt;/D&gt;&lt;D xsi:type="xsd:double"&gt;1.99085799541384&lt;/D&gt;&lt;D xsi:type="xsd:double"&gt;2.00892946055423&lt;/D&gt;&lt;D xsi:type="xsd:double"&gt;2.43601807945448&lt;/D&gt;&lt;D xsi:type="xsd:double"&gt;2.4294142632387&lt;/D&gt;&lt;D xsi:type="xsd:double"&gt;2.95560750497075&lt;/D&gt;&lt;/FQL&gt;&lt;FQL&gt;&lt;Q&gt;COPP-FDS^FG_PRICE_CHANGE(0,-1AM)&lt;/Q&gt;&lt;R&gt;1&lt;/R&gt;&lt;C&gt;1&lt;/C&gt;&lt;D xsi:type="xsd:double"&gt;2.10487444608567&lt;/D&gt;&lt;/FQL&gt;&lt;FQL&gt;&lt;Q&gt;EWU^FG_PRICE_MAVG(0,,,,200)&lt;/Q&gt;&lt;R&gt;1&lt;/R&gt;&lt;C&gt;1&lt;/C&gt;&lt;D xsi:type="xsd:double"&gt;34.1807&lt;/D&gt;&lt;/FQL&gt;&lt;FQL&gt;&lt;Q&gt;ENZL^FG_PRICE_MAVG(0,,,,30)&lt;/Q&gt;&lt;R&gt;1&lt;/R&gt;&lt;C&gt;1&lt;/C&gt;&lt;D xsi:type="xsd:double"&gt;47.0789&lt;/D&gt;&lt;/FQL&gt;&lt;FQL&gt;&lt;Q&gt;VGK^FMA_PCT_ABOVE_MAVG(200,0,,,,"PORTAGG")&lt;/Q&gt;&lt;R&gt;1&lt;/R&gt;&lt;C&gt;1&lt;/C&gt;&lt;D xsi:type="xsd:double"&gt;63.370253164557&lt;/D&gt;&lt;/FQL&gt;&lt;FQL&gt;&lt;Q&gt;QQQ^PERCENT_CHANGE(FMA_EPS(+1,0,,,,"PORTAGG","MEAN"),FMA_EPS(+1,-3AM,,,,"PORTAGG","MEAN"))&lt;/Q&gt;&lt;R&gt;1&lt;/R&gt;&lt;C&gt;1&lt;/C&gt;&lt;D xsi:type="xsd:double"&gt;-2.87094111333209&lt;/D&gt;&lt;/FQL&gt;&lt;FQL&gt;&lt;Q&gt;EWA^FG_TOTAL_RETURNC(0,-3AM)&lt;/Q&gt;&lt;R&gt;1&lt;/R&gt;&lt;C&gt;1&lt;/C&gt;&lt;D xsi:type="xsd:double"&gt;9.742176&lt;/D&gt;&lt;/FQL&gt;&lt;FQL&gt;&lt;Q&gt;URTH^FMA_COS_UP("EPS","1M",+1,0,,,"PORTAGG","MEANR")&lt;/Q&gt;&lt;R&gt;1&lt;/R&gt;&lt;C&gt;1&lt;/C&gt;&lt;D xsi:type="xsd:double"&gt;658&lt;/D&gt;&lt;/FQL&gt;&lt;FQL&gt;&lt;Q&gt;TRYSE10Y-FDS^PCTCHG(FG_YIELD(0,,,,"YTM"),FG_YIELD(-1AM,,,,"YTM"))&lt;/Q&gt;&lt;R&gt;1&lt;/R&gt;&lt;C&gt;1&lt;/C&gt;&lt;D xsi:type="xsd:double"&gt;1.2206961&lt;/D&gt;&lt;/FQL&gt;&lt;FQL&gt;&lt;Q&gt;TRYNZ10Y-FDS^FG_YIELD(0,,,,"YTM")&lt;/Q&gt;&lt;R&gt;1&lt;/R&gt;&lt;C&gt;1&lt;/C&gt;&lt;D xsi:type="xsd:double"&gt;4.2854&lt;/D&gt;&lt;/FQL&gt;&lt;FQL&gt;&lt;Q&gt;VGK^FMA_DIV_YLD(NTMA,NOW,NOW,M,"PORTAGG","MEANR")&lt;/Q&gt;&lt;R&gt;1&lt;/R&gt;&lt;C&gt;1&lt;/C&gt;&lt;D xsi:type="xsd:double"&gt;3.47569561820273&lt;/D&gt;&lt;/FQL&gt;&lt;FQL&gt;&lt;Q&gt;EWN^FMA_PE(LTM,0,,,"PORTAGG","MEANR")&lt;/Q&gt;&lt;R&gt;1&lt;/R&gt;&lt;C&gt;1&lt;/C&gt;&lt;D xsi:type="xsd:double"&gt;22.1114381895373&lt;/D&gt;&lt;/FQL&gt;&lt;FQL&gt;&lt;Q&gt;ENZL^JULIAN(FMA_DIV_YLD(NTMA,NOW,NOW,M,"PORTAGG","MEANR").DATES)&lt;/Q&gt;&lt;R&gt;1&lt;/R&gt;&lt;C&gt;1&lt;/C&gt;&lt;D xsi:type="xsd:long"&gt;45530&lt;/D&gt;&lt;/FQL&gt;&lt;FQL&gt;&lt;Q&gt;CAGDPY@NZ^EE_ACTUAL_ANNUAL(MED,0)&lt;/Q&gt;&lt;R&gt;1&lt;/R&gt;&lt;C&gt;1&lt;/C&gt;&lt;D xsi:type="xsd:double"&gt;-6.9&lt;/D&gt;&lt;/FQL&gt;&lt;FQL&gt;&lt;Q&gt;USDANG^STD(FG_PRICE_CHANGE(0,-3AY,M))&lt;/Q&gt;&lt;R&gt;1&lt;/R&gt;&lt;C&gt;1&lt;/C&gt;&lt;D xsi:type="xsd:double"&gt;0.0594600681310969&lt;/D&gt;&lt;/FQL&gt;&lt;FQL&gt;&lt;Q&gt;USDGBP^STD(FG_PRICE_CHANGE(0,-3AY,M))&lt;/Q&gt;&lt;R&gt;1&lt;/R&gt;&lt;C&gt;1&lt;/C&gt;&lt;D xsi:type="xsd:double"&gt;2.35418337899108&lt;/D&gt;&lt;/FQL&gt;&lt;FQL&gt;&lt;Q&gt;TRYAU10Y-FDS^FG_YIELD(-10AY,0,Y,,"YTM")&lt;/Q&gt;&lt;R&gt;10&lt;/R&gt;&lt;C&gt;1&lt;/C&gt;&lt;D xsi:type="xsd:double"&gt;2.81&lt;/D&gt;&lt;D xsi:type="xsd:double"&gt;2.88&lt;/D&gt;&lt;D xsi:type="xsd:double"&gt;2.76&lt;/D&gt;&lt;D xsi:type="xsd:double"&gt;2.63&lt;/D&gt;&lt;D xsi:type="xsd:double"&gt;2.315&lt;/D&gt;&lt;D xsi:type="xsd:double"&gt;1.375&lt;/D&gt;&lt;D xsi:type="xsd:double"&gt;0.972&lt;/D&gt;&lt;D xsi:type="xsd:double"&gt;1.671&lt;/D&gt;&lt;D xsi:type="xsd:double"&gt;4.051&lt;/D&gt;&lt;D xsi:type="xsd:double"&gt;3.955&lt;/D&gt;&lt;/FQL&gt;&lt;FQL&gt;&lt;Q&gt;USDAUD^FG_PRICE_CHANGE(0,-3AM)&lt;/Q&gt;&lt;R&gt;1&lt;/R&gt;&lt;C&gt;1&lt;/C&gt;&lt;D xsi:type="xsd:double"&gt;-2.5250316&lt;/D&gt;&lt;/FQL&gt;&lt;FQL&gt;&lt;Q&gt;QQQ^P_PRICE_RETURNS_PR('52W',2,-10AY,0,AM)&lt;/Q&gt;&lt;R&gt;121&lt;/R&gt;&lt;C&gt;1&lt;/C&gt;&lt;D xsi:type="xsd:double"&gt;33.3786&lt;/D&gt;&lt;D xsi:type="xsd:double"&gt;26.601732&lt;/D&gt;&lt;D xsi:type="xsd:double"&gt;21.937263&lt;/D&gt;&lt;D xsi:type="xsd:double"&gt;26.229132&lt;/D&gt;&lt;D xsi:type="xsd:double"&gt;21.831835&lt;/D&gt;&lt;D xsi:type="xsd:double"&gt;21.805405&lt;/D&gt;&lt;D xsi:type="xsd:double"&gt;21.192778&lt;/D&gt;&lt;D xsi:type="xsd:double"&gt;22.804749&lt;/D&gt;&lt;D xsi:type="xsd:double"&gt;26.851833&lt;/D&gt;&lt;D xsi:type="xsd:double"&gt;21.874952&lt;/D&gt;&lt;D xsi:type="xsd:double"&gt;15.023446&lt;/D&gt;&lt;D xsi:type="xsd:double"&gt;16.714931&lt;/D&gt;&lt;D xsi:type="xsd:double"&gt;7.386589&lt;/D&gt;&lt;D xsi:type="xsd:double"&gt;1.9219756&lt;/D&gt;&lt;D xsi:type="xsd:double"&gt;15.290523&lt;/D&gt;&lt;D xsi:type="xsd:double"&gt;9.502053&lt;/D&gt;&lt;D xsi:type="xsd:double"&gt;9.94898&lt;/D&gt;&lt;D xsi:type="xsd:double"&gt;3.2431483&lt;/D&gt;&lt;D xsi:type="xsd:double"&gt;-4.4762077&lt;/D&gt;&lt;D xsi:type="xsd:double"&gt;4.2612314&lt;/D&gt;&lt;D xsi:type="xsd:double"&gt;-2.2656262&lt;/D&gt;&lt;D xsi:type="xsd:double"&gt;0.3340006&lt;/D&gt;&lt;D xsi:type="xsd:double"&gt;0.7682085&lt;/D&gt;&lt;D xsi:type="xsd:double"&gt;4.4645905&lt;/D&gt;&lt;D xsi:type="xsd:double"&gt;11.967003&lt;/D&gt;&lt;D xsi:type="xsd:double"&gt;19.80914&lt;/D&gt;&lt;D xsi:type="xsd:double"&gt;3.864038&lt;/D&gt;&lt;D xsi:type="xsd:double"&gt;5.228412&lt;/D&gt;&lt;D xsi:type="xsd:double"&gt;5.9031606&lt;/D&gt;&lt;D xsi:type="xsd:double"&gt;26.471817&lt;/D&gt;&lt;D xsi:type="xsd:double"&gt;27.112543&lt;/D&gt;&lt;D xsi:type="xsd:double"&gt;22.76976&lt;/D&gt;&lt;D xsi:type="xsd:double"&gt;29.270626&lt;/D&gt;&lt;D xsi:type="xsd:double"&gt;30.223274&lt;/D&gt;&lt;D xsi:type="xsd:double"&gt;30.760824&lt;/D&gt;&lt;D xsi:type="xsd:double"&gt;26.392782&lt;/D&gt;&lt;D xsi:type="xsd:double"&gt;23.522686&lt;/D&gt;&lt;D xsi:type="xsd:double"&gt;24.666859&lt;/D&gt;&lt;D xsi:type="xsd:double"&gt;29.62954&lt;/D&gt;&lt;D xsi:type="xsd:double"&gt;30.655527&lt;/D&gt;&lt;D xsi:type="xsd:double"&gt;31.301426&lt;/D&gt;&lt;D xsi:type="xsd:double"&gt;36.448143&lt;/D&gt;&lt;D xsi:type="xsd:double"&gt;29.77649&lt;/D&gt;&lt;D xsi:type="xsd:double"&gt;22.133816&lt;/D&gt;&lt;D xsi:type="xsd:double"&gt;20.441269&lt;/D&gt;&lt;D xsi:type="xsd:double"&gt;20.690287&lt;/D&gt;&lt;D xsi:type="xsd:double"&gt;25.764442&lt;/D&gt;&lt;D xsi:type="xsd:double"&gt;24.380123&lt;/D&gt;&lt;D xsi:type="xsd:double"&gt;31.67199&lt;/D&gt;&lt;D xsi:type="xsd:double"&gt;29.643906&lt;/D&gt;&lt;D xsi:type="xsd:double"&gt;8.757782&lt;/D&gt;&lt;D xsi:type="xsd:double"&gt;10.128117&lt;/D&gt;&lt;D xsi:type="xsd:double"&gt;-1.5645564&lt;/D&gt;&lt;D xsi:type="xsd:double"&gt;-4.2025924&lt;/D&gt;&lt;D xsi:type="xsd:double"&gt;4.4618845&lt;/D&gt;&lt;D xsi:type="xsd:double"&gt;13.173866&lt;/D&gt;&lt;D xsi:type="xsd:double"&gt;18.874895&lt;/D&gt;&lt;D xsi:type="xsd:double"&gt;5.085933&lt;/D&gt;&lt;D xsi:type="xsd:double"&gt;10.041022&lt;/D&gt;&lt;D xsi:type="xsd:double"&gt;10.53282&lt;/D&gt;&lt;D xsi:type="xsd:double"&gt;1.5152454&lt;/D&gt;&lt;D xsi:type="xsd:double"&gt;1.5518546&lt;/D&gt;&lt;D xsi:type="xsd:double"&gt;21.181726&lt;/D&gt;&lt;D xsi:type="xsd:double"&gt;23.072565&lt;/D&gt;&lt;D xsi:type="xsd:double"&gt;40.717113&lt;/D&gt;&lt;D xsi:type="xsd:double"&gt;38.413692&lt;/D&gt;&lt;D xsi:type="xsd:double"&gt;19.806744&lt;/D&gt;&lt;D xsi:type="xsd:double"&gt;5.0492406&lt;/D&gt;&lt;D xsi:type="xsd:double"&gt;15.626848&lt;/D&gt;&lt;D xsi:type="xsd:double"&gt;33.70054&lt;/D&gt;&lt;D xsi:type="xsd:double"&gt;31.088411&lt;/D&gt;&lt;D xsi:type="xsd:double"&gt;34.54976&lt;/D&gt;&lt;D xsi:type="xsd:double"&gt;59.319473&lt;/D&gt;&lt;D xsi:type="xsd:double"&gt;48.646797&lt;/D&gt;&lt;D xsi:type="xsd:double"&gt;42.04111&lt;/D&gt;&lt;D xsi:type="xsd:double"&gt;46.20781&lt;/D&gt;&lt;D xsi:type="xsd:double"&gt;47.555256&lt;/D&gt;&lt;D xsi:type="xsd:double"&gt;42.826843&lt;/D&gt;&lt;D xsi:type="xsd:double"&gt;46.148014&lt;/D&gt;&lt;D xsi:type="xsd:double"&gt;71.54971&lt;/D&gt;&lt;D xsi:type="xsd:double"&gt;56.321156&lt;/D&gt;&lt;D xsi:type="xsd:double"&gt;46.099426&lt;/D&gt;&lt;D xsi:type="xsd:double"&gt;47.011723&lt;/D&gt;&lt;D xsi:type="xsd:double"&gt;41.87876&lt;/D&gt;&lt;D xsi:type="xsd:double"&gt;29.933918&lt;/D&gt;&lt;D xsi:type="xsd:double"&gt;30.894112&lt;/D&gt;&lt;D xsi:type="xsd:double"&gt;40.44498&lt;/D&gt;&lt;D xsi:type="xsd:double"&gt;34.386314&lt;/D&gt;&lt;D xsi:type="xsd:double"&gt;28.925873&lt;/D&gt;&lt;D xsi:type="xsd:double"&gt;10.013843&lt;/D&gt;&lt;D xsi:type="xsd:double"&gt;10.929001&lt;/D&gt;&lt;D xsi:type="xsd:double"&gt;18.065298&lt;/D&gt;&lt;D xsi:type="xsd:double"&gt;-7.483202&lt;/D&gt;&lt;D xsi:type="xsd:double"&gt;-6.6959143&lt;/D&gt;&lt;D xsi:type="xsd:double"&gt;-19.610453&lt;/D&gt;&lt;D xsi:type="xsd:double"&gt;-13.443971&lt;/D&gt;&lt;D xsi:type="xsd:double"&gt;-18.599289&lt;/D&gt;&lt;D xsi:type="xsd:double"&gt;-23.859913&lt;/D&gt;&lt;D xsi:type="xsd:double"&gt;-26.353628&lt;/D&gt;&lt;D xsi:type="xsd:double"&gt;-29.367739&lt;/D&gt;&lt;D xsi:type="xsd:double"&gt;-33.15966&lt;/D&gt;&lt;D xsi:type="xsd:double"&gt;-12.507635&lt;/D&gt;&lt;D xsi:type="xsd:double"&gt;-14.729929&lt;/D&gt;&lt;D xsi:type="xsd:double"&gt;-15.107309&lt;/D&gt;&lt;D xsi:type="xsd:double"&gt;-0.90897083&lt;/D&gt;&lt;D xsi:type="xsd:double"&gt;17.284012&lt;/D&gt;&lt;D xsi:type="xsd:double"&gt;29.108597&lt;/D&gt;&lt;D xsi:type="xsd:double"&gt;24.663757&lt;/D&gt;&lt;D xsi:type="xsd:double"&gt;23.993444&lt;/D&gt;&lt;D xsi:type="xsd:double"&gt;32.6771&lt;/D&gt;&lt;D xsi:type="xsd:double"&gt;27.409018&lt;/D&gt;&lt;D xsi:type="xsd:double"&gt;39.880943&lt;/D&gt;&lt;D xsi:type="xsd:double"&gt;54.759644&lt;/D&gt;&lt;D xsi:type="xsd:double"&gt;45.51406&lt;/D&gt;&lt;D xsi:type="xsd:double"&gt;50.5739&lt;/D&gt;&lt;D xsi:type="xsd:double"&gt;45.53448&lt;/D&gt;&lt;D xsi:type="xsd:double"&gt;35.0541&lt;/D&gt;&lt;D xsi:type="xsd:double"&gt;31.882381&lt;/D&gt;&lt;D xsi:type="xsd:double"&gt;32.334282&lt;/D&gt;&lt;D xsi:type="xsd:double"&gt;21.804678&lt;/D&gt;&lt;D xsi:type="xsd:double"&gt;26.451742&lt;/D&gt;&lt;/FQL&gt;&lt;FQL&gt;&lt;Q&gt;NI-FDS^FG_PRICE(0)/MAX(FG_PRICE(0,-1AY))&lt;/Q&gt;&lt;R&gt;1&lt;/R&gt;&lt;C&gt;1&lt;/C&gt;&lt;D xsi:type="xsd:double"&gt;0.786603995299647&lt;/D&gt;&lt;/FQL&gt;&lt;FQL&gt;&lt;Q&gt;EWJ^FG_PRICE_MAVG(0,,,,30)&lt;/Q&gt;&lt;R&gt;1&lt;/R&gt;&lt;C&gt;1&lt;/C&gt;&lt;D xsi:type="xsd:double"&gt;68.567&lt;/D&gt;&lt;/FQL&gt;&lt;FQL&gt;&lt;Q&gt;VWO^P_PRICE(0)/P_PRICE_LOW_PR(0,,,,,,"PRICE","INTRA","52W")-1&lt;/Q&gt;&lt;R&gt;1&lt;/R&gt;&lt;C&gt;1&lt;/C&gt;&lt;D xsi:type="xsd:double"&gt;0.19076216&lt;/D&gt;&lt;/FQL&gt;&lt;FQL&gt;&lt;Q&gt;EWD^FG_TOTAL_RETURNC(0,-6AM)&lt;/Q&gt;&lt;R&gt;1&lt;/R&gt;&lt;C&gt;1&lt;/C&gt;&lt;D xsi:type="xsd:double"&gt;8.113014&lt;/D&gt;&lt;/FQL&gt;&lt;FQL&gt;&lt;Q&gt;EWG^FMA_PCT_ABOVE_MAVG(200,0,,,,"PORTAGG")&lt;/Q&gt;&lt;R&gt;1&lt;/R&gt;&lt;C&gt;1&lt;/C&gt;&lt;D xsi:type="xsd:double"&gt;55.1724137931034&lt;/D&gt;&lt;/FQL&gt;&lt;FQL&gt;&lt;Q&gt;ENZL^FMA_PCT_ABOVE_MAVG(200,0,,,,"PORTAGG")&lt;/Q&gt;&lt;R&gt;1&lt;/R&gt;&lt;C&gt;1&lt;/C&gt;&lt;D xsi:type="xsd:double"&gt;50&lt;/D&gt;&lt;/FQL&gt;&lt;FQL&gt;&lt;Q&gt;EWN^FMA_COS_UP("EPS","1M",+1,0,,,"PORTAGG","MEANR")&lt;/Q&gt;&lt;R&gt;1&lt;/R&gt;&lt;C&gt;1&lt;/C&gt;&lt;D xsi:type="xsd:double"&gt;27&lt;/D&gt;&lt;/FQL&gt;&lt;FQL&gt;&lt;Q&gt;TRYJP10Y-FDS^FG_YIELD_NAME&lt;/Q&gt;&lt;R&gt;1&lt;/R&gt;&lt;C&gt;1&lt;/C&gt;&lt;D xsi:type="xsd:string"&gt;Japan Benchmark Bond - 10 Year&lt;/D&gt;&lt;/FQL&gt;&lt;FQL&gt;&lt;Q&gt;TRYJP10Y-FDS^PCTCHG(FG_YIELD(0,,,,"YTM"),FG_YIELD(-3AM,,,,"YTM"))&lt;/Q&gt;&lt;R&gt;1&lt;/R&gt;&lt;C&gt;1&lt;/C&gt;&lt;D xsi:type="xsd:double"&gt;-16.456167&lt;/D&gt;&lt;/FQL&gt;&lt;FQL&gt;&lt;Q&gt;EWD^FMA_EVAL_EBITDA(NTMA,0,,,"PORTAGG","MEANR")&lt;/Q&gt;&lt;R&gt;1&lt;/R&gt;&lt;C&gt;1&lt;/C&gt;&lt;D xsi:type="xsd:double"&gt;10.8253308477289&lt;/D&gt;&lt;/FQL&gt;&lt;FQL&gt;&lt;Q&gt;EWL^JULIAN(FMA_DIV_YLD(NTMA,NOW,NOW,M,"PORTAGG","MEANR").DATES)&lt;/Q&gt;&lt;R&gt;1&lt;/R&gt;&lt;C&gt;1&lt;/C&gt;&lt;D xsi:type="xsd:long"&gt;45530&lt;/D&gt;&lt;/FQL&gt;&lt;FQL&gt;&lt;Q&gt;EWL^FMA_ROE(NTMA,-20AY,NOW,FY,"PORTAGG","MEANR")&lt;/Q&gt;&lt;R&gt;20&lt;/R&gt;&lt;C&gt;1&lt;/C&gt;&lt;D xsi:type="xsd:double"&gt;15.9587717941353&lt;/D&gt;&lt;D xsi:type="xsd:double"&gt;16.6709442456462&lt;/D&gt;&lt;D xsi:type="xsd:double"&gt;17.3190561042513&lt;/D&gt;&lt;D xsi:type="xsd:double"&gt;18.194046530629&lt;/D&gt;&lt;D xsi:type="xsd:double"&gt;15.5136874283454&lt;/D&gt;&lt;D xsi:type="xsd:double"&gt;17.2258858021045&lt;/D&gt;&lt;D xsi:type="xsd:double"&gt;16.663378494352&lt;/D&gt;&lt;D xsi:type="xsd:double"&gt;15.1353221205521&lt;/D&gt;&lt;D xsi:type="xsd:double"&gt;15.5882414428409&lt;/D&gt;&lt;D xsi:type="xsd:double"&gt;15.2483951449653&lt;/D&gt;&lt;D xsi:type="xsd:double"&gt;14.5028009204846&lt;/D&gt;&lt;D xsi:type="xsd:double"&gt;13.2798091113486&lt;/D&gt;&lt;D xsi:type="xsd:double"&gt;13.3994953105419&lt;/D&gt;&lt;D xsi:type="xsd:double"&gt;13.9322208239423&lt;/D&gt;&lt;D xsi:type="xsd:double"&gt;14.6457996836392&lt;/D&gt;&lt;D xsi:type="xsd:double"&gt;14.5388198691271&lt;/D&gt;&lt;D xsi:type="xsd:double"&gt;14.667779515581&lt;/D&gt;&lt;D xsi:type="xsd:double"&gt;16.3837417700754&lt;/D&gt;&lt;D xsi:type="xsd:double"&gt;16.6906517335277&lt;/D&gt;&lt;D xsi:type="xsd:double"&gt;19.3024636413407&lt;/D&gt;&lt;/FQL&gt;&lt;FQL&gt;&lt;Q&gt;USDITL^FG_PRICE_CHANGE(0,-6AM)&lt;/Q&gt;&lt;R&gt;1&lt;/R&gt;&lt;C&gt;1&lt;/C&gt;&lt;D xsi:type="xsd:double"&gt;-2.249223&lt;/D&gt;&lt;/FQL&gt;&lt;FQL&gt;&lt;Q&gt;EWU^FMA_DIV_YLD(NTMA,-10AY,0,AM,"PORTAGG","MEANR")&lt;/Q&gt;&lt;R&gt;121&lt;/R&gt;&lt;C&gt;1&lt;/C&gt;&lt;D xsi:type="xsd:double"&gt;3.8939000024378&lt;/D&gt;&lt;D xsi:type="xsd:double"&gt;4.02568901527128&lt;/D&gt;&lt;D xsi:type="xsd:double"&gt;4.13741205516024&lt;/D&gt;&lt;D xsi:type="xsd:double"&gt;4.03438047362769&lt;/D&gt;&lt;D xsi:type="xsd:double"&gt;4.10215042588262&lt;/D&gt;&lt;D xsi:type="xsd:double"&gt;4.03355271104342&lt;/D&gt;&lt;D xsi:type="xsd:double"&gt;3.88455792026231&lt;/D&gt;&lt;D xsi:type="xsd:double"&gt;4.00296449388807&lt;/D&gt;&lt;D xsi:type="xsd:double"&gt;3.88844358353282&lt;/D&gt;&lt;D xsi:type="xsd:double"&gt;3.91962851530386&lt;/D&gt;&lt;D xsi:type="xsd:double"&gt;4.13804681346131&lt;/D&gt;&lt;D xsi:type="xsd:double"&gt;4.13411151054038&lt;/D&gt;&lt;D xsi:type="xsd:double"&gt;4.40330814254911&lt;/D&gt;&lt;D xsi:type="xsd:double"&gt;4.61757512108467&lt;/D&gt;&lt;D xsi:type="xsd:double"&gt;4.24105576916204&lt;/D&gt;&lt;D xsi:type="xsd:double"&gt;4.18969086940279&lt;/D&gt;&lt;D xsi:type="xsd:double"&gt;4.26197298066329&lt;/D&gt;&lt;D xsi:type="xsd:double"&gt;4.43757670350483&lt;/D&gt;&lt;D xsi:type="xsd:double"&gt;4.49378642132755&lt;/D&gt;&lt;D xsi:type="xsd:double"&gt;4.40524170943115&lt;/D&gt;&lt;D xsi:type="xsd:double"&gt;4.27161646826222&lt;/D&gt;&lt;D xsi:type="xsd:double"&gt;4.26389121689296&lt;/D&gt;&lt;D xsi:type="xsd:double"&gt;4.29507137871567&lt;/D&gt;&lt;D xsi:type="xsd:double"&gt;4.11933406835795&lt;/D&gt;&lt;D xsi:type="xsd:double"&gt;4.09745546043174&lt;/D&gt;&lt;D xsi:type="xsd:double"&gt;4.14721691885416&lt;/D&gt;&lt;D xsi:type="xsd:double"&gt;4.31888205947074&lt;/D&gt;&lt;D xsi:type="xsd:double"&gt;4.42913487817907&lt;/D&gt;&lt;D xsi:type="xsd:double"&gt;4.30538169759831&lt;/D&gt;&lt;D xsi:type="xsd:double"&gt;4.27728853989947&lt;/D&gt;&lt;D xsi:type="xsd:double"&gt;4.29897374225063&lt;/D&gt;&lt;D xsi:type="xsd:double"&gt;4.31102412417398&lt;/D&gt;&lt;D xsi:type="xsd:double"&gt;4.37740344097825&lt;/D&gt;&lt;D xsi:type="xsd:double"&gt;4.22907210147073&lt;/D&gt;&lt;D xsi:type="xsd:double"&gt;4.33000584214458&lt;/D&gt;&lt;D xsi:type="xsd:double"&gt;4.29049183943381&lt;/D&gt;&lt;D xsi:type="xsd:double"&gt;4.37501655109856&lt;/D&gt;&lt;D xsi:type="xsd:double"&gt;4.29549488536781&lt;/D&gt;&lt;D xsi:type="xsd:double"&gt;4.30692663097111&lt;/D&gt;&lt;D xsi:type="xsd:double"&gt;4.35769112111682&lt;/D&gt;&lt;D xsi:type="xsd:double"&gt;4.19117596008474&lt;/D&gt;&lt;D xsi:type="xsd:double"&gt;4.17752092678488&lt;/D&gt;&lt;D xsi:type="xsd:double"&gt;4.62090205560636&lt;/D&gt;&lt;D xsi:type="xsd:double"&gt;4.56453427272181&lt;/D&gt;&lt;D xsi:type="xsd:double"&gt;4.34550826976631&lt;/D&gt;&lt;D xsi:type="xsd:double"&gt;4.36684540434837&lt;/D&gt;&lt;D xsi:type="xsd:double"&gt;4.40328539217437&lt;/D&gt;&lt;D xsi:type="xsd:double"&gt;4.38740150172169&lt;/D&gt;&lt;D xsi:type="xsd:double"&gt;4.49932025422653&lt;/D&gt;&lt;D xsi:type="xsd:double"&gt;4.51545714486658&lt;/D&gt;&lt;D xsi:type="xsd:double"&gt;4.90392857919125&lt;/D&gt;&lt;D xsi:type="xsd:double"&gt;4.93792891369125&lt;/D&gt;&lt;D xsi:type="xsd:double"&gt;5.33864081854259&lt;/D&gt;&lt;D xsi:type="xsd:double"&gt;5.17333949403614&lt;/D&gt;&lt;D xsi:type="xsd:double"&gt;4.97377466886614&lt;/D&gt;&lt;D xsi:type="xsd:double"&gt;4.91543375327701&lt;/D&gt;&lt;D xsi:type="xsd:double"&gt;4.84786985591018&lt;/D&gt;&lt;D xsi:type="xsd:double"&gt;4.92935276557738&lt;/D&gt;&lt;D xsi:type="xsd:double"&gt;4.78177441982617&lt;/D&gt;&lt;D xsi:type="xsd:double"&gt;4.74175797522619&lt;/D&gt;&lt;D xsi:type="xsd:double"&gt;5.08460971741738&lt;/D&gt;&lt;D xsi:type="xsd:double"&gt;4.87191754992539&lt;/D&gt;&lt;D xsi:type="xsd:double"&gt;4.82458297415275&lt;/D&gt;&lt;D xsi:type="xsd:double"&gt;4.74565832707938&lt;/D&gt;&lt;D xsi:type="xsd:double"&gt;4.53389721927597&lt;/D&gt;&lt;D xsi:type="xsd:double"&gt;4.65223406176755&lt;/D&gt;&lt;D xsi:type="xsd:double"&gt;5.33492581494782&lt;/D&gt;&lt;D xsi:type="xsd:double"&gt;6.40110213801438&lt;/D&gt;&lt;D xsi:type="xsd:double"&gt;5.05345440807693&lt;/D&gt;&lt;D xsi:type="xsd:double"&gt;4.20096482747017&lt;/D&gt;&lt;D xsi:type="xsd:double"&gt;4.14316398180816&lt;/D&gt;&lt;D xsi:type="xsd:double"&gt;4.05455268310272&lt;/D&gt;&lt;D xsi:type="xsd:double"&gt;4.06182581141152&lt;/D&gt;&lt;D xsi:type="xsd:double"&gt;4.21766611612453&lt;/D&gt;&lt;D xsi:type="xsd:double"&gt;4.59790484340782&lt;/D&gt;&lt;D xsi:type="xsd:double"&gt;3.98530709476724&lt;/D&gt;&lt;D xsi:type="xsd:double"&gt;3.88264698943808&lt;/D&gt;&lt;D xsi:type="xsd:double"&gt;4.11277787314334&lt;/D&gt;&lt;D xsi:type="xsd:double"&gt;4.06811652089806&lt;/D&gt;&lt;D xsi:type="xsd:double"&gt;4.03512255733986&lt;/D&gt;&lt;D xsi:type="xsd:double"&gt;3.96250545983086&lt;/D&gt;&lt;D xsi:type="xsd:double"&gt;3.90571382900188&lt;/D&gt;&lt;D xsi:type="xsd:double"&gt;4.00005494218507&lt;/D&gt;&lt;D xsi:type="xsd:double"&gt;4.11933174579902&lt;/D&gt;&lt;D xsi:type="xsd:double"&gt;4.20259683344389&lt;/D&gt;&lt;D xsi:type="xsd:double"&gt;4.18124228273255&lt;/D&gt;&lt;D xsi:type="xsd:double"&gt;4.04066790658352&lt;/D&gt;&lt;D xsi:type="xsd:double"&gt;4.14550551605971&lt;/D&gt;&lt;D xsi:type="xsd:double"&gt;3.89372747981517&lt;/D&gt;&lt;D xsi:type="xsd:double"&gt;3.88945559822605&lt;/D&gt;&lt;D xsi:type="xsd:double"&gt;3.91011786108805&lt;/D&gt;&lt;D xsi:type="xsd:double"&gt;3.94349267566723&lt;/D&gt;&lt;D xsi:type="xsd:double"&gt;4.05183836400288&lt;/D&gt;&lt;D xsi:type="xsd:double"&gt;4.03526083382787&lt;/D&gt;&lt;D xsi:type="xsd:double"&gt;4.24100197822465&lt;/D&gt;&lt;D xsi:type="xsd:double"&gt;4.15004078522264&lt;/D&gt;&lt;D xsi:type="xsd:double"&gt;4.32718426535901&lt;/D&gt;&lt;D xsi:type="xsd:double"&gt;4.81127828050566&lt;/D&gt;&lt;D xsi:type="xsd:double"&gt;4.53486689703184&lt;/D&gt;&lt;D xsi:type="xsd:double"&gt;4.27490911531077&lt;/D&gt;&lt;D xsi:type="xsd:double"&gt;4.2434778808573&lt;/D&gt;&lt;D xsi:type="xsd:double"&gt;4.10027111614822&lt;/D&gt;&lt;D xsi:type="xsd:double"&gt;4.11922810932503&lt;/D&gt;&lt;D xsi:type="xsd:double"&gt;4.28774249024938&lt;/D&gt;&lt;D xsi:type="xsd:double"&gt;4.09994918619519&lt;/D&gt;&lt;D xsi:type="xsd:double"&gt;4.38801138192922&lt;/D&gt;&lt;D xsi:type="xsd:double"&gt;4.43682759433648&lt;/D&gt;&lt;D xsi:type="xsd:double"&gt;4.25633616782761&lt;/D&gt;&lt;D xsi:type="xsd:double"&gt;4.50051778659175&lt;/D&gt;&lt;D xsi:type="xsd:double"&gt;4.4562728448942&lt;/D&gt;&lt;D xsi:type="xsd:double"&gt;4.66761360449011&lt;/D&gt;&lt;D xsi:type="xsd:double"&gt;4.44928670276552&lt;/D&gt;&lt;D xsi:type="xsd:double"&gt;4.2666636081457&lt;/D&gt;&lt;D xsi:type="xsd:double"&gt;4.30647302633028&lt;/D&gt;&lt;D xsi:type="xsd:double"&gt;4.21005319024997&lt;/D&gt;&lt;D xsi:type="xsd:double"&gt;4.02843620281349&lt;/D&gt;&lt;D xsi:type="xsd:double"&gt;3.92103041548847&lt;/D&gt;&lt;D xsi:type="xsd:double"&gt;3.91013816407669&lt;/D&gt;&lt;D xsi:type="xsd:double"&gt;3.97959794272042&lt;/D&gt;&lt;D xsi:type="xsd:double"&gt;3.86970337449233&lt;/D&gt;&lt;D xsi:type="xsd:double"&gt;3.82934804192383&lt;/D&gt;&lt;/FQL&gt;&lt;FQL&gt;&lt;Q&gt;EWG^FMA_PE(LTMA,-10AY,0,AM,"PORTAGG","MEANR")&lt;/Q&gt;&lt;R&gt;121&lt;/R&gt;&lt;C&gt;1&lt;/C&gt;&lt;D xsi:type="xsd:double"&gt;14.1541128765517&lt;/D&gt;&lt;D xsi:type="xsd:double"&gt;13.9799193039688&lt;/D&gt;&lt;D xsi:type="xsd:double"&gt;13.5688544660239&lt;/D&gt;&lt;D xsi:type="xsd:double"&gt;14.5040611433695&lt;/D&gt;&lt;D xsi:type="xsd:double"&gt;14.4725752664206&lt;/D&gt;&lt;D xsi:type="xsd:double"&gt;15.5170900420646&lt;/D&gt;&lt;D xsi:type="xsd:double"&gt;16.4876845059821&lt;/D&gt;&lt;D xsi:type="xsd:double"&gt;16.5071546374315&lt;/D&gt;&lt;D xsi:type="xsd:double"&gt;16.2071471148336&lt;/D&gt;&lt;D xsi:type="xsd:double"&gt;15.9189706267038&lt;/D&gt;&lt;D xsi:type="xsd:double"&gt;15.5071914783133&lt;/D&gt;&lt;D xsi:type="xsd:double"&gt;15.3559619315227&lt;/D&gt;&lt;D xsi:type="xsd:double"&gt;14.4727773031348&lt;/D&gt;&lt;D xsi:type="xsd:double"&gt;13.454206220469&lt;/D&gt;&lt;D xsi:type="xsd:double"&gt;14.5079666048689&lt;/D&gt;&lt;D xsi:type="xsd:double"&gt;14.9352418338507&lt;/D&gt;&lt;D xsi:type="xsd:double"&gt;14.1578032571999&lt;/D&gt;&lt;D xsi:type="xsd:double"&gt;12.9203121797463&lt;/D&gt;&lt;D xsi:type="xsd:double"&gt;12.6455940636623&lt;/D&gt;&lt;D xsi:type="xsd:double"&gt;12.750551098617&lt;/D&gt;&lt;D xsi:type="xsd:double"&gt;12.8774956899626&lt;/D&gt;&lt;D xsi:type="xsd:double"&gt;12.9581233750893&lt;/D&gt;&lt;D xsi:type="xsd:double"&gt;12.6032339725898&lt;/D&gt;&lt;D xsi:type="xsd:double"&gt;13.1261045937001&lt;/D&gt;&lt;D xsi:type="xsd:double"&gt;13.3600459210731&lt;/D&gt;&lt;D xsi:type="xsd:double"&gt;13.5006440738195&lt;/D&gt;&lt;D xsi:type="xsd:double"&gt;13.8066915068456&lt;/D&gt;&lt;D xsi:type="xsd:double"&gt;13.6906856338566&lt;/D&gt;&lt;D xsi:type="xsd:double"&gt;14.7543214533916&lt;/D&gt;&lt;D xsi:type="xsd:double"&gt;15.1569157937766&lt;/D&gt;&lt;D xsi:type="xsd:double"&gt;14.9651402877224&lt;/D&gt;&lt;D xsi:type="xsd:double"&gt;14.9553294848312&lt;/D&gt;&lt;D xsi:type="xsd:double"&gt;14.9052500055754&lt;/D&gt;&lt;D xsi:type="xsd:double"&gt;14.7811984215352&lt;/D&gt;&lt;D xsi:type="xsd:double"&gt;14.5323861553863&lt;/D&gt;&lt;D xsi:type="xsd:double"&gt;14.3072250456737&lt;/D&gt;&lt;D xsi:type="xsd:double"&gt;14.00534830264&lt;/D&gt;&lt;D xsi:type="xsd:double"&gt;14.620290824259&lt;/D&gt;&lt;D xsi:type="xsd:double"&gt;15.1591843759979&lt;/D&gt;&lt;D xsi:type="xsd:double"&gt;15.2958574678366&lt;/D&gt;&lt;D xsi:type="xsd:double"&gt;15.2737781513871&lt;/D&gt;&lt;D xsi:type="xsd:double"&gt;15.5180203963069&lt;/D&gt;&lt;D xsi:type="xsd:double"&gt;14.2561362408636&lt;/D&gt;&lt;D xsi:type="xsd:double"&gt;14.0968131677569&lt;/D&gt;&lt;D xsi:type="xsd:double"&gt;14.1565295055017&lt;/D&gt;&lt;D xsi:type="xsd:double"&gt;14.0150096773454&lt;/D&gt;&lt;D xsi:type="xsd:double"&gt;13.8875658519637&lt;/D&gt;&lt;D xsi:type="xsd:double"&gt;14.223454063265&lt;/D&gt;&lt;D xsi:type="xsd:double"&gt;14.1538490130327&lt;/D&gt;&lt;D xsi:type="xsd:double"&gt;13.90480165962&lt;/D&gt;&lt;D xsi:type="xsd:double"&gt;12.9240150540877&lt;/D&gt;&lt;D xsi:type="xsd:double"&gt;12.9507195561361&lt;/D&gt;&lt;D xsi:type="xsd:double"&gt;12.0319922841516&lt;/D&gt;&lt;D xsi:type="xsd:double"&gt;12.9114390280699&lt;/D&gt;&lt;D xsi:type="xsd:double"&gt;13.2194048887983&lt;/D&gt;&lt;D xsi:type="xsd:double"&gt;13.1627985387774&lt;/D&gt;&lt;D xsi:type="xsd:double"&gt;13.4024037169548&lt;/D&gt;&lt;D xsi:type="xsd:double"&gt;13.1361696809323&lt;/D&gt;&lt;D xsi:type="xsd:double"&gt;13.4330279335727&lt;/D&gt;&lt;D xsi:type="xsd:double"&gt;13.6835608467173&lt;/D&gt;&lt;D xsi:type="xsd:double"&gt;13.5188905032313&lt;/D&gt;&lt;D xsi:type="xsd:double"&gt;14.0483642067835&lt;/D&gt;&lt;D xsi:type="xsd:double"&gt;14.7654979567248&lt;/D&gt;&lt;D xsi:type="xsd:double"&gt;15.237152155503&lt;/D&gt;&lt;D xsi:type="xsd:double"&gt;15.5547283472162&lt;/D&gt;&lt;D xsi:type="xsd:double"&gt;15.4653816691164&lt;/D&gt;&lt;D xsi:type="xsd:double"&gt;14.0375587989804&lt;/D&gt;&lt;D xsi:type="xsd:double"&gt;13.7381109609629&lt;/D&gt;&lt;D xsi:type="xsd:double"&gt;15.1193969274634&lt;/D&gt;&lt;D xsi:type="xsd:double"&gt;16.1874562198896&lt;/D&gt;&lt;D xsi:type="xsd:double"&gt;17.5447071627898&lt;/D&gt;&lt;D xsi:type="xsd:double"&gt;19.0002303665622&lt;/D&gt;&lt;D xsi:type="xsd:double"&gt;19.977484048461&lt;/D&gt;&lt;D xsi:type="xsd:double"&gt;20.3686765918774&lt;/D&gt;&lt;D xsi:type="xsd:double"&gt;18.454888146162&lt;/D&gt;&lt;D xsi:type="xsd:double"&gt;21.7792673195934&lt;/D&gt;&lt;D xsi:type="xsd:double"&gt;22.1024897534218&lt;/D&gt;&lt;D xsi:type="xsd:double"&gt;20.7439723697634&lt;/D&gt;&lt;D xsi:type="xsd:double"&gt;20.2950863016861&lt;/D&gt;&lt;D xsi:type="xsd:double"&gt;20.0291321024798&lt;/D&gt;&lt;D xsi:type="xsd:double"&gt;19.4302320586967&lt;/D&gt;&lt;D xsi:type="xsd:double"&gt;18.8793861133493&lt;/D&gt;&lt;D xsi:type="xsd:double"&gt;18.4249803462471&lt;/D&gt;&lt;D xsi:type="xsd:double"&gt;17.6385109122793&lt;/D&gt;&lt;D xsi:type="xsd:double"&gt;16.9936260460474&lt;/D&gt;&lt;D xsi:type="xsd:double"&gt;16.0047752899768&lt;/D&gt;&lt;D xsi:type="xsd:double"&gt;15.6146080613151&lt;/D&gt;&lt;D xsi:type="xsd:double"&gt;14.278988295446&lt;/D&gt;&lt;D xsi:type="xsd:double"&gt;14.164792146425&lt;/D&gt;&lt;D xsi:type="xsd:double"&gt;13.4795741608987&lt;/D&gt;&lt;D xsi:type="xsd:double"&gt;12.5328882361799&lt;/D&gt;&lt;D xsi:type="xsd:double"&gt;12.5400447183139&lt;/D&gt;&lt;D xsi:type="xsd:double"&gt;12.2663865298395&lt;/D&gt;&lt;D xsi:type="xsd:double"&gt;12.1318582997624&lt;/D&gt;&lt;D xsi:type="xsd:double"&gt;11.4863075331315&lt;/D&gt;&lt;D xsi:type="xsd:double"&gt;11.4952851030175&lt;/D&gt;&lt;D xsi:type="xsd:double"&gt;10.7206151879967&lt;/D&gt;&lt;D xsi:type="xsd:double"&gt;10.0410500884358&lt;/D&gt;&lt;D xsi:type="xsd:double"&gt;10.509548552705&lt;/D&gt;&lt;D xsi:type="xsd:double"&gt;11.0465769499606&lt;/D&gt;&lt;D xsi:type="xsd:double"&gt;10.5628546659387&lt;/D&gt;&lt;D xsi:type="xsd:double"&gt;11.4600910640014&lt;/D&gt;&lt;D xsi:type="xsd:double"&gt;11.3463293345368&lt;/D&gt;&lt;D xsi:type="xsd:double"&gt;11.3264560851669&lt;/D&gt;&lt;D xsi:type="xsd:double"&gt;11.4300404391818&lt;/D&gt;&lt;D xsi:type="xsd:double"&gt;11.2915354973394&lt;/D&gt;&lt;D xsi:type="xsd:double"&gt;11.2300243832564&lt;/D&gt;&lt;D xsi:type="xsd:double"&gt;11.4462046246636&lt;/D&gt;&lt;D xsi:type="xsd:double"&gt;11.2443157990962&lt;/D&gt;&lt;D xsi:type="xsd:double"&gt;11.0545024951529&lt;/D&gt;&lt;D xsi:type="xsd:double"&gt;10.6118195575951&lt;/D&gt;&lt;D xsi:type="xsd:double"&gt;11.5683607161323&lt;/D&gt;&lt;D xsi:type="xsd:double"&gt;11.9669463071893&lt;/D&gt;&lt;D xsi:type="xsd:double"&gt;12.0943752029651&lt;/D&gt;&lt;D xsi:type="xsd:double"&gt;12.512116920973&lt;/D&gt;&lt;D xsi:type="xsd:double"&gt;12.6077604778037&lt;/D&gt;&lt;D xsi:type="xsd:double"&gt;12.5271827672627&lt;/D&gt;&lt;D xsi:type="xsd:double"&gt;12.4960292981614&lt;/D&gt;&lt;D xsi:type="xsd:double"&gt;12.4597386725938&lt;/D&gt;&lt;D xsi:type="xsd:double"&gt;12.5408961291615&lt;/D&gt;&lt;D xsi:type="xsd:double"&gt;12.6931288501435&lt;/D&gt;&lt;/FQL&gt;&lt;FQL&gt;&lt;Q&gt;W-FDS^FG_PRICE_CHANGE(0,-1AM)&lt;/Q&gt;&lt;R&gt;1&lt;/R&gt;&lt;C&gt;1&lt;/C&gt;&lt;D xsi:type="xsd:double"&gt;-1.12994350282485&lt;/D&gt;&lt;/FQL&gt;&lt;FQL&gt;&lt;Q&gt;EWG^FG_PRICE_MAVG(0,,,,30)&lt;/Q&gt;&lt;R&gt;1&lt;/R&gt;&lt;C&gt;1&lt;/C&gt;&lt;D xsi:type="xsd:double"&gt;31.090666&lt;/D&gt;&lt;/FQL&gt;&lt;FQL&gt;&lt;Q&gt;EWL^P_PRICE(0)/P_PRICE_HIGH_PR(0,,,,,,"PRICE","INTRA","52W")&lt;/Q&gt;&lt;R&gt;1&lt;/R&gt;&lt;C&gt;1&lt;/C&gt;&lt;D xsi:type="xsd:double"&gt;0.9952857&lt;/D&gt;&lt;/FQL&gt;&lt;FQL&gt;&lt;Q&gt;EWA^SIZE(FG_CONSTITUENTS)&lt;/Q&gt;&lt;R&gt;1&lt;/R&gt;&lt;C&gt;1&lt;/C&gt;&lt;D xsi:type="xsd:long"&gt;59&lt;/D&gt;&lt;/FQL&gt;&lt;FQL&gt;&lt;Q&gt;EWJ^FMA_RBICS_REV_CURRENT(30, LOC, "PORTAGG")&lt;/Q&gt;&lt;R&gt;1&lt;/R&gt;&lt;C&gt;1&lt;/C&gt;&lt;D xsi:type="xsd:double"&gt;19.3945730460787&lt;/D&gt;&lt;/FQL&gt;&lt;FQL&gt;&lt;Q&gt;REFSEREPO-FDS^PROPER_NAME(0,,,"SECURITY","NAME")&lt;/Q&gt;&lt;R&gt;1&lt;/R&gt;&lt;C&gt;1&lt;/C&gt;&lt;D xsi:type="xsd:string"&gt;Sweden Repo Rate&lt;/D&gt;&lt;/FQL&gt;&lt;FQL&gt;&lt;Q&gt;REFCATARG-FDS^(SUBARRAY(NOT_NA(NO_REPEAT_F(FG_YIELD(NOW,-10AY,D))),0,1)-SUBARRAY(NOT_NA(NO_REPEAT_F(FG_YIELD(NOW,-10AY,D))),1,1))*100&lt;/Q&gt;&lt;R&gt;1&lt;/R&gt;&lt;C&gt;1&lt;/C&gt;&lt;D xsi:type="xsd:double"&gt;-25&lt;/D&gt;&lt;/FQL&gt;&lt;FQL&gt;&lt;Q&gt;SPY^FMA_DIV_YLD(NTMA,NOW,NOW,M,"PORTAGG","MEANR")&lt;/Q&gt;&lt;R&gt;1&lt;/R&gt;&lt;C&gt;1&lt;/C&gt;&lt;D xsi:type="xsd:double"&gt;1.37486322442019&lt;/D&gt;&lt;/FQL&gt;&lt;FQL&gt;&lt;Q&gt;EWA^FMA_EVAL_EBIT(LTMA,NOW,NOW,M,"PORTAGG","MEANR")&lt;/Q&gt;&lt;R&gt;1&lt;/R&gt;&lt;C&gt;1&lt;/C&gt;&lt;D xsi:type="xsd:double"&gt;12.8579719360296&lt;/D&gt;&lt;/FQL&gt;&lt;FQL&gt;&lt;Q&gt;UUP^FG_TOTAL_RETURNC(0,-3AM)&lt;/Q&gt;&lt;R&gt;1&lt;/R&gt;&lt;C&gt;1&lt;/C&gt;&lt;D xsi:type="xsd:double"&gt;-2.0500362&lt;/D&gt;&lt;/FQL&gt;&lt;FQL&gt;&lt;Q&gt;TRYPE10Y-FDS^FG_YIELD(-10AY,0,Y,,"YTM")&lt;/Q&gt;&lt;R&gt;10&lt;/R&gt;&lt;C&gt;1&lt;/C&gt;&lt;D xsi:type="xsd:double"&gt;5.681629&lt;/D&gt;&lt;D xsi:type="xsd:double"&gt;7.426917&lt;/D&gt;&lt;D xsi:type="xsd:double"&gt;6.415413&lt;/D&gt;&lt;D xsi:type="xsd:double"&gt;5.167133&lt;/D&gt;&lt;D xsi:type="xsd:double"&gt;5.645114&lt;/D&gt;&lt;D xsi:type="xsd:double"&gt;4.243226&lt;/D&gt;&lt;D xsi:type="xsd:double"&gt;3.535983&lt;/D&gt;&lt;D xsi:type="xsd:double"&gt;5.889906&lt;/D&gt;&lt;D xsi:type="xsd:double"&gt;7.923381&lt;/D&gt;&lt;D xsi:type="xsd:double"&gt;6.6087&lt;/D&gt;&lt;/FQL&gt;&lt;FQL&gt;&lt;Q&gt;USDAUD^FG_PRICE_CHANGE(0,-1AM)&lt;/Q&gt;&lt;R&gt;1&lt;/R&gt;&lt;C&gt;1&lt;/C&gt;&lt;D xsi:type="xsd:double"&gt;-3.791231&lt;/D&gt;&lt;/FQL&gt;&lt;FQL&gt;&lt;Q&gt;EWU^P_PRICE_RETURNS_PR('52W',2,-10AY,0,AM)&lt;/Q&gt;&lt;R&gt;121&lt;/R&gt;&lt;C&gt;1&lt;/C&gt;&lt;D xsi:type="xsd:double"&gt;15.797376999999999&lt;/D&gt;&lt;D xsi:type="xsd:double"&gt;5.241835&lt;/D&gt;&lt;D xsi:type="xsd:double"&gt;-3.0560553&lt;/D&gt;&lt;D xsi:type="xsd:double"&gt;-0.92360973&lt;/D&gt;&lt;D xsi:type="xsd:double"&gt;-5.8556676&lt;/D&gt;&lt;D xsi:type="xsd:double"&gt;-2.1706223&lt;/D&gt;&lt;D xsi:type="xsd:double"&gt;-3.8355708&lt;/D&gt;&lt;D xsi:type="xsd:double"&gt;-3.9558291&lt;/D&gt;&lt;D xsi:type="xsd:double"&gt;-2.818948&lt;/D&gt;&lt;D xsi:type="xsd:double"&gt;-4.958558&lt;/D&gt;&lt;D xsi:type="xsd:double"&gt;-8.617663&lt;/D&gt;&lt;D xsi:type="xsd:double"&gt;-8.204115&lt;/D&gt;&lt;D xsi:type="xsd:double"&gt;-13.050633&lt;/D&gt;&lt;D xsi:type="xsd:double"&gt;-14.915979&lt;/D&gt;&lt;D xsi:type="xsd:double"&gt;-2.930981&lt;/D&gt;&lt;D xsi:type="xsd:double"&gt;-7.8596115&lt;/D&gt;&lt;D xsi:type="xsd:double"&gt;-6.6152215&lt;/D&gt;&lt;D xsi:type="xsd:double"&gt;-13.161498&lt;/D&gt;&lt;D xsi:type="xsd:double"&gt;-19.090431&lt;/D&gt;&lt;D xsi:type="xsd:double"&gt;-11.207342&lt;/D&gt;&lt;D xsi:type="xsd:double"&gt;-12.776184&lt;/D&gt;&lt;D xsi:type="xsd:double"&gt;-12.646228&lt;/D&gt;&lt;D xsi:type="xsd:double"&gt;-14.737331&lt;/D&gt;&lt;D xsi:type="xsd:double"&gt;-11.29415&lt;/D&gt;&lt;D xsi:type="xsd:double"&gt;-3.4086227&lt;/D&gt;&lt;D xsi:type="xsd:double"&gt;2.6869774&lt;/D&gt;&lt;D xsi:type="xsd:double"&gt;-10.967625&lt;/D&gt;&lt;D xsi:type="xsd:double"&gt;-8.596158&lt;/D&gt;&lt;D xsi:type="xsd:double"&gt;-3.4887016&lt;/D&gt;&lt;D xsi:type="xsd:double"&gt;10.536957&lt;/D&gt;&lt;D xsi:type="xsd:double"&gt;11.167658&lt;/D&gt;&lt;D xsi:type="xsd:double"&gt;7.7955484&lt;/D&gt;&lt;D xsi:type="xsd:double"&gt;5.2861214&lt;/D&gt;&lt;D xsi:type="xsd:double"&gt;8.743418&lt;/D&gt;&lt;D xsi:type="xsd:double"&gt;15.326524&lt;/D&gt;&lt;D xsi:type="xsd:double"&gt;13.264298&lt;/D&gt;&lt;D xsi:type="xsd:double"&gt;9.708333&lt;/D&gt;&lt;D xsi:type="xsd:double"&gt;14.755737&lt;/D&gt;&lt;D xsi:type="xsd:double"&gt;19.670057&lt;/D&gt;&lt;D xsi:type="xsd:double"&gt;20.837582&lt;/D&gt;&lt;D xsi:type="xsd:double"&gt;22.385906&lt;/D&gt;&lt;D xsi:type="xsd:double"&gt;23.63764&lt;/D&gt;&lt;D xsi:type="xsd:double"&gt;13.1853695&lt;/D&gt;&lt;D xsi:type="xsd:double"&gt;11.250126&lt;/D&gt;&lt;D xsi:type="xsd:double"&gt;13.993299499999999&lt;/D&gt;&lt;D xsi:type="xsd:double"&gt;7.558799&lt;/D&gt;&lt;D xsi:type="xsd:double"&gt;8.916473&lt;/D&gt;&lt;D xsi:type="xsd:double"&gt;6.7061186&lt;/D&gt;&lt;D xsi:type="xsd:double"&gt;6.676042&lt;/D&gt;&lt;D xsi:type="xsd:double"&gt;2.6582599&lt;/D&gt;&lt;D xsi:type="xsd:double"&gt;-6.0941877&lt;/D&gt;&lt;D xsi:type="xsd:double"&gt;-5.662632&lt;/D&gt;&lt;D xsi:type="xsd:double"&gt;-13.686103&lt;/D&gt;&lt;D xsi:type="xsd:double"&gt;-13.777775&lt;/D&gt;&lt;D xsi:type="xsd:double"&gt;-1.7200589&lt;/D&gt;&lt;D xsi:type="xsd:double"&gt;-0.6216824&lt;/D&gt;&lt;D xsi:type="xsd:double"&gt;-3.3001125&lt;/D&gt;&lt;D xsi:type="xsd:double"&gt;-6.491494&lt;/D&gt;&lt;D xsi:type="xsd:double"&gt;-1.8142223&lt;/D&gt;&lt;D xsi:type="xsd:double"&gt;-3.1471014&lt;/D&gt;&lt;D xsi:type="xsd:double"&gt;-7.8382134&lt;/D&gt;&lt;D xsi:type="xsd:double"&gt;-4.5010924&lt;/D&gt;&lt;D xsi:type="xsd:double"&gt;9.07197&lt;/D&gt;&lt;D xsi:type="xsd:double"&gt;8.943892&lt;/D&gt;&lt;D xsi:type="xsd:double"&gt;22.283459&lt;/D&gt;&lt;D xsi:type="xsd:double"&gt;12.031185&lt;/D&gt;&lt;D xsi:type="xsd:double"&gt;-6.1158657&lt;/D&gt;&lt;D xsi:type="xsd:double"&gt;-26.490122&lt;/D&gt;&lt;D xsi:type="xsd:double"&gt;-19.219662&lt;/D&gt;&lt;D xsi:type="xsd:double"&gt;-15.611762&lt;/D&gt;&lt;D xsi:type="xsd:double"&gt;-17.672295&lt;/D&gt;&lt;D xsi:type="xsd:double"&gt;-13.708109&lt;/D&gt;&lt;D xsi:type="xsd:double"&gt;-7.1878614&lt;/D&gt;&lt;D xsi:type="xsd:double"&gt;-15.957081&lt;/D&gt;&lt;D xsi:type="xsd:double"&gt;-22.426819&lt;/D&gt;&lt;D xsi:type="xsd:double"&gt;-9.933597&lt;/D&gt;&lt;D xsi:type="xsd:double"&gt;-10.314571&lt;/D&gt;&lt;D xsi:type="xsd:double"&gt;-9.521162&lt;/D&gt;&lt;D xsi:type="xsd:double"&gt;1.8073559&lt;/D&gt;&lt;D xsi:type="xsd:double"&gt;38.473656&lt;/D&gt;&lt;D xsi:type="xsd:double"&gt;29.770386&lt;/D&gt;&lt;D xsi:type="xsd:double"&gt;33.289337&lt;/D&gt;&lt;D xsi:type="xsd:double"&gt;30.964172&lt;/D&gt;&lt;D xsi:type="xsd:double"&gt;26.68184&lt;/D&gt;&lt;D xsi:type="xsd:double"&gt;27.846468&lt;/D&gt;&lt;D xsi:type="xsd:double"&gt;29.67596&lt;/D&gt;&lt;D xsi:type="xsd:double"&gt;41.97334&lt;/D&gt;&lt;D xsi:type="xsd:double"&gt;14.903105&lt;/D&gt;&lt;D xsi:type="xsd:double"&gt;17.198193&lt;/D&gt;&lt;D xsi:type="xsd:double"&gt;17.593801&lt;/D&gt;&lt;D xsi:type="xsd:double"&gt;15.223575&lt;/D&gt;&lt;D xsi:type="xsd:double"&gt;12.187254&lt;/D&gt;&lt;D xsi:type="xsd:double"&gt;2.7083993&lt;/D&gt;&lt;D xsi:type="xsd:double"&gt;2.42275&lt;/D&gt;&lt;D xsi:type="xsd:double"&gt;-3.6870718&lt;/D&gt;&lt;D xsi:type="xsd:double"&gt;-2.1952212&lt;/D&gt;&lt;D xsi:type="xsd:double"&gt;-6.2973022&lt;/D&gt;&lt;D xsi:type="xsd:double"&gt;-14.923609&lt;/D&gt;&lt;D xsi:type="xsd:double"&gt;-12.733757&lt;/D&gt;&lt;D xsi:type="xsd:double"&gt;0.2699852&lt;/D&gt;&lt;D xsi:type="xsd:double"&gt;-4.3402615&lt;/D&gt;&lt;D xsi:type="xsd:double"&gt;-0.34154058&lt;/D&gt;&lt;D xsi:type="xsd:double"&gt;-0.37469864&lt;/D&gt;&lt;D xsi:type="xsd:double"&gt;-2.5404513&lt;/D&gt;&lt;D xsi:type="xsd:double"&gt;8.040512&lt;/D&gt;&lt;D xsi:type="xsd:double"&gt;1.4520168&lt;/D&gt;&lt;D xsi:type="xsd:double"&gt;9.328461&lt;/D&gt;&lt;D xsi:type="xsd:double"&gt;12.898731&lt;/D&gt;&lt;D xsi:type="xsd:double"&gt;11.924911&lt;/D&gt;&lt;D xsi:type="xsd:double"&gt;25.046766&lt;/D&gt;&lt;D xsi:type="xsd:double"&gt;11.475205&lt;/D&gt;&lt;D xsi:type="xsd:double"&gt;8.110261&lt;/D&gt;&lt;D xsi:type="xsd:double"&gt;11.871648&lt;/D&gt;&lt;D xsi:type="xsd:double"&gt;4.6735406&lt;/D&gt;&lt;D xsi:type="xsd:double"&gt;5.8078885&lt;/D&gt;&lt;D xsi:type="xsd:double"&gt;13.225675&lt;/D&gt;&lt;D xsi:type="xsd:double"&gt;7.5167775&lt;/D&gt;&lt;D xsi:type="xsd:double"&gt;14.576912&lt;/D&gt;&lt;D xsi:type="xsd:double"&gt;13.799787&lt;/D&gt;&lt;D xsi:type="xsd:double"&gt;12.485802&lt;/D&gt;&lt;D xsi:type="xsd:double"&gt;21.852016&lt;/D&gt;&lt;/FQL&gt;&lt;FQL&gt;&lt;Q&gt;NI-FDS^FG_PRICE_CHANGE(0,-1AY)&lt;/Q&gt;&lt;R&gt;1&lt;/R&gt;&lt;C&gt;1&lt;/C&gt;&lt;D xsi:type="xsd:double"&gt;-17.7843281748956&lt;/D&gt;&lt;/FQL&gt;&lt;FQL&gt;&lt;Q&gt;EWN^FG_PRICE_MAVG(0,,,,30)&lt;/Q&gt;&lt;R&gt;1&lt;/R&gt;&lt;C&gt;1&lt;/C&gt;&lt;D xsi:type="xsd:double"&gt;48.986332&lt;/D&gt;&lt;/FQL&gt;&lt;FQL&gt;&lt;Q&gt;VWO^P_PRICE(0)/P_PRICE_HIGH_PR(0,,,,,,"PRICE","INTRA","52W")&lt;/Q&gt;&lt;R&gt;1&lt;/R&gt;&lt;C&gt;1&lt;/C&gt;&lt;D xsi:type="xsd:double"&gt;0.9753964&lt;/D&gt;&lt;/FQL&gt;&lt;FQL&gt;&lt;Q&gt;EWD^FG_TOTAL_RETURNC(0,-3AM)&lt;/Q&gt;&lt;R&gt;1&lt;/R&gt;&lt;C&gt;1&lt;/C&gt;&lt;D xsi:type="xsd:double"&gt;4.620385&lt;/D&gt;&lt;/FQL&gt;&lt;FQL&gt;&lt;Q&gt;SPY^FG_TOTAL_RETURNC(0,-3AM)&lt;/Q&gt;&lt;R&gt;1&lt;/R&gt;&lt;C&gt;1&lt;/C&gt;&lt;D xsi:type="xsd:double"&gt;6.472862&lt;/D&gt;&lt;/FQL&gt;&lt;FQL&gt;&lt;Q&gt;EWC^FG_TOTAL_RETURNC(0,-6AM)&lt;/Q&gt;&lt;R&gt;1&lt;/R&gt;&lt;C&gt;1&lt;/C&gt;&lt;D xsi:type="xsd:double"&gt;10.445774&lt;/D&gt;&lt;/FQL&gt;&lt;FQL&gt;&lt;Q&gt;EWQ^SIZE(FG_CONSTITUENTS)&lt;/Q&gt;&lt;R&gt;1&lt;/R&gt;&lt;C&gt;1&lt;/C&gt;&lt;D xsi:type="xsd:long"&gt;62&lt;/D&gt;&lt;/FQL&gt;&lt;FQL&gt;&lt;Q&gt;TRYJP10Y-FDS^PCTCHG(FG_YIELD(0,,,,"YTM"),FG_YIELD(-1AM,,,,"YTM"))&lt;/Q&gt;&lt;R&gt;1&lt;/R&gt;&lt;C&gt;1&lt;/C&gt;&lt;D xsi:type="xsd:double"&gt;-13.35144&lt;/D&gt;&lt;/FQL&gt;&lt;FQL&gt;&lt;Q&gt;TRYCH10Y-FDS^FG_YIELD(0,,,,"YTM")&lt;/Q&gt;&lt;R&gt;1&lt;/R&gt;&lt;C&gt;1&lt;/C&gt;&lt;D xsi:type="xsd:double"&gt;0.432&lt;/D&gt;&lt;/FQL&gt;&lt;FQL&gt;&lt;Q&gt;CC_AU^IMF_IFS_RCPI_Q(0)&lt;/Q&gt;&lt;R&gt;1&lt;/R&gt;&lt;C&gt;1&lt;/C&gt;&lt;D xsi:type="xsd:double"&gt;3.81451&lt;/D&gt;&lt;/FQL&gt;&lt;FQL&gt;&lt;Q&gt;EWD^FG_FCF_YIELD_NTM(0)&lt;/Q&gt;&lt;R&gt;1&lt;/R&gt;&lt;C&gt;1&lt;/C&gt;&lt;D xsi:type="xsd:double"&gt;5.11494579425284&lt;/D&gt;&lt;/FQL&gt;&lt;FQL&gt;&lt;Q&gt;SPY^FMA_PE(LTM,0,,,"PORTAGG","MEANR")&lt;/Q&gt;&lt;R&gt;1&lt;/R&gt;&lt;C&gt;1&lt;/C&gt;&lt;D xsi:type="xsd:double"&gt;26.0961284707948&lt;/D&gt;&lt;/FQL&gt;&lt;FQL&gt;&lt;Q&gt;EWJ^FMA_EVAL_EBIT(LTMA,NOW,NOW,M,"PORTAGG","MEANR")&lt;/Q&gt;&lt;R&gt;1&lt;/R&gt;&lt;C&gt;1&lt;/C&gt;&lt;D xsi:type="xsd:double"&gt;17.1811600131021&lt;/D&gt;&lt;/FQL&gt;&lt;FQL&gt;&lt;Q&gt;EWJ^FMA_ROE(NTMA,-20AY,NOW,FY,"PORTAGG","MEANR")&lt;/Q&gt;&lt;R&gt;20&lt;/R&gt;&lt;C&gt;1&lt;/C&gt;&lt;D xsi:type="xsd:double"&gt;9.47226395470966&lt;/D&gt;&lt;D xsi:type="xsd:double"&gt;9.71080928595139&lt;/D&gt;&lt;D xsi:type="</t>
        </r>
      </text>
    </comment>
    <comment ref="A10" authorId="0" shapeId="0" xr:uid="{14A33232-0032-4640-A3CE-B8F28913A4CB}">
      <text>
        <r>
          <rPr>
            <b/>
            <sz val="9"/>
            <color indexed="81"/>
            <rFont val="Tahoma"/>
            <charset val="1"/>
          </rPr>
          <t>xsd:double"&gt;9.94594902069009&lt;/D&gt;&lt;D xsi:type="xsd:double"&gt;9.91062584648368&lt;/D&gt;&lt;D xsi:type="xsd:double"&gt;6.32645011325218&lt;/D&gt;&lt;D xsi:type="xsd:double"&gt;5.71374560341251&lt;/D&gt;&lt;D xsi:type="xsd:double"&gt;7.77608846456594&lt;/D&gt;&lt;D xsi:type="xsd:double"&gt;7.29309511734397&lt;/D&gt;&lt;D xsi:type="xsd:double"&gt;7.60463906390222&lt;/D&gt;&lt;D xsi:type="xsd:double"&gt;8.908847583029&lt;/D&gt;&lt;D xsi:type="xsd:double"&gt;9.08038865449702&lt;/D&gt;&lt;D xsi:type="xsd:double"&gt;8.77889818317635&lt;/D&gt;&lt;D xsi:type="xsd:double"&gt;8.62096827520989&lt;/D&gt;&lt;D xsi:type="xsd:double"&gt;9.23986519100434&lt;/D&gt;&lt;D xsi:type="xsd:double"&gt;9.49570678525962&lt;/D&gt;&lt;D xsi:type="xsd:double"&gt;8.35596279152373&lt;/D&gt;&lt;D xsi:type="xsd:double"&gt;7.43859929800854&lt;/D&gt;&lt;D xsi:type="xsd:double"&gt;9.22076567390078&lt;/D&gt;&lt;D xsi:type="xsd:double"&gt;9.22544557136732&lt;/D&gt;&lt;D xsi:type="xsd:double"&gt;9.29976871138421&lt;/D&gt;&lt;/FQL&gt;&lt;FQL&gt;&lt;Q&gt;USDJPY^STD(FG_PRICE_CHANGE(0,-3AY,M))&lt;/Q&gt;&lt;R&gt;1&lt;/R&gt;&lt;C&gt;1&lt;/C&gt;&lt;D xsi:type="xsd:double"&gt;3.28220732526&lt;/D&gt;&lt;/FQL&gt;&lt;FQL&gt;&lt;Q&gt;EWL^FMA_DIV_YLD(NTMA,-10AY,0,AM,"PORTAGG","MEANR")&lt;/Q&gt;&lt;R&gt;121&lt;/R&gt;&lt;C&gt;1&lt;/C&gt;&lt;D xsi:type="xsd:double"&gt;3.32530100104957&lt;/D&gt;&lt;D xsi:type="xsd:double"&gt;3.33758239566843&lt;/D&gt;&lt;D xsi:type="xsd:double"&gt;3.37361384468172&lt;/D&gt;&lt;D xsi:type="xsd:double"&gt;3.20128607857254&lt;/D&gt;&lt;D xsi:type="xsd:double"&gt;3.2767375946586&lt;/D&gt;&lt;D xsi:type="xsd:double"&gt;3.36762278133565&lt;/D&gt;&lt;D xsi:type="xsd:double"&gt;3.15848356988339&lt;/D&gt;&lt;D xsi:type="xsd:double"&gt;3.14103229440832&lt;/D&gt;&lt;D xsi:type="xsd:double"&gt;3.09117482424065&lt;/D&gt;&lt;D xsi:type="xsd:double"&gt;3.11968017597202&lt;/D&gt;&lt;D xsi:type="xsd:double"&gt;3.25468180915561&lt;/D&gt;&lt;D xsi:type="xsd:double"&gt;3.12201934162986&lt;/D&gt;&lt;D xsi:type="xsd:double"&gt;3.32819030559926&lt;/D&gt;&lt;D xsi:type="xsd:double"&gt;3.53516565380828&lt;/D&gt;&lt;D xsi:type="xsd:double"&gt;3.26455704320683&lt;/D&gt;&lt;D xsi:type="xsd:double"&gt;3.24736124598495&lt;/D&gt;&lt;D xsi:type="xsd:double"&gt;3.23684845889407&lt;/D&gt;&lt;D xsi:type="xsd:double"&gt;3.4571379634011&lt;/D&gt;&lt;D xsi:type="xsd:double"&gt;3.54828042321088&lt;/D&gt;&lt;D xsi:type="xsd:double"&gt;3.5538669130486&lt;/D&gt;&lt;D xsi:type="xsd:double"&gt;3.50550200625508&lt;/D&gt;&lt;D xsi:type="xsd:double"&gt;3.42966137637841&lt;/D&gt;&lt;D xsi:type="xsd:double"&gt;3.57876537196987&lt;/D&gt;&lt;D xsi:type="xsd:double"&gt;3.48615151384692&lt;/D&gt;&lt;D xsi:type="xsd:double"&gt;3.47182675758284&lt;/D&gt;&lt;D xsi:type="xsd:double"&gt;3.48476947847103&lt;/D&gt;&lt;D xsi:type="xsd:double"&gt;3.61367273131737&lt;/D&gt;&lt;D xsi:type="xsd:double"&gt;3.67065751543921&lt;/D&gt;&lt;D xsi:type="xsd:double"&gt;3.5515299160489&lt;/D&gt;&lt;D xsi:type="xsd:double"&gt;3.46166022077229&lt;/D&gt;&lt;D xsi:type="xsd:double"&gt;3.3772564752183&lt;/D&gt;&lt;D xsi:type="xsd:double"&gt;3.4159388189971&lt;/D&gt;&lt;D xsi:type="xsd:double"&gt;3.35116143554805&lt;/D&gt;&lt;D xsi:type="xsd:double"&gt;3.28817822977732&lt;/D&gt;&lt;D xsi:type="xsd:double"&gt;3.27724962432943&lt;/D&gt;&lt;D xsi:type="xsd:double"&gt;3.29146711236547&lt;/D&gt;&lt;D xsi:type="xsd:double"&gt;3.35102835015999&lt;/D&gt;&lt;D xsi:type="xsd:double"&gt;3.26883982541692&lt;/D&gt;&lt;D xsi:type="xsd:double"&gt;3.26644535953982&lt;/D&gt;&lt;D xsi:type="xsd:double"&gt;3.23851253772421&lt;/D&gt;&lt;D xsi:type="xsd:double"&gt;3.21930724944088&lt;/D&gt;&lt;D xsi:type="xsd:double"&gt;3.16619765886904&lt;/D&gt;&lt;D xsi:type="xsd:double"&gt;3.40401769292851&lt;/D&gt;&lt;D xsi:type="xsd:double"&gt;3.49854681834639&lt;/D&gt;&lt;D xsi:type="xsd:double"&gt;3.47180095515981&lt;/D&gt;&lt;D xsi:type="xsd:double"&gt;3.5440530456081&lt;/D&gt;&lt;D xsi:type="xsd:double"&gt;3.5660646339402&lt;/D&gt;&lt;D xsi:type="xsd:double"&gt;3.36141438105834&lt;/D&gt;&lt;D xsi:type="xsd:double"&gt;3.39083745103237&lt;/D&gt;&lt;D xsi:type="xsd:double"&gt;3.40547656696375&lt;/D&gt;&lt;D xsi:type="xsd:double"&gt;3.59423160036587&lt;/D&gt;&lt;D xsi:type="xsd:double"&gt;3.51687501845188&lt;/D&gt;&lt;D xsi:type="xsd:double"&gt;3.70017693287683&lt;/D&gt;&lt;D xsi:type="xsd:double"&gt;3.48455263504756&lt;/D&gt;&lt;D xsi:type="xsd:double"&gt;3.33618169851596&lt;/D&gt;&lt;D xsi:type="xsd:double"&gt;3.32452480499752&lt;/D&gt;&lt;D xsi:type="xsd:double"&gt;3.25364139928345&lt;/D&gt;&lt;D xsi:type="xsd:double"&gt;3.34394352440257&lt;/D&gt;&lt;D xsi:type="xsd:double"&gt;3.20945601946695&lt;/D&gt;&lt;D xsi:type="xsd:double"&gt;3.2115890050262&lt;/D&gt;&lt;D xsi:type="xsd:double"&gt;3.24884662076499&lt;/D&gt;&lt;D xsi:type="xsd:double"&gt;3.20600759257504&lt;/D&gt;&lt;D xsi:type="xsd:double"&gt;3.15571583102478&lt;/D&gt;&lt;D xsi:type="xsd:double"&gt;3.09756733932483&lt;/D&gt;&lt;D xsi:type="xsd:double"&gt;3.01744949160882&lt;/D&gt;&lt;D xsi:type="xsd:double"&gt;2.97803094012175&lt;/D&gt;&lt;D xsi:type="xsd:double"&gt;3.30262117982551&lt;/D&gt;&lt;D xsi:type="xsd:double"&gt;3.60339583344938&lt;/D&gt;&lt;D xsi:type="xsd:double"&gt;3.216132913106&lt;/D&gt;&lt;D xsi:type="xsd:double"&gt;3.16019848697846&lt;/D&gt;&lt;D xsi:type="xsd:double"&gt;3.08997732847329&lt;/D&gt;&lt;D xsi:type="xsd:double"&gt;2.94878577645623&lt;/D&gt;&lt;D xsi:type="xsd:double"&gt;2.94859169797465&lt;/D&gt;&lt;D xsi:type="xsd:double"&gt;2.96764160738653&lt;/D&gt;&lt;D xsi:type="xsd:double"&gt;3.1626143277898&lt;/D&gt;&lt;D xsi:type="xsd:double"&gt;2.88257072408931&lt;/D&gt;&lt;D xsi:type="xsd:double"&gt;2.82250726212148&lt;/D&gt;&lt;D xsi:type="xsd:double"&gt;2.88706632338615&lt;/D&gt;&lt;D xsi:type="xsd:double"&gt;2.91272826287135&lt;/D&gt;&lt;D xsi:type="xsd:double"&gt;2.80313555779613&lt;/D&gt;&lt;D xsi:type="xsd:double"&gt;2.75890126445856&lt;/D&gt;&lt;D xsi:type="xsd:double"&gt;2.70348796377062&lt;/D&gt;&lt;D xsi:type="xsd:double"&gt;2.61317597348044&lt;/D&gt;&lt;D xsi:type="xsd:double"&gt;2.60051277505695&lt;/D&gt;&lt;D xsi:type="xsd:double"&gt;2.55371204875654&lt;/D&gt;&lt;D xsi:type="xsd:double"&gt;2.77007761849418&lt;/D&gt;&lt;D xsi:type="xsd:double"&gt;2.64988636229782&lt;/D&gt;&lt;D xsi:type="xsd:double"&gt;2.66566292992914&lt;/D&gt;&lt;D xsi:type="xsd:double"&gt;2.518180608054&lt;/D&gt;&lt;D xsi:type="xsd:double"&gt;2.74894172037043&lt;/D&gt;&lt;D xsi:type="xsd:double"&gt;2.79973645000499&lt;/D&gt;&lt;D xsi:type="xsd:double"&gt;2.7489529858745&lt;/D&gt;&lt;D xsi:type="xsd:double"&gt;2.84152955009802&lt;/D&gt;&lt;D xsi:type="xsd:double"&gt;2.94755010738307&lt;/D&gt;&lt;D xsi:type="xsd:double"&gt;3.17367943316107&lt;/D&gt;&lt;D xsi:type="xsd:double"&gt;3.05767462958791&lt;/D&gt;&lt;D xsi:type="xsd:double"&gt;3.18602444998537&lt;/D&gt;&lt;D xsi:type="xsd:double"&gt;3.47279460316976&lt;/D&gt;&lt;D xsi:type="xsd:double"&gt;3.29245694869363&lt;/D&gt;&lt;D xsi:type="xsd:double"&gt;3.1446089189557&lt;/D&gt;&lt;D xsi:type="xsd:double"&gt;3.19849997513639&lt;/D&gt;&lt;D xsi:type="xsd:double"&gt;3.05170334571279&lt;/D&gt;&lt;D xsi:type="xsd:double"&gt;3.13212059946089&lt;/D&gt;&lt;D xsi:type="xsd:double"&gt;3.20532383921204&lt;/D&gt;&lt;D xsi:type="xsd:double"&gt;3.06914292279134&lt;/D&gt;&lt;D xsi:type="xsd:double"&gt;3.11780046690485&lt;/D&gt;&lt;D xsi:type="xsd:double"&gt;3.20059169146379&lt;/D&gt;&lt;D xsi:type="xsd:double"&gt;3.12831467558551&lt;/D&gt;&lt;D xsi:type="xsd:double"&gt;3.22882462848249&lt;/D&gt;&lt;D xsi:type="xsd:double"&gt;3.35482479377067&lt;/D&gt;&lt;D xsi:type="xsd:double"&gt;3.5669739322742&lt;/D&gt;&lt;D xsi:type="xsd:double"&gt;3.3860360323139&lt;/D&gt;&lt;D xsi:type="xsd:double"&gt;3.27188692633068&lt;/D&gt;&lt;D xsi:type="xsd:double"&gt;3.25881738932339&lt;/D&gt;&lt;D xsi:type="xsd:double"&gt;3.30363572883904&lt;/D&gt;&lt;D xsi:type="xsd:double"&gt;3.2623862770419&lt;/D&gt;&lt;D xsi:type="xsd:double"&gt;3.38103826524166&lt;/D&gt;&lt;D xsi:type="xsd:double"&gt;3.2698686700364&lt;/D&gt;&lt;D xsi:type="xsd:double"&gt;3.23833990452955&lt;/D&gt;&lt;D xsi:type="xsd:double"&gt;3.17394192037579&lt;/D&gt;&lt;D xsi:type="xsd:double"&gt;3.10415949679511&lt;/D&gt;&lt;/FQL&gt;&lt;FQL&gt;&lt;Q&gt;EWC^FMA_PE(LTMA,-10AY,0,AM,"PORTAGG","MEANR")&lt;/Q&gt;&lt;R&gt;121&lt;/R&gt;&lt;C&gt;1&lt;/C&gt;&lt;D xsi:type="xsd:double"&gt;16.4896600252732&lt;/D&gt;&lt;D xsi:type="xsd:double"&gt;15.924991418636&lt;/D&gt;&lt;D xsi:type="xsd:double"&gt;15.6194617362458&lt;/D&gt;&lt;D xsi:type="xsd:double"&gt;15.7189486163917&lt;/D&gt;&lt;D xsi:type="xsd:double"&gt;15.6551400912254&lt;/D&gt;&lt;D xsi:type="xsd:double"&gt;15.7348971903101&lt;/D&gt;&lt;D xsi:type="xsd:double"&gt;17.0329169622469&lt;/D&gt;&lt;D xsi:type="xsd:double"&gt;17.0235714352198&lt;/D&gt;&lt;D xsi:type="xsd:double"&gt;17.3451494840462&lt;/D&gt;&lt;D xsi:type="xsd:double"&gt;17.1912616787092&lt;/D&gt;&lt;D xsi:type="xsd:double"&gt;16.9963899848439&lt;/D&gt;&lt;D xsi:type="xsd:double"&gt;16.8745200996888&lt;/D&gt;&lt;D xsi:type="xsd:double"&gt;16.6395060560288&lt;/D&gt;&lt;D xsi:type="xsd:double"&gt;16.0687087312842&lt;/D&gt;&lt;D xsi:type="xsd:double"&gt;16.9065966592196&lt;/D&gt;&lt;D xsi:type="xsd:double"&gt;16.6279639159919&lt;/D&gt;&lt;D xsi:type="xsd:double"&gt;16.468944508956&lt;/D&gt;&lt;D xsi:type="xsd:double"&gt;15.5883753476423&lt;/D&gt;&lt;D xsi:type="xsd:double"&gt;15.7408114629064&lt;/D&gt;&lt;D xsi:type="xsd:double"&gt;15.994335335287&lt;/D&gt;&lt;D xsi:type="xsd:double"&gt;16.4169682941824&lt;/D&gt;&lt;D xsi:type="xsd:double"&gt;16.6508315628322&lt;/D&gt;&lt;D xsi:type="xsd:double"&gt;16.7752080357024&lt;/D&gt;&lt;D xsi:type="xsd:double"&gt;17.2074508805517&lt;/D&gt;&lt;D xsi:type="xsd:double"&gt;17.5418761829945&lt;/D&gt;&lt;D xsi:type="xsd:double"&gt;17.8917527785756&lt;/D&gt;&lt;D xsi:type="xsd:double"&gt;18.1845228225861&lt;/D&gt;&lt;D xsi:type="xsd:double"&gt;18.7201934728063&lt;/D&gt;&lt;D xsi:type="xsd:double"&gt;19.4573423664621&lt;/D&gt;&lt;D xsi:type="xsd:double"&gt;19.8875178302108&lt;/D&gt;&lt;D xsi:type="xsd:double"&gt;19.3935176217041&lt;/D&gt;&lt;D xsi:type="xsd:double"&gt;19.1638925815045&lt;/D&gt;&lt;D xsi:type="xsd:double"&gt;18.8062020102816&lt;/D&gt;&lt;D xsi:type="xsd:double"&gt;18.5828981091768&lt;/D&gt;&lt;D xsi:type="xsd:double"&gt;18.0729866663529&lt;/D&gt;&lt;D xsi:type="xsd:double"&gt;17.9837102668751&lt;/D&gt;&lt;D xsi:type="xsd:double"&gt;17.5983992151104&lt;/D&gt;&lt;D xsi:type="xsd:double"&gt;17.6540699516057&lt;/D&gt;&lt;D xsi:type="xsd:double"&gt;17.5730762582819&lt;/D&gt;&lt;D xsi:type="xsd:double"&gt;17.1944836866206&lt;/D&gt;&lt;D xsi:type="xsd:double"&gt;17.2069151729046&lt;/D&gt;&lt;D xsi:type="xsd:double"&gt;16.9594510542672&lt;/D&gt;&lt;D xsi:type="xsd:double"&gt;15.8440303406712&lt;/D&gt;&lt;D xsi:type="xsd:double"&gt;15.6942942467633&lt;/D&gt;&lt;D xsi:type="xsd:double"&gt;15.6307439403457&lt;/D&gt;&lt;D xsi:type="xsd:double"&gt;15.4324112241232&lt;/D&gt;&lt;D xsi:type="xsd:double"&gt;15.4956522413703&lt;/D&gt;&lt;D xsi:type="xsd:double"&gt;15.5014086612429&lt;/D&gt;&lt;D xsi:type="xsd:double"&gt;15.3370320252058&lt;/D&gt;&lt;D xsi:type="xsd:double"&gt;15.03811676012&lt;/D&gt;&lt;D xsi:type="xsd:double"&gt;13.9183815133443&lt;/D&gt;&lt;D xsi:type="xsd:double"&gt;14.0584253480958&lt;/D&gt;&lt;D xsi:type="xsd:double"&gt;13.1506051245164&lt;/D&gt;&lt;D xsi:type="xsd:double"&gt;14.4850562718873&lt;/D&gt;&lt;D xsi:type="xsd:double"&gt;14.7252061834248&lt;/D&gt;&lt;D xsi:type="xsd:double"&gt;14.7083814108673&lt;/D&gt;&lt;D xsi:type="xsd:double"&gt;14.6523541362338&lt;/D&gt;&lt;D xsi:type="xsd:double"&gt;14.4162919571714&lt;/D&gt;&lt;D xsi:type="xsd:double"&gt;14.4933225115679&lt;/D&gt;&lt;D xsi:type="xsd:double"&gt;14.5144473317687&lt;/D&gt;&lt;D xsi:type="xsd:double"&gt;14.4218130030175&lt;/D&gt;&lt;D xsi:type="xsd:double"&gt;14.6756535592106&lt;/D&gt;&lt;D xsi:type="xsd:double"&gt;14.7030382006761&lt;/D&gt;&lt;D xsi:type="xsd:double"&gt;15.1019996324581&lt;/D&gt;&lt;D xsi:type="xsd:double"&gt;15.3465759618884&lt;/D&gt;&lt;D xsi:type="xsd:double"&gt;15.5810708098276&lt;/D&gt;&lt;D xsi:type="xsd:double"&gt;14.3479619341519&lt;/D&gt;&lt;D xsi:type="xsd:double"&gt;14.0306383280526&lt;/D&gt;&lt;D xsi:type="xsd:double"&gt;15.7410780810271&lt;/D&gt;&lt;D xsi:type="xsd:double"&gt;17.204524579097&lt;/D&gt;&lt;D xsi:type="xsd:double"&gt;17.2879474690113&lt;/D&gt;&lt;D xsi:type="xsd:double"&gt;17.9460114549109&lt;/D&gt;&lt;D xsi:type="xsd:double"&gt;18.3957894377478&lt;/D&gt;&lt;D xsi:type="xsd:double"&gt;18.354516773248&lt;/D&gt;&lt;D xsi:type="xsd:double"&gt;18.0598721058882&lt;/D&gt;&lt;D xsi:type="xsd:double"&gt;19.9683346390638&lt;/D&gt;&lt;D xsi:type="xsd:double"&gt;20.4843925873203&lt;/D&gt;&lt;D xsi:type="xsd:double"&gt;20.1128469764759&lt;/D&gt;&lt;D xsi:type="xsd:double"&gt;19.9904739717302&lt;/D&gt;&lt;D xsi:type="xsd:double"&gt;19.5972303493167&lt;/D&gt;&lt;D xsi:type="xsd:double"&gt;19.2868840082329&lt;/D&gt;&lt;D xsi:type="xsd:double"&gt;18.835578146848&lt;/D&gt;&lt;D xsi:type="xsd:double"&gt;18.4734226766652&lt;/D&gt;&lt;D xsi:type="xsd:double"&gt;17.8507865424943&lt;/D&gt;&lt;D xsi:type="xsd:double"&gt;17.2698509779197&lt;/D&gt;&lt;D xsi:type="xsd:double"&gt;16.4351220158601&lt;/D&gt;&lt;D xsi:type="xsd:double"&gt;16.6269099007365&lt;/D&gt;&lt;D xsi:type="xsd:double"&gt;15.8983986125119&lt;/D&gt;&lt;D xsi:type="xsd:double"&gt;15.5109070736185&lt;/D&gt;&lt;D xsi:type="xsd:double"&gt;15.0163361401331&lt;/D&gt;&lt;D xsi:type="xsd:double"&gt;15.2489708409917&lt;/D&gt;&lt;D xsi:type="xsd:double"&gt;15.0925888368124&lt;/D&gt;&lt;D xsi:type="xsd:double"&gt;14.6000199213932&lt;/D&gt;&lt;D xsi:type="xsd:double"&gt;14.3362577197463&lt;/D&gt;&lt;D xsi:type="xsd:double"&gt;13.5079109507469&lt;/D&gt;&lt;D xsi:type="xsd:double"&gt;13.359082815033&lt;/D&gt;&lt;D xsi:type="xsd:double"&gt;13.0411276007626&lt;/D&gt;&lt;D xsi:type="xsd:double"&gt;12.1836645984848&lt;/D&gt;&lt;D xsi:type="xsd:double"&gt;12.5532228767837&lt;/D&gt;&lt;D xsi:type="xsd:double"&gt;12.6796852476804&lt;/D&gt;&lt;D xsi:type="xsd:double"&gt;12.1232651471646&lt;/D&gt;&lt;D xsi:type="xsd:double"&gt;12.8868905579343&lt;/D&gt;&lt;D xsi:type="xsd:double"&gt;12.5722768144174&lt;/D&gt;&lt;D xsi:type="xsd:double"&gt;12.5942592166376&lt;/D&gt;&lt;D xsi:type="xsd:double"&gt;12.8217551200811&lt;/D&gt;&lt;D xsi:type="xsd:double"&gt;12.8251301945017&lt;/D&gt;&lt;D xsi:type="xsd:double"&gt;12.9557909809665&lt;/D&gt;&lt;D xsi:type="xsd:double"&gt;13.519238728193&lt;/D&gt;&lt;D xsi:type="xsd:double"&gt;13.4858594709275&lt;/D&gt;&lt;D xsi:type="xsd:double"&gt;13.3014635846757&lt;/D&gt;&lt;D xsi:type="xsd:double"&gt;12.9051369837269&lt;/D&gt;&lt;D xsi:type="xsd:double"&gt;13.7910864903529&lt;/D&gt;&lt;D xsi:type="xsd:double"&gt;14.6107523943959&lt;/D&gt;&lt;D xsi:type="xsd:double"&gt;14.7647654328629&lt;/D&gt;&lt;D xsi:type="xsd:double"&gt;14.8629546203225&lt;/D&gt;&lt;D xsi:type="xsd:double"&gt;14.9675013510465&lt;/D&gt;&lt;D xsi:type="xsd:double"&gt;14.9068101070035&lt;/D&gt;&lt;D xsi:type="xsd:double"&gt;14.8620087587734&lt;/D&gt;&lt;D xsi:type="xsd:double"&gt;14.8184995529433&lt;/D&gt;&lt;D xsi:type="xsd:double"&gt;15.1690529986033&lt;/D&gt;&lt;D xsi:type="xsd:double"&gt;15.3777406136285&lt;/D&gt;&lt;/FQL&gt;&lt;FQL&gt;&lt;Q&gt;NI-FDS^FG_PRICE_CHANGE(0,-3AM)&lt;/Q&gt;&lt;R&gt;1&lt;/R&gt;&lt;C&gt;1&lt;/C&gt;&lt;D xsi:type="xsd:double"&gt;-17.3784250802271&lt;/D&gt;&lt;/FQL&gt;&lt;FQL&gt;&lt;Q&gt;W-FDS^FG_PRICE_MAVG(0,,,,30)&lt;/Q&gt;&lt;R&gt;1&lt;/R&gt;&lt;C&gt;1&lt;/C&gt;&lt;D xsi:type="xsd:double"&gt;5.2980833&lt;/D&gt;&lt;/FQL&gt;&lt;FQL&gt;&lt;Q&gt;EWC^FG_PRICE_MAVG(0,,,,200)&lt;/Q&gt;&lt;R&gt;1&lt;/R&gt;&lt;C&gt;1&lt;/C&gt;&lt;D xsi:type="xsd:double"&gt;37.15445&lt;/D&gt;&lt;/FQL&gt;&lt;FQL&gt;&lt;Q&gt;EWL^FG_TOTAL_RETURNC(0,-6AM)&lt;/Q&gt;&lt;R&gt;1&lt;/R&gt;&lt;C&gt;1&lt;/C&gt;&lt;D xsi:type="xsd:double"&gt;15.094364&lt;/D&gt;&lt;/FQL&gt;&lt;FQL&gt;&lt;Q&gt;EWA^FMA_COS_DOWN("EPS","1M",+1,0,,,"PORTAGG","MEANR")&lt;/Q&gt;&lt;R&gt;1&lt;/R&gt;&lt;C&gt;1&lt;/C&gt;&lt;D xsi:type="xsd:double"&gt;35&lt;/D&gt;&lt;/FQL&gt;&lt;FQL&gt;&lt;Q&gt;EWG^FMA_RBICS_REV_CURRENT(30, LOC, "PORTAGG")&lt;/Q&gt;&lt;R&gt;1&lt;/R&gt;&lt;C&gt;1&lt;/C&gt;&lt;D xsi:type="xsd:double"&gt;22.7047771550907&lt;/D&gt;&lt;/FQL&gt;&lt;FQL&gt;&lt;Q&gt;TRYGR10Y-FDS^FG_YIELD(-10AY,0,Y,,"YTM")&lt;/Q&gt;&lt;R&gt;10&lt;/R&gt;&lt;C&gt;1&lt;/C&gt;&lt;D xsi:type="xsd:double"&gt;9.61&lt;/D&gt;&lt;D xsi:type="xsd:double"&gt;8.24&lt;/D&gt;&lt;D xsi:type="xsd:double"&gt;7.15&lt;/D&gt;&lt;D xsi:type="xsd:double"&gt;4.14&lt;/D&gt;&lt;D xsi:type="xsd:double"&gt;4.37&lt;/D&gt;&lt;D xsi:type="xsd:double"&gt;1.45&lt;/D&gt;&lt;D xsi:type="xsd:double"&gt;0.618&lt;/D&gt;&lt;D xsi:type="xsd:double"&gt;1.315&lt;/D&gt;&lt;D xsi:type="xsd:double"&gt;4.585&lt;/D&gt;&lt;D xsi:type="xsd:double"&gt;3.099&lt;/D&gt;&lt;/FQL&gt;&lt;FQL&gt;&lt;Q&gt;USDNZD^STD(FG_PRICE_CHANGE(0,-1AY,AM))&lt;/Q&gt;&lt;R&gt;1&lt;/R&gt;&lt;C&gt;1&lt;/C&gt;&lt;D xsi:type="xsd:double"&gt;3.41394493804209&lt;/D&gt;&lt;/FQL&gt;&lt;FQL&gt;&lt;Q&gt;EWJ^P_PRICE_RETURNS_PR('52W',2,-10AY,0,AM)&lt;/Q&gt;&lt;R&gt;121&lt;/R&gt;&lt;C&gt;1&lt;/C&gt;&lt;D xsi:type="xsd:double"&gt;7.9221606&lt;/D&gt;&lt;D xsi:type="xsd:double"&gt;-0.09035468&lt;/D&gt;&lt;D xsi:type="xsd:double"&gt;-3.4013927&lt;/D&gt;&lt;D xsi:type="xsd:double"&gt;-2.3529649&lt;/D&gt;&lt;D xsi:type="xsd:double"&gt;-3.5297215&lt;/D&gt;&lt;D xsi:type="xsd:double"&gt;1.8870234&lt;/D&gt;&lt;D xsi:type="xsd:double"&gt;8.291769&lt;/D&gt;&lt;D xsi:type="xsd:double"&gt;15.009367&lt;/D&gt;&lt;D xsi:type="xsd:double"&gt;20.329021&lt;/D&gt;&lt;D xsi:type="xsd:double"&gt;14.33078&lt;/D&gt;&lt;D xsi:type="xsd:double"&gt;7.5937986&lt;/D&gt;&lt;D xsi:type="xsd:double"&gt;6.4124346&lt;/D&gt;&lt;D xsi:type="xsd:double"&gt;5.28692&lt;/D&gt;&lt;D xsi:type="xsd:double"&gt;-4.4540644&lt;/D&gt;&lt;D xsi:type="xsd:double"&gt;9.786677&lt;/D&gt;&lt;D xsi:type="xsd:double"&gt;8.205628&lt;/D&gt;&lt;D xsi:type="xsd:double"&gt;8.935106&lt;/D&gt;&lt;D xsi:type="xsd:double"&gt;-0.4092157&lt;/D&gt;&lt;D xsi:type="xsd:double"&gt;-10.731804&lt;/D&gt;&lt;D xsi:type="xsd:double"&gt;-7.432103&lt;/D&gt;&lt;D xsi:type="xsd:double"&gt;-12.41535&lt;/D&gt;&lt;D xsi:type="xsd:double"&gt;-10.306263&lt;/D&gt;&lt;D xsi:type="xsd:double"&gt;-7.63008&lt;/D&gt;&lt;D xsi:type="xsd:double"&gt;-4.416937&lt;/D&gt;&lt;D xsi:type="xsd:double"&gt;1.1149049&lt;/D&gt;&lt;D xsi:type="xsd:double"&gt;13.957346&lt;/D&gt;&lt;D xsi:type="xsd:double"&gt;2.3382068&lt;/D&gt;&lt;D xsi:type="xsd:double"&gt;1.628983&lt;/D&gt;&lt;D xsi:type="xsd:double"&gt;1.2301326&lt;/D&gt;&lt;D xsi:type="xsd:double"&gt;15.598226&lt;/D&gt;&lt;D xsi:type="xsd:double"&gt;18.088018&lt;/D&gt;&lt;D xsi:type="xsd:double"&gt;14.481711&lt;/D&gt;&lt;D xsi:type="xsd:double"&gt;14.766895&lt;/D&gt;&lt;D xsi:type="xsd:double"&gt;15.581142&lt;/D&gt;&lt;D xsi:type="xsd:double"&gt;17.339718&lt;/D&gt;&lt;D xsi:type="xsd:double"&gt;17.248703&lt;/D&gt;&lt;D xsi:type="xsd:double"&gt;12.767029&lt;/D&gt;&lt;D xsi:type="xsd:double"&gt;12.911022&lt;/D&gt;&lt;D xsi:type="xsd:double"&gt;18.027664&lt;/D&gt;&lt;D xsi:type="xsd:double"&gt;21.957243&lt;/D&gt;&lt;D xsi:type="xsd:double"&gt;24.223019&lt;/D&gt;&lt;D xsi:type="xsd:double"&gt;27.809275&lt;/D&gt;&lt;D xsi:type="xsd:double"&gt;20.779312&lt;/D&gt;&lt;D xsi:type="xsd:double"&gt;17.620241&lt;/D&gt;&lt;D xsi:type="xsd:double"&gt;18.175816&lt;/D&gt;&lt;D xsi:type="xsd:double"&gt;13.797617&lt;/D&gt;&lt;D xsi:type="xsd:double"&gt;9.883261&lt;/D&gt;&lt;D xsi:type="xsd:double"&gt;10.798883&lt;/D&gt;&lt;D xsi:type="xsd:double"&gt;9.304607&lt;/D&gt;&lt;D xsi:type="xsd:double"&gt;9.709907&lt;/D&gt;&lt;D xsi:type="xsd:double"&gt;-7.1382523&lt;/D&gt;&lt;D xsi:type="xsd:double"&gt;-6.27172&lt;/D&gt;&lt;D xsi:type="xsd:double"&gt;-13.783664&lt;/D&gt;&lt;D xsi:type="xsd:double"&gt;-15.130335&lt;/D&gt;&lt;D xsi:type="xsd:double"&gt;-9.594506&lt;/D&gt;&lt;D xsi:type="xsd:double"&gt;-8.410894&lt;/D&gt;&lt;D xsi:type="xsd:double"&gt;-7.057667&lt;/D&gt;&lt;D xsi:type="xsd:double"&gt;-9.793848&lt;/D&gt;&lt;D xsi:type="xsd:double"&gt;-4.470372&lt;/D&gt;&lt;D xsi:type="xsd:double"&gt;-6.33449&lt;/D&gt;&lt;D xsi:type="xsd:double"&gt;-6.582326&lt;/D&gt;&lt;D xsi:type="xsd:double"&gt;-4.830432&lt;/D&gt;&lt;D xsi:type="xsd:double"&gt;11.275757&lt;/D&gt;&lt;D xsi:type="xsd:double"&gt;9.304941&lt;/D&gt;&lt;D xsi:type="xsd:double"&gt;19.942701&lt;/D&gt;&lt;D xsi:type="xsd:double"&gt;12.034882&lt;/D&gt;&lt;D xsi:type="xsd:double"&gt;-0.5233705&lt;/D&gt;&lt;D xsi:type="xsd:double"&gt;-6.3652396&lt;/D&gt;&lt;D xsi:type="xsd:double"&gt;-2.22615&lt;/D&gt;&lt;D xsi:type="xsd:double"&gt;6.648636&lt;/D&gt;&lt;D xsi:type="xsd:double"&gt;3.6807299&lt;/D&gt;&lt;D xsi:type="xsd:double"&gt;5.5018783&lt;/D&gt;&lt;D xsi:type="xsd:double"&gt;11.038613&lt;/D&gt;&lt;D xsi:type="xsd:double"&gt;7.506907&lt;/D&gt;&lt;D xsi:type="xsd:double"&gt;2.1208644&lt;/D&gt;&lt;D xsi:type="xsd:double"&gt;12.5897045&lt;/D&gt;&lt;D xsi:type="xsd:double"&gt;14.343107&lt;/D&gt;&lt;D xsi:type="xsd:double"&gt;15.311586&lt;/D&gt;&lt;D xsi:type="xsd:double"&gt;25.749361&lt;/D&gt;&lt;D xsi:type="xsd:double"&gt;40.54203&lt;/D&gt;&lt;D xsi:type="xsd:double"&gt;29.279495&lt;/D&gt;&lt;D xsi:type="xsd:double"&gt;24.195969&lt;/D&gt;&lt;D xsi:type="xsd:double"&gt;24.296497&lt;/D&gt;&lt;D xsi:type="xsd:double"&gt;21.186602&lt;/D&gt;&lt;D xsi:type="xsd:double"&gt;19.22307&lt;/D&gt;&lt;D xsi:type="xsd:double"&gt;20.596838&lt;/D&gt;&lt;D xsi:type="xsd:double"&gt;18.081356&lt;/D&gt;&lt;D xsi:type="xsd:double"&gt;2.5335193&lt;/D&gt;&lt;D xsi:type="xsd:double"&gt;1.7379522&lt;/D&gt;&lt;D xsi:type="xsd:double"&gt;-6.414562&lt;/D&gt;&lt;D xsi:type="xsd:double"&gt;-5.8284817&lt;/D&gt;&lt;D xsi:type="xsd:double"&gt;-7.6977134&lt;/D&gt;&lt;D xsi:type="xsd:double"&gt;-15.060425&lt;/D&gt;&lt;D xsi:type="xsd:double"&gt;-12.774981&lt;/D&gt;&lt;D xsi:type="xsd:double"&gt;-20.60858&lt;/D&gt;&lt;D xsi:type="xsd:double"&gt;-15.324754&lt;/D&gt;&lt;D xsi:type="xsd:double"&gt;-19.06687&lt;/D&gt;&lt;D xsi:type="xsd:double"&gt;-29.000748&lt;/D&gt;&lt;D xsi:type="xsd:double"&gt;-24.896324&lt;/D&gt;&lt;D xsi:type="xsd:double"&gt;-15.904867&lt;/D&gt;&lt;D xsi:type="xsd:double"&gt;-17.24301&lt;/D&gt;&lt;D xsi:type="xsd:double"&gt;-4.77131&lt;/D&gt;&lt;D xsi:type="xsd:double"&gt;-10.052729&lt;/D&gt;&lt;D xsi:type="xsd:double"&gt;-7.324493&lt;/D&gt;&lt;D xsi:type="xsd:double"&gt;3.922677&lt;/D&gt;&lt;D xsi:type="xsd:double"&gt;5.146837&lt;/D&gt;&lt;D xsi:type="xsd:double"&gt;17.334938&lt;/D&gt;&lt;D xsi:type="xsd:double"&gt;15.571224&lt;/D&gt;&lt;D xsi:type="xsd:double"&gt;14.4333&lt;/D&gt;&lt;D xsi:type="xsd:double"&gt;23.529387&lt;/D&gt;&lt;D xsi:type="xsd:double"&gt;17.301727&lt;/D&gt;&lt;D xsi:type="xsd:double"&gt;14.279806&lt;/D&gt;&lt;D xsi:type="xsd:double"&gt;19.378971&lt;/D&gt;&lt;D xsi:type="xsd:double"&gt;14.886761&lt;/D&gt;&lt;D xsi:type="xsd:double"&gt;26.187157&lt;/D&gt;&lt;D xsi:type="xsd:double"&gt;26.746368&lt;/D&gt;&lt;D xsi:type="xsd:double"&gt;17.572653&lt;/D&gt;&lt;D xsi:type="xsd:double"&gt;14.363527&lt;/D&gt;&lt;D xsi:type="xsd:double"&gt;12.77746&lt;/D&gt;&lt;D xsi:type="xsd:double"&gt;10.42738&lt;/D&gt;&lt;D xsi:type="xsd:double"&gt;19.624472&lt;/D&gt;&lt;/FQL&gt;&lt;FQL&gt;&lt;Q&gt;BRENT-FDS^FG_PRICE_CHANGE(0,-6AM)&lt;/Q&gt;&lt;R&gt;1&lt;/R&gt;&lt;C&gt;1&lt;/C&gt;&lt;D xsi:type="xsd:double"&gt;0&lt;/D&gt;&lt;/FQL&gt;&lt;FQL&gt;&lt;Q&gt;EWN^FG_PRICE(0)&lt;/Q&gt;&lt;R&gt;1&lt;/R&gt;&lt;C&gt;1&lt;/C&gt;&lt;D xsi:type="xsd:double"&gt;50.49&lt;/D&gt;&lt;/FQL&gt;&lt;FQL&gt;&lt;Q&gt;EWD^FG_TOTAL_RETURNC(0,-1AM)&lt;/Q&gt;&lt;R&gt;1&lt;/R&gt;&lt;C&gt;1&lt;/C&gt;&lt;D xsi:type="xsd:double"&gt;6.2642097&lt;/D&gt;&lt;/FQL&gt;&lt;FQL&gt;&lt;Q&gt;SPY^PERCENT_CHANGE(FMA_EPS(+1,0,,,,"PORTAGG","MEAN"),FMA_EPS(+1,-3AM,,,,"PORTAGG","MEAN"))&lt;/Q&gt;&lt;R&gt;1&lt;/R&gt;&lt;C&gt;1&lt;/C&gt;&lt;D xsi:type="xsd:double"&gt;-0.927417656437951&lt;/D&gt;&lt;/FQL&gt;&lt;FQL&gt;&lt;Q&gt;EWC^FG_TOTAL_RETURNC(0,-3AM)&lt;/Q&gt;&lt;R&gt;1&lt;/R&gt;&lt;C&gt;1&lt;/C&gt;&lt;D xsi:type="xsd:double"&gt;8.847248&lt;/D&gt;&lt;/FQL&gt;&lt;FQL&gt;&lt;Q&gt;SPY^SIZE(FG_CONSTITUENTS)&lt;/Q&gt;&lt;R&gt;1&lt;/R&gt;&lt;C&gt;1&lt;/C&gt;&lt;D xsi:type="xsd:long"&gt;503&lt;/D&gt;&lt;/FQL&gt;&lt;FQL&gt;&lt;Q&gt;EWQ^FMA_COS_DOWN("EPS","1M",+1,0,,,"PORTAGG","MEANR")&lt;/Q&gt;&lt;R&gt;1&lt;/R&gt;&lt;C&gt;1&lt;/C&gt;&lt;D xsi:type="xsd:double"&gt;24&lt;/D&gt;&lt;/FQL&gt;&lt;FQL&gt;&lt;Q&gt;REFAUCASH-FDS^FG_YIELD(NOW,,,0)&lt;/Q&gt;&lt;R&gt;1&lt;/R&gt;&lt;C&gt;1&lt;/C&gt;&lt;D xsi:type="xsd:double"&gt;4.35&lt;/D&gt;&lt;/FQL&gt;&lt;FQL&gt;&lt;Q&gt;CC_NZ^IMF_IFS_RCPI_Q(0)&lt;/Q&gt;&lt;R&gt;1&lt;/R&gt;&lt;C&gt;1&lt;/C&gt;&lt;D xsi:type="xsd:double"&gt;3.330626&lt;/D&gt;&lt;/FQL&gt;&lt;FQL&gt;&lt;Q&gt;EWD^FMA_DIV_YLD(NTMA,NOW,NOW,M,"PORTAGG","MEANR")&lt;/Q&gt;&lt;R&gt;1&lt;/R&gt;&lt;C&gt;1&lt;/C&gt;&lt;D xsi:type="xsd:double"&gt;3.22654389589151&lt;/D&gt;&lt;/FQL&gt;&lt;FQL&gt;&lt;Q&gt;SPY^JULIAN(FMA_DIV_YLD(NTMA,NOW,NOW,M,"PORTAGG","MEANR").DATES)&lt;/Q&gt;&lt;R&gt;1&lt;/R&gt;&lt;C&gt;1&lt;/C&gt;&lt;D xsi:type="xsd:long"&gt;45531&lt;/D&gt;&lt;/FQL&gt;&lt;FQL&gt;&lt;Q&gt;EWJ^FMA_EVAL_EBITDA(NTMA,0,,,"PORTAGG","MEANR")&lt;/Q&gt;&lt;R&gt;1&lt;/R&gt;&lt;C&gt;1&lt;/C&gt;&lt;D xsi:type="xsd:double"&gt;9.94904262155558&lt;/D&gt;&lt;/FQL&gt;&lt;FQL&gt;&lt;Q&gt;EWA^FG_FCF_YIELD_NTM(0)&lt;/Q&gt;&lt;R&gt;1&lt;/R&gt;&lt;C&gt;1&lt;/C&gt;&lt;D xsi:type="xsd:double"&gt;4.71998860273989&lt;/D&gt;&lt;/FQL&gt;&lt;FQL&gt;&lt;Q&gt;GLD^P_PRICE(0)/P_PRICE_HIGH_PR(0,,,USD,,,"PRICE","INTRA","52W")&lt;/Q&gt;&lt;R&gt;1&lt;/R&gt;&lt;C&gt;1&lt;/C&gt;&lt;D xsi:type="xsd:double"&gt;0.9954703&lt;/D&gt;&lt;/FQL&gt;&lt;FQL&gt;&lt;Q&gt;CC_US^FG_COMPANY_NAME&lt;/Q&gt;&lt;R&gt;1&lt;/R&gt;&lt;C&gt;1&lt;/C&gt;&lt;D xsi:type="xsd:string"&gt;United States&lt;/D&gt;&lt;/FQL&gt;&lt;FQL&gt;&lt;Q&gt;EWJ^FMA_PE(NTMA,-10AY,0,AM,"PORTAGG","MEANR")&lt;/Q&gt;&lt;R&gt;121&lt;/R&gt;&lt;C&gt;1&lt;/C&gt;&lt;D xsi:type="xsd:double"&gt;13.5853551672164&lt;/D&gt;&lt;D xsi:type="xsd:double"&gt;14.2193721704423&lt;/D&gt;&lt;D xsi:type="xsd:double"&gt;13.3080668984153&lt;/D&gt;&lt;D xsi:type="xsd:double"&gt;14.4804093238916&lt;/D&gt;&lt;D xsi:type="xsd:double"&gt;14.4745442823379&lt;/D&gt;&lt;D xsi:type="xsd:double"&gt;14.0049465045586&lt;/D&gt;&lt;D xsi:type="xsd:double"&gt;15.1015622612669&lt;/D&gt;&lt;D xsi:type="xsd:double"&gt;15.3433500462714&lt;/D&gt;&lt;D xsi:type="xsd:double"&gt;15.990336581676&lt;/D&gt;&lt;D xsi:type="xsd:double"&gt;16.4442959111096&lt;/D&gt;&lt;D xsi:type="xsd:double"&gt;15.361516294561&lt;/D&gt;&lt;D xsi:type="xsd:double"&gt;15.2945835495182&lt;/D&gt;&lt;D xsi:type="xsd:double"&gt;14.3419856697855&lt;/D&gt;&lt;D xsi:type="xsd:double"&gt;12.5924212414596&lt;/D&gt;&lt;D xsi:type="xsd:double"&gt;14.2727260185402&lt;/D&gt;&lt;D xsi:type="xsd:double"&gt;14.7080836919782&lt;/D&gt;&lt;D xsi:type="xsd:double"&gt;14.0510774359549&lt;/D&gt;&lt;D xsi:type="xsd:double"&gt;13.0426919626841&lt;/D&gt;&lt;D xsi:type="xsd:double"&gt;12.2461647226099&lt;/D&gt;&lt;D xsi:type="xsd:double"&gt;13.1174483767359&lt;/D&gt;&lt;D xsi:type="xsd:double"&gt;12.8681650989449&lt;/D&gt;&lt;D xsi:type="xsd:double"&gt;13.3571394345416&lt;/D&gt;&lt;D xsi:type="xsd:double"&gt;12.6017917646962&lt;/D&gt;&lt;D xsi:type="xsd:double"&gt;13.3997319137909&lt;/D&gt;&lt;D xsi:type="xsd:double"&gt;13.3799013926922&lt;/D&gt;&lt;D xsi:type="xsd:double"&gt;13.5377618034342&lt;/D&gt;&lt;D xsi:type="xsd:double"&gt;13.8377644062971&lt;/D&gt;&lt;D xsi:type="xsd:double"&gt;14.4683283851473&lt;/D&gt;&lt;D xsi:type="xsd:double"&gt;14.6251240939044&lt;/D&gt;&lt;D xsi:type="xsd:double"&gt;14.7509543435014&lt;/D&gt;&lt;D xsi:type="xsd:double"&gt;14.1099273732975&lt;/D&gt;&lt;D xsi:type="xsd:double"&gt;14.0151906133296&lt;/D&gt;&lt;D xsi:type="xsd:double"&gt;13.8517339091738&lt;/D&gt;&lt;D xsi:type="xsd:double"&gt;14.2661438925281&lt;/D&gt;&lt;D xsi:type="xsd:double"&gt;14.4098260449383&lt;/D&gt;&lt;D xsi:type="xsd:double"&gt;14.1975512215718&lt;/D&gt;&lt;D xsi:type="xsd:double"&gt;13.5791667906042&lt;/D&gt;&lt;D xsi:type="xsd:double"&gt;14.0118512503269&lt;/D&gt;&lt;D xsi:type="xsd:double"&gt;14.6644285977656&lt;/D&gt;&lt;D xsi:type="xsd:double"&gt;14.6507880939663&lt;/D&gt;&lt;D xsi:type="xsd:double"&gt;14.7172858599221&lt;/D&gt;&lt;D xsi:type="xsd:double"&gt;15.117756388905&lt;/D&gt;&lt;D xsi:type="xsd:double"&gt;13.2622462956589&lt;/D&gt;&lt;D xsi:type="xsd:double"&gt;12.6801796785625&lt;/D&gt;&lt;D xsi:type="xsd:double"&gt;13.2500432444426&lt;/D&gt;&lt;D xsi:type="xsd:double"&gt;13.0240820445911&lt;/D&gt;&lt;D xsi:type="xsd:double"&gt;12.7818554015054&lt;/D&gt;&lt;D xsi:type="xsd:double"&gt;13.0674705273985&lt;/D&gt;&lt;D xsi:type="xsd:double"&gt;12.7548311939246&lt;/D&gt;&lt;D xsi:type="xsd:double"&gt;13.3330644352468&lt;/D&gt;&lt;D xsi:type="xsd:double"&gt;11.619247497941&lt;/D&gt;&lt;D xsi:type="xsd:double"&gt;12.1906148522882&lt;/D&gt;&lt;D xsi:type="xsd:double"&gt;11.1053605202922&lt;/D&gt;&lt;D xsi:type="xsd:double"&gt;11.8133778530483&lt;/D&gt;&lt;D xsi:type="xsd:double"&gt;12.4615144830221&lt;/D&gt;&lt;D xsi:type="xsd:double"&gt;12.4698544979362&lt;/D&gt;&lt;D xsi:type="xsd:double"&gt;12.7530035590355&lt;/D&gt;&lt;D xsi:type="xsd:double"&gt;12.3477351375638&lt;/D&gt;&lt;D xsi:type="xsd:double"&gt;12.7197216014517&lt;/D&gt;&lt;D xsi:type="xsd:double"&gt;12.8818593898066&lt;/D&gt;&lt;D xsi:type="xsd:double"&gt;12.3809222220557&lt;/D&gt;&lt;D xsi:type="xsd:double"&gt;13.313704832097&lt;/D&gt;&lt;D xsi:type="xsd:double"&gt;13.8299758431929&lt;/D&gt;&lt;D xsi:type="xsd:double"&gt;14.2181336370353&lt;/D&gt;&lt;D xsi:type="xsd:double"&gt;14.6332849383593&lt;/D&gt;&lt;D xsi:type="xsd:double"&gt;14.3412898408244&lt;/D&gt;&lt;D xsi:type="xsd:double"&gt;12.9860798644863&lt;/D&gt;&lt;D xsi:type="xsd:double"&gt;12.6663557739952&lt;/D&gt;&lt;D xsi:type="xsd:double"&gt;13.9097038286828&lt;/D&gt;&lt;D xsi:type="xsd:double"&gt;16.2361895383659&lt;/D&gt;&lt;D xsi:type="xsd:double"&gt;17.4949088605714&lt;/D&gt;&lt;D xsi:type="xsd:double"&gt;17.6379809008466&lt;/D&gt;&lt;D xsi:type="xsd:double"&gt;17.9704358105326&lt;/D&gt;&lt;D xsi:type="xsd:double"&gt;18.4266505967521&lt;/D&gt;&lt;D xsi:type="xsd:double"&gt;17.4819339289334&lt;/D&gt;&lt;D xsi:type="xsd:double"&gt;18.8137930816713&lt;/D&gt;&lt;D xsi:type="xsd:double"&gt;18.5371118463015&lt;/D&gt;&lt;D xsi:type="xsd:double"&gt;18.0640157121093&lt;/D&gt;&lt;D xsi:type="xsd:double"&gt;17.6430214787252&lt;/D&gt;&lt;D xsi:type="xsd:double"&gt;17.8870569250133&lt;/D&gt;&lt;D xsi:type="xsd:double"&gt;16.812028895872&lt;/D&gt;&lt;D xsi:type="xsd:double"&gt;16.6482848398338&lt;/D&gt;&lt;D xsi:type="xsd:double"&gt;16.2998163810571&lt;/D&gt;&lt;D xsi:type="xsd:double"&gt;15.7826056545252&lt;/D&gt;&lt;D xsi:type="xsd:double"&gt;15.1205359365878&lt;/D&gt;&lt;D xsi:type="xsd:double"&gt;15.5469467441896&lt;/D&gt;&lt;D xsi:type="xsd:double"&gt;15.1726133699497&lt;/D&gt;&lt;D xsi:type="xsd:double"&gt;14.5439174406811&lt;/D&gt;&lt;D xsi:type="xsd:double"&gt;14.5635169427363&lt;/D&gt;&lt;D xsi:type="xsd:double"&gt;13.5152167810674&lt;/D&gt;&lt;D xsi:type="xsd:double"&gt;13.3086143375216&lt;/D&gt;&lt;D xsi:type="xsd:double"&gt;13.61371694955&lt;/D&gt;&lt;D xsi:type="xsd:double"&gt;12.82540765537&lt;/D&gt;&lt;D xsi:type="xsd:double"&gt;12.6693308771002&lt;/D&gt;&lt;D xsi:type="xsd:double"&gt;12.4879390823289&lt;/D&gt;&lt;D xsi:type="xsd:double"&gt;12.7444683897205&lt;/D&gt;&lt;D xsi:type="xsd:double"&gt;12.7336355347833&lt;/D&gt;&lt;D xsi:type="xsd:double"&gt;12.0819000039688&lt;/D&gt;&lt;D xsi:type="xsd:double"&gt;12.3067895641422&lt;/D&gt;&lt;D xsi:type="xsd:double"&gt;12.9052186956924&lt;/D&gt;&lt;D xsi:type="xsd:double"&gt;12.2409885005702&lt;/D&gt;&lt;D xsi:type="xsd:double"&gt;12.9582729645987&lt;/D&gt;&lt;D xsi:type="xsd:double"&gt;13.0807610695621&lt;/D&gt;&lt;D xsi:type="xsd:double"&gt;13.0822354315225&lt;/D&gt;&lt;D xsi:type="xsd:double"&gt;13.4722164668339&lt;/D&gt;&lt;D xsi:type="xsd:double"&gt;14.0898732906333&lt;/D&gt;&lt;D xsi:type="xsd:double"&gt;14.9256185140784&lt;/D&gt;&lt;D xsi:type="xsd:double"&gt;14.6836226389465&lt;/D&gt;&lt;D xsi:type="xsd:double"&gt;14.3842731373195&lt;/D&gt;&lt;D xsi:type="xsd:double"&gt;14.3529147737848&lt;/D&gt;&lt;D xsi:type="xsd:double"&gt;13.8151888343672&lt;/D&gt;&lt;D xsi:type="xsd:double"&gt;14.2279661310645&lt;/D&gt;&lt;D xsi:type="xsd:double"&gt;14.0456219856881&lt;/D&gt;&lt;D xsi:type="xsd:double"&gt;14.9457682630481&lt;/D&gt;&lt;D xsi:type="xsd:double"&gt;15.5316832856982&lt;/D&gt;&lt;D xsi:type="xsd:double"&gt;15.7889832991007&lt;/D&gt;&lt;D xsi:type="xsd:double"&gt;15.1889395185509&lt;/D&gt;&lt;D xsi:type="xsd:double"&gt;15.4379657877082&lt;/D&gt;&lt;D xsi:type="xsd:double"&gt;15.6037481761411&lt;/D&gt;&lt;D xsi:type="xsd:double"&gt;15.0389425828532&lt;/D&gt;&lt;D xsi:type="xsd:double"&gt;14.3151012155572&lt;/D&gt;&lt;/FQL&gt;&lt;FQL&gt;&lt;Q&gt;PASP-FDS^FG_PRICE_CHANGE(0,-1AY)&lt;/Q&gt;&lt;R&gt;1&lt;/R&gt;&lt;C&gt;1&lt;/C&gt;&lt;D xsi:type="xsd:double"&gt;-22.1774193548387&lt;/D&gt;&lt;/FQL&gt;&lt;FQL&gt;&lt;Q&gt;BRENT-FDS^FG_PRICE_MAVG(0,,,,30)&lt;/Q&gt;&lt;R&gt;1&lt;/R&gt;&lt;C&gt;1&lt;/C&gt;&lt;D xsi:type="xsd:double"&gt;85.86&lt;/D&gt;&lt;/FQL&gt;&lt;FQL&gt;&lt;Q&gt;SPY^FG_PRICE_MAVG(0,,,,200)&lt;/Q&gt;&lt;R&gt;1&lt;/R&gt;&lt;C&gt;1&lt;/C&gt;&lt;D xsi:type="xsd:double"&gt;510.87225&lt;/D&gt;&lt;/FQL&gt;&lt;FQL&gt;&lt;Q&gt;EWG^FG_TOTAL_RETURNC(0,-12AM)&lt;/Q&gt;&lt;R&gt;1&lt;/R&gt;&lt;C&gt;1&lt;/C&gt;&lt;D xsi:type="xsd:double"&gt;18.450129&lt;/D&gt;&lt;/FQL&gt;&lt;FQL&gt;&lt;Q&gt;EWL^SIZE(FG_CONSTITUENTS)&lt;/Q&gt;&lt;R&gt;1&lt;/R&gt;&lt;C&gt;1&lt;/C&gt;&lt;D xsi:type="xsd:long"&gt;46&lt;/D&gt;&lt;/FQL&gt;&lt;FQL&gt;&lt;Q&gt;EWN^FMA_RBICS_REV_CURRENT(30, LOC, "PORTAGG")&lt;/Q&gt;&lt;R&gt;1&lt;/R&gt;&lt;C&gt;1&lt;/C&gt;&lt;D xsi:type="xsd:double"&gt;25.4058816390781&lt;/D&gt;&lt;/FQL&gt;&lt;FQL&gt;&lt;Q&gt;REFJPTON-FDS^(SUBARRAY(NOT_NA(NO_REPEAT_F(FG_YIELD(NOW,-10AY,D))),0,1)-SUBARRAY(NOT_NA(NO_REPEAT_F(FG_YIELD(NOW,-10AY,D))),1,1))*100&lt;/Q&gt;&lt;R&gt;1&lt;/R&gt;&lt;C&gt;1&lt;/C&gt;&lt;D xsi:type="xsd:double"&gt;15&lt;/D&gt;&lt;/FQL&gt;&lt;FQL&gt;&lt;Q&gt;EWU^FMA_DIV_YLD(NTMA,NOW,NOW,M,"PORTAGG","MEANR")&lt;/Q&gt;&lt;R&gt;1&lt;/R&gt;&lt;C&gt;1&lt;/C&gt;&lt;D xsi:type="xsd:double"&gt;3.82664382350161&lt;/D&gt;&lt;/FQL&gt;&lt;FQL&gt;&lt;Q&gt;EWI^P_PRICE(0)/P_PRICE_HIGH_PR(0,,,,,,"PRICE","INTRA","52W")&lt;/Q&gt;&lt;R&gt;1&lt;/R&gt;&lt;C&gt;1&lt;/C&gt;&lt;D xsi:type="xsd:double"&gt;0.98120403&lt;/D&gt;&lt;/FQL&gt;&lt;FQL&gt;&lt;Q&gt;ENZL^PERCENT_CHANGE(FMA_EPS(+1,0,,,,"PORTAGG","MEAN"),FMA_EPS(+1,-1AM,,,,"PORTAGG","MEAN"))&lt;/Q&gt;&lt;R&gt;1&lt;/R&gt;&lt;C&gt;1&lt;/C&gt;&lt;D xsi:type="xsd:double"&gt;1.56748980177801&lt;/D&gt;&lt;/FQL&gt;&lt;FQL&gt;&lt;Q&gt;EWD^FMA_PE(NTMA,0,,,"PORTAGG","MEANR")&lt;/Q&gt;&lt;R&gt;1&lt;/R&gt;&lt;C&gt;1&lt;/C&gt;&lt;D xsi:type="xsd:double"&gt;16.1460361031552&lt;/D&gt;&lt;/FQL&gt;&lt;FQL&gt;&lt;Q&gt;EWC^JULIAN(FMA_DIV_YLD(NTMA,NOW,NOW,M,"PORTAGG","MEANR").DATES)&lt;/Q&gt;&lt;R&gt;1&lt;/R&gt;&lt;C&gt;1&lt;/C&gt;&lt;D xsi:type="xsd:long"&gt;45531&lt;/D&gt;&lt;/FQL&gt;&lt;FQL&gt;&lt;Q&gt;EWJ^P_PRICE(0)/P_PRICE_HIGH_PR(0,,,USD,,,"PRICE","INTRA","52W")&lt;/Q&gt;&lt;R&gt;1&lt;/R&gt;&lt;C&gt;1&lt;/C&gt;&lt;D xsi:type="xsd:double"&gt;0.99010456&lt;/D&gt;&lt;/FQL&gt;&lt;FQL&gt;&lt;Q&gt;EWC^FMA_PE(NTMA,-10AY,0,AM,"PORTAGG","MEANR")&lt;/Q&gt;&lt;R&gt;121&lt;/R&gt;&lt;C&gt;1&lt;/C&gt;&lt;D xsi:type="xsd:double"&gt;15.2353364171694&lt;/D&gt;&lt;D xsi:type="xsd:double"&gt;14.4669615135205&lt;/D&gt;&lt;D xsi:type="xsd:double"&gt;14.1773581291505&lt;/D&gt;&lt;D xsi:type="xsd:double"&gt;14.6833875282305&lt;/D&gt;&lt;D xsi:type="xsd:double"&gt;15.474738549924&lt;/D&gt;&lt;D xsi:type="xsd:double"&gt;16.2941310340358&lt;/D&gt;&lt;D xsi:type="xsd:double"&gt;17.5003578800495&lt;/D&gt;&lt;D xsi:type="xsd:double"&gt;16.9096580819672&lt;/D&gt;&lt;D xsi:type="xsd:double"&gt;17.4069962252229&lt;/D&gt;&lt;D xsi:type="xsd:double"&gt;16.5226054424966&lt;/D&gt;&lt;D xsi:type="xsd:double"&gt;15.8010056858038&lt;/D&gt;&lt;D xsi:type="xsd:double"&gt;15.4401448935463&lt;/D&gt;&lt;D xsi:type="xsd:double"&gt;14.9472886737369&lt;/D&gt;&lt;D xsi:type="xsd:double"&gt;14.1153782603108&lt;/D&gt;&lt;D xsi:type="xsd:double"&gt;15.0299767289757&lt;/D&gt;&lt;D xsi:type="xsd:double"&gt;14.5163637920177&lt;/D&gt;&lt;D xsi:type="xsd:double"&gt;14.5111065889039&lt;/D&gt;&lt;D xsi:type="xsd:double"&gt;14.5123687005723&lt;/D&gt;&lt;D xsi:type="xsd:double"&gt;14.9356765539306&lt;/D&gt;&lt;D xsi:type="xsd:double"&gt;15.9022638758418&lt;/D&gt;&lt;D xsi:type="xsd:double"&gt;16.6967421165616&lt;/D&gt;&lt;D xsi:type="xsd:double"&gt;16.6590359121926&lt;/D&gt;&lt;D xsi:type="xsd:double"&gt;16.3047485840416&lt;/D&gt;&lt;D xsi:type="xsd:double"&gt;16.4443458875862&lt;/D&gt;&lt;D xsi:type="xsd:double"&gt;16.3327585141235&lt;/D&gt;&lt;D xsi:type="xsd:double"&gt;16.1197752308045&lt;/D&gt;&lt;D xsi:type="xsd:double"&gt;15.8475075306213&lt;/D&gt;&lt;D xsi:type="xsd:double"&gt;15.8637114368276&lt;/D&gt;&lt;D xsi:type="xsd:double"&gt;15.8868071632117&lt;/D&gt;&lt;D xsi:type="xsd:double"&gt;16.167178844355&lt;/D&gt;&lt;D xsi:type="xsd:double"&gt;15.817264823507&lt;/D&gt;&lt;D xsi:type="xsd:double"&gt;16.0076919937756&lt;/D&gt;&lt;D xsi:type="xsd:double"&gt;15.6903318404951&lt;/D&gt;&lt;D xsi:type="xsd:double"&gt;15.7326574806776&lt;/D&gt;&lt;D xsi:type="xsd:double"&gt;15.2613184681593&lt;/D&gt;&lt;D xsi:type="xsd:double"&gt;15.5739303878692&lt;/D&gt;&lt;D xsi:type="xsd:double"&gt;15.4428776967322&lt;/D&gt;&lt;D xsi:type="xsd:double"&gt;15.7716774901123&lt;/D&gt;&lt;D xsi:type="xsd:double"&gt;15.8883441224396&lt;/D&gt;&lt;D xsi:type="xsd:double"&gt;15.7758989416684&lt;/D&gt;&lt;D xsi:type="xsd:double"&gt;15.9212397952306&lt;/D&gt;&lt;D xsi:type="xsd:double"&gt;15.358155919928&lt;/D&gt;&lt;D xsi:type="xsd:double"&gt;14.4316732396112&lt;/D&gt;&lt;D xsi:type="xsd:double"&gt;14.1789927411653&lt;/D&gt;&lt;D xsi:type="xsd:double"&gt;14.2224557326043&lt;/D&gt;&lt;D xsi:type="xsd:double"&gt;13.9893639087634&lt;/D&gt;&lt;D xsi:type="xsd:double"&gt;14.2442586935319&lt;/D&gt;&lt;D xsi:type="xsd:double"&gt;14.1865297614449&lt;/D&gt;&lt;D xsi:type="xsd:double"&gt;13.9350656214092&lt;/D&gt;&lt;D xsi:type="xsd:double"&gt;13.5635404959644&lt;/D&gt;&lt;D xsi:type="xsd:double"&gt;12.3115795795106&lt;/D&gt;&lt;D xsi:type="xsd:double"&gt;12.6739502969311&lt;/D&gt;&lt;D xsi:type="xsd:double"&gt;12.0305953023311&lt;/D&gt;&lt;D xsi:type="xsd:double"&gt;13.6247522563778&lt;/D&gt;&lt;D xsi:type="xsd:double"&gt;14.1221263560808&lt;/D&gt;&lt;D xsi:type="xsd:double"&gt;14.0924883190617&lt;/D&gt;&lt;D xsi:type="xsd:double"&gt;13.9505097931946&lt;/D&gt;&lt;D xsi:type="xsd:double"&gt;13.4355374963899&lt;/D&gt;&lt;D xsi:type="xsd:double"&gt;13.6844987120702&lt;/D&gt;&lt;D xsi:type="xsd:double"&gt;13.7110185372121&lt;/D&gt;&lt;D xsi:type="xsd:double"&gt;13.644417231601&lt;/D&gt;&lt;D xsi:type="xsd:double"&gt;13.9521812334812&lt;/D&gt;&lt;D xsi:type="xsd:double"&gt;13.8837761008145&lt;/D&gt;&lt;D xsi:type="xsd:double"&gt;14.3781711187593&lt;/D&gt;&lt;D xsi:type="xsd:double"&gt;14.5184963575003&lt;/D&gt;&lt;D xsi:type="xsd:double"&gt;14.6380568724598&lt;/D&gt;&lt;D xsi:type="xsd:double"&gt;13.7130085427237&lt;/D&gt;&lt;D xsi:type="xsd:double"&gt;12.3404216005918&lt;/D&gt;&lt;D xsi:type="xsd:double"&gt;16.9629006237754&lt;/D&gt;&lt;D xsi:type="xsd:double"&gt;18.5409427796611&lt;/D&gt;&lt;D xsi:type="xsd:double"&gt;17.5572522091094&lt;/D&gt;&lt;D xsi:type="xsd:double"&gt;17.6757284110797&lt;/D&gt;&lt;D xsi:type="xsd:double"&gt;17.4066338447151&lt;/D&gt;&lt;D xsi:type="xsd:double"&gt;16.2835722568021&lt;/D&gt;&lt;D xsi:type="xsd:double"&gt;15.2557072920609&lt;/D&gt;&lt;D xsi:type="xsd:double"&gt;16.3081555104496&lt;/D&gt;&lt;D xsi:type="xsd:double"&gt;15.8929621297086&lt;/D&gt;&lt;D xsi:type="xsd:double"&gt;15.4127708612444&lt;/D&gt;&lt;D xsi:type="xsd:double"&gt;15.1177284599745&lt;/D&gt;&lt;D xsi:type="xsd:double"&gt;15.3144529510295&lt;/D&gt;&lt;D xsi:type="xsd:double"&gt;15.5854182671706&lt;/D&gt;&lt;D xsi:type="xsd:double"&gt;15.5262544810534&lt;/D&gt;&lt;D xsi:type="xsd:double"&gt;15.591245526626&lt;/D&gt;&lt;D xsi:type="xsd:double"&gt;15.1683244842629&lt;/D&gt;&lt;D xsi:type="xsd:double"&gt;14.9317314841787&lt;/D&gt;&lt;D xsi:type="xsd:double"&gt;14.4040311088948&lt;/D&gt;&lt;D xsi:type="xsd:double"&gt;14.8634375719614&lt;/D&gt;&lt;D xsi:type="xsd:double"&gt;14.5261458624829&lt;/D&gt;&lt;D xsi:type="xsd:double"&gt;14.5017460401356&lt;/D&gt;&lt;D xsi:type="xsd:double"&gt;13.8529167267255&lt;/D&gt;&lt;D xsi:type="xsd:double"&gt;13.9405302851221&lt;/D&gt;&lt;D xsi:type="xsd:double"&gt;13.7520395675047&lt;/D&gt;&lt;D xsi:type="xsd:double"&gt;12.6062626781824&lt;/D&gt;&lt;D xsi:type="xsd:double"&gt;12.4983161589908&lt;/D&gt;&lt;D xsi:type="xsd:double"&gt;11.3258813381832&lt;/D&gt;&lt;D xsi:type="xsd:double"&gt;11.5881255265379&lt;/D&gt;&lt;D xsi:type="xsd:double"&gt;11.6536895196543&lt;/D&gt;&lt;D xsi:type="xsd:double"&gt;10.7697750610447&lt;/D&gt;&lt;D xsi:type="xsd:double"&gt;11.536900278832&lt;/D&gt;&lt;D xsi:type="xsd:double"&gt;12.1278136910741&lt;/D&gt;&lt;D xsi:type="xsd:double"&gt;11.9755981376474&lt;/D&gt;&lt;D xsi:type="xsd:double"&gt;13.0053447453915&lt;/D&gt;&lt;D xsi:type="xsd:double"&gt;12.6887683062268&lt;/D&gt;&lt;D xsi:type="xsd:double"&gt;12.5800830470159&lt;/D&gt;&lt;D xsi:type="xsd:double"&gt;13.0863738307846&lt;/D&gt;&lt;D xsi:type="xsd:double"&gt;12.843166475262&lt;/D&gt;&lt;D xsi:type="xsd:double"&gt;12.859310037055&lt;/D&gt;&lt;D xsi:type="xsd:double"&gt;13.493257329192&lt;/D&gt;&lt;D xsi:type="xsd:double"&gt;13.1267021800214&lt;/D&gt;&lt;D xsi:type="xsd:double"&gt;12.6003534314073&lt;/D&gt;&lt;D xsi:type="xsd:double"&gt;12.0004294186304&lt;/D&gt;&lt;D xsi:type="xsd:double"&gt;12.8314773046773&lt;/D&gt;&lt;D xsi:type="xsd:double"&gt;13.6715422245635&lt;/D&gt;&lt;D xsi:type="xsd:double"&gt;13.9235000967892&lt;/D&gt;&lt;D xsi:type="xsd:double"&gt;14.1787605323582&lt;/D&gt;&lt;D xsi:type="xsd:double"&gt;14.6378182886827&lt;/D&gt;&lt;D xsi:type="xsd:double"&gt;14.3040500501614&lt;/D&gt;&lt;D xsi:type="xsd:double"&gt;14.1008618554681&lt;/D&gt;&lt;D xsi:type="xsd:double"&gt;13.9395322862181&lt;/D&gt;&lt;D xsi:type="xsd:double"&gt;14.3440976233238&lt;/D&gt;&lt;D xsi:type="xsd:double"&gt;14.570886500393&lt;/D&gt;&lt;/FQL&gt;&lt;FQL&gt;&lt;Q&gt;PASP-FDS^FG_PRICE_MAVG(0,,,,30)&lt;/Q&gt;&lt;R&gt;1&lt;/R&gt;&lt;C&gt;1&lt;/C&gt;&lt;D xsi:type="xsd:double"&gt;937&lt;/D&gt;&lt;/FQL&gt;&lt;FQL&gt;&lt;Q&gt;SPY^FG_PRICE_MAVG(0,,,,60)&lt;/Q&gt;&lt;R&gt;1&lt;/R&gt;&lt;C&gt;1&lt;/C&gt;&lt;D xsi:type="xsd:double"&gt;546.9695&lt;/D&gt;&lt;/FQL&gt;&lt;FQL&gt;&lt;Q&gt;EWG^P_PRICE(0)/P_PRICE_LOW_PR(0,,,,,,"PRICE","INTRA","52W")-1&lt;/Q&gt;&lt;R&gt;1&lt;/R&gt;&lt;C&gt;1&lt;/C&gt;&lt;D xsi:type="xsd:double"&gt;0.31430888&lt;/D&gt;&lt;/FQL&gt;&lt;FQL&gt;&lt;Q&gt;TRYNZ10Y-FDS^PCTCHG(FG_YIELD(0,,,,"YTM"),FG_YIELD(-3AM,,,,"YTM"))&lt;/Q&gt;&lt;R&gt;1&lt;/R&gt;&lt;C&gt;1&lt;/C&gt;&lt;D xsi:type="xsd:double"&gt;-12.340706&lt;/D&gt;&lt;/FQL&gt;&lt;FQL&gt;&lt;Q&gt;CC_GB^FG_COMPANY_NAME&lt;/Q&gt;&lt;R&gt;1&lt;/R&gt;&lt;C&gt;1&lt;/C&gt;&lt;D xsi:type="xsd:string"&gt;United Kingdom&lt;/D&gt;&lt;/FQL&gt;&lt;FQL&gt;&lt;Q&gt;EWN^FMA_EVAL_EBITDA(NTMA,0,,,"PORTAGG","MEANR")&lt;/Q&gt;&lt;R&gt;1&lt;/R&gt;&lt;C&gt;1&lt;/C&gt;&lt;D xsi:</t>
        </r>
      </text>
    </comment>
    <comment ref="A11" authorId="0" shapeId="0" xr:uid="{80634C71-538E-4CA4-82BC-0D121E9516EB}">
      <text>
        <r>
          <rPr>
            <b/>
            <sz val="9"/>
            <color indexed="81"/>
            <rFont val="Tahoma"/>
            <charset val="1"/>
          </rPr>
          <t>type="xsd:double"&gt;12.2052651363488&lt;/D&gt;&lt;/FQL&gt;&lt;FQL&gt;&lt;Q&gt;EWA^FMA_PE(LTM,0,,,"PORTAGG","MEANR")&lt;/Q&gt;&lt;R&gt;1&lt;/R&gt;&lt;C&gt;1&lt;/C&gt;&lt;D xsi:type="xsd:double"&gt;19.6812652534356&lt;/D&gt;&lt;/FQL&gt;&lt;FQL&gt;&lt;Q&gt;CC_CH^FG_COMPANY_NAME&lt;/Q&gt;&lt;R&gt;1&lt;/R&gt;&lt;C&gt;1&lt;/C&gt;&lt;D xsi:type="xsd:string"&gt;Switzerland&lt;/D&gt;&lt;/FQL&gt;&lt;FQL&gt;&lt;Q&gt;EWC^P_PRICE_RETURNS_PR('52W',2,-10AY,0,AM)&lt;/Q&gt;&lt;R&gt;121&lt;/R&gt;&lt;C&gt;1&lt;/C&gt;&lt;D xsi:type="xsd:double"&gt;22.249817&lt;/D&gt;&lt;D xsi:type="xsd:double"&gt;10.847723&lt;/D&gt;&lt;D xsi:type="xsd:double"&gt;3.8608313&lt;/D&gt;&lt;D xsi:type="xsd:double"&gt;5.505812&lt;/D&gt;&lt;D xsi:type="xsd:double"&gt;2.132976&lt;/D&gt;&lt;D xsi:type="xsd:double"&gt;-2.1379173&lt;/D&gt;&lt;D xsi:type="xsd:double"&gt;-1.3864279&lt;/D&gt;&lt;D xsi:type="xsd:double"&gt;-5.4143133&lt;/D&gt;&lt;D xsi:type="xsd:double"&gt;-0.69097877&lt;/D&gt;&lt;D xsi:type="xsd:double"&gt;-7.4305477&lt;/D&gt;&lt;D xsi:type="xsd:double"&gt;-14.9185295&lt;/D&gt;&lt;D xsi:type="xsd:double"&gt;-19.867266&lt;/D&gt;&lt;D xsi:type="xsd:double"&gt;-24.693716&lt;/D&gt;&lt;D xsi:type="xsd:double"&gt;-26.077007&lt;/D&gt;&lt;D xsi:type="xsd:double"&gt;-17.22467&lt;/D&gt;&lt;D xsi:type="xsd:double"&gt;-23.69265&lt;/D&gt;&lt;D xsi:type="xsd:double"&gt;-22.493708&lt;/D&gt;&lt;D xsi:type="xsd:double"&gt;-19.649559&lt;/D&gt;&lt;D xsi:type="xsd:double"&gt;-21.154387&lt;/D&gt;&lt;D xsi:type="xsd:double"&gt;-11.444807&lt;/D&gt;&lt;D xsi:type="xsd:double"&gt;-12.176168&lt;/D&gt;&lt;D xsi:type="xsd:double"&gt;-9.596163&lt;/D&gt;&lt;D xsi:type="xsd:double"&gt;-6.926596&lt;/D&gt;&lt;D xsi:type="xsd:double"&gt;1.121378&lt;/D&gt;&lt;D xsi:type="xsd:double"&gt;8.284378&lt;/D&gt;&lt;D xsi:type="xsd:double"&gt;17.169535&lt;/D&gt;&lt;D xsi:type="xsd:double"&gt;7.041967&lt;/D&gt;&lt;D xsi:type="xsd:double"&gt;14.275837&lt;/D&gt;&lt;D xsi:type="xsd:double"&gt;21.650124&lt;/D&gt;&lt;D xsi:type="xsd:double"&gt;38.34003&lt;/D&gt;&lt;D xsi:type="xsd:double"&gt;25.616014&lt;/D&gt;&lt;D xsi:type="xsd:double"&gt;17.28611&lt;/D&gt;&lt;D xsi:type="xsd:double"&gt;5.831349&lt;/D&gt;&lt;D xsi:type="xsd:double"&gt;8.600044&lt;/D&gt;&lt;D xsi:type="xsd:double"&gt;11.94433&lt;/D&gt;&lt;D xsi:type="xsd:double"&gt;13.735676&lt;/D&gt;&lt;D xsi:type="xsd:double"&gt;9.772289&lt;/D&gt;&lt;D xsi:type="xsd:double"&gt;15.073109&lt;/D&gt;&lt;D xsi:type="xsd:double"&gt;15.085101&lt;/D&gt;&lt;D xsi:type="xsd:double"&gt;13.689602&lt;/D&gt;&lt;D xsi:type="xsd:double"&gt;15.656078&lt;/D&gt;&lt;D xsi:type="xsd:double"&gt;12.529934&lt;/D&gt;&lt;D xsi:type="xsd:double"&gt;6.324649&lt;/D&gt;&lt;D xsi:type="xsd:double"&gt;4.079807&lt;/D&gt;&lt;D xsi:type="xsd:double"&gt;9.908188&lt;/D&gt;&lt;D xsi:type="xsd:double"&gt;9.664429&lt;/D&gt;&lt;D xsi:type="xsd:double"&gt;8.639013&lt;/D&gt;&lt;D xsi:type="xsd:double"&gt;6.7534924&lt;/D&gt;&lt;D xsi:type="xsd:double"&gt;8.25057&lt;/D&gt;&lt;D xsi:type="xsd:double"&gt;1.5204668&lt;/D&gt;&lt;D xsi:type="xsd:double"&gt;-8.112997&lt;/D&gt;&lt;D xsi:type="xsd:double"&gt;-5.803198&lt;/D&gt;&lt;D xsi:type="xsd:double"&gt;-17.481888&lt;/D&gt;&lt;D xsi:type="xsd:double"&gt;-8.8104725&lt;/D&gt;&lt;D xsi:type="xsd:double"&gt;2.70288&lt;/D&gt;&lt;D xsi:type="xsd:double"&gt;2.7791023&lt;/D&gt;&lt;D xsi:type="xsd:double"&gt;3.6077857&lt;/D&gt;&lt;D xsi:type="xsd:double"&gt;-0.44849515&lt;/D&gt;&lt;D xsi:type="xsd:double"&gt;4.422462&lt;/D&gt;&lt;D xsi:type="xsd:double"&gt;1.2203097&lt;/D&gt;&lt;D xsi:type="xsd:double"&gt;-1.5309334&lt;/D&gt;&lt;D xsi:type="xsd:double"&gt;2.9904604&lt;/D&gt;&lt;D xsi:type="xsd:double"&gt;14.063883&lt;/D&gt;&lt;D xsi:type="xsd:double"&gt;14.156378&lt;/D&gt;&lt;D xsi:type="xsd:double"&gt;28.563427&lt;/D&gt;&lt;D xsi:type="xsd:double"&gt;15.147507&lt;/D&gt;&lt;D xsi:type="xsd:double"&gt;1.3009429&lt;/D&gt;&lt;D xsi:type="xsd:double"&gt;-23.206097&lt;/D&gt;&lt;D xsi:type="xsd:double"&gt;-9.970629&lt;/D&gt;&lt;D xsi:type="xsd:double"&gt;-6.5877495&lt;/D&gt;&lt;D xsi:type="xsd:double"&gt;-8.803338&lt;/D&gt;&lt;D xsi:type="xsd:double"&gt;-1.3249099&lt;/D&gt;&lt;D xsi:type="xsd:double"&gt;6.2859297&lt;/D&gt;&lt;D xsi:type="xsd:double"&gt;-2.7841449&lt;/D&gt;&lt;D xsi:type="xsd:double"&gt;-5.5568037&lt;/D&gt;&lt;D xsi:type="xsd:double"&gt;5.253637&lt;/D&gt;&lt;D xsi:type="xsd:double"&gt;6.113124&lt;/D&gt;&lt;D xsi:type="xsd:double"&gt;3.9695382&lt;/D&gt;&lt;D xsi:type="xsd:double"&gt;13.449931&lt;/D&gt;&lt;D xsi:type="xsd:double"&gt;68.60309&lt;/D&gt;&lt;D xsi:type="xsd:double"&gt;46.62465&lt;/D&gt;&lt;D xsi:type="xsd:double"&gt;52.60012&lt;/D&gt;&lt;D xsi:type="xsd:double"&gt;49.096703&lt;/D&gt;&lt;D xsi:type="xsd:double"&gt;38.09526&lt;/D&gt;&lt;D xsi:type="xsd:double"&gt;32.173264&lt;/D&gt;&lt;D xsi:type="xsd:double"&gt;34.854996&lt;/D&gt;&lt;D xsi:type="xsd:double"&gt;49.941887&lt;/D&gt;&lt;D xsi:type="xsd:double"&gt;27.827787&lt;/D&gt;&lt;D xsi:type="xsd:double"&gt;25.64274&lt;/D&gt;&lt;D xsi:type="xsd:double"&gt;22.144377&lt;/D&gt;&lt;D xsi:type="xsd:double"&gt;21.08494&lt;/D&gt;&lt;D xsi:type="xsd:double"&gt;21.45765&lt;/D&gt;&lt;D xsi:type="xsd:double"&gt;4.8905015&lt;/D&gt;&lt;D xsi:type="xsd:double"&gt;1.4057398&lt;/D&gt;&lt;D xsi:type="xsd:double"&gt;-7.056218&lt;/D&gt;&lt;D xsi:type="xsd:double"&gt;-3.7562132&lt;/D&gt;&lt;D xsi:type="xsd:double"&gt;-4.9603167&lt;/D&gt;&lt;D xsi:type="xsd:double"&gt;-12.64947&lt;/D&gt;&lt;D xsi:type="xsd:double"&gt;-14.6495285&lt;/D&gt;&lt;D xsi:type="xsd:double"&gt;-7.7901483&lt;/D&gt;&lt;D xsi:type="xsd:double"&gt;-11.591953&lt;/D&gt;&lt;D xsi:type="xsd:double"&gt;-1.5671492&lt;/D&gt;&lt;D xsi:type="xsd:double"&gt;-8.9385805&lt;/D&gt;&lt;D xsi:type="xsd:double"&gt;-15.388739&lt;/D&gt;&lt;D xsi:type="xsd:double"&gt;-5.018151&lt;/D&gt;&lt;D xsi:type="xsd:double"&gt;-6.7575035&lt;/D&gt;&lt;D xsi:type="xsd:double"&gt;4.294181&lt;/D&gt;&lt;D xsi:type="xsd:double"&gt;5.189812&lt;/D&gt;&lt;D xsi:type="xsd:double"&gt;1.0201931&lt;/D&gt;&lt;D xsi:type="xsd:double"&gt;10.333061&lt;/D&gt;&lt;D xsi:type="xsd:double"&gt;-2.205801&lt;/D&gt;&lt;D xsi:type="xsd:double"&gt;2.72218&lt;/D&gt;&lt;D xsi:type="xsd:double"&gt;13.87651&lt;/D&gt;&lt;D xsi:type="xsd:double"&gt;5.3461075&lt;/D&gt;&lt;D xsi:type="xsd:double"&gt;10.568655&lt;/D&gt;&lt;D xsi:type="xsd:double"&gt;18.091917&lt;/D&gt;&lt;D xsi:type="xsd:double"&gt;9.603321&lt;/D&gt;&lt;D xsi:type="xsd:double"&gt;13.089204&lt;/D&gt;&lt;D xsi:type="xsd:double"&gt;10.419917&lt;/D&gt;&lt;D xsi:type="xsd:double"&gt;9.300077&lt;/D&gt;&lt;D xsi:type="xsd:double"&gt;19.38585&lt;/D&gt;&lt;/FQL&gt;&lt;FQL&gt;&lt;Q&gt;ENZL^FMA_PE(NTMA,-10AY,0,AM,"PORTAGG","MEANR")&lt;/Q&gt;&lt;R&gt;121&lt;/R&gt;&lt;C&gt;1&lt;/C&gt;&lt;D xsi:type="xsd:double"&gt;17.4259904450878&lt;/D&gt;&lt;D xsi:type="xsd:double"&gt;17.1434768936459&lt;/D&gt;&lt;D xsi:type="xsd:double"&gt;17.5243217017609&lt;/D&gt;&lt;D xsi:type="xsd:double"&gt;17.7251641549364&lt;/D&gt;&lt;D xsi:type="xsd:double"&gt;18.2917707617884&lt;/D&gt;&lt;D xsi:type="xsd:double"&gt;19.0072246264718&lt;/D&gt;&lt;D xsi:type="xsd:double"&gt;19.3006254187479&lt;/D&gt;&lt;D xsi:type="xsd:double"&gt;18.1043931296327&lt;/D&gt;&lt;D xsi:type="xsd:double"&gt;18.0759076286895&lt;/D&gt;&lt;D xsi:type="xsd:double"&gt;18.424554884382&lt;/D&gt;&lt;D xsi:type="xsd:double"&gt;17.5914634949339&lt;/D&gt;&lt;D xsi:type="xsd:double"&gt;18.1941471365985&lt;/D&gt;&lt;D xsi:type="xsd:double"&gt;17.5972212316474&lt;/D&gt;&lt;D xsi:type="xsd:double"&gt;17.0520458015831&lt;/D&gt;&lt;D xsi:type="xsd:double"&gt;18.1075099779365&lt;/D&gt;&lt;D xsi:type="xsd:double"&gt;18.1379607697507&lt;/D&gt;&lt;D xsi:type="xsd:double"&gt;18.3385479390308&lt;/D&gt;&lt;D xsi:type="xsd:double"&gt;17.4459611775633&lt;/D&gt;&lt;D xsi:type="xsd:double"&gt;17.5055700249101&lt;/D&gt;&lt;D xsi:type="xsd:double"&gt;18.3416168353346&lt;/D&gt;&lt;D xsi:type="xsd:double"&gt;18.7141378948304&lt;/D&gt;&lt;D xsi:type="xsd:double"&gt;19.331173304405&lt;/D&gt;&lt;D xsi:type="xsd:double"&gt;18.7374625774006&lt;/D&gt;&lt;D xsi:type="xsd:double"&gt;20.3178607591973&lt;/D&gt;&lt;D xsi:type="xsd:double"&gt;20.5270298712538&lt;/D&gt;&lt;D xsi:type="xsd:double"&gt;20.2039922311374&lt;/D&gt;&lt;D xsi:type="xsd:double"&gt;18.9897903016628&lt;/D&gt;&lt;D xsi:type="xsd:double"&gt;18.7656825133195&lt;/D&gt;&lt;D xsi:type="xsd:double"&gt;18.5495807002171&lt;/D&gt;&lt;D xsi:type="xsd:double"&gt;19.1948752259908&lt;/D&gt;&lt;D xsi:type="xsd:double"&gt;18.3456235290234&lt;/D&gt;&lt;D xsi:type="xsd:double"&gt;18.8857915094758&lt;/D&gt;&lt;D xsi:type="xsd:double"&gt;19.5356711103918&lt;/D&gt;&lt;D xsi:type="xsd:double"&gt;19.5714607692372&lt;/D&gt;&lt;D xsi:type="xsd:double"&gt;19.8424949775921&lt;/D&gt;&lt;D xsi:type="xsd:double"&gt;19.5261826732486&lt;/D&gt;&lt;D xsi:type="xsd:double"&gt;19.7971305304056&lt;/D&gt;&lt;D xsi:type="xsd:double"&gt;19.8317741727984&lt;/D&gt;&lt;D xsi:type="xsd:double"&gt;20.3723595613449&lt;/D&gt;&lt;D xsi:type="xsd:double"&gt;20.1124178847908&lt;/D&gt;&lt;D xsi:type="xsd:double"&gt;20.939465306716&lt;/D&gt;&lt;D xsi:type="xsd:double"&gt;20.655247547598&lt;/D&gt;&lt;D xsi:type="xsd:double"&gt;20.8462380710614&lt;/D&gt;&lt;D xsi:type="xsd:double"&gt;19.9684626391939&lt;/D&gt;&lt;D xsi:type="xsd:double"&gt;19.9113535617366&lt;/D&gt;&lt;D xsi:type="xsd:double"&gt;20.3814593982282&lt;/D&gt;&lt;D xsi:type="xsd:double"&gt;21.160631644616&lt;/D&gt;&lt;D xsi:type="xsd:double"&gt;21.1629539138984&lt;/D&gt;&lt;D xsi:type="xsd:double"&gt;22.2377233067451&lt;/D&gt;&lt;D xsi:type="xsd:double"&gt;21.4693190006079&lt;/D&gt;&lt;D xsi:type="xsd:double"&gt;19.756010431076&lt;/D&gt;&lt;D xsi:type="xsd:double"&gt;19.8997261490503&lt;/D&gt;&lt;D xsi:type="xsd:double"&gt;20.0278637880904&lt;/D&gt;&lt;D xsi:type="xsd:double"&gt;20.3989684691626&lt;/D&gt;&lt;D xsi:type="xsd:double"&gt;21.5707196690684&lt;/D&gt;&lt;D xsi:type="xsd:double"&gt;22.3388870569747&lt;/D&gt;&lt;D xsi:type="xsd:double"&gt;22.7211010011621&lt;/D&gt;&lt;D xsi:type="xsd:double"&gt;22.90753285581&lt;/D&gt;&lt;D xsi:type="xsd:double"&gt;23.7202873176142&lt;/D&gt;&lt;D xsi:type="xsd:double"&gt;24.5724502677144&lt;/D&gt;&lt;D xsi:type="xsd:double"&gt;25.2753786879671&lt;/D&gt;&lt;D xsi:type="xsd:double"&gt;25.2725234863641&lt;/D&gt;&lt;D xsi:type="xsd:double"&gt;24.7427020098082&lt;/D&gt;&lt;D xsi:type="xsd:double"&gt;26.0413182788816&lt;/D&gt;&lt;D xsi:type="xsd:double"&gt;26.0858022951486&lt;/D&gt;&lt;D xsi:type="xsd:double"&gt;26.1070900822365&lt;/D&gt;&lt;D xsi:type="xsd:double"&gt;25.9075376731227&lt;/D&gt;&lt;D xsi:type="xsd:double"&gt;24.0640069291665&lt;/D&gt;&lt;D xsi:type="xsd:double"&gt;29.579622890246&lt;/D&gt;&lt;D xsi:type="xsd:double"&gt;31.1965313479556&lt;/D&gt;&lt;D xsi:type="xsd:double"&gt;30.6484934785557&lt;/D&gt;&lt;D xsi:type="xsd:double"&gt;31.7760425679871&lt;/D&gt;&lt;D xsi:type="xsd:double"&gt;33.4400458431509&lt;/D&gt;&lt;D xsi:type="xsd:double"&gt;31.8295035349733&lt;/D&gt;&lt;D xsi:type="xsd:double"&gt;32.8102514059019&lt;/D&gt;&lt;D xsi:type="xsd:double"&gt;32.1588818109295&lt;/D&gt;&lt;D xsi:type="xsd:double"&gt;34.8358448284718&lt;/D&gt;&lt;D xsi:type="xsd:double"&gt;33.6491308665846&lt;/D&gt;&lt;D xsi:type="xsd:double"&gt;31.507983403909&lt;/D&gt;&lt;D xsi:type="xsd:double"&gt;32.1056061869123&lt;/D&gt;&lt;D xsi:type="xsd:double"&gt;32.4756251586594&lt;/D&gt;&lt;D xsi:type="xsd:double"&gt;32.3381342517209&lt;/D&gt;&lt;D xsi:type="xsd:double"&gt;33.9301751590274&lt;/D&gt;&lt;D xsi:type="xsd:double"&gt;33.9187212658759&lt;/D&gt;&lt;D xsi:type="xsd:double"&gt;34.7672165856944&lt;/D&gt;&lt;D xsi:type="xsd:double"&gt;34.1038282744414&lt;/D&gt;&lt;D xsi:type="xsd:double"&gt;33.8459688774979&lt;/D&gt;&lt;D xsi:type="xsd:double"&gt;31.5632423775245&lt;/D&gt;&lt;D xsi:type="xsd:double"&gt;32.2585404681688&lt;/D&gt;&lt;D xsi:type="xsd:double"&gt;29.227064470653&lt;/D&gt;&lt;D xsi:type="xsd:double"&gt;28.9278478499414&lt;/D&gt;&lt;D xsi:type="xsd:double"&gt;29.4549390389838&lt;/D&gt;&lt;D xsi:type="xsd:double"&gt;28.7863079035269&lt;/D&gt;&lt;D xsi:type="xsd:double"&gt;26.780744768853&lt;/D&gt;&lt;D xsi:type="xsd:double"&gt;25.747076801141&lt;/D&gt;&lt;D xsi:type="xsd:double"&gt;26.1559707779372&lt;/D&gt;&lt;D xsi:type="xsd:double"&gt;26.9350110394369&lt;/D&gt;&lt;D xsi:type="xsd:double"&gt;24.4113815015044&lt;/D&gt;&lt;D xsi:type="xsd:double"&gt;23.4680164474744&lt;/D&gt;&lt;D xsi:type="xsd:double"&gt;23.2167648788871&lt;/D&gt;&lt;D xsi:type="xsd:double"&gt;23.2049178414548&lt;/D&gt;&lt;D xsi:type="xsd:double"&gt;24.0290819403296&lt;/D&gt;&lt;D xsi:type="xsd:double"&gt;24.011013925857&lt;/D&gt;&lt;D xsi:type="xsd:double"&gt;23.0870006206023&lt;/D&gt;&lt;D xsi:type="xsd:double"&gt;23.6750083418395&lt;/D&gt;&lt;D xsi:type="xsd:double"&gt;23.4845394606897&lt;/D&gt;&lt;D xsi:type="xsd:double"&gt;20.8521691751906&lt;/D&gt;&lt;D xsi:type="xsd:double"&gt;20.964921379109&lt;/D&gt;&lt;D xsi:type="xsd:double"&gt;20.3354044471677&lt;/D&gt;&lt;D xsi:type="xsd:double"&gt;20.166110375564&lt;/D&gt;&lt;D xsi:type="xsd:double"&gt;19.1494814094559&lt;/D&gt;&lt;D xsi:type="xsd:double"&gt;20.2900103937602&lt;/D&gt;&lt;D xsi:type="xsd:double"&gt;22.9720675812572&lt;/D&gt;&lt;D xsi:type="xsd:double"&gt;22.5111139193157&lt;/D&gt;&lt;D xsi:type="xsd:double"&gt;22.4782074581876&lt;/D&gt;&lt;D xsi:type="xsd:double"&gt;25.2815236006387&lt;/D&gt;&lt;D xsi:type="xsd:double"&gt;25.2564775876662&lt;/D&gt;&lt;D xsi:type="xsd:double"&gt;24.9767849885702&lt;/D&gt;&lt;D xsi:type="xsd:double"&gt;23.8866712709015&lt;/D&gt;&lt;D xsi:type="xsd:double"&gt;24.8893087607956&lt;/D&gt;&lt;D xsi:type="xsd:double"&gt;26.9779315862113&lt;/D&gt;&lt;/FQL&gt;&lt;FQL&gt;&lt;Q&gt;EWG^FG_TOTAL_RETURNC(0,-6AM)&lt;/Q&gt;&lt;R&gt;1&lt;/R&gt;&lt;C&gt;1&lt;/C&gt;&lt;D xsi:type="xsd:double"&gt;8.586502&lt;/D&gt;&lt;/FQL&gt;&lt;FQL&gt;&lt;Q&gt;TRYIT10Y-FDS^FG_YIELD(0,,,,"YTM")&lt;/Q&gt;&lt;R&gt;1&lt;/R&gt;&lt;C&gt;1&lt;/C&gt;&lt;D xsi:type="xsd:double"&gt;3.647&lt;/D&gt;&lt;/FQL&gt;&lt;FQL&gt;&lt;Q&gt;CC_CH^IMF_IFS_RCPI_Q(0)&lt;/Q&gt;&lt;R&gt;1&lt;/R&gt;&lt;C&gt;1&lt;/C&gt;&lt;D xsi:type="xsd:double"&gt;1.3619826&lt;/D&gt;&lt;/FQL&gt;&lt;FQL&gt;&lt;Q&gt;EWN^FG_FCF_YIELD_NTM(0)&lt;/Q&gt;&lt;R&gt;1&lt;/R&gt;&lt;C&gt;1&lt;/C&gt;&lt;D xsi:type="xsd:double"&gt;4.02695048949754&lt;/D&gt;&lt;/FQL&gt;&lt;FQL&gt;&lt;Q&gt;USDUSD^STD(FG_PRICE_CHANGE(0,-3AY,M))&lt;/Q&gt;&lt;R&gt;1&lt;/R&gt;&lt;C&gt;1&lt;/C&gt;&lt;D xsi:type="xsd:double"&gt;0&lt;/D&gt;&lt;/FQL&gt;&lt;FQL&gt;&lt;Q&gt;EWU^FG_PRICE_MAVG(0,,,,30)&lt;/Q&gt;&lt;R&gt;1&lt;/R&gt;&lt;C&gt;1&lt;/C&gt;&lt;D xsi:type="xsd:double"&gt;36.063667&lt;/D&gt;&lt;/FQL&gt;&lt;FQL&gt;&lt;Q&gt;EWI^FG_ROE(0)&lt;/Q&gt;&lt;R&gt;1&lt;/R&gt;&lt;C&gt;1&lt;/C&gt;&lt;D xsi:type="xsd:double"&gt;12.9252681431313&lt;/D&gt;&lt;/FQL&gt;&lt;FQL&gt;&lt;Q&gt;ENZL^FMA_EVAL_EBITDA(NTMA,0,,,"PORTAGG","MEANR")&lt;/Q&gt;&lt;R&gt;1&lt;/R&gt;&lt;C&gt;1&lt;/C&gt;&lt;D xsi:type="xsd:double"&gt;12.6081690424035&lt;/D&gt;&lt;/FQL&gt;&lt;FQL&gt;&lt;Q&gt;TLT^P_PRICE(0)/P_PRICE_HIGH_PR(0,,,USD,,,"PRICE","INTRA","52W")&lt;/Q&gt;&lt;R&gt;1&lt;/R&gt;&lt;C&gt;1&lt;/C&gt;&lt;D xsi:type="xsd:double"&gt;0.9697723&lt;/D&gt;&lt;/FQL&gt;&lt;FQL&gt;&lt;Q&gt;EWI^FMA_PE(LTMA,-10AY,0,AM,"PORTAGG","MEANR")&lt;/Q&gt;&lt;R&gt;121&lt;/R&gt;&lt;C&gt;1&lt;/C&gt;&lt;D xsi:type="xsd:double"&gt;17.5675207028686&lt;/D&gt;&lt;D xsi:type="xsd:double"&gt;17.7168681134793&lt;/D&gt;&lt;D xsi:type="xsd:double"&gt;16.806588900707&lt;/D&gt;&lt;D xsi:type="xsd:double"&gt;18.1616559059125&lt;/D&gt;&lt;D xsi:type="xsd:double"&gt;18.3633865917437&lt;/D&gt;&lt;D xsi:type="xsd:double"&gt;23.6574287171266&lt;/D&gt;&lt;D xsi:type="xsd:double"&gt;45.3660681485857&lt;/D&gt;&lt;D xsi:type="xsd:double"&gt;42.7687759519394&lt;/D&gt;&lt;D xsi:type="xsd:double"&gt;39.7060108182417&lt;/D&gt;&lt;D xsi:type="xsd:double"&gt;37.0356016652559&lt;/D&gt;&lt;D xsi:type="xsd:double"&gt;33.630075705595&lt;/D&gt;&lt;D xsi:type="xsd:double"&gt;31.218779264466&lt;/D&gt;&lt;D xsi:type="xsd:double"&gt;28.1855295965427&lt;/D&gt;&lt;D xsi:type="xsd:double"&gt;24.573027639182&lt;/D&gt;&lt;D xsi:type="xsd:double"&gt;23.3586482603796&lt;/D&gt;&lt;D xsi:type="xsd:double"&gt;21.6984993755562&lt;/D&gt;&lt;D xsi:type="xsd:double"&gt;18.3026807585256&lt;/D&gt;&lt;D xsi:type="xsd:double"&gt;15.2240940767902&lt;/D&gt;&lt;D xsi:type="xsd:double"&gt;15.3964541226054&lt;/D&gt;&lt;D xsi:type="xsd:double"&gt;15.3175156511975&lt;/D&gt;&lt;D xsi:type="xsd:double"&gt;15.2931220355081&lt;/D&gt;&lt;D xsi:type="xsd:double"&gt;15.5467365638152&lt;/D&gt;&lt;D xsi:type="xsd:double"&gt;14.3199944785174&lt;/D&gt;&lt;D xsi:type="xsd:double"&gt;14.7343350315856&lt;/D&gt;&lt;D xsi:type="xsd:double"&gt;14.9356455971554&lt;/D&gt;&lt;D xsi:type="xsd:double"&gt;14.6536235051942&lt;/D&gt;&lt;D xsi:type="xsd:double"&gt;15.1727222518743&lt;/D&gt;&lt;D xsi:type="xsd:double"&gt;14.6758649437878&lt;/D&gt;&lt;D xsi:type="xsd:double"&gt;27.5909278530279&lt;/D&gt;&lt;D xsi:type="xsd:double"&gt;27.3488655567196&lt;/D&gt;&lt;D xsi:type="xsd:double"&gt;85.9689272923756&lt;/D&gt;&lt;D xsi:type="xsd:double"&gt;79.2897551877249&lt;/D&gt;&lt;D xsi:type="xsd:double"&gt;72.2320717746234&lt;/D&gt;&lt;D xsi:type="xsd:double"&gt;65.7915756784264&lt;/D&gt;&lt;D xsi:type="xsd:double"&gt;57.6012479012179&lt;/D&gt;&lt;D xsi:type="xsd:double"&gt;51.1501572746172&lt;/D&gt;&lt;D xsi:type="xsd:double"&gt;43.4460588613506&lt;/D&gt;&lt;D xsi:type="xsd:double"&gt;36.6466347019993&lt;/D&gt;&lt;D xsi:type="xsd:double"&gt;30.270561998868&lt;/D&gt;&lt;D xsi:type="xsd:double"&gt;22.6084592030132&lt;/D&gt;&lt;D xsi:type="xsd:double"&gt;15.5073974754213&lt;/D&gt;&lt;D xsi:type="xsd:double"&gt;15.8236403691236&lt;/D&gt;&lt;D xsi:type="xsd:double"&gt;14.2133860010366&lt;/D&gt;&lt;D xsi:type="xsd:double"&gt;14.0836991602724&lt;/D&gt;&lt;D xsi:type="xsd:double"&gt;14.1811937174317&lt;/D&gt;&lt;D xsi:type="xsd:double"&gt;13.3622936323602&lt;/D&gt;&lt;D xsi:type="xsd:double"&gt;13.2895626234646&lt;/D&gt;&lt;D xsi:type="xsd:double"&gt;13.2808057715658&lt;/D&gt;&lt;D xsi:type="xsd:double"&gt;12.6608499150742&lt;/D&gt;&lt;D xsi:type="xsd:double"&gt;12.333076822306&lt;/D&gt;&lt;D xsi:type="xsd:double"&gt;11.4370931755035&lt;/D&gt;&lt;D xsi:type="xsd:double"&gt;11.1889792538667&lt;/D&gt;&lt;D xsi:type="xsd:double"&gt;10.4209629178755&lt;/D&gt;&lt;D xsi:type="xsd:double"&gt;11.1069665460259&lt;/D&gt;&lt;D xsi:type="xsd:double"&gt;11.3132451904946&lt;/D&gt;&lt;D xsi:type="xsd:double"&gt;11.324216150149&lt;/D&gt;&lt;D xsi:type="xsd:double"&gt;11.341703111743&lt;/D&gt;&lt;D xsi:type="xsd:double"&gt;10.8916213104995&lt;/D&gt;&lt;D xsi:type="xsd:double"&gt;11.1091412017896&lt;/D&gt;&lt;D xsi:type="xsd:double"&gt;11.2657213350809&lt;/D&gt;&lt;D xsi:type="xsd:double"&gt;11.1152851854124&lt;/D&gt;&lt;D xsi:type="xsd:double"&gt;11.3118920649741&lt;/D&gt;&lt;D xsi:type="xsd:double"&gt;11.6394543729842&lt;/D&gt;&lt;D xsi:type="xsd:double"&gt;11.9159892515684&lt;/D&gt;&lt;D xsi:type="xsd:double"&gt;12.2369216075069&lt;/D&gt;&lt;D xsi:type="xsd:double"&gt;12.4302592681293&lt;/D&gt;&lt;D xsi:type="xsd:double"&gt;11.3567081312941&lt;/D&gt;&lt;D xsi:type="xsd:double"&gt;11.0732652527067&lt;/D&gt;&lt;D xsi:type="xsd:double"&gt;12.5449908813885&lt;/D&gt;&lt;D xsi:type="xsd:double"&gt;14.4046913543627&lt;/D&gt;&lt;D xsi:type="xsd:double"&gt;16.3272804755843&lt;/D&gt;&lt;D xsi:type="xsd:double"&gt;17.6993978571511&lt;/D&gt;&lt;D xsi:type="xsd:double"&gt;17.8040005475175&lt;/D&gt;&lt;D xsi:type="xsd:double"&gt;18.1124181519946&lt;/D&gt;&lt;D xsi:type="xsd:double"&gt;17.7986766419726&lt;/D&gt;&lt;D xsi:type="xsd:double"&gt;22.0709542281702&lt;/D&gt;&lt;D xsi:type="xsd:double"&gt;23.3794160380475&lt;/D&gt;&lt;D xsi:type="xsd:double"&gt;20.2234159826661&lt;/D&gt;&lt;D xsi:type="xsd:double"&gt;20.3525735166553&lt;/D&gt;&lt;D xsi:type="xsd:double"&gt;19.8113155156551&lt;/D&gt;&lt;D xsi:type="xsd:double"&gt;19.1407610114618&lt;/D&gt;&lt;D xsi:type="xsd:double"&gt;18.636459448785&lt;/D&gt;&lt;D xsi:type="xsd:double"&gt;18.0744722789775&lt;/D&gt;&lt;D xsi:type="xsd:double"&gt;17.3983841935048&lt;/D&gt;&lt;D xsi:type="xsd:double"&gt;15.7882782038712&lt;/D&gt;&lt;D xsi:type="xsd:double"&gt;14.7482677299391&lt;/D&gt;&lt;D xsi:type="xsd:double"&gt;14.2235277460482&lt;/D&gt;&lt;D xsi:type="xsd:double"&gt;12.7154053085387&lt;/D&gt;&lt;D xsi:type="xsd:double"&gt;12.1188588627988&lt;/D&gt;&lt;D xsi:type="xsd:double"&gt;11.7300894184922&lt;/D&gt;&lt;D xsi:type="xsd:double"&gt;10.6475829192046&lt;/D&gt;&lt;D xsi:type="xsd:double"&gt;10.578645980567&lt;/D&gt;&lt;D xsi:type="xsd:double"&gt;10.4148019498813&lt;/D&gt;&lt;D xsi:type="xsd:double"&gt;10.1313627279421&lt;/D&gt;&lt;D xsi:type="xsd:double"&gt;9.43453528870768&lt;/D&gt;&lt;D xsi:type="xsd:double"&gt;8.9997182757173&lt;/D&gt;&lt;D xsi:type="xsd:double"&gt;8.3913347026396&lt;/D&gt;&lt;D xsi:type="xsd:double"&gt;7.92177868909253&lt;/D&gt;&lt;D xsi:type="xsd:double"&gt;8.11812219945579&lt;/D&gt;&lt;D xsi:type="xsd:double"&gt;8.03031800470959&lt;/D&gt;&lt;D xsi:type="xsd:double"&gt;7.49673666392136&lt;/D&gt;&lt;D xsi:type="xsd:double"&gt;8.13571254150703&lt;/D&gt;&lt;D xsi:type="xsd:double"&gt;8.22912587318896&lt;/D&gt;&lt;D xsi:type="xsd:double"&gt;8.27558180972448&lt;/D&gt;&lt;D xsi:type="xsd:double"&gt;8.37785429534273&lt;/D&gt;&lt;D xsi:type="xsd:double"&gt;8.2071572421251&lt;/D&gt;&lt;D xsi:type="xsd:double"&gt;8.54893772162655&lt;/D&gt;&lt;D xsi:type="xsd:double"&gt;8.53179561995333&lt;/D&gt;&lt;D xsi:type="xsd:double"&gt;8.35414517340685&lt;/D&gt;&lt;D xsi:type="xsd:double"&gt;8.25238875038985&lt;/D&gt;&lt;D xsi:type="xsd:double"&gt;7.90017820948708&lt;/D&gt;&lt;D xsi:type="xsd:double"&gt;8.33742818487287&lt;/D&gt;&lt;D xsi:type="xsd:double"&gt;8.85440833166031&lt;/D&gt;&lt;D xsi:type="xsd:double"&gt;8.9580067949301&lt;/D&gt;&lt;D xsi:type="xsd:double"&gt;9.34647597709894&lt;/D&gt;&lt;D xsi:type="xsd:double"&gt;9.48265739025572&lt;/D&gt;&lt;D xsi:type="xsd:double"&gt;9.46394961942179&lt;/D&gt;&lt;D xsi:type="xsd:double"&gt;9.53093150360186&lt;/D&gt;&lt;D xsi:type="xsd:double"&gt;9.42033974868277&lt;/D&gt;&lt;D xsi:type="xsd:double"&gt;9.70102886573637&lt;/D&gt;&lt;D xsi:type="xsd:double"&gt;9.82262099546662&lt;/D&gt;&lt;/FQL&gt;&lt;FQL&gt;&lt;Q&gt;EWJ^FMA_COS_UP("EPS","1M",+1,0,,,"PORTAGG","MEANR")&lt;/Q&gt;&lt;R&gt;1&lt;/R&gt;&lt;C&gt;1&lt;/C&gt;&lt;D xsi:type="xsd:double"&gt;99&lt;/D&gt;&lt;/FQL&gt;&lt;FQL&gt;&lt;Q&gt;CC_JP^IMF_IFS_RCPI_Q(0)&lt;/Q&gt;&lt;R&gt;1&lt;/R&gt;&lt;C&gt;1&lt;/C&gt;&lt;D xsi:type="xsd:double"&gt;2.7266946&lt;/D&gt;&lt;/FQL&gt;&lt;FQL&gt;&lt;Q&gt;USDAUD^STD(FG_PRICE_CHANGE(0,-1AY,AM))&lt;/Q&gt;&lt;R&gt;1&lt;/R&gt;&lt;C&gt;1&lt;/C&gt;&lt;D xsi:type="xsd:double"&gt;2.50864195117814&lt;/D&gt;&lt;/FQL&gt;&lt;FQL&gt;&lt;Q&gt;NI-FDS^FG_PRICE(0)&lt;/Q&gt;&lt;R&gt;1&lt;/R&gt;&lt;C&gt;1&lt;/C&gt;&lt;D xsi:type="xsd:double"&gt;16735&lt;/D&gt;&lt;/FQL&gt;&lt;FQL&gt;&lt;Q&gt;EWD^P_PRICE(0)/P_PRICE_LOW_PR(0,,,,,,"PRICE","INTRA","52W")-1&lt;/Q&gt;&lt;R&gt;1&lt;/R&gt;&lt;C&gt;1&lt;/C&gt;&lt;D xsi:type="xsd:double"&gt;0.37102818&lt;/D&gt;&lt;/FQL&gt;&lt;FQL&gt;&lt;Q&gt;EWU^FG_TOTAL_RETURNC(0,-12AM)&lt;/Q&gt;&lt;R&gt;1&lt;/R&gt;&lt;C&gt;1&lt;/C&gt;&lt;D xsi:type="xsd:double"&gt;21.852016&lt;/D&gt;&lt;/FQL&gt;&lt;FQL&gt;&lt;Q&gt;EWG^FG_TOTAL_RETURNC(0,-1AM)&lt;/Q&gt;&lt;R&gt;1&lt;/R&gt;&lt;C&gt;1&lt;/C&gt;&lt;D xsi:type="xsd:double"&gt;4.708159&lt;/D&gt;&lt;/FQL&gt;&lt;FQL&gt;&lt;Q&gt;EWG^FMA_COS_DOWN("EPS","1M",+1,0,,,"PORTAGG","MEANR")&lt;/Q&gt;&lt;R&gt;1&lt;/R&gt;&lt;C&gt;1&lt;/C&gt;&lt;D xsi:type="xsd:double"&gt;29&lt;/D&gt;&lt;/FQL&gt;&lt;FQL&gt;&lt;Q&gt;EWN^FG_ROE(0)&lt;/Q&gt;&lt;R&gt;1&lt;/R&gt;&lt;C&gt;1&lt;/C&gt;&lt;D xsi:type="xsd:double"&gt;10.9322088235696&lt;/D&gt;&lt;/FQL&gt;&lt;FQL&gt;&lt;Q&gt;EWL^FMA_PE(NTMA,0,,,"PORTAGG","MEANR")&lt;/Q&gt;&lt;R&gt;1&lt;/R&gt;&lt;C&gt;1&lt;/C&gt;&lt;D xsi:type="xsd:double"&gt;17.6222898973855&lt;/D&gt;&lt;/FQL&gt;&lt;FQL&gt;&lt;Q&gt;EWQ^FMA_ROE(NTMA,-20AY,NOW,FY,"PORTAGG","MEANR")&lt;/Q&gt;&lt;R&gt;20&lt;/R&gt;&lt;C&gt;1&lt;/C&gt;&lt;D xsi:type="xsd:double"&gt;15.3785109881273&lt;/D&gt;&lt;D xsi:type="xsd:double"&gt;16.6302131420813&lt;/D&gt;&lt;D xsi:type="xsd:double"&gt;15.4089673624266&lt;/D&gt;&lt;D xsi:type="xsd:double"&gt;15.0205314626708&lt;/D&gt;&lt;D xsi:type="xsd:double"&gt;11.8797489821456&lt;/D&gt;&lt;D xsi:type="xsd:double"&gt;10.9934091834566&lt;/D&gt;&lt;D xsi:type="xsd:double"&gt;12.0259375987481&lt;/D&gt;&lt;D xsi:type="xsd:double"&gt;10.8176655066299&lt;/D&gt;&lt;D xsi:type="xsd:double"&gt;10.4079638226552&lt;/D&gt;&lt;D xsi:type="xsd:double"&gt;10.3975296667646&lt;/D&gt;&lt;D xsi:type="xsd:double"&gt;9.87060023176551&lt;/D&gt;&lt;D xsi:type="xsd:double"&gt;9.82548245608185&lt;/D&gt;&lt;D xsi:type="xsd:double"&gt;9.88315391318072&lt;/D&gt;&lt;D xsi:type="xsd:double"&gt;10.4363064842242&lt;/D&gt;&lt;D xsi:type="xsd:double"&gt;11.3283895806005&lt;/D&gt;&lt;D xsi:type="xsd:double"&gt;10.9140096452361&lt;/D&gt;&lt;D xsi:type="xsd:double"&gt;8.94223448408443&lt;/D&gt;&lt;D xsi:type="xsd:double"&gt;12.2539555485597&lt;/D&gt;&lt;D xsi:type="xsd:double"&gt;13.1476341706421&lt;/D&gt;&lt;D xsi:type="xsd:double"&gt;13.2212508616692&lt;/D&gt;&lt;/FQL&gt;&lt;FQL&gt;&lt;Q&gt;USDGBP^STD(FG_PRICE_CHANGE(0,-1AY,AM))&lt;/Q&gt;&lt;R&gt;1&lt;/R&gt;&lt;C&gt;1&lt;/C&gt;&lt;D xsi:type="xsd:double"&gt;1.92975840151035&lt;/D&gt;&lt;/FQL&gt;&lt;FQL&gt;&lt;Q&gt;QQQ^FG_TOTAL_RETURNC(-10AY,0,AM)&lt;/Q&gt;&lt;R&gt;121&lt;/R&gt;&lt;C&gt;1&lt;/C&gt;&lt;D xsi:type="xsd:double"&gt;3.2919288&lt;/D&gt;&lt;D xsi:type="xsd:double"&gt;-0.89733005&lt;/D&gt;&lt;D xsi:type="xsd:double"&gt;1.1758685&lt;/D&gt;&lt;D xsi:type="xsd:double"&gt;6.2118053&lt;/D&gt;&lt;D xsi:type="xsd:double"&gt;-0.56655407&lt;/D&gt;&lt;D xsi:type="xsd:double"&gt;-2.9803813&lt;/D&gt;&lt;D xsi:type="xsd:double"&gt;6.3892484&lt;/D&gt;&lt;D xsi:type="xsd:double"&gt;-2.4343371&lt;/D&gt;&lt;D xsi:type="xsd:double"&gt;3.6296487&lt;/D&gt;&lt;D xsi:type="xsd:double"&gt;0.6401539&lt;/D&gt;&lt;D xsi:type="xsd:double"&gt;-2.8289378&lt;/D&gt;&lt;D xsi:type="xsd:double"&gt;4.555249&lt;/D&gt;&lt;D xsi:type="xsd:double"&gt;-5.316001&lt;/D&gt;&lt;D xsi:type="xsd:double"&gt;-5.5903196&lt;/D&gt;&lt;D xsi:type="xsd:double"&gt;14.446556&lt;/D&gt;&lt;D xsi:type="xsd:double"&gt;0.41285753&lt;/D&gt;&lt;D xsi:type="xsd:double"&gt;0.3029108&lt;/D&gt;&lt;D xsi:type="xsd:double"&gt;-8.897644&lt;/D&gt;&lt;D xsi:type="xsd:double"&gt;-1.5653491&lt;/D&gt;&lt;D xsi:type="xsd:double"&gt;6.489873&lt;/D&gt;&lt;D xsi:type="xsd:double"&gt;-2.8576672&lt;/D&gt;&lt;D xsi:type="xsd:double"&gt;4.1713953&lt;/D&gt;&lt;D xsi:type="xsd:double"&gt;-3.2087862&lt;/D&gt;&lt;D xsi:type="xsd:double"&gt;8.390558&lt;/D&gt;&lt;D xsi:type="xsd:double"&gt;1.4839888&lt;/D&gt;&lt;D xsi:type="xsd:double"&gt;1.0221004&lt;/D&gt;&lt;D xsi:type="xsd:double"&gt;-0.6279707&lt;/D&gt;&lt;D xsi:type="xsd:double"&gt;1.5713096&lt;/D&gt;&lt;D xsi:type="xsd:double"&gt;0.94606876&lt;/D&gt;&lt;D xsi:type="xsd:double"&gt;5.087292&lt;/D&gt;&lt;D xsi:type="xsd:double"&gt;3.3545375&lt;/D&gt;&lt;D xsi:type="xsd:double"&gt;1.9268751&lt;/D&gt;&lt;D xsi:type="xsd:double"&gt;2.8279781&lt;/D&gt;&lt;D xsi:type="xsd:double"&gt;3.8458705&lt;/D&gt;&lt;D xsi:type="xsd:double"&gt;-2.3035824&lt;/D&gt;&lt;D xsi:type="xsd:double"&gt;4.542482&lt;/D&gt;&lt;D xsi:type="xsd:double"&gt;-0.60483813&lt;/D&gt;&lt;D xsi:type="xsd:double"&gt;1.9578695&lt;/D&gt;&lt;D xsi:type="xsd:double"&gt;3.9807558&lt;/D&gt;&lt;D xsi:type="xsd:double"&gt;1.7323375&lt;/D&gt;&lt;D xsi:type="xsd:double"&gt;1.4451027&lt;/D&gt;&lt;D xsi:type="xsd:double"&gt;9.206474&lt;/D&gt;&lt;D xsi:type="xsd:double"&gt;-1.6990006&lt;/D&gt;&lt;D xsi:type="xsd:double"&gt;-4.075706&lt;/D&gt;&lt;D xsi:type="xsd:double"&gt;1.2240052&lt;/D&gt;&lt;D xsi:type="xsd:double"&gt;4.244554&lt;/D&gt;&lt;D xsi:type="xsd:double"&gt;1.8038511&lt;/D&gt;&lt;D xsi:type="xsd:double"&gt;3.4780025&lt;/D&gt;&lt;D xsi:type="xsd:double"&gt;5.1345587&lt;/D&gt;&lt;D xsi:type="xsd:double"&gt;-0.33032894&lt;/D&gt;&lt;D xsi:type="xsd:double"&gt;-12.142742&lt;/D&gt;&lt;D xsi:type="xsd:double"&gt;3.0141473&lt;/D&gt;&lt;D xsi:type="xsd:double"&gt;-8.761001&lt;/D&gt;&lt;D xsi:type="xsd:double"&gt;5.6220174&lt;/D&gt;&lt;D xsi:type="xsd:double"&gt;7.1919203&lt;/D&gt;&lt;D xsi:type="xsd:double"&gt;3.9242387&lt;/D&gt;&lt;D xsi:type="xsd:double"&gt;6.3230515&lt;/D&gt;&lt;D xsi:type="xsd:double"&gt;-7.847351&lt;/D&gt;&lt;D xsi:type="xsd:double"&gt;6.3184857&lt;/D&gt;&lt;D xsi:type="xsd:double"&gt;4.2197704&lt;/D&gt;&lt;D xsi:type="xsd:double"&gt;-3.4426033&lt;/D&gt;&lt;D xsi:type="xsd:double"&gt;-0.2729118&lt;/D&gt;&lt;D xsi:type="xsd:double"&gt;4.8174024&lt;/D&gt;&lt;D xsi:type="xsd:double"&gt;4.6215177&lt;/D&gt;&lt;D xsi:type="xsd:double"&gt;4.374218&lt;/D&gt;&lt;D xsi:type="xsd:double"&gt;3.8387656&lt;/D&gt;&lt;D xsi:type="xsd:double"&gt;-7.217884&lt;/D&gt;&lt;D xsi:type="xsd:double"&gt;-9.7695465&lt;/D&gt;&lt;D xsi:type="xsd:double"&gt;18.186724&lt;/D&gt;&lt;D xsi:type="xsd:double"&gt;6.557083&lt;/D&gt;&lt;D xsi:type="xsd:double"&gt;4.2413235&lt;/D&gt;&lt;D xsi:type="xsd:double"&gt;6.971669&lt;/D&gt;&lt;D xsi:type="xsd:double"&gt;12.611162&lt;/D&gt;&lt;D xsi:type="xsd:double"&gt;-5.530876&lt;/D&gt;&lt;D xsi:type="xsd:double"&gt;0.15945435&lt;/D&gt;&lt;D xsi:type="xsd:double"&gt;8.184088&lt;/D&gt;&lt;D xsi:type="xsd:double"&gt;4.855573&lt;/D&gt;&lt;D xsi:type="xsd:double"&gt;0.5112529&lt;/D&gt;&lt;D xsi:type="xsd:double"&gt;-0.1335144&lt;/D&gt;&lt;D xsi:type="xsd:double"&gt;0.6880045&lt;/D&gt;&lt;D xsi:type="xsd:double"&gt;7.695234&lt;/D&gt;&lt;D xsi:type="xsd:double"&gt;-1.848805&lt;/D&gt;&lt;D xsi:type="xsd:double"&gt;6.4291954&lt;/D&gt;&lt;D xsi:type="xsd:double"&gt;3.236711&lt;/D&gt;&lt;D xsi:type="xsd:double"&gt;2.6085973&lt;/D&gt;&lt;D xsi:type="xsd:double"&gt;-4.3488383&lt;/D&gt;&lt;D xsi:type="xsd:double"&gt;7.467711&lt;/D&gt;&lt;D xsi:type="xsd:double"&gt;3.517139&lt;/D&gt;&lt;D xsi:type="xsd:double"&gt;0.59503317&lt;/D&gt;&lt;D xsi:type="xsd:double"&gt;-12.389493&lt;/D&gt;&lt;D xsi:type="xsd:double"&gt;-1.4212608&lt;/D&gt;&lt;D xsi:type="xsd:double"&gt;7.1654797&lt;/D&gt;&lt;D xsi:type="xsd:double"&gt;-15.609259&lt;/D&gt;&lt;D xsi:type="xsd:double"&gt;-1.3248205&lt;/D&gt;&lt;D xsi:type="xsd:double"&gt;-8.012783&lt;/D&gt;&lt;D xsi:type="xsd:double"&gt;11.155748&lt;/D&gt;&lt;D xsi:type="xsd:double"&gt;-3.502816&lt;/D&gt;&lt;D xsi:type="xsd:double"&gt;-10.530406&lt;/D&gt;&lt;D xsi:type="xsd:double"&gt;3.4391403&lt;/D&gt;&lt;D xsi:type="xsd:double"&gt;-0.23113489&lt;/D&gt;&lt;D xsi:type="xsd:double"&gt;-4.8054457&lt;/D&gt;&lt;D xsi:type="xsd:double"&gt;11.192012&lt;/D&gt;&lt;D xsi:type="xsd:double"&gt;-0.91136694&lt;/D&gt;&lt;D xsi:type="xsd:double"&gt;6.6911817&lt;/D&gt;&lt;D xsi:type="xsd:double"&gt;3.1465888&lt;/D&gt;&lt;D xsi:type="xsd:double"&gt;8.010912&lt;/D&gt;&lt;D xsi:type="xsd:double"&gt;4.5665026&lt;/D&gt;&lt;D xsi:type="xsd:double"&gt;5.4066777&lt;/D&gt;&lt;D xsi:type="xsd:double"&gt;-2.2713125&lt;/D&gt;&lt;D xsi:type="xsd:double"&gt;-4.2645693&lt;/D&gt;&lt;D xsi:type="xsd:double"&gt;-3.617382&lt;/D&gt;&lt;D xsi:type="xsd:double"&gt;12.886965&lt;/D&gt;&lt;D xsi:type="xsd:double"&gt;5.320108&lt;/D&gt;&lt;D xsi:type="xsd:double"&gt;4.549229&lt;/D&gt;&lt;D xsi:type="xsd:double"&gt;2.534163&lt;/D&gt;&lt;D xsi:type="xsd:double"&gt;1.2738109&lt;/D&gt;&lt;D xsi:type="xsd:double"&gt;-2.535981&lt;/D&gt;&lt;D xsi:type="xsd:double"&gt;5.474293&lt;/D&gt;&lt;D xsi:type="xsd:double"&gt;5.1353455&lt;/D&gt;&lt;D xsi:type="xsd:double"&gt;-3.1746328&lt;/D&gt;&lt;D xsi:type="xsd:double"&gt;1.4572144&lt;/D&gt;&lt;/FQL&gt;&lt;FQL&gt;&lt;Q&gt;URTH^P_PRICE(0)/P_PRICE_HIGH_PR(0,,,,,,"PRICE","INTRA","52W")&lt;/Q&gt;&lt;R&gt;1&lt;/R&gt;&lt;C&gt;1&lt;/C&gt;&lt;D xsi:type="xsd:double"&gt;0.99138&lt;/D&gt;&lt;/FQL&gt;&lt;FQL&gt;&lt;Q&gt;TLT^FG_TOTAL_RETURNC(0,-3AM)&lt;/Q&gt;&lt;R&gt;1&lt;/R&gt;&lt;C&gt;1&lt;/C&gt;&lt;D xsi:type="xsd:double"&gt;10.698378&lt;/D&gt;&lt;/FQL&gt;&lt;FQL&gt;&lt;Q&gt;USDGBP^FG_PRICE_CHANGE(0,-1AY)&lt;/Q&gt;&lt;R&gt;1&lt;/R&gt;&lt;C&gt;1&lt;/C&gt;&lt;D xsi:type="xsd:double"&gt;-4.309654&lt;/D&gt;&lt;/FQL&gt;&lt;FQL&gt;&lt;Q&gt;USDAUD^FG_PRICE_CHANGE(0,-6AM)&lt;/Q&gt;&lt;R&gt;1&lt;/R&gt;&lt;C&gt;1&lt;/C&gt;&lt;D xsi:type="xsd:double"&gt;-4.129863&lt;/D&gt;&lt;/FQL&gt;&lt;FQL&gt;&lt;Q&gt;EWL^FG_PRICE_MAVG(0,,,,30)&lt;/Q&gt;&lt;R&gt;1&lt;/R&gt;&lt;C&gt;1&lt;/C&gt;&lt;D xsi:type="xsd:double"&gt;50.510666&lt;/D&gt;&lt;/FQL&gt;&lt;FQL&gt;&lt;Q&gt;EWU^P_PRICE(0)/P_PRICE_LOW_PR(0,,,,,,"PRICE","INTRA","52W")-1&lt;/Q&gt;&lt;R&gt;1&lt;/R&gt;&lt;C&gt;1&lt;/C&gt;&lt;D xsi:type="xsd:double"&gt;0.24651623&lt;/D&gt;&lt;/FQL&gt;&lt;FQL&gt;&lt;Q&gt;VWO^SIZE(FG_CONSTITUENTS)&lt;/Q&gt;&lt;R&gt;1&lt;/R&gt;&lt;C&gt;1&lt;/C&gt;&lt;D xsi:type="xsd:long"&gt;4826&lt;/D&gt;&lt;/FQL&gt;&lt;FQL&gt;&lt;Q&gt;SPY^FG_ROE(0)&lt;/Q&gt;&lt;R&gt;1&lt;/R&gt;&lt;C&gt;1&lt;/C&gt;&lt;D xsi:type="xsd:double"&gt;18.6100670030457&lt;/D&gt;&lt;/FQL&gt;&lt;FQL&gt;&lt;Q&gt;VWO^FMA_EVAL_EBIT(LTMA,NOW,NOW,M,"PORTAGG","MEANR")&lt;/Q&gt;&lt;R&gt;1&lt;/R&gt;&lt;C&gt;1&lt;/C&gt;&lt;D xsi:type="xsd:double"&gt;14.389736458339&lt;/D&gt;&lt;/FQL&gt;&lt;FQL&gt;&lt;Q&gt;SPY^FMA_ROE(NTMA,-20AY,NOW,FY,"PORTAGG","MEANR")&lt;/Q&gt;&lt;R&gt;20&lt;/R&gt;&lt;C&gt;1&lt;/C&gt;&lt;D xsi:type="xsd:double"&gt;15.5861790200459&lt;/D&gt;&lt;D xsi:type="xsd:double"&gt;16.7322038566819&lt;/D&gt;&lt;D xsi:type="xsd:double"&gt;17.3873562088184&lt;/D&gt;&lt;D xsi:type="xsd:double"&gt;17.7935626477889&lt;/D&gt;&lt;D xsi:type="xsd:double"&gt;13.9384597707689&lt;/D&gt;&lt;D xsi:type="xsd:double"&gt;14.004346429543&lt;/D&gt;&lt;D xsi:type="xsd:double"&gt;15.0399433453936&lt;/D&gt;&lt;D xsi:type="xsd:double"&gt;15.5262408812809&lt;/D&gt;&lt;D xsi:type="xsd:double"&gt;15.3796547722071&lt;/D&gt;&lt;D xsi:type="xsd:double"&gt;15.8702437846916&lt;/D&gt;&lt;D xsi:type="xsd:double"&gt;15.8106739007597&lt;/D&gt;&lt;D xsi:type="xsd:double"&gt;15.8580313128215&lt;/D&gt;&lt;D xsi:type="xsd:double"&gt;16.0499124928518&lt;/D&gt;&lt;D xsi:type="xsd:double"&gt;16.907948658911&lt;/D&gt;&lt;D xsi:type="xsd:double"&gt;18.8923615036562&lt;/D&gt;&lt;D xsi:type="xsd:double"&gt;18.2929292712369&lt;/D&gt;&lt;D xsi:type="xsd:double"&gt;17.2298191407891&lt;/D&gt;&lt;D xsi:type="xsd:double"&gt;20.6862902757634&lt;/D&gt;&lt;D xsi:type="xsd:double"&gt;20.5983105880676&lt;/D&gt;&lt;D xsi:type="xsd:double"&gt;20.3440340808751&lt;/D&gt;&lt;/FQL&gt;&lt;FQL&gt;&lt;Q&gt;USDITL^STD(FG_PRICE_CHANGE(0,-1AY,AM))&lt;/Q&gt;&lt;R&gt;1&lt;/R&gt;&lt;C&gt;1&lt;/C&gt;&lt;D xsi:type="xsd:double"&gt;1.73448349262239&lt;/D&gt;&lt;/FQL&gt;&lt;FQL&gt;&lt;Q&gt;EWL^FMA_PE(LTMA,-10AY,0,AM,"PORTAGG","MEANR")&lt;/Q&gt;&lt;R&gt;121&lt;/R&gt;&lt;C&gt;1&lt;/C&gt;&lt;D xsi:type="xsd:double"&gt;17.3539928572813&lt;/D&gt;&lt;D xsi:type="xsd:double"&gt;17.2390486678371&lt;/D&gt;&lt;D xsi:type="xsd:double"&gt;17.1092423619627&lt;/D&gt;&lt;D xsi:type="xsd:double"&gt;17.86211683113&lt;/D&gt;&lt;D xsi:type="xsd:double"&gt;17.3711032964226&lt;/D&gt;&lt;D xsi:type="xsd:double"&gt;16.7440319208932&lt;/D&gt;&lt;D xsi:type="xsd:double"&gt;17.9927049686476&lt;/D&gt;&lt;D xsi:type="xsd:double"&gt;18.0057057591524&lt;/D&gt;&lt;D xsi:type="xsd:double"&gt;18.1099158780794&lt;/D&gt;&lt;D xsi:type="xsd:double"&gt;18.0693604212683&lt;/D&gt;&lt;D xsi:type="xsd:double"&gt;17.7817289676049&lt;/D&gt;&lt;D xsi:type="xsd:double"&gt;18.2707243230194&lt;/D&gt;&lt;D xsi:type="xsd:double"&gt;17.371847139995&lt;/D&gt;&lt;D xsi:type="xsd:double"&gt;16.691410917137&lt;/D&gt;&lt;D xsi:type="xsd:double"&gt;17.7453533686521&lt;/D&gt;&lt;D xsi:type="xsd:double"&gt;17.6137578222839&lt;/D&gt;&lt;D xsi:type="xsd:double"&gt;17.6314829668322&lt;/D&gt;&lt;D xsi:type="xsd:double"&gt;16.8363858727615&lt;/D&gt;&lt;D xsi:type="xsd:double"&gt;16.5783891912488&lt;/D&gt;&lt;D xsi:type="xsd:double"&gt;16.6117158821393&lt;/D&gt;&lt;D xsi:type="xsd:double"&gt;16.824160045369&lt;/D&gt;&lt;D xsi:type="xsd:double"&gt;17.1775544307544&lt;/D&gt;&lt;D xsi:type="xsd:double"&gt;17.0378550509882&lt;/D&gt;&lt;D xsi:type="xsd:double"&gt;17.5095143018059&lt;/D&gt;&lt;D xsi:type="xsd:double"&gt;17.8300975184506&lt;/D&gt;&lt;D xsi:type="xsd:double"&gt;18.0433584306362&lt;/D&gt;&lt;D xsi:type="xsd:double"&gt;17.6943701688787&lt;/D&gt;&lt;D xsi:type="xsd:double"&gt;17.4763960214786&lt;/D&gt;&lt;D xsi:type="xsd:double"&gt;18.2374078751182&lt;/D&gt;&lt;D xsi:type="xsd:double"&gt;18.5772824353765&lt;/D&gt;&lt;D xsi:type="xsd:double"&gt;19.6747100975888&lt;/D&gt;&lt;D xsi:type="xsd:double"&gt;19.4975827109566&lt;/D&gt;&lt;D xsi:type="xsd:double"&gt;19.4973317145334&lt;/D&gt;&lt;D xsi:type="xsd:double"&gt;19.5386254545056&lt;/D&gt;&lt;D xsi:type="xsd:double"&gt;19.3702711095981&lt;/D&gt;&lt;D xsi:type="xsd:double"&gt;19.2997632097881&lt;/D&gt;&lt;D xsi:type="xsd:double"&gt;19.0387741667981&lt;/D&gt;&lt;D xsi:type="xsd:double"&gt;19.4599988337422&lt;/D&gt;&lt;D xsi:type="xsd:double"&gt;20.13607810303&lt;/D&gt;&lt;D xsi:type="xsd:double"&gt;20.4091044531578&lt;/D&gt;&lt;D xsi:type="xsd:double"&gt;20.7340196335678&lt;/D&gt;&lt;D xsi:type="xsd:double"&gt;22.067639457681&lt;/D&gt;&lt;D xsi:type="xsd:double"&gt;21.2302793261804&lt;/D&gt;&lt;D xsi:type="xsd:double"&gt;20.7201011040339&lt;/D&gt;&lt;D xsi:type="xsd:double"&gt;20.3370620961571&lt;/D&gt;&lt;D xsi:type="xsd:double"&gt;19.7690867283219&lt;/D&gt;&lt;D xsi:type="xsd:double"&gt;19.276078670819&lt;/D&gt;&lt;D xsi:type="xsd:double"&gt;19.3572772057617&lt;/D&gt;&lt;D xsi:type="xsd:double"&gt;18.9066756731289&lt;/D&gt;&lt;D xsi:type="xsd:double"&gt;18.5872699523067&lt;/D&gt;&lt;D xsi:type="xsd:double"&gt;17.5664867812438&lt;/D&gt;&lt;D xsi:type="xsd:double"&gt;17.742928349255&lt;/D&gt;&lt;D xsi:type="xsd:double"&gt;16.2499286151444&lt;/D&gt;&lt;D xsi:type="xsd:double"&gt;17.5160456010995&lt;/D&gt;&lt;D xsi:type="xsd:double"&gt;18.3536329338024&lt;/D&gt;&lt;D xsi:type="xsd:double"&gt;18.2760040041127&lt;/D&gt;&lt;D xsi:type="xsd:double"&gt;18.2864101923843&lt;/D&gt;&lt;D xsi:type="xsd:double"&gt;18.052804106508&lt;/D&gt;&lt;D xsi:type="xsd:double"&gt;18.3689302500905&lt;/D&gt;&lt;D xsi:type="xsd:double"&gt;18.3673367136422&lt;/D&gt;&lt;D xsi:type="xsd:double"&gt;18.2372817421703&lt;/D&gt;&lt;D xsi:type="xsd:double"&gt;18.4172927386057&lt;/D&gt;&lt;D xsi:type="xsd:double"&gt;18.692996902878&lt;/D&gt;&lt;D xsi:type="xsd:double"&gt;19.0487546820496&lt;/D&gt;&lt;D xsi:type="xsd:double"&gt;19.7716261654978&lt;/D&gt;&lt;D xsi:type="xsd:double"&gt;20.0458451423964&lt;/D&gt;&lt;D xsi:type="xsd:double"&gt;18.0103108276406&lt;/D&gt;&lt;D xsi:type="xsd:double"&gt;17.6569427540259&lt;/D&gt;&lt;D xsi:type="xsd:double"&gt;18.6529191202244&lt;/D&gt;&lt;D xsi:type="xsd:double"&gt;19.1148205219934&lt;/D&gt;&lt;D xsi:type="xsd:double"&gt;19.5228556210744&lt;/D&gt;&lt;D xsi:type="xsd:double"&gt;20.2090900483269&lt;/D&gt;&lt;D xsi:type="xsd:double"&gt;20.6185257422787&lt;/D&gt;&lt;D xsi:type="xsd:double"&gt;20.726785328341&lt;/D&gt;&lt;D xsi:type="xsd:double"&gt;19.6687450615421&lt;/D&gt;&lt;D xsi:type="xsd:double"&gt;21.3947244321635&lt;/D&gt;&lt;D xsi:type="xsd:double"&gt;21.98194698614&lt;/D&gt;&lt;D xsi:type="xsd:double"&gt;21.0579697707616&lt;/D&gt;&lt;D xsi:type="xsd:double"&gt;20.4823143891709&lt;/D&gt;&lt;D xsi:type="xsd:double"&gt;20.4534914808584&lt;/D&gt;&lt;D xsi:type="xsd:double"&gt;20.1621697374367&lt;/D&gt;&lt;D xsi:type="xsd:double"&gt;20.6227092593136&lt;/D&gt;&lt;D xsi:type="xsd:double"&gt;20.9584342647451&lt;/D&gt;&lt;D xsi:type="xsd:double"&gt;20.8960039400341&lt;/D&gt;&lt;D xsi:type="xsd:double"&gt;21.2304273567212&lt;/D&gt;&lt;D xsi:type="xsd:double"&gt;20.0601012799142&lt;/D&gt;&lt;D xsi:type="xsd:double"&gt;20.6505894312832&lt;/D&gt;&lt;D xsi:type="xsd:double"&gt;20.4228335226732&lt;/D&gt;&lt;D xsi:type="xsd:double"&gt;21.7329557875816&lt;/D&gt;&lt;D xsi:type="xsd:double"&gt;19.8370875217288&lt;/D&gt;&lt;D xsi:type="xsd:double"&gt;18.497536832785&lt;/D&gt;&lt;D xsi:type="xsd:double"&gt;18.635226208317&lt;/D&gt;&lt;D xsi:type="xsd:double"&gt;18.5252337933173&lt;/D&gt;&lt;D xsi:type="xsd:double"&gt;18.2521042374855&lt;/D&gt;&lt;D xsi:type="xsd:double"&gt;17.6449377919869&lt;/D&gt;&lt;D xsi:type="xsd:double"&gt;18.3072357900102&lt;/D&gt;&lt;D xsi:type="xsd:double"&gt;17.9219548976916&lt;/D&gt;&lt;D xsi:type="xsd:double"&gt;16.8038665517126&lt;/D&gt;&lt;D xsi:type="xsd:double"&gt;17.8235640318276&lt;/D&gt;&lt;D xsi:type="xsd:double"&gt;19.5093021541453&lt;/D&gt;&lt;D xsi:type="xsd:double"&gt;20.3127299290721&lt;/D&gt;&lt;D xsi:type="xsd:double"&gt;21.1456451258013&lt;/D&gt;&lt;D xsi:type="xsd:double"&gt;20.6998200244037&lt;/D&gt;&lt;D xsi:type="xsd:double"&gt;20.3873275558125&lt;/D&gt;&lt;D xsi:type="xsd:double"&gt;20.3020936492928&lt;/D&gt;&lt;D xsi:type="xsd:double"&gt;19.9348962068841&lt;/D&gt;&lt;D xsi:type="xsd:double"&gt;19.2110939489651&lt;/D&gt;&lt;D xsi:type="xsd:double"&gt;19.2995228603663&lt;/D&gt;&lt;D xsi:type="xsd:double"&gt;18.853942694775&lt;/D&gt;&lt;D xsi:type="xsd:double"&gt;18.4173647036501&lt;/D&gt;&lt;D xsi:type="xsd:double"&gt;17.4707998827059&lt;/D&gt;&lt;D xsi:type="xsd:double"&gt;17.9689667110713&lt;/D&gt;&lt;D xsi:type="xsd:double"&gt;18.4261307484942&lt;/D&gt;&lt;D xsi:type="xsd:double"&gt;18.737105640175&lt;/D&gt;&lt;D xsi:type="xsd:double"&gt;19.1960160000363&lt;/D&gt;&lt;D xsi:type="xsd:double"&gt;19.1669498153087&lt;/D&gt;&lt;D xsi:type="xsd:double"&gt;18.8061423898343&lt;/D&gt;&lt;D xsi:type="xsd:double"&gt;18.7478935807349&lt;/D&gt;&lt;D xsi:type="xsd:double"&gt;18.7548493091593&lt;/D&gt;&lt;D xsi:type="xsd:double"&gt;18.8429459256677&lt;/D&gt;&lt;D xsi:type="xsd:double"&gt;18.9890257751456&lt;/D&gt;&lt;/FQL&gt;&lt;FQL&gt;&lt;Q&gt;TIOS-FDS^FG_PRICE_CHANGE(0,-1AM)&lt;/Q&gt;&lt;R&gt;1&lt;/R&gt;&lt;C&gt;1&lt;/C&gt;&lt;D xsi:type="xsd:double"&gt;-7.46786752978704&lt;/D&gt;&lt;/FQL&gt;&lt;FQL&gt;&lt;Q&gt;EWL^FG_ROE(0)&lt;/Q&gt;&lt;R&gt;1&lt;/R&gt;&lt;C&gt;1&lt;/C&gt;&lt;D xsi:type="xsd:double"&gt;19.1996921658492&lt;/D&gt;&lt;/FQL&gt;&lt;FQL&gt;&lt;Q&gt;REFNZOCR-FDS^FG_YIELD(NOW,,,0)&lt;/Q&gt;&lt;R&gt;1&lt;/R&gt;&lt;C&gt;1&lt;/C&gt;&lt;D xsi:type="xsd:double"&gt;5.25&lt;/D&gt;&lt;/FQL&gt;&lt;FQL&gt;&lt;Q&gt;EWA^FG_TOTAL_RETURNC(-10AY,0,AM)&lt;/Q&gt;&lt;R&gt;121&lt;/R&gt;&lt;C&gt;1&lt;/C&gt;&lt;D xsi:type="xsd:double"&gt;0.92902184&lt;/D&gt;&lt;D xsi:type="xsd:double"&gt;-12.371135&lt;/D&gt;&lt;D xsi:type="xsd:double"&gt;4.705882&lt;/D&gt;&lt;D xsi:type="xsd:double"&gt;-5.176568&lt;/D&gt;&lt;D xsi:type="xsd:double"&gt;-1.556915&lt;/D&gt;&lt;D xsi:type="xsd:double"&gt;-2.1304965&lt;/D&gt;&lt;D xsi:type="xsd:double"&gt;7.392299&lt;/D&gt;&lt;D xsi:type="xsd:double"&gt;-1.2668967&lt;/D&gt;&lt;D xsi:type="xsd:double"&gt;1.8391848&lt;/D&gt;&lt;D xsi:type="xsd:double"&gt;-5.3338885&lt;/D&gt;&lt;D xsi:type="xsd:double"&gt;-5.0288916&lt;/D&gt;&lt;D xsi:type="xsd:double"&gt;-0.526309&lt;/D&gt;&lt;D xsi:type="xsd:double"&gt;-7.8884125&lt;/D&gt;&lt;D xsi:type="xsd:double"&gt;-8.668405&lt;/D&gt;&lt;D xsi:type="xsd:double"&gt;7.6615214&lt;/D&gt;&lt;D xsi:type="xsd:double"&gt;1.0090351&lt;/D&gt;&lt;D xsi:type="xsd:double"&gt;3.7654161&lt;/D&gt;&lt;D xsi:type="xsd:double"&gt;-8.125008&lt;/D&gt;&lt;D xsi:type="xsd:double"&gt;-2.0408094&lt;/D&gt;&lt;D xsi:type="xsd:double"&gt;11.342585&lt;/D&gt;&lt;D xsi:type="xsd:double"&gt;3.5862803&lt;/D&gt;&lt;D xsi:type="xsd:double"&gt;-1.7561495&lt;/D&gt;&lt;D xsi:type="xsd:double"&gt;-0.9648025&lt;/D&gt;&lt;D xsi:type="xsd:double"&gt;9.257317&lt;/D&gt;&lt;D xsi:type="xsd:double"&gt;-1.1488736&lt;/D&gt;&lt;D xsi:type="xsd:double"&gt;0.43584108&lt;/D&gt;&lt;D xsi:type="xsd:double"&gt;-2.7965307&lt;/D&gt;&lt;D xsi:type="xsd:doub</t>
        </r>
      </text>
    </comment>
    <comment ref="A12" authorId="0" shapeId="0" xr:uid="{7A6CD0F8-8E54-4B13-863A-435AC5C2CB19}">
      <text>
        <r>
          <rPr>
            <b/>
            <sz val="9"/>
            <color indexed="81"/>
            <rFont val="Tahoma"/>
            <charset val="1"/>
          </rPr>
          <t>le"&gt;3.075397&lt;/D&gt;&lt;D xsi:type="xsd:double"&gt;0.69749355&lt;/D&gt;&lt;D xsi:type="xsd:double"&gt;5.0049067&lt;/D&gt;&lt;D xsi:type="xsd:double"&gt;2.5701046&lt;/D&gt;&lt;D xsi:type="xsd:double"&gt;3.6446452&lt;/D&gt;&lt;D xsi:type="xsd:double"&gt;-1.2747288&lt;/D&gt;&lt;D xsi:type="xsd:double"&gt;-3.5173595&lt;/D&gt;&lt;D xsi:type="xsd:double"&gt;2.8118134&lt;/D&gt;&lt;D xsi:type="xsd:double"&gt;3.7614703&lt;/D&gt;&lt;D xsi:type="xsd:double"&gt;-0.5747199&lt;/D&gt;&lt;D xsi:type="xsd:double"&gt;-0.22231936&lt;/D&gt;&lt;D xsi:type="xsd:double"&gt;1.6042709&lt;/D&gt;&lt;D xsi:type="xsd:double"&gt;0.13158321&lt;/D&gt;&lt;D xsi:type="xsd:double"&gt;3.9882421&lt;/D&gt;&lt;D xsi:type="xsd:double"&gt;3.323269&lt;/D&gt;&lt;D xsi:type="xsd:double"&gt;-4.6783686&lt;/D&gt;&lt;D xsi:type="xsd:double"&gt;-3.5056949&lt;/D&gt;&lt;D xsi:type="xsd:double"&gt;1.634872&lt;/D&gt;&lt;D xsi:type="xsd:double"&gt;-0.40213466&lt;/D&gt;&lt;D xsi:type="xsd:double"&gt;3.4196258&lt;/D&gt;&lt;D xsi:type="xsd:double"&gt;1.0172486&lt;/D&gt;&lt;D xsi:type="xsd:double"&gt;0.48161745&lt;/D&gt;&lt;D xsi:type="xsd:double"&gt;-3.6165595&lt;/D&gt;&lt;D xsi:type="xsd:double"&gt;-9.99096&lt;/D&gt;&lt;D xsi:type="xsd:double"&gt;5.5750966&lt;/D&gt;&lt;D xsi:type="xsd:double"&gt;-4.8861446&lt;/D&gt;&lt;D xsi:type="xsd:double"&gt;5.766237&lt;/D&gt;&lt;D xsi:type="xsd:double"&gt;4.518664&lt;/D&gt;&lt;D xsi:type="xsd:double"&gt;1.1278152&lt;/D&gt;&lt;D xsi:type="xsd:double"&gt;1.7657995&lt;/D&gt;&lt;D xsi:type="xsd:double"&gt;-0.59360266&lt;/D&gt;&lt;D xsi:type="xsd:double"&gt;5.652058&lt;/D&gt;&lt;D xsi:type="xsd:double"&gt;1.1091352&lt;/D&gt;&lt;D xsi:type="xsd:double"&gt;-5.9236526&lt;/D&gt;&lt;D xsi:type="xsd:double"&gt;3.9645553&lt;/D&gt;&lt;D xsi:type="xsd:double"&gt;2.0188332&lt;/D&gt;&lt;D xsi:type="xsd:double"&gt;0.39577484&lt;/D&gt;&lt;D xsi:type="xsd:double"&gt;1.6418099&lt;/D&gt;&lt;D xsi:type="xsd:double"&gt;0.39560795&lt;/D&gt;&lt;D xsi:type="xsd:double"&gt;-11.908931&lt;/D&gt;&lt;D xsi:type="xsd:double"&gt;-27.932411&lt;/D&gt;&lt;D xsi:type="xsd:double"&gt;18.206894&lt;/D&gt;&lt;D xsi:type="xsd:double"&gt;5.367565&lt;/D&gt;&lt;D xsi:type="xsd:double"&gt;7.6073885&lt;/D&gt;&lt;D xsi:type="xsd:double"&gt;6.945169&lt;/D&gt;&lt;D xsi:type="xsd:double"&gt;2.0507813&lt;/D&gt;&lt;D xsi:type="xsd:double"&gt;-5.0239205&lt;/D&gt;&lt;D xsi:type="xsd:double"&gt;0.10075569&lt;/D&gt;&lt;D xsi:type="xsd:double"&gt;17.262196&lt;/D&gt;&lt;D xsi:type="xsd:double"&gt;3.7052631&lt;/D&gt;&lt;D xsi:type="xsd:double"&gt;-0.8764565&lt;/D&gt;&lt;D xsi:type="xsd:double"&gt;3.2000065&lt;/D&gt;&lt;D xsi:type="xsd:double"&gt;1.7543912&lt;/D&gt;&lt;D xsi:type="xsd:double"&gt;5.573368&lt;/D&gt;&lt;D xsi:type="xsd:double"&gt;1.5571594&lt;/D&gt;&lt;D xsi:type="xsd:double"&gt;-0.6917119&lt;/D&gt;&lt;D xsi:type="xsd:double"&gt;-0.64910054&lt;/D&gt;&lt;D xsi:type="xsd:double"&gt;-0.038433075&lt;/D&gt;&lt;D xsi:type="xsd:double"&gt;-5.190313&lt;/D&gt;&lt;D xsi:type="xsd:double"&gt;7.2992682&lt;/D&gt;&lt;D xsi:type="xsd:double"&gt;-6.4625797&lt;/D&gt;&lt;D xsi:type="xsd:double"&gt;4.6524763&lt;/D&gt;&lt;D xsi:type="xsd:double"&gt;-9.686446&lt;/D&gt;&lt;D xsi:type="xsd:double"&gt;6.557369&lt;/D&gt;&lt;D xsi:type="xsd:double"&gt;10.935556&lt;/D&gt;&lt;D xsi:type="xsd:double"&gt;-7.8710675&lt;/D&gt;&lt;D xsi:type="xsd:double"&gt;1.5052915&lt;/D&gt;&lt;D xsi:type="xsd:double"&gt;-11.209196&lt;/D&gt;&lt;D xsi:type="xsd:double"&gt;5.964589&lt;/D&gt;&lt;D xsi:type="xsd:double"&gt;-1.6710579&lt;/D&gt;&lt;D xsi:type="xsd:double"&gt;-10.5545635&lt;/D&gt;&lt;D xsi:type="xsd:double"&gt;3.9499998&lt;/D&gt;&lt;D xsi:type="xsd:double"&gt;10.966802&lt;/D&gt;&lt;D xsi:type="xsd:double"&gt;-1.3168991&lt;/D&gt;&lt;D xsi:type="xsd:double"&gt;11.588371&lt;/D&gt;&lt;D xsi:type="xsd:double"&gt;-8.259827&lt;/D&gt;&lt;D xsi:type="xsd:double"&gt;-1.3985991&lt;/D&gt;&lt;D xsi:type="xsd:double"&gt;2.5709271&lt;/D&gt;&lt;D xsi:type="xsd:double"&gt;-3.1114936&lt;/D&gt;&lt;D xsi:type="xsd:double"&gt;1.5266061&lt;/D&gt;&lt;D xsi:type="xsd:double"&gt;3.5362482&lt;/D&gt;&lt;D xsi:type="xsd:double"&gt;-4.366618&lt;/D&gt;&lt;D xsi:type="xsd:double"&gt;-2.7576864&lt;/D&gt;&lt;D xsi:type="xsd:double"&gt;-4.463047&lt;/D&gt;&lt;D xsi:type="xsd:double"&gt;9.002436&lt;/D&gt;&lt;D xsi:type="xsd:double"&gt;10.899496&lt;/D&gt;&lt;D xsi:type="xsd:double"&gt;-1.9720614&lt;/D&gt;&lt;D xsi:type="xsd:double"&gt;0.25146008&lt;/D&gt;&lt;D xsi:type="xsd:double"&gt;3.093648&lt;/D&gt;&lt;D xsi:type="xsd:double"&gt;-2.9602587&lt;/D&gt;&lt;D xsi:type="xsd:double"&gt;1.1282921&lt;/D&gt;&lt;D xsi:type="xsd:double"&gt;2.9175282&lt;/D&gt;&lt;D xsi:type="xsd:double"&gt;0.32746792&lt;/D&gt;&lt;D xsi:type="xsd:double"&gt;6.28314&lt;/D&gt;&lt;/FQL&gt;&lt;FQL&gt;&lt;Q&gt;EWL^FG_PRICE(0)&lt;/Q&gt;&lt;R&gt;1&lt;/R&gt;&lt;C&gt;1&lt;/C&gt;&lt;D xsi:type="xsd:double"&gt;52.78&lt;/D&gt;&lt;/FQL&gt;&lt;FQL&gt;&lt;Q&gt;EWN^FG_TOTAL_RETURNC(0,-12AM)&lt;/Q&gt;&lt;R&gt;1&lt;/R&gt;&lt;C&gt;1&lt;/C&gt;&lt;D xsi:type="xsd:double"&gt;23.398458&lt;/D&gt;&lt;/FQL&gt;&lt;FQL&gt;&lt;Q&gt;EWU^P_PRICE(0)/P_PRICE_HIGH_PR(0,,,,,,"PRICE","INTRA","52W")&lt;/Q&gt;&lt;R&gt;1&lt;/R&gt;&lt;C&gt;1&lt;/C&gt;&lt;D xsi:type="xsd:double"&gt;0.9970807&lt;/D&gt;&lt;/FQL&gt;&lt;FQL&gt;&lt;Q&gt;EWJ^FG_FCF_YIELD_NTM(0)&lt;/Q&gt;&lt;R&gt;1&lt;/R&gt;&lt;C&gt;1&lt;/C&gt;&lt;D xsi:type="xsd:double"&gt;4.06285480986591&lt;/D&gt;&lt;/FQL&gt;&lt;FQL&gt;&lt;Q&gt;USDCAD^STD(FG_PRICE_CHANGE(0,-3AY,M))&lt;/Q&gt;&lt;R&gt;1&lt;/R&gt;&lt;C&gt;1&lt;/C&gt;&lt;D xsi:type="xsd:double"&gt;1.78482769575188&lt;/D&gt;&lt;/FQL&gt;&lt;FQL&gt;&lt;Q&gt;SPY^P_PRICE_RETURNS_PR('52W',2,-10AY,0,AM)&lt;/Q&gt;&lt;R&gt;121&lt;/R&gt;&lt;C&gt;1&lt;/C&gt;&lt;D xsi:type="xsd:double"&gt;24.660957&lt;/D&gt;&lt;D xsi:type="xsd:double"&gt;19.222593&lt;/D&gt;&lt;D xsi:type="xsd:double"&gt;13.991523&lt;/D&gt;&lt;D xsi:type="xsd:double"&gt;16.62178&lt;/D&gt;&lt;D xsi:type="xsd:double"&gt;15.747107&lt;/D&gt;&lt;D xsi:type="xsd:double"&gt;16.117323&lt;/D&gt;&lt;D xsi:type="xsd:double"&gt;15.581285&lt;/D&gt;&lt;D xsi:type="xsd:double"&gt;13.639652&lt;/D&gt;&lt;D xsi:type="xsd:double"&gt;14.343739&lt;/D&gt;&lt;D xsi:type="xsd:double"&gt;11.89971&lt;/D&gt;&lt;D xsi:type="xsd:double"&gt;6.961429&lt;/D&gt;&lt;D xsi:type="xsd:double"&gt;9.117484&lt;/D&gt;&lt;D xsi:type="xsd:double"&gt;1.5246153&lt;/D&gt;&lt;D xsi:type="xsd:double"&gt;-2.8407514&lt;/D&gt;&lt;D xsi:type="xsd:double"&gt;7.5451255&lt;/D&gt;&lt;D xsi:type="xsd:double"&gt;2.9678464&lt;/D&gt;&lt;D xsi:type="xsd:double"&gt;1.4358401&lt;/D&gt;&lt;D xsi:type="xsd:double"&gt;-2.0977497&lt;/D&gt;&lt;D xsi:type="xsd:double"&gt;-6.2048674&lt;/D&gt;&lt;D xsi:type="xsd:double"&gt;1.8463135&lt;/D&gt;&lt;D xsi:type="xsd:double"&gt;0.097203255&lt;/D&gt;&lt;D xsi:type="xsd:double"&gt;0.9723067&lt;/D&gt;&lt;D xsi:type="xsd:double"&gt;2.804768&lt;/D&gt;&lt;D xsi:type="xsd:double"&gt;5.266583&lt;/D&gt;&lt;D xsi:type="xsd:double"&gt;11.972248&lt;/D&gt;&lt;D xsi:type="xsd:double"&gt;16.590382&lt;/D&gt;&lt;D xsi:type="xsd:double"&gt;3.9212704&lt;/D&gt;&lt;D xsi:type="xsd:double"&gt;7.6993585&lt;/D&gt;&lt;D xsi:type="xsd:double"&gt;10.498905&lt;/D&gt;&lt;D xsi:type="xsd:double"&gt;24.325752&lt;/D&gt;&lt;D xsi:type="xsd:double"&gt;23.81791&lt;/D&gt;&lt;D xsi:type="xsd:double"&gt;17.20866&lt;/D&gt;&lt;D xsi:type="xsd:double"&gt;17.143845&lt;/D&gt;&lt;D xsi:type="xsd:double"&gt;17.854774&lt;/D&gt;&lt;D xsi:type="xsd:double"&gt;19.164288&lt;/D&gt;&lt;D xsi:type="xsd:double"&gt;16.223717&lt;/D&gt;&lt;D xsi:type="xsd:double"&gt;14.414406&lt;/D&gt;&lt;D xsi:type="xsd:double"&gt;19.394566&lt;/D&gt;&lt;D xsi:type="xsd:double"&gt;23.341692&lt;/D&gt;&lt;D xsi:type="xsd:double"&gt;21.329355&lt;/D&gt;&lt;D xsi:type="xsd:double"&gt;21.255516&lt;/D&gt;&lt;D xsi:type="xsd:double"&gt;26.742554&lt;/D&gt;&lt;D xsi:type="xsd:double"&gt;17.105639&lt;/D&gt;&lt;D xsi:type="xsd:double"&gt;13.848591&lt;/D&gt;&lt;D xsi:type="xsd:double"&gt;13.844895&lt;/D&gt;&lt;D xsi:type="xsd:double"&gt;13.417196&lt;/D&gt;&lt;D xsi:type="xsd:double"&gt;14.497126&lt;/D&gt;&lt;D xsi:type="xsd:double"&gt;15.965986&lt;/D&gt;&lt;D xsi:type="xsd:double"&gt;21.264244&lt;/D&gt;&lt;D xsi:type="xsd:double"&gt;18.240929&lt;/D&gt;&lt;D xsi:type="xsd:double"&gt;4.251611&lt;/D&gt;&lt;D xsi:type="xsd:double"&gt;6.1897993&lt;/D&gt;&lt;D xsi:type="xsd:double"&gt;-5.742514&lt;/D&gt;&lt;D xsi:type="xsd:double"&gt;-5.7022038&lt;/D&gt;&lt;D xsi:type="xsd:double"&gt;4.549575&lt;/D&gt;&lt;D xsi:type="xsd:double"&gt;9.4401&lt;/D&gt;&lt;D xsi:type="xsd:double"&gt;12.396407&lt;/D&gt;&lt;D xsi:type="xsd:double"&gt;5.4566383&lt;/D&gt;&lt;D xsi:type="xsd:double"&gt;10.313547&lt;/D&gt;&lt;D xsi:type="xsd:double"&gt;9.251881&lt;/D&gt;&lt;D xsi:type="xsd:double"&gt;2.3740888&lt;/D&gt;&lt;D xsi:type="xsd:double"&gt;3.652966&lt;/D&gt;&lt;D xsi:type="xsd:double"&gt;17.211782&lt;/D&gt;&lt;D xsi:type="xsd:double"&gt;17.014767&lt;/D&gt;&lt;D xsi:type="xsd:double"&gt;32.611073&lt;/D&gt;&lt;D xsi:type="xsd:double"&gt;26.342762&lt;/D&gt;&lt;D xsi:type="xsd:double"&gt;8.319605&lt;/D&gt;&lt;D xsi:type="xsd:double"&gt;-7.5033245&lt;/D&gt;&lt;D xsi:type="xsd:double"&gt;1.8412113&lt;/D&gt;&lt;D xsi:type="xsd:double"&gt;11.625695&lt;/D&gt;&lt;D xsi:type="xsd:double"&gt;6.0159564&lt;/D&gt;&lt;D xsi:type="xsd:double"&gt;10.032916&lt;/D&gt;&lt;D xsi:type="xsd:double"&gt;23.812151&lt;/D&gt;&lt;D xsi:type="xsd:double"&gt;14.726973&lt;/D&gt;&lt;D xsi:type="xsd:double"&gt;10.968137&lt;/D&gt;&lt;D xsi:type="xsd:double"&gt;17.541122&lt;/D&gt;&lt;D xsi:type="xsd:double"&gt;17.242754&lt;/D&gt;&lt;D xsi:type="xsd:double"&gt;15.459394&lt;/D&gt;&lt;D xsi:type="xsd:double"&gt;24.429953&lt;/D&gt;&lt;D xsi:type="xsd:double"&gt;58.69522&lt;/D&gt;&lt;D xsi:type="xsd:double"&gt;45.57388&lt;/D&gt;&lt;D xsi:type="xsd:double"&gt;40.877594&lt;/D&gt;&lt;D xsi:type="xsd:double"&gt;42.586838&lt;/D&gt;&lt;D xsi:type="xsd:double"&gt;37.568985&lt;/D&gt;&lt;D xsi:type="xsd:double"&gt;31.199825&lt;/D&gt;&lt;D xsi:type="xsd:double"&gt;32.56712&lt;/D&gt;&lt;D xsi:type="xsd:double"&gt;41.14951&lt;/D&gt;&lt;D xsi:type="xsd:double"&gt;29.565561&lt;/D&gt;&lt;D xsi:type="xsd:double"&gt;30.271362&lt;/D&gt;&lt;D xsi:type="xsd:double"&gt;18.60758&lt;/D&gt;&lt;D xsi:type="xsd:double"&gt;16.338802&lt;/D&gt;&lt;D xsi:type="xsd:double"&gt;18.162786&lt;/D&gt;&lt;D xsi:type="xsd:double"&gt;-0.6193757&lt;/D&gt;&lt;D xsi:type="xsd:double"&gt;0.35094023&lt;/D&gt;&lt;D xsi:type="xsd:double"&gt;-9.805804&lt;/D&gt;&lt;D xsi:type="xsd:double"&gt;-5.1715193&lt;/D&gt;&lt;D xsi:type="xsd:double"&gt;-9.301877&lt;/D&gt;&lt;D xsi:type="xsd:double"&gt;-15.227896&lt;/D&gt;&lt;D xsi:type="xsd:double"&gt;-13.833076&lt;/D&gt;&lt;D xsi:type="xsd:double"&gt;-13.640886&lt;/D&gt;&lt;D xsi:type="xsd:double"&gt;-18.38858&lt;/D&gt;&lt;D xsi:type="xsd:double"&gt;-4.3966293&lt;/D&gt;&lt;D xsi:type="xsd:double"&gt;-7.7693224&lt;/D&gt;&lt;D xsi:type="xsd:double"&gt;-11.558765&lt;/D&gt;&lt;D xsi:type="xsd:double"&gt;-1.1174798&lt;/D&gt;&lt;D xsi:type="xsd:double"&gt;5.3981185&lt;/D&gt;&lt;D xsi:type="xsd:double"&gt;17.087269&lt;/D&gt;&lt;D xsi:type="xsd:double"&gt;14.37676&lt;/D&gt;&lt;D xsi:type="xsd:double"&gt;13.39488&lt;/D&gt;&lt;D xsi:type="xsd:double"&gt;19.705069&lt;/D&gt;&lt;D xsi:type="xsd:double"&gt;9.798109&lt;/D&gt;&lt;D xsi:type="xsd:double"&gt;16.853333&lt;/D&gt;&lt;D xsi:type="xsd:double"&gt;25.857162&lt;/D&gt;&lt;D xsi:type="xsd:double"&gt;22.951841&lt;/D&gt;&lt;D xsi:type="xsd:double"&gt;30.18179&lt;/D&gt;&lt;D xsi:type="xsd:double"&gt;34.14805&lt;/D&gt;&lt;D xsi:type="xsd:double"&gt;24.417614&lt;/D&gt;&lt;D xsi:type="xsd:double"&gt;27.080559&lt;/D&gt;&lt;D xsi:type="xsd:double"&gt;26.463472&lt;/D&gt;&lt;D xsi:type="xsd:double"&gt;20.901155&lt;/D&gt;&lt;D xsi:type="xsd:double"&gt;26.058138&lt;/D&gt;&lt;/FQL&gt;&lt;FQL&gt;&lt;Q&gt;EWL^FMA_COS_DOWN("EPS","1M",+1,0,,,"PORTAGG","MEANR")&lt;/Q&gt;&lt;R&gt;1&lt;/R&gt;&lt;C&gt;1&lt;/C&gt;&lt;D xsi:type="xsd:double"&gt;23&lt;/D&gt;&lt;/FQL&gt;&lt;FQL&gt;&lt;Q&gt;EWQ^FMA_RBICS_REV_CURRENT(30, LOC, "PORTAGG")&lt;/Q&gt;&lt;R&gt;1&lt;/R&gt;&lt;C&gt;1&lt;/C&gt;&lt;D xsi:type="xsd:double"&gt;11.6478883688616&lt;/D&gt;&lt;/FQL&gt;&lt;FQL&gt;&lt;Q&gt;REFJPTON-FDS^FG_YIELD(NOW,,,0)&lt;/Q&gt;&lt;R&gt;1&lt;/R&gt;&lt;C&gt;1&lt;/C&gt;&lt;D xsi:type="xsd:double"&gt;0.25&lt;/D&gt;&lt;/FQL&gt;&lt;FQL&gt;&lt;Q&gt;COPP-FDS^FG_PRICE_MAVG(0,,,,30)&lt;/Q&gt;&lt;R&gt;1&lt;/R&gt;&lt;C&gt;1&lt;/C&gt;&lt;D xsi:type="xsd:double"&gt;4.1035&lt;/D&gt;&lt;/FQL&gt;&lt;FQL&gt;&lt;Q&gt;EWI^FG_TOTAL_RETURNC(0,-6AM)&lt;/Q&gt;&lt;R&gt;1&lt;/R&gt;&lt;C&gt;1&lt;/C&gt;&lt;D xsi:type="xsd:double"&gt;11.104918&lt;/D&gt;&lt;/FQL&gt;&lt;FQL&gt;&lt;Q&gt;EWU^FMA_PE(LTM,0,,,"PORTAGG","MEANR")&lt;/Q&gt;&lt;R&gt;1&lt;/R&gt;&lt;C&gt;1&lt;/C&gt;&lt;D xsi:type="xsd:double"&gt;14.3762798928255&lt;/D&gt;&lt;/FQL&gt;&lt;FQL&gt;&lt;Q&gt;EWA^FMA_DIV_YLD(NTMA,NOW,NOW,M,"PORTAGG","MEANR")&lt;/Q&gt;&lt;R&gt;1&lt;/R&gt;&lt;C&gt;1&lt;/C&gt;&lt;D xsi:type="xsd:double"&gt;3.73559027653157&lt;/D&gt;&lt;/FQL&gt;&lt;FQL&gt;&lt;Q&gt;TRYCH10Y-FDS^FG_YIELD(-10AY,0,Y,,"YTM")&lt;/Q&gt;&lt;R&gt;10&lt;/R&gt;&lt;C&gt;1&lt;/C&gt;&lt;D xsi:type="xsd:double"&gt;0.314&lt;/D&gt;&lt;D xsi:type="xsd:string"&gt;@NA&lt;/D&gt;&lt;D xsi:type="xsd:double"&gt;-0.12&lt;/D&gt;&lt;D xsi:type="xsd:double"&gt;-0.09&lt;/D&gt;&lt;D xsi:type="xsd:double"&gt;-0.176&lt;/D&gt;&lt;D xsi:type="xsd:double"&gt;-0.434&lt;/D&gt;&lt;D xsi:type="xsd:double"&gt;-0.49&lt;/D&gt;&lt;D xsi:type="xsd:double"&gt;-0.111&lt;/D&gt;&lt;D xsi:type="xsd:double"&gt;1.617&lt;/D&gt;&lt;D xsi:type="xsd:double"&gt;0.703&lt;/D&gt;&lt;/FQL&gt;&lt;FQL&gt;&lt;Q&gt;EWG^P_PRICE_RETURNS_PR('52W',2,-10AY,0,AM)&lt;/Q&gt;&lt;R&gt;121&lt;/R&gt;&lt;C&gt;1&lt;/C&gt;&lt;D xsi:type="xsd:double"&gt;13.956749&lt;/D&gt;&lt;D xsi:type="xsd:double"&gt;1.0346055&lt;/D&gt;&lt;D xsi:type="xsd:double"&gt;-8.19819&lt;/D&gt;&lt;D xsi:type="xsd:double"&gt;-3.3219814&lt;/D&gt;&lt;D xsi:type="xsd:double"&gt;-9.314364&lt;/D&gt;&lt;D xsi:type="xsd:double"&gt;-3.7496328&lt;/D&gt;&lt;D xsi:type="xsd:double"&gt;-3.5980344&lt;/D&gt;&lt;D xsi:type="xsd:double"&gt;-0.5595565&lt;/D&gt;&lt;D xsi:type="xsd:double"&gt;-3.8252473&lt;/D&gt;&lt;D xsi:type="xsd:double"&gt;-7.456422&lt;/D&gt;&lt;D xsi:type="xsd:double"&gt;-8.398986&lt;/D&gt;&lt;D xsi:type="xsd:double"&gt;-4.2050543&lt;/D&gt;&lt;D xsi:type="xsd:double"&gt;-7.557851&lt;/D&gt;&lt;D xsi:type="xsd:double"&gt;-10.505051&lt;/D&gt;&lt;D xsi:type="xsd:double"&gt;3.107679&lt;/D&gt;&lt;D xsi:type="xsd:double"&gt;-4.3545904&lt;/D&gt;&lt;D xsi:type="xsd:double"&gt;-1.7876923&lt;/D&gt;&lt;D xsi:type="xsd:double"&gt;-13.271772&lt;/D&gt;&lt;D xsi:type="xsd:double"&gt;-19.981808&lt;/D&gt;&lt;D xsi:type="xsd:double"&gt;-13.507962&lt;/D&gt;&lt;D xsi:type="xsd:double"&gt;-9.938538&lt;/D&gt;&lt;D xsi:type="xsd:double"&gt;-11.028528&lt;/D&gt;&lt;D xsi:type="xsd:double"&gt;-13.603187&lt;/D&gt;&lt;D xsi:type="xsd:double"&gt;-6.8983374&lt;/D&gt;&lt;D xsi:type="xsd:double"&gt;2.0802498&lt;/D&gt;&lt;D xsi:type="xsd:double"&gt;7.757008&lt;/D&gt;&lt;D xsi:type="xsd:double"&gt;-2.3649395&lt;/D&gt;&lt;D xsi:type="xsd:double"&gt;-6.0524583&lt;/D&gt;&lt;D xsi:type="xsd:double"&gt;-0.18740892&lt;/D&gt;&lt;D xsi:type="xsd:double"&gt;17.33234&lt;/D&gt;&lt;D xsi:type="xsd:double"&gt;19.2322&lt;/D&gt;&lt;D xsi:type="xsd:double"&gt;15.238274&lt;/D&gt;&lt;D xsi:type="xsd:double"&gt;15.283024&lt;/D&gt;&lt;D xsi:type="xsd:double"&gt;20.97019&lt;/D&gt;&lt;D xsi:type="xsd:double"&gt;30.671835&lt;/D&gt;&lt;D xsi:type="xsd:double"&gt;23.125256&lt;/D&gt;&lt;D xsi:type="xsd:double"&gt;19.335472&lt;/D&gt;&lt;D xsi:type="xsd:double"&gt;28.738546&lt;/D&gt;&lt;D xsi:type="xsd:double"&gt;29.415058&lt;/D&gt;&lt;D xsi:type="xsd:double"&gt;35.581112&lt;/D&gt;&lt;D xsi:type="xsd:double"&gt;28.124655&lt;/D&gt;&lt;D xsi:type="xsd:double"&gt;29.54036&lt;/D&gt;&lt;D xsi:type="xsd:double"&gt;20.439768&lt;/D&gt;&lt;D xsi:type="xsd:double"&gt;13.781881&lt;/D&gt;&lt;D xsi:type="xsd:double"&gt;12.470091&lt;/D&gt;&lt;D xsi:type="xsd:double"&gt;3.5325885&lt;/D&gt;&lt;D xsi:type="xsd:double"&gt;1.3211012&lt;/D&gt;&lt;D xsi:type="xsd:double"&gt;4.991162&lt;/D&gt;&lt;D xsi:type="xsd:double"&gt;3.5413623&lt;/D&gt;&lt;D xsi:type="xsd:double"&gt;-4.6081305&lt;/D&gt;&lt;D xsi:type="xsd:double"&gt;-15.672713&lt;/D&gt;&lt;D xsi:type="xsd:double"&gt;-16.076565&lt;/D&gt;&lt;D xsi:type="xsd:double"&gt;-22.053802&lt;/D&gt;&lt;D xsi:type="xsd:double"&gt;-21.872986&lt;/D&gt;&lt;D xsi:type="xsd:double"&gt;-13.786173&lt;/D&gt;&lt;D xsi:type="xsd:double"&gt;-13.951403&lt;/D&gt;&lt;D xsi:type="xsd:double"&gt;-9.944296&lt;/D&gt;&lt;D xsi:type="xsd:double"&gt;-10.883999&lt;/D&gt;&lt;D xsi:type="xsd:double"&gt;-2.4084985&lt;/D&gt;&lt;D xsi:type="xsd:double"&gt;-9.292269&lt;/D&gt;&lt;D xsi:type="xsd:double"&gt;-13.200659&lt;/D&gt;&lt;D xsi:type="xsd:double"&gt;-8.999139&lt;/D&gt;&lt;D xsi:type="xsd:double"&gt;8.930386&lt;/D&gt;&lt;D xsi:type="xsd:double"&gt;9.797514&lt;/D&gt;&lt;D xsi:type="xsd:double"&gt;21.335018&lt;/D&gt;&lt;D xsi:type="xsd:double"&gt;11.500084&lt;/D&gt;&lt;D xsi:type="xsd:double"&gt;-1.3237476&lt;/D&gt;&lt;D xsi:type="xsd:double"&gt;-19.305157&lt;/D&gt;&lt;D xsi:type="xsd:double"&gt;-14.150125&lt;/D&gt;&lt;D xsi:type="xsd:double"&gt;-2.3698092&lt;/D&gt;&lt;D xsi:type="xsd:double"&gt;-2.739489&lt;/D&gt;&lt;D xsi:type="xsd:double"&gt;8.367467&lt;/D&gt;&lt;D xsi:type="xsd:double"&gt;18.137026&lt;/D&gt;&lt;D xsi:type="xsd:double"&gt;10.649848&lt;/D&gt;&lt;D xsi:type="xsd:double"&gt;-6.1517057&lt;/D&gt;&lt;D xsi:type="xsd:double"&gt;6.776035&lt;/D&gt;&lt;D xsi:type="xsd:double"&gt;11.419082&lt;/D&gt;&lt;D xsi:type="xsd:double"&gt;10.423923&lt;/D&gt;&lt;D xsi:type="xsd:double"&gt;20.497835&lt;/D&gt;&lt;D xsi:type="xsd:double"&gt;60.885895&lt;/D&gt;&lt;D xsi:type="xsd:double"&gt;49.571407&lt;/D&gt;&lt;D xsi:type="xsd:double"&gt;42.224648&lt;/D&gt;&lt;D xsi:type="xsd:double"&gt;33.493126&lt;/D&gt;&lt;D xsi:type="xsd:double"&gt;21.147274&lt;/D&gt;&lt;D xsi:type="xsd:double"&gt;19.852901&lt;/D&gt;&lt;D xsi:type="xsd:double"&gt;16.234266&lt;/D&gt;&lt;D xsi:type="xsd:double"&gt;31.331135&lt;/D&gt;&lt;D xsi:type="xsd:double"&gt;7.336879&lt;/D&gt;&lt;D xsi:type="xsd:double"&gt;4.7524214&lt;/D&gt;&lt;D xsi:type="xsd:double"&gt;1.2601614&lt;/D&gt;&lt;D xsi:type="xsd:double"&gt;-6.8104625&lt;/D&gt;&lt;D xsi:type="xsd:double"&gt;-8.695126&lt;/D&gt;&lt;D xsi:type="xsd:double"&gt;-23.92131&lt;/D&gt;&lt;D xsi:type="xsd:double"&gt;-21.25249&lt;/D&gt;&lt;D xsi:type="xsd:double"&gt;-30.92494&lt;/D&gt;&lt;D xsi:type="xsd:double"&gt;-29.562145&lt;/D&gt;&lt;D xsi:type="xsd:double"&gt;-35.269833&lt;/D&gt;&lt;D xsi:type="xsd:double"&gt;-38.017403&lt;/D&gt;&lt;D xsi:type="xsd:double"&gt;-32.386024&lt;/D&gt;&lt;D xsi:type="xsd:double"&gt;-19.13079&lt;/D&gt;&lt;D xsi:type="xsd:double"&gt;-21.412737&lt;/D&gt;&lt;D xsi:type="xsd:double"&gt;-8.131266&lt;/D&gt;&lt;D xsi:type="xsd:double"&gt;-3.2212138&lt;/D&gt;&lt;D xsi:type="xsd:double"&gt;-2.734381&lt;/D&gt;&lt;D xsi:type="xsd:double"&gt;15.233874&lt;/D&gt;&lt;D xsi:type="xsd:double"&gt;9.282923&lt;/D&gt;&lt;D xsi:type="xsd:double"&gt;24.088001&lt;/D&gt;&lt;D xsi:type="xsd:double"&gt;30.957104&lt;/D&gt;&lt;D xsi:type="xsd:double"&gt;32.43587&lt;/D&gt;&lt;D xsi:type="xsd:double"&gt;36.277664&lt;/D&gt;&lt;D xsi:type="xsd:double"&gt;15.932202&lt;/D&gt;&lt;D xsi:type="xsd:double"&gt;17.71679&lt;/D&gt;&lt;D xsi:type="xsd:double"&gt;21.783829&lt;/D&gt;&lt;D xsi:type="xsd:double"&gt;8.147621&lt;/D&gt;&lt;D xsi:type="xsd:double"&gt;15.364552&lt;/D&gt;&lt;D xsi:type="xsd:double"&gt;18.630993&lt;/D&gt;&lt;D xsi:type="xsd:double"&gt;8.236456&lt;/D&gt;&lt;D xsi:type="xsd:double"&gt;14.112139&lt;/D&gt;&lt;D xsi:type="xsd:double"&gt;11.226201&lt;/D&gt;&lt;D xsi:type="xsd:double"&gt;8.01003&lt;/D&gt;&lt;D xsi:type="xsd:double"&gt;18.450129&lt;/D&gt;&lt;/FQL&gt;&lt;FQL&gt;&lt;Q&gt;EWA^FMA_PE(NTMA,-10AY,0,AM,"PORTAGG","MEANR")&lt;/Q&gt;&lt;R&gt;121&lt;/R&gt;&lt;C&gt;1&lt;/C&gt;&lt;D xsi:type="xsd:double"&gt;14.8837061335486&lt;/D&gt;&lt;D xsi:type="xsd:double"&gt;13.7651822782994&lt;/D&gt;&lt;D xsi:type="xsd:double"&gt;14.4583196005296&lt;/D&gt;&lt;D xsi:type="xsd:double"&gt;13.9787887366389&lt;/D&gt;&lt;D xsi:type="xsd:double"&gt;14.5753170986522&lt;/D&gt;&lt;D xsi:type="xsd:double"&gt;15.1758064103674&lt;/D&gt;&lt;D xsi:type="xsd:double"&gt;16.3202924327073&lt;/D&gt;&lt;D xsi:type="xsd:double"&gt;16.3355477603444&lt;/D&gt;&lt;D xsi:type="xsd:double"&gt;16.4213110115082&lt;/D&gt;&lt;D xsi:type="xsd:double"&gt;15.9971485556846&lt;/D&gt;&lt;D xsi:type="xsd:double"&gt;14.9874429632086&lt;/D&gt;&lt;D xsi:type="xsd:double"&gt;15.4756964764117&lt;/D&gt;&lt;D xsi:type="xsd:double"&gt;14.7220544771883&lt;/D&gt;&lt;D xsi:type="xsd:double"&gt;13.8922709773265&lt;/D&gt;&lt;D xsi:type="xsd:double"&gt;15.1341249209764&lt;/D&gt;&lt;D xsi:type="xsd:double"&gt;15.1108691793716&lt;/D&gt;&lt;D xsi:type="xsd:double"&gt;15.6090031910733&lt;/D&gt;&lt;D xsi:type="xsd:double"&gt;15.2354727820965&lt;/D&gt;&lt;D xsi:type="xsd:double"&gt;15.0515481407167&lt;/D&gt;&lt;D xsi:type="xsd:double"&gt;15.4630079606924&lt;/D&gt;&lt;D xsi:type="xsd:double"&gt;16.1850679988962&lt;/D&gt;&lt;D xsi:type="xsd:double"&gt;16.5798765196975&lt;/D&gt;&lt;D xsi:type="xsd:double"&gt;15.6793180520264&lt;/D&gt;&lt;D xsi:type="xsd:double"&gt;16.7960469997983&lt;/D&gt;&lt;D xsi:type="xsd:double"&gt;16.5430967328746&lt;/D&gt;&lt;D xsi:type="xsd:double"&gt;16.3790373466085&lt;/D&gt;&lt;D xsi:type="xsd:double"&gt;15.6544092944133&lt;/D&gt;&lt;D xsi:type="xsd:double"&gt;15.9002484980174&lt;/D&gt;&lt;D xsi:type="xsd:double"&gt;15.8846500116394&lt;/D&gt;&lt;D xsi:type="xsd:double"&gt;15.8237933512267&lt;/D&gt;&lt;D xsi:type="xsd:double"&gt;15.7599476648083&lt;/D&gt;&lt;D xsi:type="xsd:double"&gt;15.8964112756412&lt;/D&gt;&lt;D xsi:type="xsd:double"&gt;15.9641508675512&lt;/D&gt;&lt;D xsi:type="xsd:double"&gt;15.3746191871798&lt;/D&gt;&lt;D xsi:type="xsd:double"&gt;15.6986894025766&lt;/D&gt;&lt;D xsi:type="xsd:double"&gt;15.6366848976938&lt;/D&gt;&lt;D xsi:type="xsd:double"&gt;15.563195942514&lt;/D&gt;&lt;D xsi:type="xsd:double"&gt;15.4254496003211&lt;/D&gt;&lt;D xsi:type="xsd:double"&gt;15.7763962109535&lt;/D&gt;&lt;D xsi:type="xsd:double"&gt;15.9470087164507&lt;/D&gt;&lt;D xsi:type="xsd:double"&gt;16.0258597214481&lt;/D&gt;&lt;D xsi:type="xsd:double"&gt;15.8908130817157&lt;/D&gt;&lt;D xsi:type="xsd:double"&gt;15.5597740514577&lt;/D&gt;&lt;D xsi:type="xsd:double"&gt;14.7277990890281&lt;/D&gt;&lt;D xsi:type="xsd:double"&gt;15.1145864306011&lt;/D&gt;&lt;D xsi:type="xsd:double"&gt;15.1727839697011&lt;/D&gt;&lt;D xsi:type="xsd:double"&gt;15.4879372293169&lt;/D&gt;&lt;D xsi:type="xsd:double"&gt;15.6759553130813&lt;/D&gt;&lt;D xsi:type="xsd:double"&gt;15.790217262636&lt;/D&gt;&lt;D xsi:type="xsd:double"&gt;15.3018169312989&lt;/D&gt;&lt;D xsi:type="xsd:double"&gt;14.0317320238701&lt;/D&gt;&lt;D xsi:type="xsd:double"&gt;14.3189280448125&lt;/D&gt;&lt;D xsi:type="xsd:double"&gt;13.9820356702779&lt;/D&gt;&lt;D xsi:type="xsd:double"&gt;14.6168114468825&lt;/D&gt;&lt;D xsi:type="xsd:double"&gt;15.3518467142567&lt;/D&gt;&lt;D xsi:type="xsd:double"&gt;15.2927673519464&lt;/D&gt;&lt;D xsi:type="xsd:double"&gt;15.4549351199215&lt;/D&gt;&lt;D xsi:type="xsd:double"&gt;15.626562934297&lt;/D&gt;&lt;D xsi:type="xsd:double"&gt;16.1962504917731&lt;/D&gt;&lt;D xsi:type="xsd:double"&gt;16.4919031255818&lt;/D&gt;&lt;D xsi:type="xsd:double"&gt;15.9437412283025&lt;/D&gt;&lt;D xsi:type="xsd:double"&gt;16.7449982633798&lt;/D&gt;&lt;D xsi:type="xsd:double"&gt;17.0527756268467&lt;/D&gt;&lt;D xsi:type="xsd:double"&gt;17.3687962428363&lt;/D&gt;&lt;D xsi:type="xsd:double"&gt;17.4933476632186&lt;/D&gt;&lt;D xsi:type="xsd:double"&gt;17.9651222517117&lt;/D&gt;&lt;D xsi:type="xsd:double"&gt;16.4740804479575&lt;/D&gt;&lt;D xsi:type="xsd:double"&gt;13.264921881059&lt;/D&gt;&lt;D xsi:type="xsd:double"&gt;16.9921319474198&lt;/D&gt;&lt;D xsi:type="xsd:double"&gt;18.381193527115&lt;/D&gt;&lt;D xsi:type="xsd:double"&gt;18.5141487834734&lt;/D&gt;&lt;D xsi:type="xsd:double"&gt;19.2626578296886&lt;/D&gt;&lt;D xsi:type="xsd:double"&gt;19.5936908184514&lt;/D&gt;&lt;D xsi:type="xsd:double"&gt;18.4278545001366&lt;/D&gt;&lt;D xsi:type="xsd:double"&gt;17.8340709257632&lt;/D&gt;&lt;D xsi:type="xsd:double"&gt;19.6073741732098&lt;/D&gt;&lt;D xsi:type="xsd:double"&gt;19.2925968216095&lt;/D&gt;&lt;D xsi:type="xsd:double"&gt;18.4830404608928&lt;/D&gt;&lt;D xsi:type="xsd:double"&gt;17.9550506925964&lt;/D&gt;&lt;D xsi:type="xsd:double"&gt;17.689863812977&lt;/D&gt;&lt;D xsi:type="xsd:double"&gt;18.1136219529595&lt;/D&gt;&lt;D xsi:type="xsd:double"&gt;18.1241859724021&lt;/D&gt;&lt;D xsi:type="xsd:double"&gt;17.4585007834763&lt;/D&gt;&lt;D xsi:type="xsd:double"&gt;16.8788253408793&lt;/D&gt;&lt;D xsi:type="xsd:double"&gt;17.2124065823664&lt;/D&gt;&lt;D xsi:type="xsd:double"&gt;16.6486569814499&lt;/D&gt;&lt;D xsi:type="xsd:double"&gt;17.3990137940307&lt;/D&gt;&lt;D xsi:type="xsd:double"&gt;16.8112273266607&lt;/D&gt;&lt;D xsi:type="xsd:double"&gt;17.6404288897118&lt;/D&gt;&lt;D xsi:type="xsd:double"&gt;16.2086261777331&lt;/D&gt;&lt;D xsi:type="xsd:double"&gt;15.4791782688763&lt;/D&gt;&lt;D xsi:type="xsd:double"&gt;16.2389710047929&lt;/D&gt;&lt;D xsi:type="xsd:double"&gt;15.0445005468484&lt;/D&gt;&lt;D xsi:type="xsd:double"&gt;14.2416960535531&lt;/D&gt;&lt;D xsi:type="xsd:double"&gt;12.9211597965459&lt;/D&gt;&lt;D xsi:type="xsd:double"&gt;13.8005419836527&lt;/D&gt;&lt;D xsi:type="xsd:double"&gt;13.9419542211853&lt;/D&gt;&lt;D xsi:type="xsd:double"&gt;12.7237458749886&lt;/D&gt;&lt;D xsi:type="xsd:double"&gt;13.261584287164&lt;/D&gt;&lt;D xsi:type="xsd:double"&gt;14.6176737524335&lt;/D&gt;&lt;D xsi:type="xsd:double"&gt;14.140006619417&lt;/D&gt;&lt;D xsi:type="xsd:double"&gt;14.9980664475796&lt;/D&gt;&lt;D xsi:type="xsd:double"&gt;14.503631790876&lt;/D&gt;&lt;D xsi:type="xsd:double"&gt;14.0134021387802&lt;/D&gt;&lt;D xsi:type="xsd:double"&gt;14.5568008791714&lt;/D&gt;&lt;D xsi:type="xsd:double"&gt;14.1902734950577&lt;/D&gt;&lt;D xsi:type="xsd:double"&gt;14.8761971073171&lt;/D&gt;&lt;D xsi:type="xsd:double"&gt;15.6496102849425&lt;/D&gt;&lt;D xsi:type="xsd:double"&gt;15.3439677818528&lt;/D&gt;&lt;D xsi:type="xsd:double"&gt;14.9055833664575&lt;/D&gt;&lt;D xsi:type="xsd:double"&gt;14.3833890488939&lt;/D&gt;&lt;D xsi:type="xsd:double"&gt;15.1408417013455&lt;/D&gt;&lt;D xsi:type="xsd:double"&gt;16.457562372089&lt;/D&gt;&lt;D xsi:type="xsd:double"&gt;16.3875808805063&lt;/D&gt;&lt;D xsi:type="xsd:double"&gt;16.5487881812136&lt;/D&gt;&lt;D xsi:type="xsd:double"&gt;16.8032602398994&lt;/D&gt;&lt;D xsi:type="xsd:double"&gt;16.3563582814844&lt;/D&gt;&lt;D xsi:type="xsd:double"&gt;16.453694383871&lt;/D&gt;&lt;D xsi:type="xsd:double"&gt;16.8519299785716&lt;/D&gt;&lt;D xsi:type="xsd:double"&gt;17.3299789293755&lt;/D&gt;&lt;D xsi:type="xsd:double"&gt;17.8614632315917&lt;/D&gt;&lt;/FQL&gt;&lt;FQL&gt;&lt;Q&gt;QQQ^FG_TOTAL_RETURNC(0,-12AM)&lt;/Q&gt;&lt;R&gt;1&lt;/R&gt;&lt;C&gt;1&lt;/C&gt;&lt;D xsi:type="xsd:double"&gt;26.451742&lt;/D&gt;&lt;/FQL&gt;&lt;FQL&gt;&lt;Q&gt;EWG^P_PRICE(0)/P_PRICE_HIGH_PR(0,,,,,,"PRICE","INTRA","52W")&lt;/Q&gt;&lt;R&gt;1&lt;/R&gt;&lt;C&gt;1&lt;/C&gt;&lt;D xsi:type="xsd:double"&gt;0.99152607&lt;/D&gt;&lt;/FQL&gt;&lt;FQL&gt;&lt;Q&gt;EWU^FMA_RBICS_REV_CURRENT(30, LOC, "PORTAGG")&lt;/Q&gt;&lt;R&gt;1&lt;/R&gt;&lt;C&gt;1&lt;/C&gt;&lt;D xsi:type="xsd:double"&gt;19.9086912855245&lt;/D&gt;&lt;/FQL&gt;&lt;FQL&gt;&lt;Q&gt;CC_GB^IMF_IFS_RCPI_Q(0)&lt;/Q&gt;&lt;R&gt;1&lt;/R&gt;&lt;C&gt;1&lt;/C&gt;&lt;D xsi:type="xsd:double"&gt;2.8697004&lt;/D&gt;&lt;/FQL&gt;&lt;FQL&gt;&lt;Q&gt;EWU^JULIAN(FMA_DIV_YLD(NTMA,NOW,NOW,M,"PORTAGG","MEANR").DATES)&lt;/Q&gt;&lt;R&gt;1&lt;/R&gt;&lt;C&gt;1&lt;/C&gt;&lt;D xsi:type="xsd:long"&gt;45530&lt;/D&gt;&lt;/FQL&gt;&lt;FQL&gt;&lt;Q&gt;USDCAD^FG_PRICE_CHANGE(0,-1AY)&lt;/Q&gt;&lt;R&gt;1&lt;/R&gt;&lt;C&gt;1&lt;/C&gt;&lt;D xsi:type="xsd:double"&gt;-0.9190798&lt;/D&gt;&lt;/FQL&gt;&lt;FQL&gt;&lt;Q&gt;NI-FDS^FG_PRICE_CHANGE(0,-1AM)&lt;/Q&gt;&lt;R&gt;1&lt;/R&gt;&lt;C&gt;1&lt;/C&gt;&lt;D xsi:type="xsd:double"&gt;7.37888995829323&lt;/D&gt;&lt;/FQL&gt;&lt;FQL&gt;&lt;Q&gt;EWU^FG_PRICE_MAVG(0,,,,60)&lt;/Q&gt;&lt;R&gt;1&lt;/R&gt;&lt;C&gt;1&lt;/C&gt;&lt;D xsi:type="xsd:double"&gt;35.736332&lt;/D&gt;&lt;/FQL&gt;&lt;FQL&gt;&lt;Q&gt;EWI^PERCENT_CHANGE(FMA_EPS(+1,0,,,,"PORTAGG","MEAN"),FMA_EPS(+1,-3AM,,,,"PORTAGG","MEAN"))&lt;/Q&gt;&lt;R&gt;1&lt;/R&gt;&lt;C&gt;1&lt;/C&gt;&lt;D xsi:type="xsd:double"&gt;-1.65471292149223&lt;/D&gt;&lt;/FQL&gt;&lt;FQL&gt;&lt;Q&gt;EWA^JULIAN(FMA_DIV_YLD(NTMA,NOW,NOW,M,"PORTAGG","MEANR").DATES)&lt;/Q&gt;&lt;R&gt;1&lt;/R&gt;&lt;C&gt;1&lt;/C&gt;&lt;D xsi:type="xsd:long"&gt;45531&lt;/D&gt;&lt;/FQL&gt;&lt;FQL&gt;&lt;Q&gt;TRYEU10Y-FDS^FG_YIELD(-10AY,0,Y,,"YTM")&lt;/Q&gt;&lt;R&gt;10&lt;/R&gt;&lt;C&gt;1&lt;/C&gt;&lt;D xsi:type="xsd:double"&gt;0.5475&lt;/D&gt;&lt;D xsi:type="xsd:double"&gt;0.636&lt;/D&gt;&lt;D xsi:type="xsd:double"&gt;0.2082&lt;/D&gt;&lt;D xsi:type="xsd:double"&gt;0.4294&lt;/D&gt;&lt;D xsi:type="xsd:double"&gt;0.239&lt;/D&gt;&lt;D xsi:type="xsd:double"&gt;-0.189&lt;/D&gt;&lt;D xsi:type="xsd:double"&gt;-0.575&lt;/D&gt;&lt;D xsi:type="xsd:double"&gt;-0.181&lt;/D&gt;&lt;D xsi:type="xsd:double"&gt;2.533&lt;/D&gt;&lt;D xsi:type="xsd:double"&gt;2.004&lt;/D&gt;&lt;/FQL&gt;&lt;FQL&gt;&lt;Q&gt;TIOS-FDS^FG_PRICE(0)/MAX(FG_PRICE(0,-1AY))&lt;/Q&gt;&lt;R&gt;1&lt;/R&gt;&lt;C&gt;1&lt;/C&gt;&lt;D xsi:type="xsd:double"&gt;0.684170366259711&lt;/D&gt;&lt;/FQL&gt;&lt;FQL&gt;&lt;Q&gt;QQQ^P_PRICE(0)/P_PRICE_LOW_PR(0,,,,,,"PRICE","INTRA","52W")-1&lt;/Q&gt;&lt;R&gt;1&lt;/R&gt;&lt;C&gt;1&lt;/C&gt;&lt;D xsi:type="xsd:double"&gt;0.37479186&lt;/D&gt;&lt;/FQL&gt;&lt;FQL&gt;&lt;Q&gt;EWA^FMA_RBICS_REV_CURRENT(30, LOC, "PORTAGG")&lt;/Q&gt;&lt;R&gt;1&lt;/R&gt;&lt;C&gt;1&lt;/C&gt;&lt;D xsi:type="xsd:double"&gt;43.3292251971782&lt;/D&gt;&lt;/FQL&gt;&lt;FQL&gt;&lt;Q&gt;EWL^FMA_EVAL_EBIT(LTMA,NOW,NOW,M,"PORTAGG","MEANR")&lt;/Q&gt;&lt;R&gt;1&lt;/R&gt;&lt;C&gt;1&lt;/C&gt;&lt;D xsi:type="xsd:double"&gt;16.9741138903613&lt;/D&gt;&lt;/FQL&gt;&lt;FQL&gt;&lt;Q&gt;USDCAD^FG_PRICE(0)&lt;/Q&gt;&lt;R&gt;1&lt;/R&gt;&lt;C&gt;1&lt;/C&gt;&lt;D xsi:type="xsd:double"&gt;1.34755&lt;/D&gt;&lt;/FQL&gt;&lt;FQL&gt;&lt;Q&gt;NI-FDS^FG_PRICE_MAVG(0,,,,30)&lt;/Q&gt;&lt;R&gt;1&lt;/R&gt;&lt;C&gt;1&lt;/C&gt;&lt;D xsi:type="xsd:double"&gt;16092.167&lt;/D&gt;&lt;/FQL&gt;&lt;FQL&gt;&lt;Q&gt;EWI^PERCENT_CHANGE(FMA_EPS(+1,0,,,,"PORTAGG","MEAN"),FMA_EPS(+1,-1AM,,,,"PORTAGG","MEAN"))&lt;/Q&gt;&lt;R&gt;1&lt;/R&gt;&lt;C&gt;1&lt;/C&gt;&lt;D xsi:type="xsd:double"&gt;2.72463616237744&lt;/D&gt;&lt;/FQL&gt;&lt;FQL&gt;&lt;Q&gt;EWG^SIZE(FG_CONSTITUENTS)&lt;/Q&gt;&lt;R&gt;1&lt;/R&gt;&lt;C&gt;1&lt;/C&gt;&lt;D xsi:type="xsd:long"&gt;59&lt;/D&gt;&lt;/FQL&gt;&lt;FQL&gt;&lt;Q&gt;CC_JP^FG_COMPANY_NAME&lt;/Q&gt;&lt;R&gt;1&lt;/R&gt;&lt;C&gt;1&lt;/C&gt;&lt;D xsi:type="xsd:string"&gt;Japan&lt;/D&gt;&lt;/FQL&gt;&lt;FQL&gt;&lt;Q&gt;EWA^P_PRICE_RETURNS_PR('52W',2,-10AY,0,AM)&lt;/Q&gt;&lt;R&gt;121&lt;/R&gt;&lt;C&gt;1&lt;/C&gt;&lt;D xsi:type="xsd:double"&gt;20.751774&lt;/D&gt;&lt;D xsi:type="xsd:double"&gt;-3.2728314&lt;/D&gt;&lt;D xsi:type="xsd:double"&gt;-3.3245504&lt;/D&gt;&lt;D xsi:type="xsd:double"&gt;-3.4360647&lt;/D&gt;&lt;D xsi:type="xsd:double"&gt;-2.508688&lt;/D&gt;&lt;D xsi:type="xsd:double"&gt;0.73816776&lt;/D&gt;&lt;D xsi:type="xsd:double"&gt;-0.88799596&lt;/D&gt;&lt;D xsi:type="xsd:double"&gt;-4.1344585&lt;/D&gt;&lt;D xsi:type="xsd:double"&gt;-5.7632446&lt;/D&gt;&lt;D xsi:type="xsd:double"&gt;-11.657154&lt;/D&gt;&lt;D xsi:type="xsd:double"&gt;-16.375023&lt;/D&gt;&lt;D xsi:type="xsd:double"&gt;-18.298935&lt;/D&gt;&lt;D xsi:type="xsd:double"&gt;-25.381613&lt;/D&gt;&lt;D xsi:type="xsd:double"&gt;-22.285908&lt;/D&gt;&lt;D xsi:type="xsd:double"&gt;-20.092201&lt;/D&gt;&lt;D xsi:type="xsd:double"&gt;-16.71241&lt;/D&gt;&lt;D xsi:type="xsd:double"&gt;-10.277552&lt;/D&gt;&lt;D xsi:type="xsd:double"&gt;-15.7730465&lt;/D&gt;&lt;D xsi:type="xsd:double"&gt;-23.17136&lt;/D&gt;&lt;D xsi:type="xsd:double"&gt;-13.35935&lt;/D&gt;&lt;D xsi:type="xsd:double"&gt;-11.872995&lt;/D&gt;&lt;D xsi:type="xsd:double"&gt;-9.4662075&lt;/D&gt;&lt;D xsi:type="xsd:double"&gt;-4.6286583&lt;/D&gt;&lt;D xsi:type="xsd:double"&gt;4.7514915&lt;/D&gt;&lt;D xsi:type="xsd:double"&gt;12.415862&lt;/D&gt;&lt;D xsi:type="xsd:double"&gt;23.621845&lt;/D&gt;&lt;D xsi:type="xsd:double"&gt;8.38995&lt;/D&gt;&lt;D xsi:type="xsd:double"&gt;13.896751&lt;/D&gt;&lt;D xsi:type="xsd:double"&gt;10.52928&lt;/D&gt;&lt;D xsi:type="xsd:double"&gt;30.390549&lt;/D&gt;&lt;D xsi:type="xsd:double"&gt;32.11827&lt;/D&gt;&lt;D xsi:type="xsd:double"&gt;23.12628&lt;/D&gt;&lt;D xsi:type="xsd:double"&gt;17.702663&lt;/D&gt;&lt;D xsi:type="xsd:double"&gt;15.362465&lt;/D&gt;&lt;D xsi:type="xsd:double"&gt;19.639374&lt;/D&gt;&lt;D xsi:type="xsd:double"&gt;15.164911&lt;/D&gt;&lt;D xsi:type="xsd:double"&gt;14.281237&lt;/D&gt;&lt;D xsi:type="xsd:double"&gt;13.532352&lt;/D&gt;&lt;D xsi:type="xsd:double"&gt;18.086672&lt;/D&gt;&lt;D xsi:type="xsd:double"&gt;15.283167&lt;/D&gt;&lt;D xsi:type="xsd:double"&gt;19.05055&lt;/D&gt;&lt;D xsi:type="xsd:double"&gt;17.143965&lt;/D&gt;&lt;D xsi:type="xsd:double"&gt;8.865595&lt;/D&gt;&lt;D xsi:type="xsd:double"&gt;1.3550639&lt;/D&gt;&lt;D xsi:type="xsd:double"&gt;4.6216607&lt;/D&gt;&lt;D xsi:type="xsd:double"&gt;7.71116&lt;/D&gt;&lt;D xsi:type="xsd:double"&gt;8.347929&lt;/D&gt;&lt;D xsi:type="xsd:double"&gt;4.833567&lt;/D&gt;&lt;D xsi:type="xsd:double"&gt;6.603086&lt;/D&gt;&lt;D xsi:type="xsd:double"&gt;3.3913374&lt;/D&gt;&lt;D xsi:type="xsd:double"&gt;-8.775187&lt;/D&gt;&lt;D xsi:type="xsd:double"&gt;-3.8158774&lt;/D&gt;&lt;D xsi:type="xsd:double"&gt;-12.100124&lt;/D&gt;&lt;D xsi:type="xsd:double"&gt;-9.944159&lt;/D&gt;&lt;D xsi:type="xsd:double"&gt;-1.2551844&lt;/D&gt;&lt;D xsi:type="xsd:double"&gt;3.486383&lt;/D&gt;&lt;D xsi:type="xsd:double"&gt;3.6196947&lt;/D&gt;&lt;D xsi:type="xsd:double"&gt;3.420508&lt;/D&gt;&lt;D xsi:type="xsd:double"&gt;6.216693&lt;/D&gt;&lt;D xsi:type="xsd:double"&gt;5.7490587&lt;/D&gt;&lt;D xsi:type="xsd:double"&gt;-0.9919882&lt;/D&gt;&lt;D xsi:type="xsd:double"&gt;6.7955613&lt;/D&gt;&lt;D xsi:type="xsd:double"&gt;21.04516&lt;/D&gt;&lt;D xsi:type="xsd:double"&gt;15.106928&lt;/D&gt;&lt;D xsi:type="xsd:double"&gt;23.908197&lt;/D&gt;&lt;D xsi:type="xsd:double"&gt;16.76097&lt;/D&gt;&lt;D xsi:type="xsd:double"&gt;-1.5908062&lt;/D&gt;&lt;D xsi:type="xsd:double"&gt;-28.844786&lt;/D&gt;&lt;D xsi:type="xsd:double"&gt;-18.539692&lt;/D&gt;&lt;D xsi:type="xsd:double"&gt;-13.654709&lt;/D&gt;&lt;D xsi:type="xsd:double"&gt;-12.05669&lt;/D&gt;&lt;D xsi:type="xsd:double"&gt;-6.980592&lt;/D&gt;&lt;D xsi:type="xsd:double"&gt;1.7585754&lt;/D&gt;&lt;D xsi:type="xsd:double"&gt;-7.8196406&lt;/D&gt;&lt;D xsi:type="xsd:double"&gt;-9.552753&lt;/D&gt;&lt;D xsi:type="xsd:double"&gt;4.9984455&lt;/D&gt;&lt;D xsi:type="xsd:double"&gt;7.787001&lt;/D&gt;&lt;D xsi:type="xsd:double"&gt;6.42128&lt;/D&gt;&lt;D xsi:type="xsd:double"&gt;18.37864&lt;/D&gt;&lt;D xsi:type="xsd:double"&gt;76.03113&lt;/D&gt;&lt;D xsi:type="xsd:double"&gt;57.217552&lt;/D&gt;&lt;D xsi:type="xsd:double"&gt;48.008095&lt;/D&gt;&lt;D xsi:type="xsd:double"&gt;39.84535&lt;/D&gt;&lt;D xsi:type="xsd:double"&gt;29.914797&lt;/D&gt;&lt;D xsi:type="xsd:double"&gt;27.744114&lt;/D&gt;&lt;D xsi:type="xsd:double"&gt;27.032196&lt;/D&gt;&lt;D xsi:type="xsd:double"&gt;36.167408&lt;/D&gt;&lt;D xsi:type="xsd:double"&gt;8.617687&lt;/D&gt;&lt;D xsi:type="xsd:double"&gt;9.609771&lt;/D&gt;&lt;D xsi:type="xsd:double"&gt;-3.1103015&lt;/D&gt;&lt;D xsi:type="xsd:double"&gt;3.1167507&lt;/D&gt;&lt;D xsi:type="xsd:double"&gt;12.420856&lt;/D&gt;&lt;D xsi:type="xsd:double"&gt;-1.8955946&lt;/D&gt;&lt;D xsi:type="xsd:double"&gt;-1.9457042&lt;/D&gt;&lt;D xsi:type="xsd:double"&gt;-12.330378&lt;/D&gt;&lt;D xsi:type="xsd:double"&gt;-6.4942956&lt;/D&gt;&lt;D xsi:type="xsd:double"&gt;-8.02148&lt;/D&gt;&lt;D xsi:type="xsd:double"&gt;-13.225544&lt;/D&gt;&lt;D xsi:type="xsd:double"&gt;-17.155218&lt;/D&gt;&lt;D xsi:type="xsd:double"&gt;-0.26964545&lt;/D&gt;&lt;D xsi:type="xsd:double"&gt;-5.958271&lt;/D&gt;&lt;D xsi:type="xsd:double"&gt;16.711891&lt;/D&gt;&lt;D xsi:type="xsd:double"&gt;0.037443638&lt;/D&gt;&lt;D xsi:type="xsd:double"&gt;-11.085015&lt;/D&gt;&lt;D xsi:type="xsd:double"&gt;-2.5924623&lt;/D&gt;&lt;D xsi:type="xsd:double"&gt;-3.4985542&lt;/D&gt;&lt;D xsi:type="xsd:double"&gt;8.04348&lt;/D&gt;&lt;D xsi:type="xsd:double"&gt;6.9311857&lt;/D&gt;&lt;D xsi:type="xsd:double"&gt;2.6735067&lt;/D&gt;&lt;D xsi:type="xsd:double"&gt;11.6234665&lt;/D&gt;&lt;D xsi:type="xsd:double"&gt;2.7376413&lt;/D&gt;&lt;D xsi:type="xsd:double"&gt;0.7733226&lt;/D&gt;&lt;D xsi:type="xsd:double"&gt;13.24848&lt;/D&gt;&lt;D xsi:type="xsd:double"&gt;-0.5136907&lt;/D&gt;&lt;D xsi:type="xsd:double"&gt;8.716261&lt;/D&gt;&lt;D xsi:type="xsd:double"&gt;14.737356&lt;/D&gt;&lt;D xsi:type="xsd:double"&gt;7.5396657&lt;/D&gt;&lt;D xsi:type="xsd:double"&gt;12.245536&lt;/D&gt;&lt;D xsi:type="xsd:double"&gt;14.397812&lt;/D&gt;&lt;D xsi:type="xsd:double"&gt;10.256958&lt;/D&gt;&lt;D xsi:type="xsd:double"&gt;22.535181&lt;/D&gt;&lt;/FQL&gt;&lt;FQL&gt;&lt;Q&gt;TIOS-FDS^FG_PRICE_CHANGE(0,-1AY)&lt;/Q&gt;&lt;R&gt;1&lt;/R&gt;&lt;C&gt;1&lt;/C&gt;&lt;D xsi:type="xsd:double"&gt;-9.22227335480903&lt;/D&gt;&lt;/FQL&gt;&lt;FQL&gt;&lt;Q&gt;REFAUCASH-FDS^PROPER_NAME(0,,,"SECURITY","NAME")&lt;/Q&gt;&lt;R&gt;1&lt;/R&gt;&lt;C&gt;1&lt;/C&gt;&lt;D xsi:type="xsd:string"&gt;Australia Target Cash Rate&lt;/D&gt;&lt;/FQL&gt;&lt;FQL&gt;&lt;Q&gt;EWQ^FMA_EVAL_EBIT(LTMA,NOW,NOW,M,"PORTAGG","MEANR")&lt;/Q&gt;&lt;R&gt;1&lt;/R&gt;&lt;C&gt;1&lt;/C&gt;&lt;D xsi:type="xsd:double"&gt;13.3018075765211&lt;/D&gt;&lt;/FQL&gt;&lt;FQL&gt;&lt;Q&gt;TRYTR7Y-FDS^FG_YIELD(-10AY,0,Y,,"YTM")&lt;/Q&gt;&lt;R&gt;10&lt;/R&gt;&lt;C&gt;1&lt;/C&gt;&lt;D xsi:type="xsd:double"&gt;7.979133&lt;/D&gt;&lt;D xsi:type="xsd:double"&gt;10.679033&lt;/D&gt;&lt;D xsi:type="xsd:double"&gt;11.110786&lt;/D&gt;&lt;D xsi:type="xsd:double"&gt;11.586128&lt;/D&gt;&lt;D xsi:type="xsd:double"&gt;15.896213&lt;/D&gt;&lt;D xsi:type="xsd:double"&gt;12.034795&lt;/D&gt;&lt;D xsi:type="xsd:double"&gt;12.534946&lt;/D&gt;&lt;D xsi:type="xsd:double"&gt;23.870693&lt;/D&gt;&lt;D xsi:type="xsd:double"&gt;7.323803&lt;/D&gt;&lt;D xsi:type="xsd:double"&gt;21.984322&lt;/D&gt;&lt;/FQL&gt;&lt;FQL&gt;&lt;Q&gt;EWL^FG_PRICE_MAVG(0,,,,200)&lt;/Q&gt;&lt;R&gt;1&lt;/R&gt;&lt;C&gt;1&lt;/C&gt;&lt;D xsi:type="xsd:double"&gt;47.79545&lt;/D&gt;&lt;/FQL&gt;&lt;FQL&gt;&lt;Q&gt;TLT^FG_TOTAL_RETURNC(0,-6AM)&lt;/Q&gt;&lt;R&gt;1&lt;/R&gt;&lt;C&gt;1&lt;/C&gt;&lt;D xsi:type="xsd:double"&gt;5.6331515&lt;/D&gt;&lt;/FQL&gt;&lt;FQL&gt;&lt;Q&gt;TRYZA10Y-FDS^FG_YIELD(-10AY,0,Y,,"YTM")&lt;/Q&gt;&lt;R&gt;10&lt;/R&gt;&lt;C&gt;1&lt;/C&gt;&lt;D xsi:type="xsd:double"&gt;7.9537&lt;/D&gt;&lt;D xsi:type="xsd:double"&gt;9.7513&lt;/D&gt;&lt;D xsi:type="xsd:double"&gt;8.9047&lt;/D&gt;&lt;D xsi:type="xsd:double"&gt;8.58389&lt;/D&gt;&lt;D xsi:type="xsd:double"&gt;9.37766&lt;/D&gt;&lt;D xsi:type="xsd:double"&gt;9.011772&lt;/D&gt;&lt;D xsi:type="xsd:double"&gt;9.174469&lt;/D&gt;&lt;D xsi:type="xsd:double"&gt;9.791837&lt;/D&gt;&lt;D xsi:type="xsd:double"&gt;10.764477&lt;/D&gt;&lt;D xsi:type="xsd:double"&gt;11.358896&lt;/D&gt;&lt;/FQL&gt;&lt;FQL&gt;&lt;Q&gt;USDITL^STD(FG_PRICE_CHANGE(0,-3AY,M))&lt;/Q&gt;&lt;R&gt;1&lt;/R&gt;&lt;C&gt;1&lt;/C&gt;&lt;D xsi:type="xsd:double"&gt;2.14381118993651&lt;/D&gt;&lt;/FQL&gt;&lt;FQL&gt;&lt;Q&gt;EWD^FMA_PE(LTMA,-10AY,0,AM,"PORTAGG","MEANR")&lt;/Q&gt;&lt;R&gt;121&lt;/R&gt;&lt;C&gt;1&lt;/C&gt;&lt;D xsi:type="xsd:double"&gt;15.8372840366843&lt;/D&gt;&lt;D xsi:type="xsd:double"&gt;15.9691624183514&lt;/D&gt;&lt;D xsi:type="xsd:double"&gt;16.1000925345175&lt;/D&gt;&lt;D xsi:type="xsd:double"&gt;17.3208469203877&lt;/D&gt;&lt;D xsi:type="xsd:double"&gt;17.7434912110587&lt;/D&gt;&lt;D xsi:type="xsd:double"&gt;18.6644946609124&lt;/D&gt;&lt;D xsi:type="xsd:double"&gt;20.3028254397121&lt;/D&gt;&lt;D xsi:type="xsd:double"&gt;19.9884372154015&lt;/D&gt;&lt;D xsi:type="xsd:double"&gt;19.3174890612572&lt;/D&gt;&lt;D xsi:type="xsd:double"&gt;19.3143446016606&lt;/D&gt;&lt;D xsi:type="xsd:double"&gt;18.5696114920095&lt;/D&gt;&lt;D xsi:type="xsd:double"&gt;18.4216041063192&lt;/D&gt;&lt;D xsi:type="xsd:double"&gt;17.5856684596746&lt;/D&gt;&lt;D xsi:type="xsd:double"&gt;16.3059765139157&lt;/D&gt;&lt;D xsi:type="xsd:double"&gt;17.1606950306039&lt;/D&gt;&lt;D xsi:type="xsd:double"&gt;16.906220085457&lt;/D&gt;&lt;D xsi:type="xsd:double"&gt;16.1075875065437&lt;/D&gt;&lt;D xsi:type="xsd:double"&gt;14.8347806892059&lt;/D&gt;&lt;D xsi:type="xsd:double"&gt;15.5788877722231&lt;/D&gt;&lt;D xsi:type="xsd:double"&gt;15.5131893624256&lt;/D&gt;&lt;D xsi:type="xsd:double"&gt;15.654626448611&lt;/D&gt;&lt;D xsi:type="xsd:double"&gt;15.6146234712481&lt;/D&gt;&lt;D xsi:type="xsd:double"&gt;15.2774407656381&lt;/D&gt;&lt;D xsi:type="xsd:double"&gt;15.8425074431522&lt;/D&gt;&lt;D xsi:type="xsd:double"&gt;16.0366726342064&lt;/D&gt;&lt;D xsi:type="xsd:double"&gt;16.4515801527288&lt;/D&gt;&lt;D xsi:type="xsd:double"&gt;17.4301617457435&lt;/D&gt;&lt;D xsi:type="xsd:double"&gt;17.2096276272975&lt;/D&gt;&lt;D xsi:type="xsd:double"&gt;18.1978977023908&lt;/D&gt;&lt;D xsi:type="xsd:double"&gt;18.2306000773971&lt;/D&gt;&lt;D xsi:type="xsd:double"&gt;17.4411948352494&lt;/D&gt;&lt;D xsi:type="xsd:double"&gt;17.6001252534946&lt;/D&gt;&lt;D xsi:type="xsd:double"&gt;17.6333708179951&lt;/D&gt;&lt;D xsi:type="xsd:double"&gt;18.0905701056251&lt;/D&gt;&lt;D xsi:type="xsd:double"&gt;17.5229900569017&lt;/D&gt;&lt;D xsi:type="xsd:double"&gt;17.3240670000655&lt;/D&gt;&lt;D xsi:type="xsd:double"&gt;16.6651647642071&lt;/D&gt;&lt;D xsi:type="xsd:double"&gt;17.7146987001221&lt;/D&gt;&lt;D xsi:type="xsd:double"&gt;18.5637459837511&lt;/D&gt;&lt;D xsi:type="xsd:double"&gt;18.0209705224099&lt;/D&gt;&lt;D xsi:type="xsd:double"&gt;17.8917428432806&lt;/D&gt;&lt;D xsi:type="xsd:double"&gt;18.4110489892098&lt;/D&gt;&lt;D xsi:type="xsd:double"&gt;16.9913152915228&lt;/D&gt;&lt;D xsi:type="xsd:double"&gt;16.8339577519838&lt;/D&gt;&lt;D xsi:type="xsd:double"&gt;16.8300248064505&lt;/D&gt;&lt;D xsi:type="xsd:double"&gt;16.6373271482966&lt;/D&gt;&lt;D xsi:type="xsd:double"&gt;16.4769912290327&lt;/D&gt;&lt;D xsi:type="xsd:double"&gt;16.6243819627993&lt;/D&gt;&lt;D xsi:type="xsd:double"&gt;16.915950921663&lt;/D&gt;&lt;D xsi:type="xsd:double"&gt;16.930242746771&lt;/D&gt;&lt;D xsi:type="xsd:double"&gt;15.0130501385392&lt;/D&gt;&lt;D xsi:type="xsd:double"&gt;14.9522686594712&lt;/D&gt;&lt;D xsi:type="xsd:double"&gt;13.8014625125488&lt;/D&gt;&lt;D xsi:type="xsd:double"&gt;16.041285925152&lt;/D&gt;&lt;D xsi:type="xsd:double"&gt;18.1595410936155&lt;/D&gt;&lt;D xsi:type="xsd:double"&gt;17.8396800527696&lt;/D&gt;&lt;D xsi:type="xsd:double"&gt;17.9546772654055&lt;/D&gt;&lt;D xsi:type="xsd:double"&gt;17.1113430564192&lt;/D&gt;&lt;D xsi:type="xsd:double"&gt;17.1495017519452&lt;/D&gt;&lt;D xsi:type="xsd:double"&gt;16.928913202139&lt;/D&gt;&lt;D xsi:type="xsd:double"&gt;15.7954335523062&lt;/D&gt;&lt;D xsi:type="xsd:double"&gt;16.5192870872897&lt;/D&gt;&lt;D xsi:type="xsd:double"&gt;16.8763109702807&lt;/D&gt;&lt;D xsi:type="xsd:double"&gt;15.8831275318796&lt;/D&gt;&lt;D xsi:type="xsd:double"&gt;16.4495457405733&lt;/D&gt;&lt;D xsi:type="xsd:double"&gt;14.1297722719964&lt;/D&gt;&lt;D xsi:type="xsd:double"&gt;12.8819296635769&lt;/D&gt;&lt;D xsi:type="xsd:double"&gt;12.759855699121&lt;/D&gt;&lt;D xsi:type="xsd:double"&gt;14.5965738585746&lt;/D&gt;&lt;D xsi:type="xsd:double"&gt;15.7768100275779&lt;/D&gt;&lt;D xsi:type="xsd:double"&gt;17.2538844896362&lt;/D&gt;&lt;D xsi:type="xsd:double"&gt;17.2166254318239&lt;/D&gt;&lt;D xsi:type="xsd:double"&gt;17.2245695263862&lt;/D&gt;&lt;D xsi:type="xsd:double"&gt;18.1879497676028&lt;/D&gt;&lt;D xsi:type="xsd:double"&gt;14.9791604107906&lt;/D&gt;&lt;D xsi:type="xsd:double"&gt;16.9423526935777&lt;/D&gt;&lt;D xsi:type="xsd:double"&gt;17.4140597345515&lt;/D&gt;&lt;D xsi:type="xsd:double"&gt;17.8800786162843&lt;/D&gt;&lt;D xsi:type="xsd:double"&gt;17.5604129321876&lt;/D&gt;&lt;D xsi:type="xsd:do</t>
        </r>
      </text>
    </comment>
    <comment ref="A13" authorId="0" shapeId="0" xr:uid="{4D7A51A9-4856-4D3B-BAB0-A4C8A9830E68}">
      <text>
        <r>
          <rPr>
            <b/>
            <sz val="9"/>
            <color indexed="81"/>
            <rFont val="Tahoma"/>
            <charset val="1"/>
          </rPr>
          <t>uble"&gt;18.0909014695465&lt;/D&gt;&lt;D xsi:type="xsd:double"&gt;17.9047530612841&lt;/D&gt;&lt;D xsi:type="xsd:double"&gt;17.7609918637145&lt;/D&gt;&lt;D xsi:type="xsd:double"&gt;17.9995935103517&lt;/D&gt;&lt;D xsi:type="xsd:double"&gt;17.5703109186024&lt;/D&gt;&lt;D xsi:type="xsd:double"&gt;17.5401253723411&lt;/D&gt;&lt;D xsi:type="xsd:double"&gt;16.9402892981383&lt;/D&gt;&lt;D xsi:type="xsd:double"&gt;16.425730212589&lt;/D&gt;&lt;D xsi:type="xsd:double"&gt;16.509361382477&lt;/D&gt;&lt;D xsi:type="xsd:double"&gt;16.8942642798081&lt;/D&gt;&lt;D xsi:type="xsd:double"&gt;11.9905119710736&lt;/D&gt;&lt;D xsi:type="xsd:double"&gt;11.6552366196826&lt;/D&gt;&lt;D xsi:type="xsd:double"&gt;12.1034767148539&lt;/D&gt;&lt;D xsi:type="xsd:double"&gt;12.2495902206745&lt;/D&gt;&lt;D xsi:type="xsd:double"&gt;13.6765471679512&lt;/D&gt;&lt;D xsi:type="xsd:double"&gt;13.3867029210081&lt;/D&gt;&lt;D xsi:type="xsd:double"&gt;14.734059264034&lt;/D&gt;&lt;D xsi:type="xsd:double"&gt;14.4806385930517&lt;/D&gt;&lt;D xsi:type="xsd:double"&gt;14.0445348004802&lt;/D&gt;&lt;D xsi:type="xsd:double"&gt;13.4361560871556&lt;/D&gt;&lt;D xsi:type="xsd:double"&gt;14.2042674119078&lt;/D&gt;&lt;D xsi:type="xsd:double"&gt;15.6850845640333&lt;/D&gt;&lt;D xsi:type="xsd:double"&gt;24.8133321956733&lt;/D&gt;&lt;D xsi:type="xsd:double"&gt;25.6790377823522&lt;/D&gt;&lt;D xsi:type="xsd:double"&gt;24.4215121745004&lt;/D&gt;&lt;D xsi:type="xsd:double"&gt;23.3628183517047&lt;/D&gt;&lt;D xsi:type="xsd:double"&gt;22.231183099723&lt;/D&gt;&lt;D xsi:type="xsd:double"&gt;20.8775337081474&lt;/D&gt;&lt;D xsi:type="xsd:double"&gt;19.6881436698266&lt;/D&gt;&lt;D xsi:type="xsd:double"&gt;17.937375213917&lt;/D&gt;&lt;D xsi:type="xsd:double"&gt;16.7595290826955&lt;/D&gt;&lt;D xsi:type="xsd:double"&gt;15.7461825469791&lt;/D&gt;&lt;D xsi:type="xsd:double"&gt;16.0992800751376&lt;/D&gt;&lt;D xsi:type="xsd:double"&gt;17.9664134766413&lt;/D&gt;&lt;D xsi:type="xsd:double"&gt;15.3500929707044&lt;/D&gt;&lt;D xsi:type="xsd:double"&gt;15.7867160603531&lt;/D&gt;&lt;D xsi:type="xsd:double"&gt;15.9085794415529&lt;/D&gt;&lt;D xsi:type="xsd:double"&gt;15.9350505329229&lt;/D&gt;&lt;D xsi:type="xsd:double"&gt;15.9913829357997&lt;/D&gt;&lt;D xsi:type="xsd:double"&gt;16.0624556804875&lt;/D&gt;&lt;D xsi:type="xsd:double"&gt;16.4273065144878&lt;/D&gt;&lt;D xsi:type="xsd:double"&gt;16.6908686258535&lt;/D&gt;&lt;/FQL&gt;&lt;FQL&gt;&lt;Q&gt;TIOS-FDS^FG_PRICE_CHANGE(0,-6AM)&lt;/Q&gt;&lt;R&gt;1&lt;/R&gt;&lt;C&gt;1&lt;/C&gt;&lt;D xsi:type="xsd:double"&gt;-21.0075284318437&lt;/D&gt;&lt;/FQL&gt;&lt;FQL&gt;&lt;Q&gt;REFNZOCR-FDS^(SUBARRAY(NOT_NA(NO_REPEAT_F(FG_YIELD(NOW,-10AY,D))),0,1)-SUBARRAY(NOT_NA(NO_REPEAT_F(FG_YIELD(NOW,-10AY,D))),1,1))*100&lt;/Q&gt;&lt;R&gt;1&lt;/R&gt;&lt;C&gt;1&lt;/C&gt;&lt;D xsi:type="xsd:double"&gt;-25&lt;/D&gt;&lt;/FQL&gt;&lt;FQL&gt;&lt;Q&gt;TRYNL10Y-FDS^FG_YIELD_NAME&lt;/Q&gt;&lt;R&gt;1&lt;/R&gt;&lt;C&gt;1&lt;/C&gt;&lt;D xsi:type="xsd:string"&gt;Netherlands Benchmark Bond - 10 Year&lt;/D&gt;&lt;/FQL&gt;&lt;FQL&gt;&lt;Q&gt;EWQ^FMA_EVAL_EBITDA(NTMA,0,,,"PORTAGG","MEANR")&lt;/Q&gt;&lt;R&gt;1&lt;/R&gt;&lt;C&gt;1&lt;/C&gt;&lt;D xsi:type="xsd:double"&gt;9.13586379169084&lt;/D&gt;&lt;/FQL&gt;&lt;FQL&gt;&lt;Q&gt;PLATI-FDS^MAX(FG_PRICE(0,-5AY))&lt;/Q&gt;&lt;R&gt;1&lt;/R&gt;&lt;C&gt;1&lt;/C&gt;&lt;D xsi:type="xsd:double"&gt;1272.59&lt;/D&gt;&lt;/FQL&gt;&lt;FQL&gt;&lt;Q&gt;EWG^PERCENT_CHANGE(FMA_EPS(+1,0,,,,"PORTAGG","MEAN"),FMA_EPS(+1,-3AM,,,,"PORTAGG","MEAN"))&lt;/Q&gt;&lt;R&gt;1&lt;/R&gt;&lt;C&gt;1&lt;/C&gt;&lt;D xsi:type="xsd:double"&gt;-1.07922963531204&lt;/D&gt;&lt;/FQL&gt;&lt;FQL&gt;&lt;Q&gt;EWG^FMA_COS_UP("EPS","1M",+1,0,,,"PORTAGG","MEANR")&lt;/Q&gt;&lt;R&gt;1&lt;/R&gt;&lt;C&gt;1&lt;/C&gt;&lt;D xsi:type="xsd:double"&gt;28&lt;/D&gt;&lt;/FQL&gt;&lt;FQL&gt;&lt;Q&gt;USO^FG_TOTAL_RETURNC(0,-1AM)&lt;/Q&gt;&lt;R&gt;1&lt;/R&gt;&lt;C&gt;1&lt;/C&gt;&lt;D xsi:type="xsd:double"&gt;2.101338&lt;/D&gt;&lt;/FQL&gt;&lt;FQL&gt;&lt;Q&gt;URTH^FG_TOTAL_RETURNC(0,-6AM)&lt;/Q&gt;&lt;R&gt;1&lt;/R&gt;&lt;C&gt;1&lt;/C&gt;&lt;D xsi:type="xsd:double"&gt;9.9275&lt;/D&gt;&lt;/FQL&gt;&lt;FQL&gt;&lt;Q&gt;TRYFR10Y-FDS^FG_YIELD(0,,,,"YTM")&lt;/Q&gt;&lt;R&gt;1&lt;/R&gt;&lt;C&gt;1&lt;/C&gt;&lt;D xsi:type="xsd:double"&gt;2.986&lt;/D&gt;&lt;/FQL&gt;&lt;FQL&gt;&lt;Q&gt;EWQ^FG_FCF_YIELD_NTM(0)&lt;/Q&gt;&lt;R&gt;1&lt;/R&gt;&lt;C&gt;1&lt;/C&gt;&lt;D xsi:type="xsd:double"&gt;5.89419184688092&lt;/D&gt;&lt;/FQL&gt;&lt;FQL&gt;&lt;Q&gt;DBA^P_PRICE(0)/P_PRICE_HIGH_PR(0,,,USD,,,"PRICE","INTRA","52W")&lt;/Q&gt;&lt;R&gt;1&lt;/R&gt;&lt;C&gt;1&lt;/C&gt;&lt;D xsi:type="xsd:double"&gt;0.93478674&lt;/D&gt;&lt;/FQL&gt;&lt;FQL&gt;&lt;Q&gt;EWU^FMA_ROE(NTMA,-20AY,NOW,FY,"PORTAGG","MEANR")&lt;/Q&gt;&lt;R&gt;20&lt;/R&gt;&lt;C&gt;1&lt;/C&gt;&lt;D xsi:type="xsd:double"&gt;17.0013743335587&lt;/D&gt;&lt;D xsi:type="xsd:double"&gt;17.4840740170497&lt;/D&gt;&lt;D xsi:type="xsd:double"&gt;19.4425742504053&lt;/D&gt;&lt;D xsi:type="xsd:double"&gt;18.9225481633064&lt;/D&gt;&lt;D xsi:type="xsd:double"&gt;14.9735451636047&lt;/D&gt;&lt;D xsi:type="xsd:double"&gt;14.6457818658238&lt;/D&gt;&lt;D xsi:type="xsd:double"&gt;16.1542964974398&lt;/D&gt;&lt;D xsi:type="xsd:double"&gt;15.1996078376158&lt;/D&gt;&lt;D xsi:type="xsd:double"&gt;14.4781479669762&lt;/D&gt;&lt;D xsi:type="xsd:double"&gt;13.3640315886099&lt;/D&gt;&lt;D xsi:type="xsd:double"&gt;12.2326503305714&lt;/D&gt;&lt;D xsi:type="xsd:double"&gt;11.1900784012713&lt;/D&gt;&lt;D xsi:type="xsd:double"&gt;12.1967915012023&lt;/D&gt;&lt;D xsi:type="xsd:double"&gt;12.7329318595365&lt;/D&gt;&lt;D xsi:type="xsd:double"&gt;13.1887832891224&lt;/D&gt;&lt;D xsi:type="xsd:double"&gt;12.8709323534995&lt;/D&gt;&lt;D xsi:type="xsd:double"&gt;11.2074687408188&lt;/D&gt;&lt;D xsi:type="xsd:double"&gt;13.9227699516468&lt;/D&gt;&lt;D xsi:type="xsd:double"&gt;15.8587443966116&lt;/D&gt;&lt;D xsi:type="xsd:double"&gt;14.7207876109821&lt;/D&gt;&lt;/FQL&gt;&lt;FQL&gt;&lt;Q&gt;USDSEK^STD(FG_PRICE_CHANGE(0,-1AY,AM))&lt;/Q&gt;&lt;R&gt;1&lt;/R&gt;&lt;C&gt;1&lt;/C&gt;&lt;D xsi:type="xsd:double"&gt;3.59403618815725&lt;/D&gt;&lt;/FQL&gt;&lt;FQL&gt;&lt;Q&gt;USDGBP^FG_PRICE(0)&lt;/Q&gt;&lt;R&gt;1&lt;/R&gt;&lt;C&gt;1&lt;/C&gt;&lt;D xsi:type="xsd:double"&gt;0.7600806&lt;/D&gt;&lt;/FQL&gt;&lt;FQL&gt;&lt;Q&gt;CPALM-FDS^FG_PRICE(0)/MAX(FG_PRICE(0,-1AY))&lt;/Q&gt;&lt;R&gt;1&lt;/R&gt;&lt;C&gt;1&lt;/C&gt;&lt;D xsi:type="xsd:double"&gt;0.883817427385892&lt;/D&gt;&lt;/FQL&gt;&lt;FQL&gt;&lt;Q&gt;VWO^FG_PE_NTM(0,,,90,0)&lt;/Q&gt;&lt;R&gt;1&lt;/R&gt;&lt;C&gt;1&lt;/C&gt;&lt;D xsi:type="xsd:double"&gt;12.8821687467339&lt;/D&gt;&lt;/FQL&gt;&lt;FQL&gt;&lt;Q&gt;ENZL^FMA_ROE(NTMA,-20AY,NOW,FY,"PORTAGG","MEANR")&lt;/Q&gt;&lt;R&gt;20&lt;/R&gt;&lt;C&gt;1&lt;/C&gt;&lt;D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xsi:type="xsd:double"&gt;10.8532267295878&lt;/D&gt;&lt;D xsi:type="xsd:double"&gt;10.9048734413645&lt;/D&gt;&lt;D xsi:type="xsd:double"&gt;11.45876758647&lt;/D&gt;&lt;D xsi:type="xsd:double"&gt;11.0832589152415&lt;/D&gt;&lt;D xsi:type="xsd:double"&gt;9.94517431688139&lt;/D&gt;&lt;D xsi:type="xsd:double"&gt;9.90242652659034&lt;/D&gt;&lt;D xsi:type="xsd:double"&gt;9.79986582903071&lt;/D&gt;&lt;D xsi:type="xsd:double"&gt;9.84792896856594&lt;/D&gt;&lt;D xsi:type="xsd:double"&gt;9.52177142619013&lt;/D&gt;&lt;D xsi:type="xsd:double"&gt;9.00388708752031&lt;/D&gt;&lt;D xsi:type="xsd:double"&gt;7.53226389198691&lt;/D&gt;&lt;D xsi:type="xsd:double"&gt;6.44400181202057&lt;/D&gt;&lt;D xsi:type="xsd:double"&gt;7.7689690341127&lt;/D&gt;&lt;D xsi:type="xsd:double"&gt;6.57910753918315&lt;/D&gt;&lt;/FQL&gt;&lt;FQL&gt;&lt;Q&gt;USDNZD^FG_PRICE_CHANGE(0,-6AM)&lt;/Q&gt;&lt;R&gt;1&lt;/R&gt;&lt;C&gt;1&lt;/C&gt;&lt;D xsi:type="xsd:double"&gt;-2.6134908&lt;/D&gt;&lt;/FQL&gt;&lt;FQL&gt;&lt;Q&gt;EWJ^FMA_PE(LTMA,-10AY,0,AM,"PORTAGG","MEANR")&lt;/Q&gt;&lt;R&gt;121&lt;/R&gt;&lt;C&gt;1&lt;/C&gt;&lt;D xsi:type="xsd:double"&gt;15.0149201880092&lt;/D&gt;&lt;D xsi:type="xsd:double"&gt;15.566943702358&lt;/D&gt;&lt;D xsi:type="xsd:double"&gt;14.749047096752&lt;/D&gt;&lt;D xsi:type="xsd:double"&gt;15.8589010011577&lt;/D&gt;&lt;D xsi:type="xsd:double"&gt;16.1447011610813&lt;/D&gt;&lt;D xsi:type="xsd:double"&gt;15.5201868786192&lt;/D&gt;&lt;D xsi:type="xsd:double"&gt;16.9321203067015&lt;/D&gt;&lt;D xsi:type="xsd:double"&gt;16.8725663433186&lt;/D&gt;&lt;D xsi:type="xsd:double"&gt;17.0017364181923&lt;/D&gt;&lt;D xsi:type="xsd:double"&gt;17.2168527003656&lt;/D&gt;&lt;D xsi:type="xsd:double"&gt;16.7365111727758&lt;/D&gt;&lt;D xsi:type="xsd:double"&gt;16.6950939021377&lt;/D&gt;&lt;D xsi:type="xsd:double"&gt;16.0226881239397&lt;/D&gt;&lt;D xsi:type="xsd:double"&gt;14.523335426108&lt;/D&gt;&lt;D xsi:type="xsd:double"&gt;15.7895603955417&lt;/D&gt;&lt;D xsi:type="xsd:double"&gt;16.2670470739019&lt;/D&gt;&lt;D xsi:type="xsd:double"&gt;15.7732983628588&lt;/D&gt;&lt;D xsi:type="xsd:double"&gt;14.6339361659907&lt;/D&gt;&lt;D xsi:type="xsd:double"&gt;13.8051582203488&lt;/D&gt;&lt;D xsi:type="xsd:double"&gt;13.906687540865&lt;/D&gt;&lt;D xsi:type="xsd:double"&gt;13.7931562937423&lt;/D&gt;&lt;D xsi:type="xsd:double"&gt;14.0067677039624&lt;/D&gt;&lt;D xsi:type="xsd:double"&gt;13.6669861583647&lt;/D&gt;&lt;D xsi:type="xsd:double"&gt;14.0810064402976&lt;/D&gt;&lt;D xsi:type="xsd:double"&gt;14.1755301974202&lt;/D&gt;&lt;D xsi:type="xsd:double"&gt;14.3534458161&lt;/D&gt;&lt;D xsi:type="xsd:double"&gt;14.7716916195493&lt;/D&gt;&lt;D xsi:type="xsd:double"&gt;15.6551924501315&lt;/D&gt;&lt;D xsi:type="xsd:double"&gt;16.2906434986563&lt;/D&gt;&lt;D xsi:type="xsd:double"&gt;16.6807875682828&lt;/D&gt;&lt;D xsi:type="xsd:double"&gt;15.9475569637409&lt;/D&gt;&lt;D xsi:type="xsd:double"&gt;15.790375239555&lt;/D&gt;&lt;D xsi:type="xsd:double"&gt;15.5963855462278&lt;/D&gt;&lt;D xsi:type="xsd:double"&gt;15.643490033175&lt;/D&gt;&lt;D xsi:type="xsd:double"&gt;15.6176848621052&lt;/D&gt;&lt;D xsi:type="xsd:double"&gt;15.42324775254&lt;/D&gt;&lt;D xsi:type="xsd:double"&gt;14.8812100403607&lt;/D&gt;&lt;D xsi:type="xsd:double"&gt;15.0466824256912&lt;/D&gt;&lt;D xsi:type="xsd:double"&gt;15.5211225833806&lt;/D&gt;&lt;D xsi:type="xsd:double"&gt;15.9842027337117&lt;/D&gt;&lt;D xsi:type="xsd:double"&gt;16.3566554731427&lt;/D&gt;&lt;D xsi:type="xsd:double"&gt;16.7712133162518&lt;/D&gt;&lt;D xsi:type="xsd:double"&gt;14.4932574540538&lt;/D&gt;&lt;D xsi:type="xsd:double"&gt;14.2542395217387&lt;/D&gt;&lt;D xsi:type="xsd:double"&gt;14.3063805276655&lt;/D&gt;&lt;D xsi:type="xsd:double"&gt;14.1263253549623&lt;/D&gt;&lt;D xsi:type="xsd:double"&gt;13.9104417820475&lt;/D&gt;&lt;D xsi:type="xsd:double"&gt;13.9870392098219&lt;/D&gt;&lt;D xsi:type="xsd:double"&gt;13.6928659310873&lt;/D&gt;&lt;D xsi:type="xsd:double"&gt;13.9803538867761&lt;/D&gt;&lt;D xsi:type="xsd:double"&gt;12.5105080687653&lt;/D&gt;&lt;D xsi:type="xsd:double"&gt;12.78260160934&lt;/D&gt;&lt;D xsi:type="xsd:double"&gt;11.5056854632034&lt;/D&gt;&lt;D xsi:type="xsd:double"&gt;12.0416162871618&lt;/D&gt;&lt;D xsi:type="xsd:double"&gt;12.6835180820457&lt;/D&gt;&lt;D xsi:type="xsd:double"&gt;12.687555236804&lt;/D&gt;&lt;D xsi:type="xsd:double"&gt;12.7861524693058&lt;/D&gt;&lt;D xsi:type="xsd:double"&gt;12.6661563783869&lt;/D&gt;&lt;D xsi:type="xsd:double"&gt;12.8569130440768&lt;/D&gt;&lt;D xsi:type="xsd:double"&gt;13.0092835396401&lt;/D&gt;&lt;D xsi:type="xsd:double"&gt;12.7294125330792&lt;/D&gt;&lt;D xsi:type="xsd:double"&gt;13.5013232023661&lt;/D&gt;&lt;D xsi:type="xsd:double"&gt;14.0585815282535&lt;/D&gt;&lt;D xsi:type="xsd:double"&gt;14.7328737245686&lt;/D&gt;&lt;D xsi:type="xsd:double"&gt;15.3717244512473&lt;/D&gt;&lt;D xsi:type="xsd:double"&gt;15.1531769933045&lt;/D&gt;&lt;D xsi:type="xsd:double"&gt;13.9774594975131&lt;/D&gt;&lt;D xsi:type="xsd:double"&gt;13.8489007002888&lt;/D&gt;&lt;D xsi:type="xsd:double"&gt;14.2722872116267&lt;/D&gt;&lt;D xsi:type="xsd:double"&gt;15.5262141872468&lt;/D&gt;&lt;D xsi:type="xsd:double"&gt;16.8446612508732&lt;/D&gt;&lt;D xsi:type="xsd:double"&gt;17.6868486877593&lt;/D&gt;&lt;D xsi:type="xsd:double"&gt;18.6932054546298&lt;/D&gt;&lt;D xsi:type="xsd:double"&gt;20.2757107912591&lt;/D&gt;&lt;D xsi:type="xsd:double"&gt;20.5228658332281&lt;/D&gt;&lt;D xsi:type="xsd:double"&gt;22.7867984337022&lt;/D&gt;&lt;D xsi:type="xsd:double"&gt;23.7156391978063&lt;/D&gt;&lt;D xsi:type="xsd:double"&gt;22.9628108870217&lt;/D&gt;&lt;D xsi:type="xsd:double"&gt;21.6770992801852&lt;/D&gt;&lt;D xsi:type="xsd:double"&gt;21.4181741000386&lt;/D&gt;&lt;D xsi:type="xsd:double"&gt;20.7751518729489&lt;/D&gt;&lt;D xsi:type="xsd:double"&gt;20.3594317741321&lt;/D&gt;&lt;D xsi:type="xsd:double"&gt;19.819055728357&lt;/D&gt;&lt;D xsi:type="xsd:double"&gt;19.1609402776708&lt;/D&gt;&lt;D xsi:type="xsd:double"&gt;18.300711447691&lt;/D&gt;&lt;D xsi:type="xsd:double"&gt;18.1859537496884&lt;/D&gt;&lt;D xsi:type="xsd:double"&gt;17.4988758558058&lt;/D&gt;&lt;D xsi:type="xsd:double"&gt;16.5437207618553&lt;/D&gt;&lt;D xsi:type="xsd:double"&gt;16.2052438295047&lt;/D&gt;&lt;D xsi:type="xsd:double"&gt;14.972903520758&lt;/D&gt;&lt;D xsi:type="xsd:double"&gt;14.7535764117931&lt;/D&gt;&lt;D xsi:type="xsd:double"&gt;14.7097424623242&lt;/D&gt;&lt;D xsi:type="xsd:double"&gt;14.3571385524263&lt;/D&gt;&lt;D xsi:type="xsd:double"&gt;14.1735912290766&lt;/D&gt;&lt;D xsi:type="xsd:double"&gt;13.9344025624939&lt;/D&gt;&lt;D xsi:type="xsd:double"&gt;13.9346950190429&lt;/D&gt;&lt;D xsi:type="xsd:double"&gt;13.7759908727508&lt;/D&gt;&lt;D xsi:type="xsd:double"&gt;13.1199383640511&lt;/D&gt;&lt;D xsi:type="xsd:double"&gt;13.1162985309241&lt;/D&gt;&lt;D xsi:type="xsd:double"&gt;13.5367090043918&lt;/D&gt;&lt;D xsi:type="xsd:double"&gt;12.7940411131398&lt;/D&gt;&lt;D xsi:type="xsd:double"&gt;13.4952020264739&lt;/D&gt;&lt;D xsi:type="xsd:double"&gt;13.6544225344261&lt;/D&gt;&lt;D xsi:type="xsd:double"&gt;13.6346618364367&lt;/D&gt;&lt;D xsi:type="xsd:double"&gt;13.7566853146172&lt;/D&gt;&lt;D xsi:type="xsd:double"&gt;14.0471854832872&lt;/D&gt;&lt;D xsi:type="xsd:double"&gt;14.6050873590669&lt;/D&gt;&lt;D xsi:type="xsd:double"&gt;14.6592530358832&lt;/D&gt;&lt;D xsi:type="xsd:double"&gt;14.6531630279939&lt;/D&gt;&lt;D xsi:type="xsd:double"&gt;14.7737520947607&lt;/D&gt;&lt;D xsi:type="xsd:double"&gt;14.5043277902702&lt;/D&gt;&lt;D xsi:type="xsd:double"&gt;15.1756533579671&lt;/D&gt;&lt;D xsi:type="xsd:double"&gt;15.2915763078604&lt;/D&gt;&lt;D xsi:type="xsd:double"&gt;16.373540036211&lt;/D&gt;&lt;D xsi:type="xsd:double"&gt;17.0440593100094&lt;/D&gt;&lt;D xsi:type="xsd:double"&gt;17.0076377753227&lt;/D&gt;&lt;D xsi:type="xsd:double"&gt;16.7354032044267&lt;/D&gt;&lt;D xsi:type="xsd:double"&gt;16.7434980756866&lt;/D&gt;&lt;D xsi:type="xsd:double"&gt;16.7892788763365&lt;/D&gt;&lt;D xsi:type="xsd:double"&gt;16.422285419949&lt;/D&gt;&lt;D xsi:type="xsd:double"&gt;15.9010034349896&lt;/D&gt;&lt;/FQL&gt;&lt;FQL&gt;&lt;Q&gt;CAGDPY@JP^EE_ACTUAL_ANNUAL(MED,0)&lt;/Q&gt;&lt;R&gt;1&lt;/R&gt;&lt;C&gt;1&lt;/C&gt;&lt;D xsi:type="xsd:double"&gt;3.60665526864134&lt;/D&gt;&lt;/FQL&gt;&lt;FQL&gt;&lt;Q&gt;USDJPY^FG_COMPANY_NAME&lt;/Q&gt;&lt;R&gt;1&lt;/R&gt;&lt;C&gt;1&lt;/C&gt;&lt;D xsi:type="xsd:string"&gt;Japanese Yen per U.S. Dollar&lt;/D&gt;&lt;/FQL&gt;&lt;FQL&gt;&lt;Q&gt;EWI^FG_TOTAL_RETURNC(0,-12AM)&lt;/Q&gt;&lt;R&gt;1&lt;/R&gt;&lt;C&gt;1&lt;/C&gt;&lt;D xsi:type="xsd:double"&gt;23.608112&lt;/D&gt;&lt;/FQL&gt;&lt;FQL&gt;&lt;Q&gt;EWL^FG_TOTAL_RETURNC(0,-1AM)&lt;/Q&gt;&lt;R&gt;1&lt;/R&gt;&lt;C&gt;1&lt;/C&gt;&lt;D xsi:type="xsd:double"&gt;6.1544657&lt;/D&gt;&lt;/FQL&gt;&lt;FQL&gt;&lt;Q&gt;EWD^FMA_COS_UP("EPS","1M",+1,0,,,"PORTAGG","MEANR")&lt;/Q&gt;&lt;R&gt;1&lt;/R&gt;&lt;C&gt;1&lt;/C&gt;&lt;D xsi:type="xsd:double"&gt;17&lt;/D&gt;&lt;/FQL&gt;&lt;FQL&gt;&lt;Q&gt;QQQ^FMA_EVAL_EBIT(LTMA,NOW,NOW,M,"PORTAGG","MEANR")&lt;/Q&gt;&lt;R&gt;1&lt;/R&gt;&lt;C&gt;1&lt;/C&gt;&lt;D xsi:type="xsd:double"&gt;24.7144027004367&lt;/D&gt;&lt;/FQL&gt;&lt;FQL&gt;&lt;Q&gt;EWA^JULIAN(FMA_ROE(NTMA,-20AY,NOW,FY,"PORTAGG","MEANR").DATES)&lt;/Q&gt;&lt;R&gt;20&lt;/R&gt;&lt;C&gt;1&lt;/C&gt;&lt;D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xsi:type="xsd:long"&gt;45289&lt;/D&gt;&lt;/FQL&gt;&lt;FQL&gt;&lt;Q&gt;W-FDS^FG_PRICE_CHANGE(0,-6AM)&lt;/Q&gt;&lt;R&gt;1&lt;/R&gt;&lt;C&gt;1&lt;/C&gt;&lt;D xsi:type="xsd:double"&gt;-9.09090909090909&lt;/D&gt;&lt;/FQL&gt;&lt;FQL&gt;&lt;Q&gt;EWC^FG_ROE(0)&lt;/Q&gt;&lt;R&gt;1&lt;/R&gt;&lt;C&gt;1&lt;/C&gt;&lt;D xsi:type="xsd:double"&gt;10.8932877006616&lt;/D&gt;&lt;/FQL&gt;&lt;FQL&gt;&lt;Q&gt;CC_IT^IMF_IFS_RCPI_Q(0)&lt;/Q&gt;&lt;R&gt;1&lt;/R&gt;&lt;C&gt;1&lt;/C&gt;&lt;D xsi:type="xsd:double"&gt;0.80847347&lt;/D&gt;&lt;/FQL&gt;&lt;FQL&gt;&lt;Q&gt;QQQ^FG_FCF_YIELD_NTM(0)&lt;/Q&gt;&lt;R&gt;1&lt;/R&gt;&lt;C&gt;1&lt;/C&gt;&lt;D xsi:type="xsd:double"&gt;3.60693410354333&lt;/D&gt;&lt;/FQL&gt;&lt;FQL&gt;&lt;Q&gt;DBA^FG_TOTAL_RETURNC(0,-3AM)&lt;/Q&gt;&lt;R&gt;1&lt;/R&gt;&lt;C&gt;1&lt;/C&gt;&lt;D xsi:type="xsd:double"&gt;-2.317351&lt;/D&gt;&lt;/FQL&gt;&lt;FQL&gt;&lt;Q&gt;USDSEK^FG_PRICE_CHANGE(0,-6AM)&lt;/Q&gt;&lt;R&gt;1&lt;/R&gt;&lt;C&gt;1&lt;/C&gt;&lt;D xsi:type="xsd:double"&gt;-0.96787214&lt;/D&gt;&lt;/FQL&gt;&lt;FQL&gt;&lt;Q&gt;EWI^FMA_PE(NTMA,-10AY,0,AM,"PORTAGG","MEANR")&lt;/Q&gt;&lt;R&gt;121&lt;/R&gt;&lt;C&gt;1&lt;/C&gt;&lt;D xsi:type="xsd:double"&gt;13.8013716688956&lt;/D&gt;&lt;D xsi:type="xsd:double"&gt;13.5374430676881&lt;/D&gt;&lt;D xsi:type="xsd:double"&gt;12.4396349836215&lt;/D&gt;&lt;D xsi:type="xsd:double"&gt;13.0012291690605&lt;/D&gt;&lt;D xsi:type="xsd:double"&gt;12.4198311581761&lt;/D&gt;&lt;D xsi:type="xsd:double"&gt;14.0040164193245&lt;/D&gt;&lt;D xsi:type="xsd:double"&gt;15.5512236592378&lt;/D&gt;&lt;D xsi:type="xsd:double"&gt;15.6616611687816&lt;/D&gt;&lt;D xsi:type="xsd:double"&gt;15.6385586257862&lt;/D&gt;&lt;D xsi:type="xsd:double"&gt;15.7682128531581&lt;/D&gt;&lt;D xsi:type="xsd:double"&gt;14.7175453381228&lt;/D&gt;&lt;D xsi:type="xsd:double"&gt;15.1468655223764&lt;/D&gt;&lt;D xsi:type="xsd:double"&gt;14.4423069780737&lt;/D&gt;&lt;D xsi:type="xsd:double"&gt;13.4761394113482&lt;/D&gt;&lt;D xsi:type="xsd:double"&gt;14.7189076664203&lt;/D&gt;&lt;D xsi:type="xsd:double"&gt;15.0400503047353&lt;/D&gt;&lt;D xsi:type="xsd:double"&gt;14.2706754891433&lt;/D&gt;&lt;D xsi:type="xsd:double"&gt;13.034168832855&lt;/D&gt;&lt;D xsi:type="xsd:double"&gt;12.9384392812333&lt;/D&gt;&lt;D xsi:type="xsd:double"&gt;13.2202400917411&lt;/D&gt;&lt;D xsi:type="xsd:double"&gt;13.4221143217494&lt;/D&gt;&lt;D xsi:type="xsd:double"&gt;13.7815013289343&lt;/D&gt;&lt;D xsi:type="xsd:double"&gt;11.626870367261&lt;/D&gt;&lt;D xsi:type="xsd:double"&gt;12.452074341917&lt;/D&gt;&lt;D xsi:type="xsd:double"&gt;12.383527948578&lt;/D&gt;&lt;D xsi:type="xsd:double"&gt;11.7584050927027&lt;/D&gt;&lt;D xsi:type="xsd:double"&gt;12.2404668822241&lt;/D&gt;&lt;D xsi:type="xsd:double"&gt;11.6123180238421&lt;/D&gt;&lt;D xsi:type="xsd:double"&gt;13.5892654975916&lt;/D&gt;&lt;D xsi:type="xsd:double"&gt;13.0825952970425&lt;/D&gt;&lt;D xsi:type="xsd:double"&gt;12.7903887811697&lt;/D&gt;&lt;D xsi:type="xsd:double"&gt;13.5888089080726&lt;/D&gt;&lt;D xsi:type="xsd:double"&gt;13.3991037145028&lt;/D&gt;&lt;D xsi:type="xsd:double"&gt;13.5484967635559&lt;/D&gt;&lt;D xsi:type="xsd:double"&gt;13.0624139103122&lt;/D&gt;&lt;D xsi:type="xsd:double"&gt;13.4349831159478&lt;/D&gt;&lt;D xsi:type="xsd:double"&gt;13.0829474903747&lt;/D&gt;&lt;D xsi:type="xsd:double"&gt;13.5903687427109&lt;/D&gt;&lt;D xsi:type="xsd:double"&gt;13.5765474854277&lt;/D&gt;&lt;D xsi:type="xsd:double"&gt;13.247855643762&lt;/D&gt;&lt;D xsi:type="xsd:double"&gt;12.9476628628246&lt;/D&gt;&lt;D xsi:type="xsd:double"&gt;13.4329503806043&lt;/D&gt;&lt;D xsi:type="xsd:double"&gt;12.5113627539402&lt;/D&gt;&lt;D xsi:type="xsd:double"&gt;12.4578319062636&lt;/D&gt;&lt;D xsi:type="xsd:double"&gt;13.0278504905678&lt;/D&gt;&lt;D xsi:type="xsd:double"&gt;11.192915137146&lt;/D&gt;&lt;D xsi:type="xsd:double"&gt;11.3692943819695&lt;/D&gt;&lt;D xsi:type="xsd:double"&gt;11.590095834428&lt;/D&gt;&lt;D xsi:type="xsd:double"&gt;10.85156098129&lt;/D&gt;&lt;D xsi:type="xsd:double"&gt;10.6168313074978&lt;/D&gt;&lt;D xsi:type="xsd:double"&gt;9.75324974930965&lt;/D&gt;&lt;D xsi:type="xsd:double"&gt;9.6557025765513&lt;/D&gt;&lt;D xsi:type="xsd:double"&gt;9.14870761961641&lt;/D&gt;&lt;D xsi:type="xsd:double"&gt;9.90714655744303&lt;/D&gt;&lt;D xsi:type="xsd:double"&gt;10.579188236159&lt;/D&gt;&lt;D xsi:type="xsd:double"&gt;10.7934562425866&lt;/D&gt;&lt;D xsi:type="xsd:double"&gt;10.8816871916434&lt;/D&gt;&lt;D xsi:type="xsd:double"&gt;9.86254027332778&lt;/D&gt;&lt;D xsi:type="xsd:double"&gt;10.4639889943715&lt;/D&gt;&lt;D xsi:type="xsd:double"&gt;10.7011713256543&lt;/D&gt;&lt;D xsi:type="xsd:double"&gt;10.5133520374046&lt;/D&gt;&lt;D xsi:type="xsd:double"&gt;10.779550435768&lt;/D&gt;&lt;D xsi:type="xsd:double"&gt;11.038340613616&lt;/D&gt;&lt;D xsi:type="xsd:double"&gt;11.2325740446506&lt;/D&gt;&lt;D xsi:type="xsd:double"&gt;11.5142226201628&lt;/D&gt;&lt;D xsi:type="xsd:double"&gt;11.6480165770384&lt;/D&gt;&lt;D xsi:type="xsd:double"&gt;10.5432842641668&lt;/D&gt;&lt;D xsi:type="xsd:double"&gt;9.44387654154973&lt;/D&gt;&lt;D xsi:type="xsd:double"&gt;13.3387446940507&lt;/D&gt;&lt;D xsi:type="xsd:double"&gt;15.8762872533126&lt;/D&gt;&lt;D xsi:type="xsd:double"&gt;17.2745504025756&lt;/D&gt;&lt;D xsi:type="xsd:double"&gt;17.3373189843054&lt;/D&gt;&lt;D xsi:type="xsd:double"&gt;15.9079809952002&lt;/D&gt;&lt;D xsi:type="xsd:double"&gt;14.7416049174279&lt;/D&gt;&lt;D xsi:type="xsd:double"&gt;13.1127120388979&lt;/D&gt;&lt;D xsi:type="xsd:double"&gt;15.1239107684721&lt;/D&gt;&lt;D xsi:type="xsd:double"&gt;14.8119690654421&lt;/D&gt;&lt;D xsi:type="xsd:double"&gt;13.3547576062008&lt;/D&gt;&lt;D xsi:type="xsd:double"&gt;13.701980133488&lt;/D&gt;&lt;D xsi:type="xsd:double"&gt;13.9401895555931&lt;/D&gt;&lt;D xsi:type="xsd:double"&gt;13.4871809804814&lt;/D&gt;&lt;D xsi:type="xsd:double"&gt;13.5982743353451&lt;/D&gt;&lt;D xsi:type="xsd:double"&gt;13.5054283138897&lt;/D&gt;&lt;D xsi:type="xsd:double"&gt;13.1660069809345&lt;/D&gt;&lt;D xsi:type="xsd:double"&gt;11.9968823855508&lt;/D&gt;&lt;D xsi:type="xsd:double"&gt;11.6422300770862&lt;/D&gt;&lt;D xsi:type="xsd:double"&gt;11.7310813628874&lt;/D&gt;&lt;D xsi:type="xsd:double"&gt;11.0354007788597&lt;/D&gt;&lt;D xsi:type="xsd:double"&gt;11.0757781106889&lt;/D&gt;&lt;D xsi:type="xsd:double"&gt;10.6054622005951&lt;/D&gt;&lt;D xsi:type="xsd:double"&gt;9.83888117357742&lt;/D&gt;&lt;D xsi:type="xsd:double"&gt;9.78729385281844&lt;/D&gt;&lt;D xsi:type="xsd:double"&gt;9.47563261783566&lt;/D&gt;&lt;D xsi:type="xsd:double"&gt;9.07744000110074&lt;/D&gt;&lt;D xsi:type="xsd:double"&gt;7.91831072745627&lt;/D&gt;&lt;D xsi:type="xsd:double"&gt;7.71910789583498&lt;/D&gt;&lt;D xsi:type="xsd:double"&gt;7.41426077715249&lt;/D&gt;&lt;D xsi:type="xsd:double"&gt;7.06662743762716&lt;/D&gt;&lt;D xsi:type="xsd:double"&gt;7.78565646180999&lt;/D&gt;&lt;D xsi:type="xsd:double"&gt;8.0184941054944&lt;/D&gt;&lt;D xsi:type="xsd:double"&gt;7.74849157212238&lt;/D&gt;&lt;D xsi:type="xsd:double"&gt;8.42317401597185&lt;/D&gt;&lt;D xsi:type="xsd:double"&gt;8.25846077016601&lt;/D&gt;&lt;D xsi:type="xsd:double"&gt;8.38546168310321&lt;/D&gt;&lt;D xsi:type="xsd:double"&gt;8.58843610479894&lt;/D&gt;&lt;D xsi:type="xsd:double"&gt;8.12436312729496&lt;/D&gt;&lt;D xsi:type="xsd:double"&gt;8.70293086602038&lt;/D&gt;&lt;D xsi:type="xsd:double"&gt;8.75894527940749&lt;/D&gt;&lt;D xsi:type="xsd:double"&gt;8.43612390431228&lt;/D&gt;&lt;D xsi:type="xsd:double"&gt;8.26959023250955&lt;/D&gt;&lt;D xsi:type="xsd:double"&gt;7.78544513223225&lt;/D&gt;&lt;D xsi:type="xsd:double"&gt;8.36235721181425&lt;/D&gt;&lt;D xsi:type="xsd:double"&gt;8.90130129430784&lt;/D&gt;&lt;D xsi:type="xsd:double"&gt;8.88649178154729&lt;/D&gt;&lt;D xsi:type="xsd:double"&gt;9.26148528316797&lt;/D&gt;&lt;D xsi:type="xsd:double"&gt;9.80584638869922&lt;/D&gt;&lt;D xsi:type="xsd:double"&gt;9.58787141172296&lt;/D&gt;&lt;D xsi:type="xsd:double"&gt;9.6257646896941&lt;/D&gt;&lt;D xsi:type="xsd:double"&gt;9.2909336228145&lt;/D&gt;&lt;D xsi:type="xsd:double"&gt;9.64602457268253&lt;/D&gt;&lt;D xsi:type="xsd:double"&gt;9.72034613068723&lt;/D&gt;&lt;/FQL&gt;&lt;FQL&gt;&lt;Q&gt;EWI^FG_PRICE_MAVG(0,,,,30)&lt;/Q&gt;&lt;R&gt;1&lt;/R&gt;&lt;C&gt;1&lt;/C&gt;&lt;D xsi:type="xsd:double"&gt;37.022667&lt;/D&gt;&lt;/FQL&gt;&lt;FQL&gt;&lt;Q&gt;EWI^P_PRICE(0)/P_PRICE_LOW_PR(0,,,,,,"PRICE","INTRA","52W")-1&lt;/Q&gt;&lt;R&gt;1&lt;/R&gt;&lt;C&gt;1&lt;/C&gt;&lt;D xsi:type="xsd:double"&gt;0.33138037&lt;/D&gt;&lt;/FQL&gt;&lt;FQL&gt;&lt;Q&gt;EWN^SIZE(FG_CONSTITUENTS)&lt;/Q&gt;&lt;R&gt;1&lt;/R&gt;&lt;C&gt;1&lt;/C&gt;&lt;D xsi:type="xsd:long"&gt;53&lt;/D&gt;&lt;/FQL&gt;&lt;FQL&gt;&lt;Q&gt;TRYFR10Y-FDS^PCTCHG(FG_YIELD(0,,,,"YTM"),FG_YIELD(-3AM,,,,"YTM"))&lt;/Q&gt;&lt;R&gt;1&lt;/R&gt;&lt;C&gt;1&lt;/C&gt;&lt;D xsi:type="xsd:double"&gt;-4.752789&lt;/D&gt;&lt;/FQL&gt;&lt;FQL&gt;&lt;Q&gt;USDEUR^FG_COMPANY_NAME&lt;/Q&gt;&lt;R&gt;1&lt;/R&gt;&lt;C&gt;1&lt;/C&gt;&lt;D xsi:type="xsd:string"&gt;Euro per U.S. Dollar&lt;/D&gt;&lt;/FQL&gt;&lt;FQL&gt;&lt;Q&gt;W-FDS^FG_PRICE_CHANGE(0,-3AM)&lt;/Q&gt;&lt;R&gt;1&lt;/R&gt;&lt;C&gt;1&lt;/C&gt;&lt;D xsi:type="xsd:double"&gt;-24.2150848069289&lt;/D&gt;&lt;/FQL&gt;&lt;FQL&gt;&lt;Q&gt;CC_SE^IMF_IFS_RCPI_Q(0)&lt;/Q&gt;&lt;R&gt;1&lt;/R&gt;&lt;C&gt;1&lt;/C&gt;&lt;D xsi:type="xsd:double"&gt;3.39215&lt;/D&gt;&lt;/FQL&gt;&lt;FQL&gt;&lt;Q&gt;QQQ^FMA_DIV_YLD(NTMA,NOW,NOW,M,"PORTAGG","MEANR")&lt;/Q&gt;&lt;R&gt;1&lt;/R&gt;&lt;C&gt;1&lt;/C&gt;&lt;D xsi:type="xsd:double"&gt;0.844452787498592&lt;/D&gt;&lt;/FQL&gt;&lt;FQL&gt;&lt;Q&gt;USDSEK^FG_PRICE_CHANGE(0,-3AM)&lt;/Q&gt;&lt;R&gt;1&lt;/R&gt;&lt;C&gt;1&lt;/C&gt;&lt;D xsi:type="xsd:double"&gt;-3.7943184&lt;/D&gt;&lt;/FQL&gt;&lt;FQL&gt;&lt;Q&gt;TRYUS10Y-FDS^PCTCHG(FG_YIELD(0,,,,"YTM"),FG_YIELD(-3AM,,,,"YTM"))&lt;/Q&gt;&lt;R&gt;1&lt;/R&gt;&lt;C&gt;1&lt;/C&gt;&lt;D xsi:type="xsd:double"&gt;-16.140219&lt;/D&gt;&lt;/FQL&gt;&lt;FQL&gt;&lt;Q&gt;VWO^FG_PE(0)&lt;/Q&gt;&lt;R&gt;1&lt;/R&gt;&lt;C&gt;1&lt;/C&gt;&lt;D xsi:type="xsd:double"&gt;15.1562834207055&lt;/D&gt;&lt;/FQL&gt;&lt;FQL&gt;&lt;Q&gt;USDNZD^FG_COMPANY_NAME&lt;/Q&gt;&lt;R&gt;1&lt;/R&gt;&lt;C&gt;1&lt;/C&gt;&lt;D xsi:type="xsd:string"&gt;New Zealand Dollar per U.S. Dollar&lt;/D&gt;&lt;/FQL&gt;&lt;FQL&gt;&lt;Q&gt;BRENT-FDS^FG_PRICE_CHANGE(0,-1AM)&lt;/Q&gt;&lt;R&gt;1&lt;/R&gt;&lt;C&gt;1&lt;/C&gt;&lt;D xsi:type="xsd:double"&gt;0&lt;/D&gt;&lt;/FQL&gt;&lt;FQL&gt;&lt;Q&gt;FXI^FG_TOTAL_RETURNC(0,-3AM)&lt;/Q&gt;&lt;R&gt;1&lt;/R&gt;&lt;C&gt;1&lt;/C&gt;&lt;D xsi:type="xsd:double"&gt;-2.6019514&lt;/D&gt;&lt;/FQL&gt;&lt;FQL&gt;&lt;Q&gt;UUP^P_PRICE(0)/P_PRICE_HIGH_PR(0,,,USD,,,"PRICE","INTRA","52W")&lt;/Q&gt;&lt;R&gt;1&lt;/R&gt;&lt;C&gt;1&lt;/C&gt;&lt;D xsi:type="xsd:double"&gt;0.93452674&lt;/D&gt;&lt;/FQL&gt;&lt;FQL&gt;&lt;Q&gt;USDANG^FG_PRICE(0)&lt;/Q&gt;&lt;R&gt;1&lt;/R&gt;&lt;C&gt;1&lt;/C&gt;&lt;D xsi:type="xsd:double"&gt;1.79&lt;/D&gt;&lt;/FQL&gt;&lt;FQL&gt;&lt;Q&gt;DDR3512M-FDS^FG_PRICE_CHANGE(0,-6AM)&lt;/Q&gt;&lt;R&gt;1&lt;/R&gt;&lt;C&gt;1&lt;/C&gt;&lt;D xsi:type="xsd:double"&gt;-8.16591187988877&lt;/D&gt;&lt;/FQL&gt;&lt;FQL&gt;&lt;Q&gt;QQQ^SIZE(FG_CONSTITUENTS)&lt;/Q&gt;&lt;R&gt;1&lt;/R&gt;&lt;C&gt;1&lt;/C&gt;&lt;D xsi:type="xsd:long"&gt;102&lt;/D&gt;&lt;/FQL&gt;&lt;FQL&gt;&lt;Q&gt;EWQ^FG_PRICE_MAVG(0,,,,200)&lt;/Q&gt;&lt;R&gt;1&lt;/R&gt;&lt;C&gt;1&lt;/C&gt;&lt;D xsi:type="xsd:double"&gt;39.426125&lt;/D&gt;&lt;/FQL&gt;&lt;FQL&gt;&lt;Q&gt;FXI^PERCENT_CHANGE(FMA_EPS(+1,0,,,,"PORTAGG","MEAN"),FMA_EPS(+1,-1AM,,,,"PORTAGG","MEAN"))&lt;/Q&gt;&lt;R&gt;1&lt;/R&gt;&lt;C&gt;1&lt;/C&gt;&lt;D xsi:type="xsd:double"&gt;1.51723946425667&lt;/D&gt;&lt;/FQL&gt;&lt;FQL&gt;&lt;Q&gt;EWC^FMA_COS_UP("EPS","1M",+1,0,,,"PORTAGG","MEANR")&lt;/Q&gt;&lt;R&gt;1&lt;/R&gt;&lt;C&gt;1&lt;/C&gt;&lt;D xsi:type="xsd:double"&gt;44&lt;/D&gt;&lt;/FQL&gt;&lt;FQL&gt;&lt;Q&gt;EWL^FMA_EPS(NTMA,-20AY,0,CY,,"PORTAGG","MEANR")&lt;/Q&gt;&lt;R&gt;20&lt;/R&gt;&lt;C&gt;1&lt;/C&gt;&lt;D xsi:type="xsd:double"&gt;1.15167978614637&lt;/D&gt;&lt;D xsi:type="xsd:double"&gt;1.184604896687&lt;/D&gt;&lt;D xsi:type="xsd:double"&gt;1.51903625271091&lt;/D&gt;&lt;D xsi:type="xsd:double"&gt;1.83335061944152&lt;/D&gt;&lt;D xsi:type="xsd:double"&gt;1.66417500457453&lt;/D&gt;&lt;D xsi:type="xsd:double"&gt;1.62932904763549&lt;/D&gt;&lt;D xsi:type="xsd:double"&gt;1.96787353815353&lt;/D&gt;&lt;D xsi:type="xsd:double"&gt;1.86668659044302&lt;/D&gt;&lt;D xsi:type="xsd:double"&gt;1.99956682614325&lt;/D&gt;&lt;D xsi:type="xsd:double"&gt;2.16083764016243&lt;/D&gt;&lt;D xsi:type="xsd:double"&gt;2.02137608124255&lt;/D&gt;&lt;D xsi:type="xsd:double"&gt;1.83898355626911&lt;/D&gt;&lt;D xsi:type="xsd:double"&gt;1.75546716180555&lt;/D&gt;&lt;D xsi:type="xsd:double"&gt;2.01138269666406&lt;/D&gt;&lt;D xsi:type="xsd:double"&gt;2.17519879472254&lt;/D&gt;&lt;D xsi:type="xsd:double"&gt;2.28084252382763&lt;/D&gt;&lt;D xsi:type="xsd:double"&gt;2.36864078682371&lt;/D&gt;&lt;D xsi:type="xsd:double"&gt;2.66234515884581&lt;/D&gt;&lt;D xsi:type="xsd:double"&gt;2.58388720632297&lt;/D&gt;&lt;D xsi:type="xsd:double"&gt;2.86470858427176&lt;/D&gt;&lt;/FQL&gt;&lt;FQL&gt;&lt;Q&gt;EWA^FMA_COS_UP("EPS","1M",+1,0,,,"PORTAGG","MEANR")&lt;/Q&gt;&lt;R&gt;1&lt;/R&gt;&lt;C&gt;1&lt;/C&gt;&lt;D xsi:type="xsd:double"&gt;21&lt;/D&gt;&lt;/FQL&gt;&lt;FQL&gt;&lt;Q&gt;EWJ^FMA_PE(NTMA,0,,,"PORTAGG","MEANR")&lt;/Q&gt;&lt;R&gt;1&lt;/R&gt;&lt;C&gt;1&lt;/C&gt;&lt;D xsi:type="xsd:double"&gt;14.3151012155572&lt;/D&gt;&lt;/FQL&gt;&lt;FQL&gt;&lt;Q&gt;GLD^FG_TOTAL_RETURNC(0,-6AM)&lt;/Q&gt;&lt;R&gt;1&lt;/R&gt;&lt;C&gt;1&lt;/C&gt;&lt;D xsi:type="xsd:double"&gt;23.052132&lt;/D&gt;&lt;/FQL&gt;&lt;FQL&gt;&lt;Q&gt;TRYPH10Y-FDS^FG_YIELD(-10AY,0,Y,,"YTM")&lt;/Q&gt;&lt;R&gt;10&lt;/R&gt;&lt;C&gt;1&lt;/C&gt;&lt;D xsi:type="xsd:double"&gt;3.8633&lt;/D&gt;&lt;D xsi:type="xsd:double"&gt;4.1&lt;/D&gt;&lt;D xsi:type="xsd:double"&gt;4.6281&lt;/D&gt;&lt;D xsi:type="xsd:double"&gt;5.6986&lt;/D&gt;&lt;D xsi:type="xsd:double"&gt;7.1730304&lt;/D&gt;&lt;D xsi:type="xsd:double"&gt;4.847582&lt;/D&gt;&lt;D xsi:type="xsd:double"&gt;3.4208684&lt;/D&gt;&lt;D xsi:type="xsd:double"&gt;4.796723&lt;/D&gt;&lt;D xsi:type="xsd:double"&gt;6.9293385&lt;/D&gt;&lt;D xsi:type="xsd:double"&gt;6.0028777&lt;/D&gt;&lt;/FQL&gt;&lt;FQL&gt;&lt;Q&gt;EWQ^FG_TOTAL_RETURNC(0,-3AM)&lt;/Q&gt;&lt;R&gt;1&lt;/R&gt;&lt;C&gt;1&lt;/C&gt;&lt;D xsi:type="xsd:double"&gt;-0.8145869&lt;/D&gt;&lt;/FQL&gt;&lt;FQL&gt;&lt;Q&gt;USDCHF^FG_PRICE_CHANGE(0,-6AM)&lt;/Q&gt;&lt;R&gt;1&lt;/R&gt;&lt;C&gt;1&lt;/C&gt;&lt;D xsi:type="xsd:double"&gt;-3.6340952&lt;/D&gt;&lt;/FQL&gt;&lt;FQL&gt;&lt;Q&gt;EWA^FG_TOTAL_RETURNC(0,-1AM)&lt;/Q&gt;&lt;R&gt;1&lt;/R&gt;&lt;C&gt;1&lt;/C&gt;&lt;D xsi:type="xsd:double"&gt;6.28314&lt;/D&gt;&lt;/FQL&gt;&lt;FQL&gt;&lt;Q&gt;REFSEREPO-FDS^(SUBARRAY(NOT_NA(NO_REPEAT_F(FG_YIELD(NOW,-10AY,D))),0,1)-SUBARRAY(NOT_NA(NO_REPEAT_F(FG_YIELD(NOW,-10AY,D))),1,1))*100&lt;/Q&gt;&lt;R&gt;1&lt;/R&gt;&lt;C&gt;1&lt;/C&gt;&lt;D xsi:type="xsd:double"&gt;-25&lt;/D&gt;&lt;/FQL&gt;&lt;FQL&gt;&lt;Q&gt;EWI^FMA_EVAL_EBITDA(NTMA,0,,,"PORTAGG","MEANR")&lt;/Q&gt;&lt;R&gt;1&lt;/R&gt;&lt;C&gt;1&lt;/C&gt;&lt;D xsi:type="xsd:double"&gt;7.00678943519516&lt;/D&gt;&lt;/FQL&gt;&lt;FQL&gt;&lt;Q&gt;TRYGB10Y-FDS^FG_YIELD(-10AY,0,Y,,"YTM")&lt;/Q&gt;&lt;R&gt;10&lt;/R&gt;&lt;C&gt;1&lt;/C&gt;&lt;D xsi:type="xsd:double"&gt;1.8155&lt;/D&gt;&lt;D xsi:type="xsd:double"&gt;2.0248&lt;/D&gt;&lt;D xsi:type="xsd:double"&gt;1.2817&lt;/D&gt;&lt;D xsi:type="xsd:double"&gt;1.2536&lt;/D&gt;&lt;D xsi:type="xsd:double"&gt;1.3339&lt;/D&gt;&lt;D xsi:type="xsd:double"&gt;0.822&lt;/D&gt;&lt;D xsi:type="xsd:double"&gt;0.197&lt;/D&gt;&lt;D xsi:type="xsd:double"&gt;0.966&lt;/D&gt;&lt;D xsi:type="xsd:double"&gt;3.662&lt;/D&gt;&lt;D xsi:type="xsd:double"&gt;3.534&lt;/D&gt;&lt;/FQL&gt;&lt;FQL&gt;&lt;Q&gt;WL-FDS^FG_PRICE_MAVG(0,,,,30)&lt;/Q&gt;&lt;R&gt;1&lt;/R&gt;&lt;C&gt;1&lt;/C&gt;&lt;D xsi:type="xsd:double"&gt;524.7767&lt;/D&gt;&lt;/FQL&gt;&lt;FQL&gt;&lt;Q&gt;TRYAU10Y-FDS^PCTCHG(FG_YIELD(0,,,,"YTM"),FG_YIELD(-3AM,,,,"YTM"))&lt;/Q&gt;&lt;R&gt;1&lt;/R&gt;&lt;C&gt;1&lt;/C&gt;&lt;D xsi:type="xsd:double"&gt;-10.095493&lt;/D&gt;&lt;/FQL&gt;&lt;FQL&gt;&lt;Q&gt;EWG^JULIAN(FMA_DIV_YLD(NTMA,NOW,NOW,M,"PORTAGG","MEANR").DATES)&lt;/Q&gt;&lt;R&gt;1&lt;/R&gt;&lt;C&gt;1&lt;/C&gt;&lt;D xsi:type="xsd:long"&gt;45530&lt;/D&gt;&lt;/FQL&gt;&lt;FQL&gt;&lt;Q&gt;CAGDPY@IT^EE_ACTUAL_ANNUAL(MED,0)&lt;/Q&gt;&lt;R&gt;1&lt;/R&gt;&lt;C&gt;1&lt;/C&gt;&lt;D xsi:type="xsd:double"&gt;0.464184965048982&lt;/D&gt;&lt;/FQL&gt;&lt;FQL&gt;&lt;Q&gt;EWQ^FMA_PCT_ABOVE_MAVG(200,0,,,,"PORTAGG")&lt;/Q&gt;&lt;R&gt;1&lt;/R&gt;&lt;C&gt;1&lt;/C&gt;&lt;D xsi:type="xsd:double"&gt;50&lt;/D&gt;&lt;/FQL&gt;&lt;FQL&gt;&lt;Q&gt;EWC^FMA_EVAL_EBITDA(NTMA,0,,,"PORTAGG","MEANR")&lt;/Q&gt;&lt;R&gt;1&lt;/R&gt;&lt;C&gt;1&lt;/C&gt;&lt;D xsi:type="xsd:double"&gt;9.76569783023175&lt;/D&gt;&lt;/FQL&gt;&lt;FQL&gt;&lt;Q&gt;EWQ^P_PRICE_RETURNS_PR('52W',2,-10AY,0,AM)&lt;/Q&gt;&lt;R&gt;121&lt;/R&gt;&lt;C&gt;1&lt;/C&gt;&lt;D xsi:type="xsd:double"&gt;11.927187&lt;/D&gt;&lt;D xsi:type="xsd:double"&gt;-0.05798936&lt;/D&gt;&lt;D xsi:type="xsd:double"&gt;-8.857316&lt;/D&gt;&lt;D xsi:type="xsd:double"&gt;-3.2256424&lt;/D&gt;&lt;D xsi:type="xsd:double"&gt;-7.793647&lt;/D&gt;&lt;D xsi:type="xsd:double"&gt;-3.6643744&lt;/D&gt;&lt;D xsi:type="xsd:double"&gt;-5.814022&lt;/D&gt;&lt;D xsi:type="xsd:double"&gt;-6.195468&lt;/D&gt;&lt;D xsi:type="xsd:double"&gt;-6.7140636&lt;/D&gt;&lt;D xsi:type="xsd:double"&gt;-7.908386&lt;/D&gt;&lt;D xsi:type="xsd:double"&gt;-8.535105&lt;/D&gt;&lt;D xsi:type="xsd:double"&gt;-2.9277802&lt;/D&gt;&lt;D xsi:type="xsd:double"&gt;-6.745201&lt;/D&gt;&lt;D xsi:type="xsd:double"&gt;-8.265579&lt;/D&gt;&lt;D xsi:type="xsd:double"&gt;5.712807&lt;/D&gt;&lt;D xsi:type="xsd:double"&gt;-2.4861157&lt;/D&gt;&lt;D xsi:type="xsd:double"&gt;0.19818544&lt;/D&gt;&lt;D xsi:type="xsd:double"&gt;-6.5642414&lt;/D&gt;&lt;D xsi:type="xsd:double"&gt;-12.573981&lt;/D&gt;&lt;D xsi:type="xsd:double"&gt;-6.7851305&lt;/D&gt;&lt;D xsi:type="xsd:double"&gt;-6.7202687&lt;/D&gt;&lt;D xsi:type="xsd:double"&gt;-8.011097&lt;/D&gt;&lt;D xsi:type="xsd:double"&gt;-11.355514&lt;/D&gt;&lt;D xsi:type="xsd:double"&gt;-7.0959272&lt;/D&gt;&lt;D xsi:type="xsd:double"&gt;-1.6913235&lt;/D&gt;&lt;D xsi:type="xsd:double"&gt;3.6038756&lt;/D&gt;&lt;D xsi:type="xsd:double"&gt;-4.3629827&lt;/D&gt;&lt;D xsi:type="xsd:double"&gt;-3.7650585&lt;/D&gt;&lt;D xsi:type="xsd:double"&gt;1.906693&lt;/D&gt;&lt;D xsi:type="xsd:double"&gt;13.413107&lt;/D&gt;&lt;D xsi:type="xsd:double"&gt;12.671757&lt;/D&gt;&lt;D xsi:type="xsd:double"&gt;12.972916&lt;/D&gt;&lt;D xsi:type="xsd:double"&gt;16.032768&lt;/D&gt;&lt;D xsi:type="xsd:double"&gt;21.672153&lt;/D&gt;&lt;D xsi:type="xsd:double"&gt;31.043339&lt;/D&gt;&lt;D xsi:type="xsd:double"&gt;26.598942&lt;/D&gt;&lt;D xsi:type="xsd:double"&gt;26.412928&lt;/D&gt;&lt;D xsi:type="xsd:double"&gt;32.55131&lt;/D&gt;&lt;D xsi:type="xsd:double"&gt;33.27824&lt;/D&gt;&lt;D xsi:type="xsd:double"&gt;36.241913&lt;/D&gt;&lt;D xsi:type="xsd:double"&gt;30.07884&lt;/D&gt;&lt;D xsi:type="xsd:double"&gt;35.726143&lt;/D&gt;&lt;D xsi:type="xsd:double"&gt;29.565084&lt;/D&gt;&lt;D xsi:type="xsd:double"&gt;20.996893&lt;/D&gt;&lt;D xsi:type="xsd:double"&gt;19.372236&lt;/D&gt;&lt;D xsi:type="xsd:double"&gt;8.604431&lt;/D&gt;&lt;D xsi:type="xsd:double"&gt;8.55254&lt;/D&gt;&lt;D xsi:type="xsd:double"&gt;9.299922&lt;/D&gt;&lt;D xsi:type="xsd:double"&gt;10.071516&lt;/D&gt;&lt;D xsi:type="xsd:double"&gt;5.1460624&lt;/D&gt;&lt;D xsi:type="xsd:double"&gt;-8.2344475&lt;/D&gt;&lt;D xsi:type="xsd:double"&gt;-7.755703&lt;/D&gt;&lt;D xsi:type="xsd:double"&gt;-13.676369&lt;/D&gt;&lt;D xsi:type="xsd:double"&gt;-14.861721&lt;/D&gt;&lt;D xsi:type="xsd:double"&gt;-4.8342586&lt;/D&gt;&lt;D xsi:type="xsd:double"&gt;-3.745246&lt;/D&gt;&lt;D xsi:type="xsd:double"&gt;-3.7614405&lt;/D&gt;&lt;D xsi:type="xsd:double"&gt;-4.757726&lt;/D&gt;&lt;D xsi:type="xsd:double"&gt;4.5194983&lt;/D&gt;&lt;D xsi:type="xsd:double"&gt;-0.3480196&lt;/D&gt;&lt;D xsi:type="xsd:double"&gt;-5.0330935&lt;/D&gt;&lt;D xsi:type="xsd:double"&gt;-2.7668357&lt;/D&gt;&lt;D xsi:type="xsd:double"&gt;14.770317&lt;/D&gt;&lt;D xsi:type="xsd:double"&gt;15.377844&lt;/D&gt;&lt;D xsi:type="xsd:double"&gt;27.961004&lt;/D&gt;&lt;D xsi:type="xsd:double"&gt;18.19867&lt;/D&gt;&lt;D xsi:type="xsd:double"&gt;1.2282014&lt;/D&gt;&lt;D xsi:type="xsd:double"&gt;-17.338234&lt;/D&gt;&lt;D xsi:type="xsd:double"&gt;-16.699923&lt;/D&gt;&lt;D xsi:type="xsd:double"&gt;-8.268887&lt;/D&gt;&lt;D xsi:type="xsd:double"&gt;-9.827882&lt;/D&gt;&lt;D xsi:type="xsd:double"&gt;-3.9260626&lt;/D&gt;&lt;D xsi:type="xsd:double"&gt;2.9198408&lt;/D&gt;&lt;D xsi:type="xsd:double"&gt;-5.400711&lt;/D&gt;&lt;D xsi:type="xsd:double"&gt;-13.726878&lt;/D&gt;&lt;D xsi:type="xsd:double"&gt;5.1167727&lt;/D&gt;&lt;D xsi:type="xsd:double"&gt;4.3406487&lt;/D&gt;&lt;D xsi:type="xsd:double"&gt;2.5445938&lt;/D&gt;&lt;D xsi:type="xsd:double"&gt;14.276338&lt;/D&gt;&lt;D xsi:type="xsd:double"&gt;48.946156&lt;/D&gt;&lt;D xsi:type="xsd:double"&gt;52.517937&lt;/D&gt;&lt;D xsi:type="xsd:double"&gt;52.235092&lt;/D&gt;&lt;D xsi:type="xsd:double"&gt;41.559937&lt;/D&gt;&lt;D xsi:type="xsd:double"&gt;34.38276&lt;/D&gt;&lt;D xsi:type="xsd:double"&gt;33.594154&lt;/D&gt;&lt;D xsi:type="xsd:double"&gt;35.972775&lt;/D&gt;&lt;D xsi:type="xsd:double"&gt;49.834454&lt;/D&gt;&lt;D xsi:type="xsd:double"&gt;16.055525&lt;/D&gt;&lt;D xsi:type="xsd:double"&gt;20.102728&lt;/D&gt;&lt;D xsi:type="xsd:double"&gt;17.784214&lt;/D&gt;&lt;D xsi:type="xsd:double"&gt;8.393645&lt;/D&gt;&lt;D xsi:type="xsd:double"&gt;8.690584&lt;/D&gt;&lt;D xsi:type="xsd:double"&gt;-8.985215&lt;/D&gt;&lt;D xsi:type="xsd:double"&gt;-7.539564&lt;/D&gt;&lt;D xsi:type="xsd:double"&gt;-16.23779&lt;/D&gt;&lt;D xsi:type="xsd:double"&gt;-11.986751&lt;/D&gt;&lt;D xsi:type="xsd:double"&gt;-17.438322&lt;/D&gt;&lt;D xsi:type="xsd:double"&gt;-24.538929&lt;/D&gt;&lt;D xsi:type="xsd:double"&gt;-19.015472&lt;/D&gt;&lt;D xsi:type="xsd:double"&gt;-7.5877786&lt;/D&gt;&lt;D xsi:type="xsd:double"&gt;-11.136007&lt;/D&gt;&lt;D xsi:type="xsd:double"&gt;1.9378304&lt;/D&gt;&lt;D xsi:type="xsd:double"&gt;6.801069&lt;/D&gt;&lt;D xsi:type="xsd:double"&gt;5.3925037&lt;/D&gt;&lt;D xsi:type="xsd:double"&gt;22.224545&lt;/D&gt;&lt;D xsi:type="xsd:double"&gt;15.52471&lt;/D&gt;&lt;D xsi:type="xsd:double"&gt;28.883612&lt;/D&gt;&lt;D xsi:type="xsd:double"&gt;28.3046&lt;/D&gt;&lt;D xsi:type="xsd:double"&gt;30.320549&lt;/D&gt;&lt;D xsi:type="xsd:double"&gt;36.30797&lt;/D&gt;&lt;D xsi:type="xsd:double"&gt;16.47358&lt;/D&gt;&lt;D xsi:type="xsd:double"&gt;16.752445&lt;/D&gt;&lt;D xsi:type="xsd:double"&gt;20.348692&lt;/D&gt;&lt;D xsi:type="xsd:double"&gt;9.212435&lt;/D&gt;&lt;D xsi:type="xsd:double"&gt;13.298714&lt;/D&gt;&lt;D xsi:type="xsd:double"&gt;16.743874&lt;/D&gt;&lt;D xsi:type="xsd:double"&gt;5.580008&lt;/D&gt;&lt;D xsi:type="xsd:double"&gt;11.386275&lt;/D&gt;&lt;D xsi:type="xsd:double"&gt;2.5551796&lt;/D&gt;&lt;D xsi:type="xsd:double"&gt;0.4404068&lt;/D&gt;&lt;D xsi:type="xsd:double"&gt;7.4403405&lt;/D&gt;&lt;/FQL&gt;&lt;FQL&gt;&lt;Q&gt;EWC^FG_PRICE_MAVG(0,,,,30)&lt;/Q&gt;&lt;R&gt;1&lt;/R&gt;&lt;C&gt;1&lt;/C&gt;&lt;D xsi:type="xsd:double"&gt;38.642666&lt;/D&gt;&lt;/FQL&gt;&lt;FQL&gt;&lt;Q&gt;URTH^FMA_PCT_ABOVE_MAVG(200,0,,,,"PORTAGG")&lt;/Q&gt;&lt;R&gt;1&lt;/R&gt;&lt;C&gt;1&lt;/C&gt;&lt;D xsi:type="xsd:double"&gt;67.3211781206171&lt;/D&gt;&lt;/FQL&gt;&lt;FQL&gt;&lt;Q&gt;ENZL^P_PRICE(0)/P_PRICE_LOW_PR(0,,,,,,"PRICE","INTRA","52W")-1&lt;/Q&gt;&lt;R&gt;1&lt;/R&gt;&lt;C&gt;1&lt;/C&gt;&lt;D xsi:type="xsd:double"&gt;0.18839574&lt;/D&gt;&lt;/FQL&gt;&lt;FQL&gt;&lt;Q&gt;EWC^FG_FCF_YIELD_NTM(0)&lt;/Q&gt;&lt;R&gt;1&lt;/R&gt;&lt;C&gt;1&lt;/C&gt;&lt;D xsi:type="xsd:double"&gt;5.80959663003586&lt;/D&gt;&lt;/FQL&gt;&lt;FQL&gt;&lt;Q&gt;CAGDPY@SE^EE_ACTUAL_ANNUAL(MED,+1)&lt;/Q&gt;&lt;R&gt;1&lt;/R&gt;&lt;C&gt;1&lt;/C&gt;&lt;D xsi:type="xsd:double"&gt;6.15&lt;/D&gt;&lt;/FQL&gt;&lt;FQL&gt;&lt;Q&gt;ENZL^FG_TOTAL_RETURNC(-10AY,0,AM)&lt;/Q&gt;&lt;R&gt;121&lt;/R&gt;&lt;C&gt;1&lt;/C&gt;&lt;D xsi:type="xsd:double"&gt;-0.048953295&lt;/D&gt;&lt;D xsi:type="xsd:double"&gt;-6.343132&lt;/D&gt;&lt;D xsi:type="xsd:double"&gt;3.085494&lt;/D&gt;&lt;D xsi:type="xsd:double"&gt;1.4967084&lt;/D&gt;&lt;D xsi:type="xsd:double"&gt;2.7795672&lt;/D&gt;&lt;D xsi:type="xsd:double"&gt;-2.8250039&lt;/D&gt;&lt;D xsi:type="xsd:double"&gt;5.351174&lt;/D&gt;&lt;D xsi:type="xsd:double"&gt;-0.048840046&lt;/D&gt;&lt;D xsi:type="xsd:double"&gt;-0.7573962&lt;/D&gt;&lt;D xsi:type="xsd:double"&gt;-6.154603&lt;/D&gt;&lt;D xsi:type="xsd:double"&gt;-6.2665405&lt;/D&gt;&lt;D xsi:type="xsd:double"&gt;0.6029248&lt;/D&gt;&lt;D xsi:type="xsd:double"&gt;-6.3070774&lt;/D&gt;&lt;D xsi:type="xsd:double"&gt;-3.1678379&lt;/D&gt;&lt;D xsi:type="xsd:double"&gt;13.494814&lt;/D&gt;&lt;D xsi:type="xsd:double"&gt;-1.6075432&lt;/D&gt;&lt;D xsi:type="xsd:double"&gt;7.998061&lt;/D&gt;&lt;D xsi:type="xsd:double"&gt;-6.778306&lt;/D&gt;&lt;D xsi:type="xsd:double"&gt;3.0225277&lt;/D&gt;&lt;D xsi:type="xsd:double"&gt;12.122881&lt;/D&gt;&lt;D xsi:type="xsd:double"&gt;3.2337785&lt;/D&gt;&lt;D xsi:type="xsd:double"&gt;-1.1623621&lt;/D&gt;&lt;D xsi:type="xsd:double"&gt;4.377401&lt;/D&gt;&lt;D xsi:type="xsd:double"&gt;9.201884&lt;/D&gt;&lt;D xsi:type="xsd:double"&gt;0.94583035&lt;/D&gt;&lt;D xsi:type="xsd:double"&gt;-1.5332162&lt;/D&gt;&lt;D xsi:type="xsd:double"&gt;-7.0717993&lt;/D&gt;&lt;D xsi:type="xsd:double"&gt;-0.9774327&lt;/D&gt;&lt;D xsi:type="xsd:double"&gt;-2.5751412&lt;/D&gt;&lt;D xsi:type="xsd:double"&gt;8.4102745&lt;/D&gt;&lt;D xsi:type="xsd:double"&gt;-0.69060326&lt;/D&gt;&lt;D xsi:type="xsd:double"&gt;-3.0598044&lt;/D&gt;&lt;D xsi:type="xsd:double"&gt;1.8173218&lt;/D&gt;&lt;D xsi:type="xsd:double"&gt;4.0394545&lt;/D&gt;&lt;D xsi:type="xsd:double"&gt;5.960667&lt;/D&gt;&lt;D xsi:type="xsd:double"&gt;2.756071&lt;/D&gt;&lt;D xsi:type="xsd:double"&gt;-1.9852161&lt;/D&gt;&lt;D xsi:type="xsd:double"&gt;1.5298367&lt;/D&gt;&lt;D xsi:type="xsd:double"&gt;-3.0772507&lt;/D&gt;&lt;D xsi:type="xsd:double"&gt;-0.24085045&lt;/D&gt;&lt;D xsi:type="xsd:double"&gt;6.1937213&lt;/D&gt;&lt;D xsi:type="xsd:double"&gt;2.5911093&lt;/D&gt;&lt;D xsi:type="xsd:double"&gt;-0.9856224&lt;/D&gt;&lt;D xsi:type="xsd:double"&gt;1.2028217&lt;/D&gt;&lt;D xsi:type="xsd:double"&gt;-1.7418027&lt;/D&gt;&lt;D xsi:type="xsd:double"&gt;-0.85505843&lt;/D&gt;&lt;D xsi:type="xsd:double"&gt;3.415811&lt;/D&gt;&lt;D xsi:type="xsd:double"&gt;-0.1034081&lt;/D&gt;&lt;D xsi:type="xsd:double"&gt;3.5196662&lt;/D&gt;&lt;D xsi:type="xsd:double"&gt;-2.8000057&lt;/D&gt;&lt;D xsi:type="xsd:double"&gt;-9.074074&lt;/D&gt;&lt;D xsi:type="xsd:double"&gt;8.305049&lt;/D&gt;&lt;D xsi:type="xsd:double"&gt;-2.0938098&lt;/D&gt;&lt;D xsi:type="xsd:double"&gt;4.3884397&lt;/D&gt;&lt;D xsi:type="xsd:double"&gt;2.892816&lt;/D&gt;&lt;D xsi:type="xsd:double"&gt;5.764568&lt;/D&gt;&lt;D xsi:type="xsd:double"&gt;-0.17211437&lt;/D&gt;&lt;D xsi:type="xsd:double"&gt;-3.065139&lt;/D&gt;&lt;D xsi:type="xsd:double"&gt;7.088995&lt;/D&gt;&lt;D xsi:type="xsd:double"&gt;3.2221794&lt;/D&gt;&lt;D xsi:type="xsd:double"&gt;-6.9509926&lt;/D&gt;&lt;D xsi:type="xsd:double"&gt;0.7996917&lt;/D&gt;&lt;D xsi:type="xsd:double"&gt;1.1803389&lt;/D&gt;&lt;D xsi:type="xsd:double"&gt;6.865561&lt;/D&gt;&lt;D xsi:type="xsd:double"&gt;5.9327006&lt;/D&gt;&lt;D xsi:type="xsd:double"&gt;-1.1387169&lt;/D&gt;&lt;D xsi:type="xsd:double"&gt;-7.731241&lt;/D&gt;&lt;D xsi:type="xsd:double"&gt;-18.142986&lt;/D&gt;&lt;D xsi:type="xsd:double"&gt;16.747152&lt;/D&gt;&lt;D xsi:type="xsd:double"&gt;1.6712308&lt;/D&gt;&lt;D xsi:type="xsd:double"&gt;8.22382&lt;/D&gt;&lt;D xsi:type="xsd:double"&gt;7.334292&lt;/D&gt;&lt;D xsi:type="xsd:double"&gt;3.02851</t>
        </r>
      </text>
    </comment>
    <comment ref="A14" authorId="0" shapeId="0" xr:uid="{45AE2DBA-D4E1-41AE-B070-15B360C52C94}">
      <text>
        <r>
          <rPr>
            <b/>
            <sz val="9"/>
            <color indexed="81"/>
            <rFont val="Tahoma"/>
            <charset val="1"/>
          </rPr>
          <t>2&lt;/D&gt;&lt;D xsi:type="xsd:double"&gt;-6.427574&lt;/D&gt;&lt;D xsi:type="xsd:double"&gt;5.8452964&lt;/D&gt;&lt;D xsi:type="xsd:double"&gt;9.275794&lt;/D&gt;&lt;D xsi:type="xsd:double"&gt;5.501652&lt;/D&gt;&lt;D xsi:type="xsd:double"&gt;-1.784426&lt;/D&gt;&lt;D xsi:type="xsd:double"&gt;-7.6366305&lt;/D&gt;&lt;D xsi:type="xsd:double"&gt;-0.55972934&lt;/D&gt;&lt;D xsi:type="xsd:double"&gt;5.0976157&lt;/D&gt;&lt;D xsi:type="xsd:double"&gt;-5.6996465&lt;/D&gt;&lt;D xsi:type="xsd:double"&gt;0.20911694&lt;/D&gt;&lt;D xsi:type="xsd:double"&gt;0.44118166&lt;/D&gt;&lt;D xsi:type="xsd:double"&gt;2.228725&lt;/D&gt;&lt;D xsi:type="xsd:double"&gt;-2.2915304&lt;/D&gt;&lt;D xsi:type="xsd:double"&gt;3.973937&lt;/D&gt;&lt;D xsi:type="xsd:double"&gt;-8.771926&lt;/D&gt;&lt;D xsi:type="xsd:double"&gt;2.5919318&lt;/D&gt;&lt;D xsi:type="xsd:double"&gt;-12.486708&lt;/D&gt;&lt;D xsi:type="xsd:double"&gt;5.6310654&lt;/D&gt;&lt;D xsi:type="xsd:double"&gt;1.1580825&lt;/D&gt;&lt;D xsi:type="xsd:double"&gt;-9.213156&lt;/D&gt;&lt;D xsi:type="xsd:double"&gt;-4.165733&lt;/D&gt;&lt;D xsi:type="xsd:double"&gt;-5.247998&lt;/D&gt;&lt;D xsi:type="xsd:double"&gt;7.2702885&lt;/D&gt;&lt;D xsi:type="xsd:double"&gt;-3.0561268&lt;/D&gt;&lt;D xsi:type="xsd:double"&gt;-9.800559&lt;/D&gt;&lt;D xsi:type="xsd:double"&gt;2.4251103&lt;/D&gt;&lt;D xsi:type="xsd:double"&gt;9.09934&lt;/D&gt;&lt;D xsi:type="xsd:double"&gt;5.2016735&lt;/D&gt;&lt;D xsi:type="xsd:double"&gt;6.1451554&lt;/D&gt;&lt;D xsi:type="xsd:double"&gt;-6.279916&lt;/D&gt;&lt;D xsi:type="xsd:double"&gt;0.44943094&lt;/D&gt;&lt;D xsi:type="xsd:double"&gt;1.5253186&lt;/D&gt;&lt;D xsi:type="xsd:double"&gt;-3.0849278&lt;/D&gt;&lt;D xsi:type="xsd:double"&gt;0.082445145&lt;/D&gt;&lt;D xsi:type="xsd:double"&gt;2.4196863&lt;/D&gt;&lt;D xsi:type="xsd:double"&gt;-6.9450083&lt;/D&gt;&lt;D xsi:type="xsd:double"&gt;-3.0641258&lt;/D&gt;&lt;D xsi:type="xsd:double"&gt;-7.3379993&lt;/D&gt;&lt;D xsi:type="xsd:double"&gt;12.378168&lt;/D&gt;&lt;D xsi:type="xsd:double"&gt;7.337785&lt;/D&gt;&lt;D xsi:type="xsd:double"&gt;-2.629131&lt;/D&gt;&lt;D xsi:type="xsd:double"&gt;-4.6166897&lt;/D&gt;&lt;D xsi:type="xsd:double"&gt;0.9991169&lt;/D&gt;&lt;D xsi:type="xsd:double"&gt;-0.37371516&lt;/D&gt;&lt;D xsi:type="xsd:double"&gt;-0.88261366&lt;/D&gt;&lt;D xsi:type="xsd:double"&gt;1.9776225&lt;/D&gt;&lt;D xsi:type="xsd:double"&gt;-0.8798897&lt;/D&gt;&lt;D xsi:type="xsd:double"&gt;8.211267&lt;/D&gt;&lt;/FQL&gt;&lt;FQL&gt;&lt;Q&gt;PASP-FDS^MAX(FG_PRICE(0,-5AY))&lt;/Q&gt;&lt;R&gt;1&lt;/R&gt;&lt;C&gt;1&lt;/C&gt;&lt;D xsi:type="xsd:double"&gt;3158.12&lt;/D&gt;&lt;/FQL&gt;&lt;FQL&gt;&lt;Q&gt;EWI^FMA_PE(LTM,0,,,"PORTAGG","MEANR")&lt;/Q&gt;&lt;R&gt;1&lt;/R&gt;&lt;C&gt;1&lt;/C&gt;&lt;D xsi:type="xsd:double"&gt;11.3461782161056&lt;/D&gt;&lt;/FQL&gt;&lt;FQL&gt;&lt;Q&gt;CAGDPY@NL^EE_ACTUAL_ANNUAL(MED,+1)&lt;/Q&gt;&lt;R&gt;1&lt;/R&gt;&lt;C&gt;1&lt;/C&gt;&lt;D xsi:type="xsd:double"&gt;9.5&lt;/D&gt;&lt;/FQL&gt;&lt;FQL&gt;&lt;Q&gt;VWO^FG_TOTAL_RETURNC(0,-12AM)&lt;/Q&gt;&lt;R&gt;1&lt;/R&gt;&lt;C&gt;1&lt;/C&gt;&lt;D xsi:type="xsd:double"&gt;12.100899&lt;/D&gt;&lt;/FQL&gt;&lt;FQL&gt;&lt;Q&gt;ENZL^P_PRICE(0)/P_PRICE_HIGH_PR(0,,,,,,"PRICE","INTRA","52W")&lt;/Q&gt;&lt;R&gt;1&lt;/R&gt;&lt;C&gt;1&lt;/C&gt;&lt;D xsi:type="xsd:double"&gt;0.9810865&lt;/D&gt;&lt;/FQL&gt;&lt;FQL&gt;&lt;Q&gt;EWC^FMA_DIV_YLD(NTMA,NOW,NOW,M,"PORTAGG","MEANR")&lt;/Q&gt;&lt;R&gt;1&lt;/R&gt;&lt;C&gt;1&lt;/C&gt;&lt;D xsi:type="xsd:double"&gt;3.15032499205735&lt;/D&gt;&lt;/FQL&gt;&lt;FQL&gt;&lt;Q&gt;ENZL^JULIAN(FG_TOTAL_RETURNC(-10AY,0,AM).DATES)&lt;/Q&gt;&lt;R&gt;121&lt;/R&gt;&lt;C&gt;1&lt;/C&gt;&lt;D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xsi:type="xsd:long"&gt;45533&lt;/D&gt;&lt;/FQL&gt;&lt;FQL&gt;&lt;Q&gt;EWA^FG_PRICE(0)&lt;/Q&gt;&lt;R&gt;1&lt;/R&gt;&lt;C&gt;1&lt;/C&gt;&lt;D xsi:type="xsd:double"&gt;26.05&lt;/D&gt;&lt;/FQL&gt;&lt;FQL&gt;&lt;Q&gt;EWU^PERCENT_CHANGE(FMA_EPS(+1,0,,,,"PORTAGG","MEAN"),FMA_EPS(+1,-1AM,,,,"PORTAGG","MEAN"))&lt;/Q&gt;&lt;R&gt;1&lt;/R&gt;&lt;C&gt;1&lt;/C&gt;&lt;D xsi:type="xsd:double"&gt;2.08397371369741&lt;/D&gt;&lt;/FQL&gt;&lt;FQL&gt;&lt;Q&gt;EWQ^FMA_DIV_YLD(NTMA,NOW,NOW,M,"PORTAGG","MEANR")&lt;/Q&gt;&lt;R&gt;1&lt;/R&gt;&lt;C&gt;1&lt;/C&gt;&lt;D xsi:type="xsd:double"&gt;3.33717566365683&lt;/D&gt;&lt;/FQL&gt;&lt;FQL&gt;&lt;Q&gt;CAGDPY@NL^EE_ACTUAL_ANNUAL(MED,0)&lt;/Q&gt;&lt;R&gt;1&lt;/R&gt;&lt;C&gt;1&lt;/C&gt;&lt;D xsi:type="xsd:double"&gt;9.85408501996988&lt;/D&gt;&lt;/FQL&gt;&lt;FQL&gt;&lt;Q&gt;CPALM-FDS^FG_PRICE_CHANGE(0,-3AM)&lt;/Q&gt;&lt;R&gt;1&lt;/R&gt;&lt;C&gt;1&lt;/C&gt;&lt;D xsi:type="xsd:double"&gt;0.471698113207553&lt;/D&gt;&lt;/FQL&gt;&lt;FQL&gt;&lt;Q&gt;ENZL^PERCENT_CHANGE(FMA_EPS(+1,0,,,,"PORTAGG","MEAN"),FMA_EPS(+1,-3AM,,,,"PORTAGG","MEAN"))&lt;/Q&gt;&lt;R&gt;1&lt;/R&gt;&lt;C&gt;1&lt;/C&gt;&lt;D xsi:type="xsd:double"&gt;1.3653213846837&lt;/D&gt;&lt;/FQL&gt;&lt;FQL&gt;&lt;Q&gt;TRYGB10Y-FDS^FG_YIELD(0,,,,"YTM")&lt;/Q&gt;&lt;R&gt;1&lt;/R&gt;&lt;C&gt;1&lt;/C&gt;&lt;D xsi:type="xsd:double"&gt;3.988&lt;/D&gt;&lt;/FQL&gt;&lt;FQL&gt;&lt;Q&gt;EWQ^FMA_PE(LTM,0,,,"PORTAGG","MEANR")&lt;/Q&gt;&lt;R&gt;1&lt;/R&gt;&lt;C&gt;1&lt;/C&gt;&lt;D xsi:type="xsd:double"&gt;16.9785614114267&lt;/D&gt;&lt;/FQL&gt;&lt;FQL&gt;&lt;Q&gt;EWC^FMA_PE(NTMA,0,,,"PORTAGG","MEANR")&lt;/Q&gt;&lt;R&gt;1&lt;/R&gt;&lt;C&gt;1&lt;/C&gt;&lt;D xsi:type="xsd:double"&gt;14.570886500393&lt;/D&gt;&lt;/FQL&gt;&lt;FQL&gt;&lt;Q&gt;USDCHF^FG_PRICE_CHANGE(0,-3AM)&lt;/Q&gt;&lt;R&gt;1&lt;/R&gt;&lt;C&gt;1&lt;/C&gt;&lt;D xsi:type="xsd:double"&gt;-7.0744095&lt;/D&gt;&lt;/FQL&gt;&lt;FQL&gt;&lt;Q&gt;EWI^FMA_DIV_YLD(NTMA,-10AY,0,AM,"PORTAGG","MEANR")&lt;/Q&gt;&lt;R&gt;121&lt;/R&gt;&lt;C&gt;1&lt;/C&gt;&lt;D xsi:type="xsd:double"&gt;3.58687276806257&lt;/D&gt;&lt;D xsi:type="xsd:double"&gt;3.65692673008838&lt;/D&gt;&lt;D xsi:type="xsd:double"&gt;3.9844462990643&lt;/D&gt;&lt;D xsi:type="xsd:double"&gt;3.87477681546849&lt;/D&gt;&lt;D xsi:type="xsd:double"&gt;4.05193855202883&lt;/D&gt;&lt;D xsi:type="xsd:double"&gt;3.78064644679077&lt;/D&gt;&lt;D xsi:type="xsd:double"&gt;3.41457510831913&lt;/D&gt;&lt;D xsi:type="xsd:double"&gt;3.125377393635&lt;/D&gt;&lt;D xsi:type="xsd:double"&gt;3.19476475548292&lt;/D&gt;&lt;D xsi:type="xsd:double"&gt;3.1795958859064&lt;/D&gt;&lt;D xsi:type="xsd:double"&gt;3.37438331846557&lt;/D&gt;&lt;D xsi:type="xsd:double"&gt;3.23010026788753&lt;/D&gt;&lt;D xsi:type="xsd:double"&gt;3.36161607645676&lt;/D&gt;&lt;D xsi:type="xsd:double"&gt;3.62841633647296&lt;/D&gt;&lt;D xsi:type="xsd:double"&gt;3.55964105371687&lt;/D&gt;&lt;D xsi:type="xsd:double"&gt;3.5514159722485&lt;/D&gt;&lt;D xsi:type="xsd:double"&gt;3.79938978820956&lt;/D&gt;&lt;D xsi:type="xsd:double"&gt;4.4017271090213&lt;/D&gt;&lt;D xsi:type="xsd:double"&gt;4.51023358267433&lt;/D&gt;&lt;D xsi:type="xsd:double"&gt;4.35488020888038&lt;/D&gt;&lt;D xsi:type="xsd:double"&gt;4.31378091072643&lt;/D&gt;&lt;D xsi:type="xsd:double"&gt;4.46586461677135&lt;/D&gt;&lt;D xsi:type="xsd:double"&gt;5.07002309476829&lt;/D&gt;&lt;D xsi:type="xsd:double"&gt;4.7596557895217&lt;/D&gt;&lt;D xsi:type="xsd:double"&gt;4.7844665322188&lt;/D&gt;&lt;D xsi:type="xsd:double"&gt;4.98743852009876&lt;/D&gt;&lt;D xsi:type="xsd:double"&gt;4.72184418267947&lt;/D&gt;&lt;D xsi:type="xsd:double"&gt;4.86934011807984&lt;/D&gt;&lt;D xsi:type="xsd:double"&gt;4.30189669673509&lt;/D&gt;&lt;D xsi:type="xsd:double"&gt;4.35892248650116&lt;/D&gt;&lt;D xsi:type="xsd:double"&gt;4.31029051930143&lt;/D&gt;&lt;D xsi:type="xsd:double"&gt;3.94803293960845&lt;/D&gt;&lt;D xsi:type="xsd:double"&gt;3.91933641965632&lt;/D&gt;&lt;D xsi:type="xsd:double"&gt;3.83574998414522&lt;/D&gt;&lt;D xsi:type="xsd:double"&gt;3.85933669293698&lt;/D&gt;&lt;D xsi:type="xsd:double"&gt;3.77611740327441&lt;/D&gt;&lt;D xsi:type="xsd:double"&gt;3.83099842294314&lt;/D&gt;&lt;D xsi:type="xsd:double"&gt;3.67563943116242&lt;/D&gt;&lt;D xsi:type="xsd:double"&gt;3.80407245657845&lt;/D&gt;&lt;D xsi:type="xsd:double"&gt;3.88790622436544&lt;/D&gt;&lt;D xsi:type="xsd:double"&gt;3.98923373121954&lt;/D&gt;&lt;D xsi:type="xsd:double"&gt;3.73255029834072&lt;/D&gt;&lt;D xsi:type="xsd:double"&gt;3.97217746579567&lt;/D&gt;&lt;D xsi:type="xsd:double"&gt;4.10658130199849&lt;/D&gt;&lt;D xsi:type="xsd:double"&gt;3.89973611984773&lt;/D&gt;&lt;D xsi:type="xsd:double"&gt;4.4739153095238&lt;/D&gt;&lt;D xsi:type="xsd:double"&gt;4.49608845866901&lt;/D&gt;&lt;D xsi:type="xsd:double"&gt;4.3825683159902&lt;/D&gt;&lt;D xsi:type="xsd:double"&gt;4.6468821163243&lt;/D&gt;&lt;D xsi:type="xsd:double"&gt;4.70037028921162&lt;/D&gt;&lt;D xsi:type="xsd:double"&gt;5.07084586437648&lt;/D&gt;&lt;D xsi:type="xsd:double"&gt;5.11495576533126&lt;/D&gt;&lt;D xsi:type="xsd:double"&gt;5.4543874162368&lt;/D&gt;&lt;D xsi:type="xsd:double"&gt;5.0880560616989&lt;/D&gt;&lt;D xsi:type="xsd:double"&gt;4.81990355712117&lt;/D&gt;&lt;D xsi:type="xsd:double"&gt;4.67259052648487&lt;/D&gt;&lt;D xsi:type="xsd:double"&gt;4.63436453652087&lt;/D&gt;&lt;D xsi:type="xsd:double"&gt;5.100473645315&lt;/D&gt;&lt;D xsi:type="xsd:double"&gt;4.84056531922918&lt;/D&gt;&lt;D xsi:type="xsd:double"&gt;4.74982077570667&lt;/D&gt;&lt;D xsi:type="xsd:double"&gt;4.86869677955522&lt;/D&gt;&lt;D xsi:type="xsd:double"&gt;4.74352820058867&lt;/D&gt;&lt;D xsi:type="xsd:double"&gt;4.64847542361789&lt;/D&gt;&lt;D xsi:type="xsd:double"&gt;4.56961812429887&lt;/D&gt;&lt;D xsi:type="xsd:double"&gt;4.44693216965644&lt;/D&gt;&lt;D xsi:type="xsd:double"&gt;4.43213205703168&lt;/D&gt;&lt;D xsi:type="xsd:double"&gt;5.00870337290942&lt;/D&gt;&lt;D xsi:type="xsd:double"&gt;6.32249178308411&lt;/D&gt;&lt;D xsi:type="xsd:double"&gt;5.2174963925638&lt;/D&gt;&lt;D xsi:type="xsd:double"&gt;4.64308221155338&lt;/D&gt;&lt;D xsi:type="xsd:double"&gt;4.34334919763104&lt;/D&gt;&lt;D xsi:type="xsd:double"&gt;4.31479763628359&lt;/D&gt;&lt;D xsi:type="xsd:double"&gt;3.99841115369264&lt;/D&gt;&lt;D xsi:type="xsd:double"&gt;4.20217598856109&lt;/D&gt;&lt;D xsi:type="xsd:double"&gt;4.56357830568491&lt;/D&gt;&lt;D xsi:type="xsd:double"&gt;3.87059193919859&lt;/D&gt;&lt;D xsi:type="xsd:double"&gt;3.93311493651857&lt;/D&gt;&lt;D xsi:type="xsd:double"&gt;4.18450813737488&lt;/D&gt;&lt;D xsi:type="xsd:double"&gt;4.12158272097112&lt;/D&gt;&lt;D xsi:type="xsd:double"&gt;4.0266971265498&lt;/D&gt;&lt;D xsi:type="xsd:double"&gt;4.17511761975796&lt;/D&gt;&lt;D xsi:type="xsd:double"&gt;4.09625271062973&lt;/D&gt;&lt;D xsi:type="xsd:double"&gt;4.11374828784535&lt;/D&gt;&lt;D xsi:type="xsd:double"&gt;4.20048139554794&lt;/D&gt;&lt;D xsi:type="xsd:double"&gt;4.39015084236153&lt;/D&gt;&lt;D xsi:type="xsd:double"&gt;4.5360390589236&lt;/D&gt;&lt;D xsi:type="xsd:double"&gt;4.38394896472426&lt;/D&gt;&lt;D xsi:type="xsd:double"&gt;4.594218274264&lt;/D&gt;&lt;D xsi:type="xsd:double"&gt;4.59285433991443&lt;/D&gt;&lt;D xsi:type="xsd:double"&gt;4.80874726815908&lt;/D&gt;&lt;D xsi:type="xsd:double"&gt;5.07032951742041&lt;/D&gt;&lt;D xsi:type="xsd:double"&gt;5.03238422882457&lt;/D&gt;&lt;D xsi:type="xsd:double"&gt;5.11557226472741&lt;/D&gt;&lt;D xsi:type="xsd:double"&gt;5.09435706025578&lt;/D&gt;&lt;D xsi:type="xsd:double"&gt;5.79665808227738&lt;/D&gt;&lt;D xsi:type="xsd:double"&gt;5.80992713463567&lt;/D&gt;&lt;D xsi:type="xsd:double"&gt;5.82384677065365&lt;/D&gt;&lt;D xsi:type="xsd:double"&gt;6.28025772839109&lt;/D&gt;&lt;D xsi:type="xsd:double"&gt;5.77312539170413&lt;/D&gt;&lt;D xsi:type="xsd:double"&gt;5.54483375042533&lt;/D&gt;&lt;D xsi:type="xsd:double"&gt;5.83546194736085&lt;/D&gt;&lt;D xsi:type="xsd:double"&gt;5.42929540805749&lt;/D&gt;&lt;D xsi:type="xsd:double"&gt;5.57739276786834&lt;/D&gt;&lt;D xsi:type="xsd:double"&gt;5.49430819882341&lt;/D&gt;&lt;D xsi:type="xsd:double"&gt;5.39790572246111&lt;/D&gt;&lt;D xsi:type="xsd:double"&gt;5.68716740384613&lt;/D&gt;&lt;D xsi:type="xsd:double"&gt;5.34838842766694&lt;/D&gt;&lt;D xsi:type="xsd:double"&gt;5.22225193256251&lt;/D&gt;&lt;D xsi:type="xsd:double"&gt;5.45734396200653&lt;/D&gt;&lt;D xsi:type="xsd:double"&gt;5.50587372074155&lt;/D&gt;&lt;D xsi:type="xsd:double"&gt;5.81248357827925&lt;/D&gt;&lt;D xsi:type="xsd:double"&gt;5.50425210435816&lt;/D&gt;&lt;D xsi:type="xsd:double"&gt;5.4807296433606&lt;/D&gt;&lt;D xsi:type="xsd:double"&gt;5.47278881411196&lt;/D&gt;&lt;D xsi:type="xsd:double"&gt;5.32621309107531&lt;/D&gt;&lt;D xsi:type="xsd:double"&gt;5.07952817824143&lt;/D&gt;&lt;D xsi:type="xsd:double"&gt;5.23536127133161&lt;/D&gt;&lt;D xsi:type="xsd:double"&gt;5.29876718302353&lt;/D&gt;&lt;D xsi:type="xsd:double"&gt;5.49637883079903&lt;/D&gt;&lt;D xsi:type="xsd:double"&gt;5.33298322255994&lt;/D&gt;&lt;D xsi:type="xsd:double"&gt;5.37083285427579&lt;/D&gt;&lt;/FQL&gt;&lt;FQL&gt;&lt;Q&gt;VWO^FMA_PCT_ABOVE_MAVG(200,0,,,,"PORTAGG")&lt;/Q&gt;&lt;R&gt;1&lt;/R&gt;&lt;C&gt;1&lt;/C&gt;&lt;D xsi:type="xsd:double"&gt;40.8393694077546&lt;/D&gt;&lt;/FQL&gt;&lt;FQL&gt;&lt;Q&gt;EWU^FMA_PCT_ABOVE_MAVG(200,0,,,,"PORTAGG")&lt;/Q&gt;&lt;R&gt;1&lt;/R&gt;&lt;C&gt;1&lt;/C&gt;&lt;D xsi:type="xsd:double"&gt;66.25&lt;/D&gt;&lt;/FQL&gt;&lt;FQL&gt;&lt;Q&gt;VGK^FMA_COS_UP("EPS","1M",+1,0,,,"PORTAGG","MEANR")&lt;/Q&gt;&lt;R&gt;1&lt;/R&gt;&lt;C&gt;1&lt;/C&gt;&lt;D xsi:type="xsd:double"&gt;427&lt;/D&gt;&lt;/FQL&gt;&lt;FQL&gt;&lt;Q&gt;REFGBBANK-FDS^(SUBARRAY(NOT_NA(NO_REPEAT_F(FG_YIELD(NOW,-10AY,D))),0,1)-SUBARRAY(NOT_NA(NO_REPEAT_F(FG_YIELD(NOW,-10AY,D))),1,1))*100&lt;/Q&gt;&lt;R&gt;1&lt;/R&gt;&lt;C&gt;1&lt;/C&gt;&lt;D xsi:type="xsd:double"&gt;-25&lt;/D&gt;&lt;/FQL&gt;&lt;FQL&gt;&lt;Q&gt;CAGDPY@GB^EE_ACTUAL_ANNUAL(MED,+1)&lt;/Q&gt;&lt;R&gt;1&lt;/R&gt;&lt;C&gt;1&lt;/C&gt;&lt;D xsi:type="xsd:double"&gt;-2.65&lt;/D&gt;&lt;/FQL&gt;&lt;FQL&gt;&lt;Q&gt;REFGBBANK-FDS^PROPER_NAME(0,,,"SECURITY","NAME")&lt;/Q&gt;&lt;R&gt;1&lt;/R&gt;&lt;C&gt;1&lt;/C&gt;&lt;D xsi:type="xsd:string"&gt;UK Bank Rate&lt;/D&gt;&lt;/FQL&gt;&lt;FQL&gt;&lt;Q&gt;TRYJP10Y-FDS^FG_YIELD(0,,,,"YTM")&lt;/Q&gt;&lt;R&gt;1&lt;/R&gt;&lt;C&gt;1&lt;/C&gt;&lt;D xsi:type="xsd:double"&gt;0.893&lt;/D&gt;&lt;/FQL&gt;&lt;FQL&gt;&lt;Q&gt;EWQ^JULIAN(FMA_DIV_YLD(NTMA,NOW,NOW,M,"PORTAGG","MEANR").DATES)&lt;/Q&gt;&lt;R&gt;1&lt;/R&gt;&lt;C&gt;1&lt;/C&gt;&lt;D xsi:type="xsd:long"&gt;45530&lt;/D&gt;&lt;/FQL&gt;&lt;FQL&gt;&lt;Q&gt;EWC^FMA_PE(LTM,0,,,"PORTAGG","MEANR")&lt;/Q&gt;&lt;R&gt;1&lt;/R&gt;&lt;C&gt;1&lt;/C&gt;&lt;D xsi:type="xsd:double"&gt;18.2823413248964&lt;/D&gt;&lt;/FQL&gt;&lt;FQL&gt;&lt;Q&gt;CPALM-FDS^FG_PRICE(0)&lt;/Q&gt;&lt;R&gt;1&lt;/R&gt;&lt;C&gt;1&lt;/C&gt;&lt;D xsi:type="xsd:double"&gt;4047&lt;/D&gt;&lt;/FQL&gt;&lt;FQL&gt;&lt;Q&gt;VGK^FG_TOTAL_RETURNC(0,-12AM)&lt;/Q&gt;&lt;R&gt;1&lt;/R&gt;&lt;C&gt;1&lt;/C&gt;&lt;D xsi:type="xsd:double"&gt;18.860376&lt;/D&gt;&lt;/FQL&gt;&lt;FQL&gt;&lt;Q&gt;EWL^FG_TOTAL_RETURNC(0,-12AM)&lt;/Q&gt;&lt;R&gt;1&lt;/R&gt;&lt;C&gt;1&lt;/C&gt;&lt;D xsi:type="xsd:double"&gt;15.836584&lt;/D&gt;&lt;/FQL&gt;&lt;FQL&gt;&lt;Q&gt;EWI^SIZE(FG_CONSTITUENTS)&lt;/Q&gt;&lt;R&gt;1&lt;/R&gt;&lt;C&gt;1&lt;/C&gt;&lt;D xsi:type="xsd:long"&gt;26&lt;/D&gt;&lt;/FQL&gt;&lt;FQL&gt;&lt;Q&gt;EWD^FMA_RBICS_REV_CURRENT(30, LOC, "PORTAGG")&lt;/Q&gt;&lt;R&gt;1&lt;/R&gt;&lt;C&gt;1&lt;/C&gt;&lt;D xsi:type="xsd:double"&gt;27.5589453559563&lt;/D&gt;&lt;/FQL&gt;&lt;FQL&gt;&lt;Q&gt;CAGDPY@GB^EE_ACTUAL_ANNUAL(MED,0)&lt;/Q&gt;&lt;R&gt;1&lt;/R&gt;&lt;C&gt;1&lt;/C&gt;&lt;D xsi:type="xsd:double"&gt;-3.3&lt;/D&gt;&lt;/FQL&gt;&lt;FQL&gt;&lt;Q&gt;USDJPY^FG_PRICE_CHANGE(0,-1AY)&lt;/Q&gt;&lt;R&gt;1&lt;/R&gt;&lt;C&gt;1&lt;/C&gt;&lt;D xsi:type="xsd:double"&gt;-0.6390214&lt;/D&gt;&lt;/FQL&gt;&lt;FQL&gt;&lt;Q&gt;EWQ^FMA_DIV_YLD(NTMA,-10AY,0,AM,"PORTAGG","MEANR")&lt;/Q&gt;&lt;R&gt;121&lt;/R&gt;&lt;C&gt;1&lt;/C&gt;&lt;D xsi:type="xsd:double"&gt;3.53449264250309&lt;/D&gt;&lt;D xsi:type="xsd:double"&gt;3.60642241787376&lt;/D&gt;&lt;D xsi:type="xsd:double"&gt;3.79245477632353&lt;/D&gt;&lt;D xsi:type="xsd:double"&gt;3.56431452312046&lt;/D&gt;&lt;D xsi:type="xsd:double"&gt;3.6137803169295&lt;/D&gt;&lt;D xsi:type="xsd:double"&gt;3.34695905287827&lt;/D&gt;&lt;D xsi:type="xsd:double"&gt;3.12865411889008&lt;/D&gt;&lt;D xsi:type="xsd:double"&gt;3.19378604686373&lt;/D&gt;&lt;D xsi:type="xsd:double"&gt;3.25936036402556&lt;/D&gt;&lt;D xsi:type="xsd:double"&gt;3.29678485145618&lt;/D&gt;&lt;D xsi:type="xsd:double"&gt;3.40140349581537&lt;/D&gt;&lt;D xsi:type="xsd:double"&gt;3.31628632424072&lt;/D&gt;&lt;D xsi:type="xsd:double"&gt;3.59015840176273&lt;/D&gt;&lt;D xsi:type="xsd:double"&gt;3.86679485130894&lt;/D&gt;&lt;D xsi:type="xsd:double"&gt;3.44599857925435&lt;/D&gt;&lt;D xsi:type="xsd:double"&gt;3.40791727778393&lt;/D&gt;&lt;D xsi:type="xsd:double"&gt;3.5545243458729&lt;/D&gt;&lt;D xsi:type="xsd:double"&gt;3.76745889317465&lt;/D&gt;&lt;D xsi:type="xsd:double"&gt;3.82314253795407&lt;/D&gt;&lt;D xsi:type="xsd:double"&gt;3.79176097937437&lt;/D&gt;&lt;D xsi:type="xsd:double"&gt;3.72354967436848&lt;/D&gt;&lt;D xsi:type="xsd:double"&gt;3.6820882209492&lt;/D&gt;&lt;D xsi:type="xsd:double"&gt;3.94708425680415&lt;/D&gt;&lt;D xsi:type="xsd:double"&gt;3.72646040247659&lt;/D&gt;&lt;D xsi:type="xsd:double"&gt;3.74980287770418&lt;/D&gt;&lt;D xsi:type="xsd:double"&gt;3.73046198304488&lt;/D&gt;&lt;D xsi:type="xsd:double"&gt;3.70661878784429&lt;/D&gt;&lt;D xsi:type="xsd:double"&gt;3.688641076478&lt;/D&gt;&lt;D xsi:type="xsd:double"&gt;3.48663397649763&lt;/D&gt;&lt;D xsi:type="xsd:double"&gt;3.47527578284128&lt;/D&gt;&lt;D xsi:type="xsd:double"&gt;3.51220981378499&lt;/D&gt;&lt;D xsi:type="xsd:double"&gt;3.3841796787393&lt;/D&gt;&lt;D xsi:type="xsd:double"&gt;3.26205326860896&lt;/D&gt;&lt;D xsi:type="xsd:double"&gt;3.23198180743746&lt;/D&gt;&lt;D xsi:type="xsd:double"&gt;3.36778203017407&lt;/D&gt;&lt;D xsi:type="xsd:double"&gt;3.3835391734679&lt;/D&gt;&lt;D xsi:type="xsd:double"&gt;3.46161170784297&lt;/D&gt;&lt;D xsi:type="xsd:double"&gt;3.2946530053581&lt;/D&gt;&lt;D xsi:type="xsd:double"&gt;3.24307618743418&lt;/D&gt;&lt;D xsi:type="xsd:double"&gt;3.29574737662011&lt;/D&gt;&lt;D xsi:type="xsd:double"&gt;3.32111484492617&lt;/D&gt;&lt;D xsi:type="xsd:double"&gt;3.21234849816491&lt;/D&gt;&lt;D xsi:type="xsd:double"&gt;3.36432495116874&lt;/D&gt;&lt;D xsi:type="xsd:double"&gt;3.4649735497601&lt;/D&gt;&lt;D xsi:type="xsd:double"&gt;3.31632075908034&lt;/D&gt;&lt;D xsi:type="xsd:double"&gt;3.37589832875501&lt;/D&gt;&lt;D xsi:type="xsd:double"&gt;3.46150214120478&lt;/D&gt;&lt;D xsi:type="xsd:double"&gt;3.36982915012033&lt;/D&gt;&lt;D xsi:type="xsd:double"&gt;3.39356509019616&lt;/D&gt;&lt;D xsi:type="xsd:double"&gt;3.43057471304561&lt;/D&gt;&lt;D xsi:type="xsd:double"&gt;3.78522223718089&lt;/D&gt;&lt;D xsi:type="xsd:double"&gt;3.78888782182625&lt;/D&gt;&lt;D xsi:type="xsd:double"&gt;4.04822311899557&lt;/D&gt;&lt;D xsi:type="xsd:double"&gt;3.84223095530803&lt;/D&gt;&lt;D xsi:type="xsd:double"&gt;3.63806080754626&lt;/D&gt;&lt;D xsi:type="xsd:double"&gt;3.60714051352918&lt;/D&gt;&lt;D xsi:type="xsd:double"&gt;3.47063957355959&lt;/D&gt;&lt;D xsi:type="xsd:double"&gt;3.7199495581519&lt;/D&gt;&lt;D xsi:type="xsd:double"&gt;3.52589895119471&lt;/D&gt;&lt;D xsi:type="xsd:double"&gt;3.5047856256123&lt;/D&gt;&lt;D xsi:type="xsd:double"&gt;3.62507544569111&lt;/D&gt;&lt;D xsi:type="xsd:double"&gt;3.50862384277518&lt;/D&gt;&lt;D xsi:type="xsd:double"&gt;3.44725553313298&lt;/D&gt;&lt;D xsi:type="xsd:double"&gt;3.37893159187036&lt;/D&gt;&lt;D xsi:type="xsd:double"&gt;3.32075569020494&lt;/D&gt;&lt;D xsi:type="xsd:double"&gt;3.36007587155647&lt;/D&gt;&lt;D xsi:type="xsd:double"&gt;3.72782087677705&lt;/D&gt;&lt;D xsi:type="xsd:double"&gt;4.39591839734673&lt;/D&gt;&lt;D xsi:type="xsd:double"&gt;3.51148115927034&lt;/D&gt;&lt;D xsi:type="xsd:double"&gt;3.32473580215534&lt;/D&gt;&lt;D xsi:type="xsd:double"&gt;3.16080354602117&lt;/D&gt;&lt;D xsi:type="xsd:double"&gt;3.12354814622197&lt;/D&gt;&lt;D xsi:type="xsd:double"&gt;3.11206784043943&lt;/D&gt;&lt;D xsi:type="xsd:double"&gt;3.28315424173129&lt;/D&gt;&lt;D xsi:type="xsd:double"&gt;3.46614540391083&lt;/D&gt;&lt;D xsi:type="xsd:double"&gt;2.86594112571329&lt;/D&gt;&lt;D xsi:type="xsd:double"&gt;2.90449557545226&lt;/D&gt;&lt;D xsi:type="xsd:double"&gt;3.02601493560582&lt;/D&gt;&lt;D xsi:type="xsd:double"&gt;2.88006278485536&lt;/D&gt;&lt;D xsi:type="xsd:double"&gt;2.77370333923732&lt;/D&gt;&lt;D xsi:type="xsd:double"&gt;2.68498394565805&lt;/D&gt;&lt;D xsi:type="xsd:double"&gt;2.66882639191992&lt;/D&gt;&lt;D xsi:type="xsd:double"&gt;2.68400170628429&lt;/D&gt;&lt;D xsi:type="xsd:double"&gt;2.69450488217034&lt;/D&gt;&lt;D xsi:type="xsd:double"&gt;2.75791849640837&lt;/D&gt;&lt;D xsi:type="xsd:double"&gt;2.8494374154462&lt;/D&gt;&lt;D xsi:type="xsd:double"&gt;2.78564323441223&lt;/D&gt;&lt;D xsi:type="xsd:double"&gt;2.86772298536865&lt;/D&gt;&lt;D xsi:type="xsd:double"&gt;2.73696707949631&lt;/D&gt;&lt;D xsi:type="xsd:double"&gt;2.87554980172638&lt;/D&gt;&lt;D xsi:type="xsd:double"&gt;3.08298630312566&lt;/D&gt;&lt;D xsi:type="xsd:double"&gt;3.03576432147956&lt;/D&gt;&lt;D xsi:type="xsd:double"&gt;3.14918620624511&lt;/D&gt;&lt;D xsi:type="xsd:double"&gt;3.19031015269252&lt;/D&gt;&lt;D xsi:type="xsd:double"&gt;3.48080440489892&lt;/D&gt;&lt;D xsi:type="xsd:double"&gt;3.285599734676&lt;/D&gt;&lt;D xsi:type="xsd:double"&gt;3.46061876236672&lt;/D&gt;&lt;D xsi:type="xsd:double"&gt;3.82864411984234&lt;/D&gt;&lt;D xsi:type="xsd:double"&gt;3.49612863278984&lt;/D&gt;&lt;D xsi:type="xsd:double"&gt;3.29252884508624&lt;/D&gt;&lt;D xsi:type="xsd:double"&gt;3.33254747397433&lt;/D&gt;&lt;D xsi:type="xsd:double"&gt;3.10197589553721&lt;/D&gt;&lt;D xsi:type="xsd:double"&gt;3.15712768282323&lt;/D&gt;&lt;D xsi:type="xsd:double"&gt;3.22819746926736&lt;/D&gt;&lt;D xsi:type="xsd:double"&gt;3.11736703334176&lt;/D&gt;&lt;D xsi:type="xsd:double"&gt;3.25052866940322&lt;/D&gt;&lt;D xsi:type="xsd:double"&gt;3.26452439937645&lt;/D&gt;&lt;D xsi:type="xsd:double"&gt;3.23244609194429&lt;/D&gt;&lt;D xsi:type="xsd:double"&gt;3.30801554772023&lt;/D&gt;&lt;D xsi:type="xsd:double"&gt;3.42144304778843&lt;/D&gt;&lt;D xsi:type="xsd:double"&gt;3.58907671426783&lt;/D&gt;&lt;D xsi:type="xsd:double"&gt;3.35887510654443&lt;/D&gt;&lt;D xsi:type="xsd:double"&gt;3.2303869117415&lt;/D&gt;&lt;D xsi:type="xsd:double"&gt;3.17472632879551&lt;/D&gt;&lt;D xsi:type="xsd:double"&gt;3.13245542873567&lt;/D&gt;&lt;D xsi:type="xsd:double"&gt;3.0531297120642&lt;/D&gt;&lt;D xsi:type="xsd:double"&gt;3.12184304164532&lt;/D&gt;&lt;D xsi:type="xsd:double"&gt;3.18592127180822&lt;/D&gt;&lt;D xsi:type="xsd:double"&gt;3.39405850434892&lt;/D&gt;&lt;D xsi:type="xsd:double"&gt;3.40237667824497&lt;/D&gt;&lt;D xsi:type="xsd:double"&gt;3.35552331850763&lt;/D&gt;&lt;/FQL&gt;&lt;FQL&gt;&lt;Q&gt;REFCHMPR-FDS^(SUBARRAY(NOT_NA(NO_REPEAT_F(FG_YIELD(NOW,-10AY,D))),0,1)-SUBARRAY(NOT_NA(NO_REPEAT_F(FG_YIELD(NOW,-10AY,D))),1,1))*100&lt;/Q&gt;&lt;R&gt;1&lt;/R&gt;&lt;C&gt;1&lt;/C&gt;&lt;D xsi:type="xsd:double"&gt;-25&lt;/D&gt;&lt;/FQL&gt;&lt;FQL&gt;&lt;Q&gt;SPY^FMA_EVAL_EBIT(LTMA,NOW,NOW,M,"PORTAGG","MEANR")&lt;/Q&gt;&lt;R&gt;1&lt;/R&gt;&lt;C&gt;1&lt;/C&gt;&lt;D xsi:type="xsd:double"&gt;20.9862401211732&lt;/D&gt;&lt;/FQL&gt;&lt;FQL&gt;&lt;Q&gt;W-FDS^MAX(FG_PRICE(0,-5AY))&lt;/Q&gt;&lt;R&gt;1&lt;/R&gt;&lt;C&gt;1&lt;/C&gt;&lt;D xsi:type="xsd:double"&gt;14.2525&lt;/D&gt;&lt;/FQL&gt;&lt;FQL&gt;&lt;Q&gt;VGK^P_PRICE(0)/P_PRICE_LOW_PR(0,,,,,,"PRICE","INTRA","52W")-1&lt;/Q&gt;&lt;R&gt;1&lt;/R&gt;&lt;C&gt;1&lt;/C&gt;&lt;D xsi:type="xsd:double"&gt;0.28532505&lt;/D&gt;&lt;/FQL&gt;&lt;FQL&gt;&lt;Q&gt;EWL^P_PRICE(0)/P_PRICE_LOW_PR(0,,,,,,"PRICE","INTRA","52W")-1&lt;/Q&gt;&lt;R&gt;1&lt;/R&gt;&lt;C&gt;1&lt;/C&gt;&lt;D xsi:type="xsd:double"&gt;0.27027678&lt;/D&gt;&lt;/FQL&gt;&lt;FQL&gt;&lt;Q&gt;EWI^FMA_COS_DOWN("EPS","1M",+1,0,,,"PORTAGG","MEANR")&lt;/Q&gt;&lt;R&gt;1&lt;/R&gt;&lt;C&gt;1&lt;/C&gt;&lt;D xsi:type="xsd:double"&gt;7&lt;/D&gt;&lt;/FQL&gt;&lt;FQL&gt;&lt;Q&gt;EWJ^FG_ROE(0)&lt;/Q&gt;&lt;R&gt;1&lt;/R&gt;&lt;C&gt;1&lt;/C&gt;&lt;D xsi:type="xsd:double"&gt;9.34841890927651&lt;/D&gt;&lt;/FQL&gt;&lt;FQL&gt;&lt;Q&gt;CAGDPY@CH^EE_ACTUAL_ANNUAL(MED,0)&lt;/Q&gt;&lt;R&gt;1&lt;/R&gt;&lt;C&gt;1&lt;/C&gt;&lt;D xsi:type="xsd:double"&gt;6.98087557861584&lt;/D&gt;&lt;/FQL&gt;&lt;FQL&gt;&lt;Q&gt;USDJPY^FG_PRICE(0)&lt;/Q&gt;&lt;R&gt;1&lt;/R&gt;&lt;C&gt;1&lt;/C&gt;&lt;D xsi:type="xsd:double"&gt;145.385&lt;/D&gt;&lt;/FQL&gt;&lt;FQL&gt;&lt;Q&gt;SPY^FMA_DIV_YLD(NTMA,-10AY,0,AM,"PORTAGG","MEANR")&lt;/Q&gt;&lt;R&gt;121&lt;/R&gt;&lt;C&gt;1&lt;/C&gt;&lt;D xsi:type="xsd:double"&gt;2.08613123405872&lt;/D&gt;&lt;D xsi:type="xsd:double"&gt;2.12937693039832&lt;/D&gt;&lt;D xsi:type="xsd:double"&gt;2.14189578642781&lt;/D&gt;&lt;D xsi:type="xsd:double"&gt;2.07002631581591&lt;/D&gt;&lt;D xsi:type="xsd:double"&gt;2.0680933957143&lt;/D&gt;&lt;D xsi:type="xsd:double"&gt;2.16375759886847&lt;/D&gt;&lt;D xsi:type="xsd:double"&gt;2.09873762013911&lt;/D&gt;&lt;D xsi:type="xsd:double"&gt;2.19605947647737&lt;/D&gt;&lt;D xsi:type="xsd:double"&gt;2.14862876423484&lt;/D&gt;&lt;D xsi:type="xsd:double"&gt;2.1596182086592&lt;/D&gt;&lt;D xsi:type="xsd:double"&gt;2.21998032604999&lt;/D&gt;&lt;D xsi:type="xsd:double"&gt;2.18401485147453&lt;/D&gt;&lt;D xsi:type="xsd:double"&gt;2.32980610957663&lt;/D&gt;&lt;D xsi:type="xsd:double"&gt;2.47274902491464&lt;/D&gt;&lt;D xsi:type="xsd:double"&gt;2.23783932054705&lt;/D&gt;&lt;D xsi:type="xsd:double"&gt;2.26973449566627&lt;/D&gt;&lt;D xsi:type="xsd:double"&gt;2.27640297797762&lt;/D&gt;&lt;D xsi:type="xsd:double"&gt;2.45182025901469&lt;/D&gt;&lt;D xsi:type="xsd:double"&gt;2.47519773454617&lt;/D&gt;&lt;D xsi:type="xsd:double"&gt;2.47519773454617&lt;/D&gt;&lt;D xsi:type="xsd:double"&gt;2.29270141173246&lt;/D&gt;&lt;D xsi:type="xsd:double"&gt;2.26932855728746&lt;/D&gt;&lt;D xsi:type="xsd:double"&gt;2.31263725945446&lt;/D&gt;&lt;D xsi:type="xsd:double"&gt;2.21237101127921&lt;/D&gt;&lt;D xsi:type="xsd:double"&gt;2.21111441796507&lt;/D&gt;&lt;D xsi:type="xsd:double"&gt;2.23797538893244&lt;/D&gt;&lt;D xsi:type="xsd:double"&gt;2.27525181909795&lt;/D&gt;&lt;D xsi:type="xsd:double"&gt;2.20902614044826&lt;/D&gt;&lt;D xsi:type="xsd:double"&gt;2.17813894557729&lt;/D&gt;&lt;D xsi:type="xsd:double"&gt;2.15083471997405&lt;/D&gt;&lt;D xsi:type="xsd:double"&gt;2.10455079975663&lt;/D&gt;&lt;D xsi:type="xsd:double"&gt;2.11477117249291&lt;/D&gt;&lt;D xsi:type="xsd:double"&gt;2.10879459552998&lt;/D&gt;&lt;D xsi:type="xsd:double"&gt;2.0939789692741&lt;/D&gt;&lt;D xsi:type="xsd:double"&gt;2.10621630619407&lt;/D&gt;&lt;D xsi:type="xsd:double"&gt;2.0833066114422&lt;/D&gt;&lt;D xsi:type="xsd:double"&gt;2.11758022867729&lt;/D&gt;&lt;D xsi:type="xsd:double"&gt;2.06074268842083&lt;/D&gt;&lt;D xsi:type="xsd:double"&gt;2.02373699685138&lt;/D&gt;&lt;D xsi:type="xsd:double"&gt;1.98743180911749&lt;/D&gt;&lt;D xsi:type="xsd:double"&gt;1.9630925267995&lt;/D&gt;&lt;D xsi:type="xsd:double"&gt;1.86366230926016&lt;/D&gt;&lt;D xsi:type="xsd:double"&gt;1.98433360458719&lt;/D&gt;&lt;D xsi:type="xsd:double"&gt;2.05715340307065&lt;/D&gt;&lt;D xsi:type="xsd:double"&gt;2.05587288441969&lt;/D&gt;&lt;D xsi:type="xsd:double"&gt;2.05793025473945&lt;/D&gt;&lt;D xsi:type="xsd:double"&gt;2.05172486254481&lt;/D&gt;&lt;D xsi:type="xsd:double"&gt;2.00019565306877&lt;/D&gt;&lt;D xsi:type="xsd:double"&gt;1.94700692160839&lt;/D&gt;&lt;D xsi:type="xsd:double"&gt;1.95598188865906&lt;/D&gt;&lt;D xsi:type="xsd:double"&gt;2.18035993261037&lt;/D&gt;&lt;D xsi:type="xsd:double"&gt;2.10375816465922&lt;/D&gt;&lt;D xsi:type="xsd:double"&gt;2.33784327559332&lt;/D&gt;&lt;D xsi:type="xsd:double"&gt;2.21310039138251&lt;/D&gt;&lt;D xsi:type="xsd:double"&gt;2.10759963480262&lt;/D&gt;&lt;D xsi:type="xsd:double"&gt;2.08594448799516&lt;/D&gt;&lt;D xsi:type="xsd:double"&gt;2.02695435818052&lt;/D&gt;&lt;D xsi:type="xsd:double"&gt;2.15345449073457&lt;/D&gt;&lt;D xsi:type="xsd:double"&gt;2.04816008865621&lt;/D&gt;&lt;D xsi:type="xsd:double"&gt;2.00568935242467&lt;/D&gt;&lt;D xsi:type="xsd:double"&gt;2.08063231098013&lt;/D&gt;&lt;D xsi:type="xsd:double"&gt;2.06091678882782&lt;/D&gt;&lt;D xsi:type="xsd:double"&gt;2.02683710373055&lt;/D&gt;&lt;D xsi:type="xsd:double"&gt;1.9756997976927&lt;/D&gt;&lt;D xsi:type="xsd:double"&gt;1.92659429253257&lt;/D&gt;&lt;D xsi:type="xsd:double"&gt;1.92155771702071&lt;/D&gt;&lt;D xsi:type="xsd:double"&gt;2.14572950135165&lt;/D&gt;&lt;D xsi:type="xsd:double"&gt;2.4777813634037&lt;/D&gt;&lt;D xsi:type="xsd:double"&gt;2.08412587734575&lt;/D&gt;&lt;D xsi:type="xsd:double"&gt;1.98317131648159&lt;/D&gt;&lt;D xsi:type="xsd:double"&gt;1.96492324997882&lt;/D&gt;&lt;D xsi:type="xsd:double"&gt;1.82339545443899&lt;/D&gt;&lt;D xsi:type="xsd:double"&gt;1.69965822874651&lt;/D&gt;&lt;D xsi:type="xsd:double"&gt;1.78763741581046&lt;/D&gt;&lt;D xsi:type="xsd:double"&gt;1.80968996230454&lt;/D&gt;&lt;D xsi:type="xsd:double"&gt;1.64990023811296&lt;/D&gt;&lt;D xsi:type="xsd:double"&gt;1.58941421417244&lt;/D&gt;&lt;D xsi:type="xsd:double"&gt;1.60434742748732&lt;/D&gt;&lt;D xsi:type="xsd:double"&gt;1.57925339445456&lt;/D&gt;&lt;D xsi:type="xsd:double"&gt;1.52248506868596&lt;/D&gt;&lt;D xsi:type="xsd:double"&gt;1.44945240007585&lt;/D&gt;&lt;D xsi:type="xsd:double"&gt;1.45861702850367&lt;/D&gt;&lt;D xsi:type="xsd:double"&gt;1.44337972651529&lt;/D&gt;&lt;D xsi:type="xsd:double"&gt;1.42041193669121&lt;/D&gt;&lt;D xsi:type="xsd:double"&gt;1.40218617436394&lt;/D&gt;&lt;D xsi:type="xsd:double"&gt;1.45526004545669&lt;/D&gt;&lt;D xsi:type="xsd:double"&gt;1.39349387351684&lt;/D&gt;&lt;D xsi:type="xsd:double"&gt;1.38332187552058&lt;/D&gt;&lt;D xsi:type="xsd:double"&gt;1.34694786773899&lt;/D&gt;&lt;D xsi:type="xsd:double"&gt;1.47575119430097&lt;/D&gt;&lt;D xsi:type="xsd:double"&gt;1.51104855856517&lt;/D&gt;&lt;D xsi:type="xsd:double"&gt;1.42354233206835&lt;/D&gt;&lt;D xsi:type="xsd:double"&gt;1.59898244956486&lt;/D&gt;&lt;D xsi:type="xsd:double"&gt;1.59571010642718&lt;/D&gt;&lt;D xsi:type="xsd:double"&gt;1.75683330446515&lt;/D&gt;&lt;D xsi:type="xsd:double"&gt;1.63248460107917&lt;/D&gt;&lt;D xsi:type="xsd:double"&gt;1.6930612328695&lt;/D&gt;&lt;D xsi:type="xsd:double"&gt;1.88138455878428&lt;/D&gt;&lt;D xsi:type="xsd:double"&gt;1.7707088985777&lt;/D&gt;&lt;D xsi:type="xsd:double"&gt;1.7523784430395&lt;/D&gt;&lt;D xsi:type="xsd:double"&gt;1.80400550934924&lt;/D&gt;&lt;D xsi:type="xsd:double"&gt;1.71561595661175&lt;/D&gt;&lt;D xsi:type="xsd:double"&gt;1.7686139335101&lt;/D&gt;&lt;D xsi:type="xsd:double"&gt;1.7479745997526&lt;/D&gt;&lt;D xsi:type="xsd:double"&gt;1.69249471167089&lt;/D&gt;&lt;D xsi:type="xsd:double"&gt;1.68529154979438&lt;/D&gt;&lt;D xsi:type="xsd:double"&gt;1.61553028584096&lt;/D&gt;&lt;D xsi:type="xsd:double"&gt;1.55892674435046&lt;/D&gt;&lt;D xsi:type="xsd:double"&gt;1.59754434808977&lt;/D&gt;&lt;D xsi:type="xsd:double"&gt;1.68913045967076&lt;/D&gt;&lt;D xsi:type="xsd:double"&gt;1.76478752624789&lt;/D&gt;&lt;D xsi:type="xsd:double"&gt;1.60175681169562&lt;/D&gt;&lt;D xsi:type="xsd:double"&gt;1.54364922666662&lt;/D&gt;&lt;D xsi:type="xsd:double"&gt;1.50194151959414&lt;/D&gt;&lt;D xsi:type="xsd:double"&gt;1.47142307325458&lt;/D&gt;&lt;D xsi:type="xsd:double"&gt;1.42713213163734&lt;/D&gt;&lt;D xsi:type="xsd:double"&gt;1.48796980580968&lt;/D&gt;&lt;D xsi:type="xsd:double"&gt;1.44367653321558&lt;/D&gt;&lt;D xsi:type="xsd:double"&gt;1.40768185019047&lt;/D&gt;&lt;D xsi:type="xsd:double"&gt;1.41657192959201&lt;/D&gt;&lt;D xsi:type="xsd:double"&gt;1.37946466302865&lt;/D&gt;&lt;/FQL&gt;&lt;FQL&gt;&lt;Q&gt;EWL^FG_TOTAL_RETURNC(0,-3AM)&lt;/Q&gt;&lt;R&gt;1&lt;/R&gt;&lt;C&gt;1&lt;/C&gt;&lt;D xsi:type="xsd:double"&gt;12.923681&lt;/D&gt;&lt;/FQL&gt;&lt;FQL&gt;&lt;Q&gt;SPY^FMA_EVAL_EBITDA(NTMA,0,,,"PORTAGG","MEANR")&lt;/Q&gt;&lt;R&gt;1&lt;/R&gt;&lt;C&gt;1&lt;/C&gt;&lt;D xsi:type="xsd:double"&gt;14.460169873561&lt;/D&gt;&lt;/FQL&gt;&lt;FQL&gt;&lt;Q&gt;EWC^FMA_DIV_YLD(NTMA,-10AY,0,AM,"PORTAGG","MEANR")&lt;/Q&gt;&lt;R&gt;121&lt;/R&gt;&lt;C&gt;1&lt;/C&gt;&lt;D xsi:type="xsd:double"&gt;2.75013004366271&lt;/D&gt;&lt;D xsi:type="xsd:double"&gt;2.87549346177884&lt;/D&gt;&lt;D xsi:type="xsd:double"&gt;2.98982336011257&lt;/D&gt;&lt;D xsi:type="xsd:double"&gt;2.94726098853546&lt;/D&gt;&lt;D xsi:type="xsd:double"&gt;2.93374790167422&lt;/D&gt;&lt;D xsi:type="xsd:double"&gt;2.97926796930909&lt;/D&gt;&lt;D xsi:type="xsd:double"&gt;2.84975029796081&lt;/D&gt;&lt;D xsi:type="xsd:double"&gt;2.94880403440373&lt;/D&gt;&lt;D xsi:type="xsd:double"&gt;2.81336369953463&lt;/D&gt;&lt;D xsi:type="xsd:double"&gt;2.9035305544884&lt;/D&gt;&lt;D xsi:type="xsd:double"&gt;3.01761063071885&lt;/D&gt;&lt;D xsi:type="xsd:double"&gt;3.11562931915344&lt;/D&gt;&lt;D xsi:type="xsd:double"&gt;3.15492870358546&lt;/D&gt;&lt;D xsi:type="xsd:double"&gt;3.38228261251717&lt;/D&gt;&lt;D xsi:type="xsd:double"&gt;3.19763334416641&lt;/D&gt;&lt;D xsi:type="xsd:double"&gt;3.31381762917627&lt;/D&gt;&lt;D xsi:type="xsd:double"&gt;3.33150414545434&lt;/D&gt;&lt;D xsi:type="xsd:double"&gt;3.35714533709028&lt;/D&gt;&lt;D xsi:type="xsd:double"&gt;3.34256100760867&lt;/D&gt;&lt;D xsi:type="xsd:double"&gt;3.16715824627692&lt;/D&gt;&lt;D xsi:type="xsd:double"&gt;3.05014927767596&lt;/D&gt;&lt;D xsi:type="xsd:double"&gt;3.02661244899757&lt;/D&gt;&lt;D xsi:type="xsd:double"&gt;3.08031867373022&lt;/D&gt;&lt;D xsi:type="xsd:double"&gt;2.97221708976925&lt;/D&gt;&lt;D xsi:type="xsd:double"&gt;2.9504054302299&lt;/D&gt;&lt;D xsi:type="xsd:double"&gt;2.92895843339913&lt;/D&gt;&lt;D xsi:type="xsd:double"&gt;2.92769418489753&lt;/D&gt;&lt;D xsi:type="xsd:double"&gt;2.88617476684592&lt;/D&gt;&lt;D xsi:type="xsd:double"&gt;2.82228199954817&lt;/D&gt;&lt;D xsi:type="xsd:double"&gt;2.80252020523353&lt;/D&gt;&lt;D xsi:type="xsd:double"&gt;2.88074790409572&lt;/D&gt;&lt;D xsi:type="xsd:double"&gt;2.89385841892924&lt;/D&gt;&lt;D xsi:type="xsd:double"&gt;2.93573978875242&lt;/D&gt;&lt;D xsi:type="xsd:double"&gt;2.92460093336778&lt;/D&gt;&lt;D xsi:type="xsd:double"&gt;3.03983135200613&lt;/D&gt;&lt;D xsi:type="xsd:double"&gt;3.04942668385022&lt;/D&gt;&lt;D xsi:type="xsd:double"&gt;3.08187259007426&lt;/D&gt;&lt;D xsi:type="xsd:double"&gt;2.98033222192467&lt;/D&gt;&lt;D xsi:type="xsd:double"&gt;2.92549746889418&lt;/D&gt;&lt;D xsi:type="xsd:double"&gt;2.93939695591726&lt;/D&gt;&lt;D xsi:type="xsd:double"&gt;2.90768089224411&lt;/D&gt;&lt;D xsi:type="xsd:double"&gt;2.94390903678617&lt;/D&gt;&lt;D xsi:type="xsd:double"&gt;3.13272547253015&lt;/D&gt;&lt;D xsi:type="xsd:double"&gt;3.18679481647357&lt;/D&gt;&lt;D xsi:type="xsd:double"&gt;3.1393849930569&lt;/D&gt;&lt;D xsi:type="xsd:double"&gt;3.11266586494903&lt;/D&gt;&lt;D xsi:type="xsd:double"&gt;3.06731781683034&lt;/D&gt;&lt;D xsi:type="xsd:double"&gt;3.07079172608658&lt;/D&gt;&lt;D xsi:type="xsd:double"&gt;3.09444392811897&lt;/D&gt;&lt;D xsi:type="xsd:double"&gt;3.17398287086951&lt;/D&gt;&lt;D xsi:type="xsd:double"&gt;3.48662717353365&lt;/D&gt;&lt;D xsi:type="xsd:double"&gt;3.38926990555538&lt;/D&gt;&lt;D xsi:type="xsd:double"&gt;3.62960202174541&lt;/D&gt;&lt;D xsi:type="xsd:double"&gt;3.34217551711028&lt;/D&gt;&lt;D xsi:type="xsd:double"&gt;3.27702630141593&lt;/D&gt;&lt;D xsi:type="xsd:double"&gt;3.28183325236327&lt;/D&gt;&lt;D xsi:type="xsd:double"&gt;3.17951724635356&lt;/D&gt;&lt;D xsi:type="xsd:double"&gt;3.3558003421476&lt;/D&gt;&lt;D xsi:type="xsd:double"&gt;3.31897631701878&lt;/D&gt;&lt;D xsi:type="xsd:double"&gt;3.32959324386531&lt;/D&gt;&lt;D xsi:type="xsd:double"&gt;3.39213479429932&lt;/D&gt;&lt;D xsi:type="xsd:double"&gt;3.3268529993569&lt;/D&gt;&lt;D xsi:type="xsd:double"&gt;3.37054226229242&lt;/D&gt;&lt;D xsi:type="xsd:double"&gt;3.24688046235831&lt;/D&gt;&lt;D xsi:type="xsd:double"&gt;3.24160198244809&lt;/D&gt;&lt;D xsi:type="xsd:double"&gt;3.23860491092579&lt;/D&gt;&lt;D xsi:type="xsd:double"&gt;3.54561819129622&lt;/D&gt;&lt;D xsi:type="xsd:double"&gt;4.56688179580767&lt;/D&gt;&lt;D xsi:type="xsd:double"&gt;3.75626884634437&lt;/D&gt;&lt;D xsi:type="xsd:double"&gt;3.64801319633486&lt;/D&gt;&lt;D xsi:type="xsd:double"&gt;3.57743118838986&lt;/D&gt;&lt;D xsi:type="xsd:double"&gt;3.38992420740988&lt;/D&gt;&lt;D xsi:type="xsd:double"&gt;3.30930113758765&lt;/D&gt;&lt;D xsi:type="xsd:double"&gt;3.43080282657168&lt;/D&gt;&lt;D xsi:type="xsd:double"&gt;3.529313464535&lt;/D&gt;&lt;D xsi:type="xsd:double"&gt;3.17236282210262&lt;/D&gt;&lt;D xsi:type="xsd:double"&gt;3.11515554205945&lt;/D&gt;&lt;D xsi:type="xsd:double"&gt;3.14992608623059&lt;/D&gt;&lt;D xsi:type="xsd:double"&gt;2.9804457227924&lt;/D&gt;&lt;D xsi:type="xsd:double"&gt;2.84899749594978&lt;/D&gt;&lt;D xsi:type="xsd:double"&gt;2.73996217899389&lt;/D&gt;&lt;D xsi:type="xsd:double"&gt;2.62112529194407&lt;/D&gt;&lt;D xsi:type="xsd:double"&gt;2.70920830304046&lt;/D&gt;&lt;D xsi:type="xsd:double"&gt;2.70031986943881&lt;/D&gt;&lt;D xsi:type="xsd:double"&gt;2.72646072094658&lt;/D&gt;&lt;D xsi:type="xsd:double"&gt;2.81880353539334&lt;/D&gt;&lt;D xsi:type="xsd:double"&gt;2.74364001794742&lt;/D&gt;&lt;D xsi:type="xsd:double"&gt;2.77017706135207&lt;/D&gt;&lt;D xsi:type="xsd:double"&gt;2.76845543653867&lt;/D&gt;&lt;D xsi:type="xsd:double"&gt;2.88231641838468&lt;/D&gt;&lt;D xsi:type="xsd:double"&gt;2.87507502204958&lt;/D&gt;&lt;D xsi:type="xsd:double"&gt;2.81064773395395&lt;/D&gt;&lt;D xsi:type="xsd:double"&gt;3.07116332644503&lt;/D&gt;&lt;D xsi:type="xsd:double"&gt;3.10288528098664&lt;/D&gt;&lt;D xsi:type="xsd:double"&gt;3.38565173407243&lt;/D&gt;&lt;D xsi:type="xsd:double"&gt;3.32211746054201&lt;/D&gt;&lt;D xsi:type="xsd:double"&gt;3.37332143655997&lt;/D&gt;&lt;D xsi:type="xsd:double"&gt;3.63074056956856&lt;/D&gt;&lt;D xsi:type="xsd:double"&gt;3.44180783961037&lt;/D&gt;&lt;D xsi:type="xsd:double"&gt;3.29918183331999&lt;/D&gt;&lt;D xsi:type="xsd:double"&gt;3.45060054854333&lt;/D&gt;&lt;D xsi:type="xsd:double"&gt;3.27844192565659&lt;/D&gt;&lt;D xsi:type="xsd:double"&gt;3.35358543408163&lt;/D&gt;&lt;D xsi:type="xsd:double"&gt;3.39073878257973&lt;/D&gt;&lt;D xsi:type="xsd:double"&gt;3.22713896148343&lt;/D&gt;&lt;D xsi:type="xsd:double"&gt;3.3340590258903&lt;/D&gt;&lt;D xsi:type="xsd:double"&gt;3.29264536723386&lt;/D&gt;&lt;D xsi:type="xsd:double"&gt;3.15349651974272&lt;/D&gt;&lt;D xsi:type="xsd:double"&gt;3.50101168973921&lt;/D&gt;&lt;D xsi:type="xsd:double"&gt;3.63507319957846&lt;/D&gt;&lt;D xsi:type="xsd:double"&gt;3.80884660950414&lt;/D&gt;&lt;D xsi:type="xsd:double"&gt;3.50552295350669&lt;/D&gt;&lt;D xsi:type="xsd:double"&gt;3.35843963849127&lt;/D&gt;&lt;D xsi:type="xsd:double"&gt;3.31239260592349&lt;/D&gt;&lt;D xsi:type="xsd:double"&gt;3.25820911474263&lt;/D&gt;&lt;D xsi:type="xsd:double"&gt;3.10719119270513&lt;/D&gt;&lt;D xsi:type="xsd:double"&gt;3.09541254878962&lt;/D&gt;&lt;D xsi:type="xsd:double"&gt;3.26374494833736&lt;/D</t>
        </r>
      </text>
    </comment>
    <comment ref="A15" authorId="0" shapeId="0" xr:uid="{F2984670-9330-4B14-B82B-8C33DEC49976}">
      <text>
        <r>
          <rPr>
            <b/>
            <sz val="9"/>
            <color indexed="81"/>
            <rFont val="Tahoma"/>
            <charset val="1"/>
          </rPr>
          <t>&gt;&lt;D xsi:type="xsd:double"&gt;3.34950759018179&lt;/D&gt;&lt;D xsi:type="xsd:double"&gt;3.2249682776258&lt;/D&gt;&lt;D xsi:type="xsd:double"&gt;3.15964024502855&lt;/D&gt;&lt;/FQL&gt;&lt;FQL&gt;&lt;Q&gt;W-FDS^FG_PRICE_CHANGE(0,-1AY)&lt;/Q&gt;&lt;R&gt;1&lt;/R&gt;&lt;C&gt;1&lt;/C&gt;&lt;D xsi:type="xsd:double"&gt;-7.85432207108381&lt;/D&gt;&lt;/FQL&gt;&lt;FQL&gt;&lt;Q&gt;EWI^FMA_COS_UP("EPS","1M",+1,0,,,"PORTAGG","MEANR")&lt;/Q&gt;&lt;R&gt;1&lt;/R&gt;&lt;C&gt;1&lt;/C&gt;&lt;D xsi:type="xsd:double"&gt;12&lt;/D&gt;&lt;/FQL&gt;&lt;FQL&gt;&lt;Q&gt;EWG^FG_ROE(0)&lt;/Q&gt;&lt;R&gt;1&lt;/R&gt;&lt;C&gt;1&lt;/C&gt;&lt;D xsi:type="xsd:double"&gt;10.7667267252775&lt;/D&gt;&lt;/FQL&gt;&lt;FQL&gt;&lt;Q&gt;REFCHMPR-FDS^PROPER_NAME(0,,,"SECURITY","NAME")&lt;/Q&gt;&lt;R&gt;1&lt;/R&gt;&lt;C&gt;1&lt;/C&gt;&lt;D xsi:type="xsd:string"&gt;Swiss Policy Rate - Sight Deposit Rate&lt;/D&gt;&lt;/FQL&gt;&lt;FQL&gt;&lt;Q&gt;DBA^FG_TOTAL_RETURNC(0,-6AM)&lt;/Q&gt;&lt;R&gt;1&lt;/R&gt;&lt;C&gt;1&lt;/C&gt;&lt;D xsi:type="xsd:double"&gt;12.128043&lt;/D&gt;&lt;/FQL&gt;&lt;FQL&gt;&lt;Q&gt;EWD^FMA_PE(NTMA,-10AY,0,AM,"PORTAGG","MEANR")&lt;/Q&gt;&lt;R&gt;121&lt;/R&gt;&lt;C&gt;1&lt;/C&gt;&lt;D xsi:type="xsd:double"&gt;14.7457568698236&lt;/D&gt;&lt;D xsi:type="xsd:double"&gt;14.5531033798052&lt;/D&gt;&lt;D xsi:type="xsd:double"&gt;14.4454945216643&lt;/D&gt;&lt;D xsi:type="xsd:double"&gt;15.6989876845885&lt;/D&gt;&lt;D xsi:type="xsd:double"&gt;15.7744000208695&lt;/D&gt;&lt;D xsi:type="xsd:double"&gt;16.171040317399&lt;/D&gt;&lt;D xsi:type="xsd:double"&gt;17.3936140410266&lt;/D&gt;&lt;D xsi:type="xsd:double"&gt;16.9545597539632&lt;/D&gt;&lt;D xsi:type="xsd:double"&gt;15.9476540578821&lt;/D&gt;&lt;D xsi:type="xsd:double"&gt;16.4926284571713&lt;/D&gt;&lt;D xsi:type="xsd:double"&gt;15.5464548105308&lt;/D&gt;&lt;D xsi:type="xsd:double"&gt;15.809778978784&lt;/D&gt;&lt;D xsi:type="xsd:double"&gt;14.9965770666275&lt;/D&gt;&lt;D xsi:type="xsd:double"&gt;13.8730992366131&lt;/D&gt;&lt;D xsi:type="xsd:double"&gt;15.4017512338316&lt;/D&gt;&lt;D xsi:type="xsd:double"&gt;15.5641889758175&lt;/D&gt;&lt;D xsi:type="xsd:double"&gt;15.0261046652154&lt;/D&gt;&lt;D xsi:type="xsd:double"&gt;14.5798742716645&lt;/D&gt;&lt;D xsi:type="xsd:double"&gt;15.1632909635731&lt;/D&gt;&lt;D xsi:type="xsd:double"&gt;14.8532741525922&lt;/D&gt;&lt;D xsi:type="xsd:double"&gt;15.2560793560229&lt;/D&gt;&lt;D xsi:type="xsd:double"&gt;15.0941833698299&lt;/D&gt;&lt;D xsi:type="xsd:double"&gt;14.3485672325312&lt;/D&gt;&lt;D xsi:type="xsd:double"&gt;15.2593380109794&lt;/D&gt;&lt;D xsi:type="xsd:double"&gt;15.420307915822&lt;/D&gt;&lt;D xsi:type="xsd:double"&gt;15.624836630138&lt;/D&gt;&lt;D xsi:type="xsd:double"&gt;16.2347847568305&lt;/D&gt;&lt;D xsi:type="xsd:double"&gt;15.9826380093637&lt;/D&gt;&lt;D xsi:type="xsd:double"&gt;16.424532560606&lt;/D&gt;&lt;D xsi:type="xsd:double"&gt;16.3948013417411&lt;/D&gt;&lt;D xsi:type="xsd:double"&gt;16.3898648505327&lt;/D&gt;&lt;D xsi:type="xsd:double"&gt;17.1350019210313&lt;/D&gt;&lt;D xsi:type="xsd:double"&gt;17.090100577415&lt;/D&gt;&lt;D xsi:type="xsd:double"&gt;18.0171480827448&lt;/D&gt;&lt;D xsi:type="xsd:double"&gt;16.5201185066963&lt;/D&gt;&lt;D xsi:type="xsd:double"&gt;16.1686002397141&lt;/D&gt;&lt;D xsi:type="xsd:double"&gt;15.527577465035&lt;/D&gt;&lt;D xsi:type="xsd:double"&gt;16.8113671936394&lt;/D&gt;&lt;D xsi:type="xsd:double"&gt;17.3207387816282&lt;/D&gt;&lt;D xsi:type="xsd:double"&gt;16.573902426218&lt;/D&gt;&lt;D xsi:type="xsd:double"&gt;16.113894235022&lt;/D&gt;&lt;D xsi:type="xsd:double"&gt;16.6689299160921&lt;/D&gt;&lt;D xsi:type="xsd:double"&gt;16.3892673839327&lt;/D&gt;&lt;D xsi:type="xsd:double"&gt;15.8207495332629&lt;/D&gt;&lt;D xsi:type="xsd:double"&gt;15.9748155896869&lt;/D&gt;&lt;D xsi:type="xsd:double"&gt;15.5827031058785&lt;/D&gt;&lt;D xsi:type="xsd:double"&gt;15.3503417864848&lt;/D&gt;&lt;D xsi:type="xsd:double"&gt;15.6151325209726&lt;/D&gt;&lt;D xsi:type="xsd:double"&gt;16.0199325725503&lt;/D&gt;&lt;D xsi:type="xsd:double"&gt;15.8808559138146&lt;/D&gt;&lt;D xsi:type="xsd:double"&gt;14.0809130922592&lt;/D&gt;&lt;D xsi:type="xsd:double"&gt;14.1915621293259&lt;/D&gt;&lt;D xsi:type="xsd:double"&gt;13.3263765362382&lt;/D&gt;&lt;D xsi:type="xsd:double"&gt;14.01717215435&lt;/D&gt;&lt;D xsi:type="xsd:double"&gt;14.7869103765623&lt;/D&gt;&lt;D xsi:type="xsd:double"&gt;14.6835089300983&lt;/D&gt;&lt;D xsi:type="xsd:double"&gt;15.8948738932569&lt;/D&gt;&lt;D xsi:type="xsd:double"&gt;14.3328236748467&lt;/D&gt;&lt;D xsi:type="xsd:double"&gt;15.0017797984324&lt;/D&gt;&lt;D xsi:type="xsd:double"&gt;15.0584291660687&lt;/D&gt;&lt;D xsi:type="xsd:double"&gt;13.7512240655399&lt;/D&gt;&lt;D xsi:type="xsd:double"&gt;15.0453002048751&lt;/D&gt;&lt;D xsi:type="xsd:double"&gt;15.7674486136389&lt;/D&gt;&lt;D xsi:type="xsd:double"&gt;15.6167541320281&lt;/D&gt;&lt;D xsi:type="xsd:double"&gt;16.3488040699666&lt;/D&gt;&lt;D xsi:type="xsd:double"&gt;16.2492114445815&lt;/D&gt;&lt;D xsi:type="xsd:double"&gt;15.0630381290316&lt;/D&gt;&lt;D xsi:type="xsd:double"&gt;13.5125281930114&lt;/D&gt;&lt;D xsi:type="xsd:double"&gt;17.3171449480634&lt;/D&gt;&lt;D xsi:type="xsd:double"&gt;18.5148241565065&lt;/D&gt;&lt;D xsi:type="xsd:double"&gt;19.3609126176098&lt;/D&gt;&lt;D xsi:type="xsd:double"&gt;18.7583191295647&lt;/D&gt;&lt;D xsi:type="xsd:double"&gt;18.2147545514288&lt;/D&gt;&lt;D xsi:type="xsd:double"&gt;18.4138837559341&lt;/D&gt;&lt;D xsi:type="xsd:double"&gt;16.1581038836843&lt;/D&gt;&lt;D xsi:type="xsd:double"&gt;17.5033495810956&lt;/D&gt;&lt;D xsi:type="xsd:double"&gt;17.3199356158423&lt;/D&gt;&lt;D xsi:type="xsd:double"&gt;18.432346274444&lt;/D&gt;&lt;D xsi:type="xsd:double"&gt;18.7197263433983&lt;/D&gt;&lt;D xsi:type="xsd:double"&gt;20.0974331697043&lt;/D&gt;&lt;D xsi:type="xsd:double"&gt;18.8962133285467&lt;/D&gt;&lt;D xsi:type="xsd:double"&gt;18.4647860649019&lt;/D&gt;&lt;D xsi:type="xsd:double"&gt;18.7405183741818&lt;/D&gt;&lt;D xsi:type="xsd:double"&gt;18.5648229161331&lt;/D&gt;&lt;D xsi:type="xsd:double"&gt;18.5375913756903&lt;/D&gt;&lt;D xsi:type="xsd:double"&gt;17.7627464691348&lt;/D&gt;&lt;D xsi:type="xsd:double"&gt;18.1312430623354&lt;/D&gt;&lt;D xsi:type="xsd:double"&gt;18.1587274996516&lt;/D&gt;&lt;D xsi:type="xsd:double"&gt;18.6097938446093&lt;/D&gt;&lt;D xsi:type="xsd:double"&gt;16.410150248422&lt;/D&gt;&lt;D xsi:type="xsd:double"&gt;15.09071169184&lt;/D&gt;&lt;D xsi:type="xsd:double"&gt;15.4373461309641&lt;/D&gt;&lt;D xsi:type="xsd:double"&gt;14.5433017398059&lt;/D&gt;&lt;D xsi:type="xsd:double"&gt;16.1191446210384&lt;/D&gt;&lt;D xsi:type="xsd:double"&gt;14.3236751130013&lt;/D&gt;&lt;D xsi:type="xsd:double"&gt;15.475397438393&lt;/D&gt;&lt;D xsi:type="xsd:double"&gt;14.0577078785891&lt;/D&gt;&lt;D xsi:type="xsd:double"&gt;12.7757624614638&lt;/D&gt;&lt;D xsi:type="xsd:double"&gt;13.2058547675843&lt;/D&gt;&lt;D xsi:type="xsd:double"&gt;12.9299144510863&lt;/D&gt;&lt;D xsi:type="xsd:double"&gt;12.8387678257836&lt;/D&gt;&lt;D xsi:type="xsd:double"&gt;14.0768479507097&lt;/D&gt;&lt;D xsi:type="xsd:double"&gt;14.0822005508063&lt;/D&gt;&lt;D xsi:type="xsd:double"&gt;13.3758039909305&lt;/D&gt;&lt;D xsi:type="xsd:double"&gt;13.7653836087039&lt;/D&gt;&lt;D xsi:type="xsd:double"&gt;13.539760546032&lt;/D&gt;&lt;D xsi:type="xsd:double"&gt;13.4420820288463&lt;/D&gt;&lt;D xsi:type="xsd:double"&gt;13.4139237253275&lt;/D&gt;&lt;D xsi:type="xsd:double"&gt;12.8091602570811&lt;/D&gt;&lt;D xsi:type="xsd:double"&gt;12.9090225088888&lt;/D&gt;&lt;D xsi:type="xsd:double"&gt;12.3913850859726&lt;/D&gt;&lt;D xsi:type="xsd:double"&gt;13.4775505387575&lt;/D&gt;&lt;D xsi:type="xsd:double"&gt;15.7259900145403&lt;/D&gt;&lt;D xsi:type="xsd:double"&gt;15.4696094009987&lt;/D&gt;&lt;D xsi:type="xsd:double"&gt;16.2650688356761&lt;/D&gt;&lt;D xsi:type="xsd:double"&gt;16.4211459844151&lt;/D&gt;&lt;D xsi:type="xsd:double"&gt;16.0949492914779&lt;/D&gt;&lt;D xsi:type="xsd:double"&gt;16.0453762657209&lt;/D&gt;&lt;D xsi:type="xsd:double"&gt;15.9641918478139&lt;/D&gt;&lt;D xsi:type="xsd:double"&gt;16.1138481716497&lt;/D&gt;&lt;D xsi:type="xsd:double"&gt;16.1460361031552&lt;/D&gt;&lt;/FQL&gt;&lt;FQL&gt;&lt;Q&gt;EWN^P_PRICE(0)/P_PRICE_LOW_PR(0,,,,,,"PRICE","INTRA","52W")-1&lt;/Q&gt;&lt;R&gt;1&lt;/R&gt;&lt;C&gt;1&lt;/C&gt;&lt;D xsi:type="xsd:double"&gt;0.39129233&lt;/D&gt;&lt;/FQL&gt;&lt;FQL&gt;&lt;Q&gt;TRYFR10Y-FDS^PCTCHG(FG_YIELD(0,,,,"YTM"),FG_YIELD(-1AM,,,,"YTM"))&lt;/Q&gt;&lt;R&gt;1&lt;/R&gt;&lt;C&gt;1&lt;/C&gt;&lt;D xsi:type="xsd:double"&gt;-2.7361522&lt;/D&gt;&lt;/FQL&gt;&lt;FQL&gt;&lt;Q&gt;TRYBR10Y-FDS^FG_YIELD(-10AY,0,Y,,"YTM")&lt;/Q&gt;&lt;R&gt;10&lt;/R&gt;&lt;C&gt;1&lt;/C&gt;&lt;D xsi:type="xsd:double"&gt;12.319731&lt;/D&gt;&lt;D xsi:type="xsd:double"&gt;15.989595&lt;/D&gt;&lt;D xsi:type="xsd:double"&gt;11.062725&lt;/D&gt;&lt;D xsi:type="xsd:double"&gt;9.887577&lt;/D&gt;&lt;D xsi:type="xsd:double"&gt;8.936093&lt;/D&gt;&lt;D xsi:type="xsd:double"&gt;6.883678&lt;/D&gt;&lt;D xsi:type="xsd:double"&gt;6.961219&lt;/D&gt;&lt;D xsi:type="xsd:double"&gt;10.970291&lt;/D&gt;&lt;D xsi:type="xsd:double"&gt;12.900059&lt;/D&gt;&lt;D xsi:type="xsd:double"&gt;10.455909&lt;/D&gt;&lt;/FQL&gt;&lt;FQL&gt;&lt;Q&gt;BRENT-FDS^FG_PRICE_CHANGE(0,-3AM)&lt;/Q&gt;&lt;R&gt;1&lt;/R&gt;&lt;C&gt;1&lt;/C&gt;&lt;D xsi:type="xsd:double"&gt;0&lt;/D&gt;&lt;/FQL&gt;&lt;FQL&gt;&lt;Q&gt;EWD^FG_PRICE_MAVG(0,,,,60)&lt;/Q&gt;&lt;R&gt;1&lt;/R&gt;&lt;C&gt;1&lt;/C&gt;&lt;D xsi:type="xsd:double"&gt;40.432667&lt;/D&gt;&lt;/FQL&gt;&lt;FQL&gt;&lt;Q&gt;FXI^FG_TOTAL_RETURNC(0,-12AM)&lt;/Q&gt;&lt;R&gt;1&lt;/R&gt;&lt;C&gt;1&lt;/C&gt;&lt;D xsi:type="xsd:double"&gt;-2.9885292&lt;/D&gt;&lt;/FQL&gt;&lt;FQL&gt;&lt;Q&gt;EWQ^FMA_COS_UP("EPS","1M",+1,0,,,"PORTAGG","MEANR")&lt;/Q&gt;&lt;R&gt;1&lt;/R&gt;&lt;C&gt;1&lt;/C&gt;&lt;D xsi:type="xsd:double"&gt;26&lt;/D&gt;&lt;/FQL&gt;&lt;FQL&gt;&lt;Q&gt;QQQ^FMA_PE(NTMA,0,,,"PORTAGG","MEANR")&lt;/Q&gt;&lt;R&gt;1&lt;/R&gt;&lt;C&gt;1&lt;/C&gt;&lt;D xsi:type="xsd:double"&gt;26.0421999475104&lt;/D&gt;&lt;/FQL&gt;&lt;FQL&gt;&lt;Q&gt;TRYMY10Y-FDS^FG_YIELD(-10AY,0,Y,,"YTM")&lt;/Q&gt;&lt;R&gt;10&lt;/R&gt;&lt;C&gt;1&lt;/C&gt;&lt;D xsi:type="xsd:double"&gt;4.131911&lt;/D&gt;&lt;D xsi:type="xsd:double"&gt;4.345605&lt;/D&gt;&lt;D xsi:type="xsd:double"&gt;4.195897&lt;/D&gt;&lt;D xsi:type="xsd:double"&gt;3.902544&lt;/D&gt;&lt;D xsi:type="xsd:double"&gt;4.235642&lt;/D&gt;&lt;D xsi:type="xsd:double"&gt;3.300551&lt;/D&gt;&lt;D xsi:type="xsd:double"&gt;2.804181&lt;/D&gt;&lt;D xsi:type="xsd:double"&gt;3.573893&lt;/D&gt;&lt;D xsi:type="xsd:double"&gt;4.131847&lt;/D&gt;&lt;D xsi:type="xsd:double"&gt;3.727505&lt;/D&gt;&lt;/FQL&gt;&lt;FQL&gt;&lt;Q&gt;USDSEK^FG_PRICE_CHANGE(0,-1AM)&lt;/Q&gt;&lt;R&gt;1&lt;/R&gt;&lt;C&gt;1&lt;/C&gt;&lt;D xsi:type="xsd:double"&gt;-5.3782406&lt;/D&gt;&lt;/FQL&gt;&lt;FQL&gt;&lt;Q&gt;ENZL^JULIAN(FMA_DIV_YLD(LTMA,-10AY,0,AM,"PORTAGG","MEANR").DATES)&lt;/Q&gt;&lt;R&gt;121&lt;/R&gt;&lt;C&gt;1&lt;/C&gt;&lt;D xsi:type="xsd:long"&gt;41880&lt;/D&gt;&lt;D xsi:type="xsd:long"&gt;41911&lt;/D&gt;&lt;D xsi:type="xsd:long"&gt;41941&lt;/D&gt;&lt;D xsi:type="xsd:long"&gt;41971&lt;/D&gt;&lt;D xsi:type="xsd:long"&gt;42002&lt;/D&gt;&lt;D xsi:type="xsd:long"&gt;42033&lt;/D&gt;&lt;D xsi:type="xsd:long"&gt;42062&lt;/D&gt;&lt;D xsi:type="xsd:long"&gt;42090&lt;/D&gt;&lt;D xsi:type="xsd:long"&gt;42123&lt;/D&gt;&lt;D xsi:type="xsd:long"&gt;42153&lt;/D&gt;&lt;D xsi:type="xsd:long"&gt;42184&lt;/D&gt;&lt;D xsi:type="xsd:long"&gt;42214&lt;/D&gt;&lt;D xsi:type="xsd:long"&gt;42244&lt;/D&gt;&lt;D xsi:type="xsd:long"&gt;42276&lt;/D&gt;&lt;D xsi:type="xsd:long"&gt;42306&lt;/D&gt;&lt;D xsi:type="xsd:long"&gt;42335&lt;/D&gt;&lt;D xsi:type="xsd:long"&gt;42367&lt;/D&gt;&lt;D xsi:type="xsd:long"&gt;42398&lt;/D&gt;&lt;D xsi:type="xsd:long"&gt;42429&lt;/D&gt;&lt;D xsi:type="xsd:long"&gt;42458&lt;/D&gt;&lt;D xsi:type="xsd:long"&gt;42489&lt;/D&gt;&lt;D xsi:type="xsd:long"&gt;42517&lt;/D&gt;&lt;D xsi:type="xsd:long"&gt;42550&lt;/D&gt;&lt;D xsi:type="xsd:long"&gt;42580&lt;/D&gt;&lt;D xsi:type="xsd:long"&gt;42611&lt;/D&gt;&lt;D xsi:type="xsd:long"&gt;42642&lt;/D&gt;&lt;D xsi:type="xsd:long"&gt;42671&lt;/D&gt;&lt;D xsi:type="xsd:long"&gt;42703&lt;/D&gt;&lt;D xsi:type="xsd:long"&gt;42733&lt;/D&gt;&lt;D xsi:type="xsd:long"&gt;42762&lt;/D&gt;&lt;D xsi:type="xsd:long"&gt;42794&lt;/D&gt;&lt;D xsi:type="xsd:long"&gt;42823&lt;/D&gt;&lt;D xsi:type="xsd:long"&gt;42853&lt;/D&gt;&lt;D xsi:type="xsd:long"&gt;42881&lt;/D&gt;&lt;D xsi:type="xsd:long"&gt;42915&lt;/D&gt;&lt;D xsi:type="xsd:long"&gt;42944&lt;/D&gt;&lt;D xsi:type="xsd:long"&gt;42976&lt;/D&gt;&lt;D xsi:type="xsd:long"&gt;43007&lt;/D&gt;&lt;D xsi:type="xsd:long"&gt;43035&lt;/D&gt;&lt;D xsi:type="xsd:long"&gt;43068&lt;/D&gt;&lt;D xsi:type="xsd:long"&gt;43098&lt;/D&gt;&lt;D xsi:type="xsd:long"&gt;43129&lt;/D&gt;&lt;D xsi:type="xsd:long"&gt;43159&lt;/D&gt;&lt;D xsi:type="xsd:long"&gt;43188&lt;/D&gt;&lt;D xsi:type="xsd:long"&gt;43217&lt;/D&gt;&lt;D xsi:type="xsd:long"&gt;43249&lt;/D&gt;&lt;D xsi:type="xsd:long"&gt;43280&lt;/D&gt;&lt;D xsi:type="xsd:long"&gt;43308&lt;/D&gt;&lt;D xsi:type="xsd:long"&gt;43341&lt;/D&gt;&lt;D xsi:type="xsd:long"&gt;43371&lt;/D&gt;&lt;D xsi:type="xsd:long"&gt;43402&lt;/D&gt;&lt;D xsi:type="xsd:long"&gt;43433&lt;/D&gt;&lt;D xsi:type="xsd:long"&gt;43462&lt;/D&gt;&lt;D xsi:type="xsd:long"&gt;43494&lt;/D&gt;&lt;D xsi:type="xsd:long"&gt;43524&lt;/D&gt;&lt;D xsi:type="xsd:long"&gt;43553&lt;/D&gt;&lt;D xsi:type="xsd:long"&gt;43584&lt;/D&gt;&lt;D xsi:type="xsd:long"&gt;43614&lt;/D&gt;&lt;D xsi:type="xsd:long"&gt;43644&lt;/D&gt;&lt;D xsi:type="xsd:long"&gt;43675&lt;/D&gt;&lt;D xsi:type="xsd:long"&gt;43706&lt;/D&gt;&lt;D xsi:type="xsd:long"&gt;43735&lt;/D&gt;&lt;D xsi:type="xsd:long"&gt;43767&lt;/D&gt;&lt;D xsi:type="xsd:long"&gt;43798&lt;/D&gt;&lt;D xsi:type="xsd:long"&gt;43826&lt;/D&gt;&lt;D xsi:type="xsd:long"&gt;43859&lt;/D&gt;&lt;D xsi:type="xsd:long"&gt;43889&lt;/D&gt;&lt;D xsi:type="xsd:long"&gt;43917&lt;/D&gt;&lt;D xsi:type="xsd:long"&gt;43950&lt;/D&gt;&lt;D xsi:type="xsd:long"&gt;43980&lt;/D&gt;&lt;D xsi:type="xsd:long"&gt;44011&lt;/D&gt;&lt;D xsi:type="xsd:long"&gt;44041&lt;/D&gt;&lt;D xsi:type="xsd:long"&gt;44071&lt;/D&gt;&lt;D xsi:type="xsd:long"&gt;44103&lt;/D&gt;&lt;D xsi:type="xsd:long"&gt;44133&lt;/D&gt;&lt;D xsi:type="xsd:long"&gt;44162&lt;/D&gt;&lt;D xsi:type="xsd:long"&gt;44194&lt;/D&gt;&lt;D xsi:type="xsd:long"&gt;44225&lt;/D&gt;&lt;D xsi:type="xsd:long"&gt;44253&lt;/D&gt;&lt;D xsi:type="xsd:long"&gt;44284&lt;/D&gt;&lt;D xsi:type="xsd:long"&gt;44315&lt;/D&gt;&lt;D xsi:type="xsd:long"&gt;44344&lt;/D&gt;&lt;D xsi:type="xsd:long"&gt;44376&lt;/D&gt;&lt;D xsi:type="xsd:long"&gt;44406&lt;/D&gt;&lt;D xsi:type="xsd:long"&gt;44435&lt;/D&gt;&lt;D xsi:type="xsd:long"&gt;44468&lt;/D&gt;&lt;D xsi:type="xsd:long"&gt;44498&lt;/D&gt;&lt;D xsi:type="xsd:long"&gt;44529&lt;/D&gt;&lt;D xsi:type="xsd:long"&gt;44559&lt;/D&gt;&lt;D xsi:type="xsd:long"&gt;44589&lt;/D&gt;&lt;D xsi:type="xsd:long"&gt;44620&lt;/D&gt;&lt;D xsi:type="xsd:long"&gt;44649&lt;/D&gt;&lt;D xsi:type="xsd:long"&gt;44680&lt;/D&gt;&lt;D xsi:type="xsd:long"&gt;44708&lt;/D&gt;&lt;D xsi:type="xsd:long"&gt;44741&lt;/D&gt;&lt;D xsi:type="xsd:long"&gt;44771&lt;/D&gt;&lt;D xsi:type="xsd:long"&gt;44802&lt;/D&gt;&lt;D xsi:type="xsd:long"&gt;44833&lt;/D&gt;&lt;D xsi:type="xsd:long"&gt;44862&lt;/D&gt;&lt;D xsi:type="xsd:long"&gt;44894&lt;/D&gt;&lt;D xsi:type="xsd:long"&gt;44924&lt;/D&gt;&lt;D xsi:type="xsd:long"&gt;44953&lt;/D&gt;&lt;D xsi:type="xsd:long"&gt;44985&lt;/D&gt;&lt;D xsi:type="xsd:long"&gt;45014&lt;/D&gt;&lt;D xsi:type="xsd:long"&gt;45044&lt;/D&gt;&lt;D xsi:type="xsd:long"&gt;45072&lt;/D&gt;&lt;D xsi:type="xsd:long"&gt;45106&lt;/D&gt;&lt;D xsi:type="xsd:long"&gt;45135&lt;/D&gt;&lt;D xsi:type="xsd:long"&gt;45167&lt;/D&gt;&lt;D xsi:type="xsd:long"&gt;45198&lt;/D&gt;&lt;D xsi:type="xsd:long"&gt;45226&lt;/D&gt;&lt;D xsi:type="xsd:long"&gt;45259&lt;/D&gt;&lt;D xsi:type="xsd:long"&gt;45289&lt;/D&gt;&lt;D xsi:type="xsd:long"&gt;45320&lt;/D&gt;&lt;D xsi:type="xsd:long"&gt;45351&lt;/D&gt;&lt;D xsi:type="xsd:long"&gt;45379&lt;/D&gt;&lt;D xsi:type="xsd:long"&gt;45411&lt;/D&gt;&lt;D xsi:type="xsd:long"&gt;45441&lt;/D&gt;&lt;D xsi:type="xsd:long"&gt;45471&lt;/D&gt;&lt;D xsi:type="xsd:long"&gt;45502&lt;/D&gt;&lt;D xsi:type="xsd:long"&gt;45530&lt;/D&gt;&lt;/FQL&gt;&lt;FQL&gt;&lt;Q&gt;EWN^P_PRICE(0)/P_PRICE_HIGH_PR(0,,,,,,"PRICE","INTRA","52W")&lt;/Q&gt;&lt;R&gt;1&lt;/R&gt;&lt;C&gt;1&lt;/C&gt;&lt;D xsi:type="xsd:double"&gt;0.95210266&lt;/D&gt;&lt;/FQL&gt;&lt;FQL&gt;&lt;Q&gt;TRYFR10Y-FDS^FG_YIELD_NAME&lt;/Q&gt;&lt;R&gt;1&lt;/R&gt;&lt;C&gt;1&lt;/C&gt;&lt;D xsi:type="xsd:string"&gt;France Benchmark Bond - 10 Year&lt;/D&gt;&lt;/FQL&gt;&lt;FQL&gt;&lt;Q&gt;EWU^FMA_EVAL_EBIT(LTMA,NOW,NOW,M,"PORTAGG","MEANR")&lt;/Q&gt;&lt;R&gt;1&lt;/R&gt;&lt;C&gt;1&lt;/C&gt;&lt;D xsi:type="xsd:double"&gt;10.8404104322897&lt;/D&gt;&lt;/FQL&gt;&lt;FQL&gt;&lt;Q&gt;EWD^FG_PRICE_MAVG(0,,,,30)&lt;/Q&gt;&lt;R&gt;1&lt;/R&gt;&lt;C&gt;1&lt;/C&gt;&lt;D xsi:type="xsd:double"&gt;40.025333&lt;/D&gt;&lt;/FQL&gt;&lt;FQL&gt;&lt;Q&gt;EWN^PERCENT_CHANGE(FMA_EPS(+1,0,,,,"PORTAGG","MEAN"),FMA_EPS(+1,-1AM,,,,"PORTAGG","MEAN"))&lt;/Q&gt;&lt;R&gt;1&lt;/R&gt;&lt;C&gt;1&lt;/C&gt;&lt;D xsi:type="xsd:double"&gt;4.80821214329348&lt;/D&gt;&lt;/FQL&gt;&lt;FQL&gt;&lt;Q&gt;EWC^PERCENT_CHANGE(FMA_EPS(+1,0,,,,"PORTAGG","MEAN"),FMA_EPS(+1,-3AM,,,,"PORTAGG","MEAN"))&lt;/Q&gt;&lt;R&gt;1&lt;/R&gt;&lt;C&gt;1&lt;/C&gt;&lt;D xsi:type="xsd:double"&gt;2.14284497058983&lt;/D&gt;&lt;/FQL&gt;&lt;FQL&gt;&lt;Q&gt;USDANG^FG_PRICE_CHANGE(0,-6AM)&lt;/Q&gt;&lt;R&gt;1&lt;/R&gt;&lt;C&gt;1&lt;/C&gt;&lt;D xsi:type="xsd:double"&gt;0&lt;/D&gt;&lt;/FQL&gt;&lt;FQL&gt;&lt;Q&gt;DDR3512M-FDS^FG_PRICE_CHANGE(0,-1AY)&lt;/Q&gt;&lt;R&gt;1&lt;/R&gt;&lt;C&gt;1&lt;/C&gt;&lt;D xsi:type="xsd:double"&gt;-6.80656571828211&lt;/D&gt;&lt;/FQL&gt;&lt;FQL&gt;&lt;Q&gt;EWD^FG_PRICE(0)&lt;/Q&gt;&lt;R&gt;1&lt;/R&gt;&lt;C&gt;1&lt;/C&gt;&lt;D xsi:type="xsd:double"&gt;42.07&lt;/D&gt;&lt;/FQL&gt;&lt;FQL&gt;&lt;Q&gt;EWN^FMA_PCT_ABOVE_MAVG(200,0,,,,"PORTAGG")&lt;/Q&gt;&lt;R&gt;1&lt;/R&gt;&lt;C&gt;1&lt;/C&gt;&lt;D xsi:type="xsd:double"&gt;50.9433962264151&lt;/D&gt;&lt;/FQL&gt;&lt;FQL&gt;&lt;Q&gt;EWC^PERCENT_CHANGE(FMA_EPS(+1,0,,,,"PORTAGG","MEAN"),FMA_EPS(+1,-1AM,,,,"PORTAGG","MEAN"))&lt;/Q&gt;&lt;R&gt;1&lt;/R&gt;&lt;C&gt;1&lt;/C&gt;&lt;D xsi:type="xsd:double"&gt;3.73126981600836&lt;/D&gt;&lt;/FQL&gt;&lt;FQL&gt;&lt;Q&gt;VGK^FG_PE_NTM(0,,,90,0)&lt;/Q&gt;&lt;R&gt;1&lt;/R&gt;&lt;C&gt;1&lt;/C&gt;&lt;D xsi:type="xsd:double"&gt;13.3861639182105&lt;/D&gt;&lt;/FQL&gt;&lt;FQL&gt;&lt;Q&gt;EWQ^FMA_EPS(NTMA,-20AY,0,CY,,"PORTAGG","MEANR")&lt;/Q&gt;&lt;R&gt;20&lt;/R&gt;&lt;C&gt;1&lt;/C&gt;&lt;D xsi:type="xsd:double"&gt;2.02293794620879&lt;/D&gt;&lt;D xsi:type="xsd:double"&gt;2.09338204215347&lt;/D&gt;&lt;D xsi:type="xsd:double"&gt;2.69740018358616&lt;/D&gt;&lt;D xsi:type="xsd:double"&gt;3.1669085058651&lt;/D&gt;&lt;D xsi:type="xsd:double"&gt;2.36664992614361&lt;/D&gt;&lt;D xsi:type="xsd:double"&gt;2.07401175960449&lt;/D&gt;&lt;D xsi:type="xsd:double"&gt;2.36258917800502&lt;/D&gt;&lt;D xsi:type="xsd:double"&gt;2.15605314606315&lt;/D&gt;&lt;D xsi:type="xsd:double"&gt;2.15764377090538&lt;/D&gt;&lt;D xsi:type="xsd:double"&gt;2.15768724966229&lt;/D&gt;&lt;D xsi:type="xsd:double"&gt;1.78907537429816&lt;/D&gt;&lt;D xsi:type="xsd:double"&gt;1.66363137331966&lt;/D&gt;&lt;D xsi:type="xsd:double"&gt;1.69319582409989&lt;/D&gt;&lt;D xsi:type="xsd:double"&gt;2.10907755629154&lt;/D&gt;&lt;D xsi:type="xsd:double"&gt;2.23155948612122&lt;/D&gt;&lt;D xsi:type="xsd:double"&gt;2.19705970688086&lt;/D&gt;&lt;D xsi:type="xsd:double"&gt;1.85109750447789&lt;/D&gt;&lt;D xsi:type="xsd:double"&gt;2.46081748750493&lt;/D&gt;&lt;D xsi:type="xsd:double"&gt;2.8026651908005&lt;/D&gt;&lt;D xsi:type="xsd:double"&gt;2.92070467991761&lt;/D&gt;&lt;/FQL&gt;&lt;FQL&gt;&lt;Q&gt;FXI^FG_TOTAL_RETURNC(0,-1AM)&lt;/Q&gt;&lt;R&gt;1&lt;/R&gt;&lt;C&gt;1&lt;/C&gt;&lt;D xsi:type="xsd:double"&gt;3.012526&lt;/D&gt;&lt;/FQL&gt;&lt;FQL&gt;&lt;Q&gt;EWJ^FMA_DIV_YLD(NTMA,NOW,NOW,M,"PORTAGG","MEANR")&lt;/Q&gt;&lt;R&gt;1&lt;/R&gt;&lt;C&gt;1&lt;/C&gt;&lt;D xsi:type="xsd:double"&gt;2.40927940416505&lt;/D&gt;&lt;/FQL&gt;&lt;FQL&gt;&lt;Q&gt;UUP^FG_TOTAL_RETURNC(0,-6AM)&lt;/Q&gt;&lt;R&gt;1&lt;/R&gt;&lt;C&gt;1&lt;/C&gt;&lt;D xsi:type="xsd:double"&gt;0.3559947&lt;/D&gt;&lt;/FQL&gt;&lt;FQL&gt;&lt;Q&gt;USDANG^FG_COMPANY_NAME&lt;/Q&gt;&lt;R&gt;1&lt;/R&gt;&lt;C&gt;1&lt;/C&gt;&lt;D xsi:type="xsd:string"&gt;Netherlands Antilles Guilder per U.S. Dollar&lt;/D&gt;&lt;/FQL&gt;&lt;FQL&gt;&lt;Q&gt;EWQ^P_PRICE(0)/P_PRICE_LOW_PR(0,,,,,,"PRICE","INTRA","52W")-1&lt;/Q&gt;&lt;R&gt;1&lt;/R&gt;&lt;C&gt;1&lt;/C&gt;&lt;D xsi:type="xsd:double"&gt;0.18330371&lt;/D&gt;&lt;/FQL&gt;&lt;FQL&gt;&lt;Q&gt;DDR3512M-FDS^FG_PRICE_CHANGE(0,-3AM)&lt;/Q&gt;&lt;R&gt;1&lt;/R&gt;&lt;C&gt;1&lt;/C&gt;&lt;D xsi:type="xsd:double"&gt;-7.46402071159002&lt;/D&gt;&lt;/FQL&gt;&lt;FQL&gt;&lt;Q&gt;EWA^P_PRICE(0)/P_PRICE_LOW_PR(0,,,,,,"PRICE","INTRA","52W")-1&lt;/Q&gt;&lt;R&gt;1&lt;/R&gt;&lt;C&gt;1&lt;/C&gt;&lt;D xsi:type="xsd:double"&gt;0.273216&lt;/D&gt;&lt;/FQL&gt;&lt;FQL&gt;&lt;Q&gt;VGK^JULIAN(FMA_DIV_YLD(NTMA,NOW,NOW,M,"PORTAGG","MEANR").DATES)&lt;/Q&gt;&lt;R&gt;1&lt;/R&gt;&lt;C&gt;1&lt;/C&gt;&lt;D xsi:type="xsd:long"&gt;45504&lt;/D&gt;&lt;/FQL&gt;&lt;FQL&gt;&lt;Q&gt;WL-FDS^FG_PRICE_CHANGE(0,-1AY)&lt;/Q&gt;&lt;R&gt;1&lt;/R&gt;&lt;C&gt;1&lt;/C&gt;&lt;D xsi:type="xsd:double"&gt;-23.1342254104014&lt;/D&gt;&lt;/FQL&gt;&lt;FQL&gt;&lt;Q&gt;FXI^FMA_PCT_ABOVE_MAVG(200,0,,,,"PORTAGG")&lt;/Q&gt;&lt;R&gt;1&lt;/R&gt;&lt;C&gt;1&lt;/C&gt;&lt;D xsi:type="xsd:double"&gt;62.7450980392157&lt;/D&gt;&lt;/FQL&gt;&lt;FQL&gt;&lt;Q&gt;TRYCH10Y-FDS^PCTCHG(FG_YIELD(0,,,,"YTM"),FG_YIELD(-3AM,,,,"YTM"))&lt;/Q&gt;&lt;R&gt;1&lt;/R&gt;&lt;C&gt;1&lt;/C&gt;&lt;D xsi:type="xsd:double"&gt;-50.68493&lt;/D&gt;&lt;/FQL&gt;&lt;FQL&gt;&lt;Q&gt;EWG^FMA_EPS(NTMA,-20AY,0,CY,,"PORTAGG","MEANR")&lt;/Q&gt;&lt;R&gt;20&lt;/R&gt;&lt;C&gt;1&lt;/C&gt;&lt;D xsi:type="xsd:double"&gt;1.52066411043583&lt;/D&gt;&lt;D xsi:type="xsd:double"&gt;1.60643474084628&lt;/D&gt;&lt;D xsi:type="xsd:double"&gt;2.11909900762238&lt;/D&gt;&lt;D xsi:type="xsd:double"&gt;2.80661608339197&lt;/D&gt;&lt;D xsi:type="xsd:double"&gt;1.99715132688841&lt;/D&gt;&lt;D xsi:type="xsd:double"&gt;1.74300870329695&lt;/D&gt;&lt;D xsi:type="xsd:double"&gt;2.17390808983831&lt;/D&gt;&lt;D xsi:type="xsd:double"&gt;2.1750966873774&lt;/D&gt;&lt;D xsi:type="xsd:double"&gt;2.27358500860511&lt;/D&gt;&lt;D xsi:type="xsd:double"&gt;2.40616014173578&lt;/D&gt;&lt;D xsi:type="xsd:double"&gt;2.13415894814862&lt;/D&gt;&lt;D xsi:type="xsd:double"&gt;1.96165601541568&lt;/D&gt;&lt;D xsi:type="xsd:double"&gt;1.94158660997406&lt;/D&gt;&lt;D xsi:type="xsd:double"&gt;2.40362877806351&lt;/D&gt;&lt;D xsi:type="xsd:double"&gt;2.32116072306873&lt;/D&gt;&lt;D xsi:type="xsd:double"&gt;2.08815829612982&lt;/D&gt;&lt;D xsi:type="xsd:double"&gt;1.98003612030208&lt;/D&gt;&lt;D xsi:type="xsd:double"&gt;2.44944590598376&lt;/D&gt;&lt;D xsi:type="xsd:double"&gt;2.36386839889078&lt;/D&gt;&lt;D xsi:type="xsd:double"&gt;2.65638349123077&lt;/D&gt;&lt;/FQL&gt;&lt;FQL&gt;&lt;Q&gt;EWJ^FG_PRICE_MAVG(0,,,,200)&lt;/Q&gt;&lt;R&gt;1&lt;/R&gt;&lt;C&gt;1&lt;/C&gt;&lt;D xsi:type="xsd:double"&gt;67.39105&lt;/D&gt;&lt;/FQL&gt;&lt;FQL&gt;&lt;Q&gt;EWI^FMA_EVAL_EBIT(LTMA,NOW,NOW,M,"PORTAGG","MEANR")&lt;/Q&gt;&lt;R&gt;1&lt;/R&gt;&lt;C&gt;1&lt;/C&gt;&lt;D xsi:type="xsd:double"&gt;11.273514592503&lt;/D&gt;&lt;/FQL&gt;&lt;FQL&gt;&lt;Q&gt;EWG^FMA_DIV_YLD(NTMA,NOW,NOW,M,"PORTAGG","MEANR")&lt;/Q&gt;&lt;R&gt;1&lt;/R&gt;&lt;C&gt;1&lt;/C&gt;&lt;D xsi:type="xsd:double"&gt;3.37341654193881&lt;/D&gt;&lt;/FQL&gt;&lt;FQL&gt;&lt;Q&gt;WL-FDS^FG_PRICE_CHANGE(0,-6AM)&lt;/Q&gt;&lt;R&gt;1&lt;/R&gt;&lt;C&gt;1&lt;/C&gt;&lt;D xsi:type="xsd:double"&gt;-9.41310356039667&lt;/D&gt;&lt;/FQL&gt;&lt;FQL&gt;&lt;Q&gt;EWQ^FG_TOTAL_RETURNC(0,-1AM)&lt;/Q&gt;&lt;R&gt;1&lt;/R&gt;&lt;C&gt;1&lt;/C&gt;&lt;D xsi:type="xsd:double"&gt;4.212451&lt;/D&gt;&lt;/FQL&gt;&lt;FQL&gt;&lt;Q&gt;EWC^FMA_EPS(NTMA,-20AY,0,CY,,"PORTAGG","MEANR")&lt;/Q&gt;&lt;R&gt;20&lt;/R&gt;&lt;C&gt;1&lt;/C&gt;&lt;D xsi:type="xsd:double"&gt;1.20309203563583&lt;/D&gt;&lt;D xsi:type="xsd:double"&gt;1.51116357259943&lt;/D&gt;&lt;D xsi:type="xsd:double"&gt;1.75142389864603&lt;/D&gt;&lt;D xsi:type="xsd:double"&gt;2.13167450038286&lt;/D&gt;&lt;D xsi:type="xsd:double"&gt;1.71974218387406&lt;/D&gt;&lt;D xsi:type="xsd:double"&gt;1.79551827424964&lt;/D&gt;&lt;D xsi:type="xsd:double"&gt;2.09754276006241&lt;/D&gt;&lt;D xsi:type="xsd:double"&gt;2.2894893869441&lt;/D&gt;&lt;D xsi:type="xsd:double"&gt;2.21761530023934&lt;/D&gt;&lt;D xsi:type="xsd:double"&gt;2.02017545762442&lt;/D&gt;&lt;D xsi:type="xsd:double"&gt;1.86130476812284&lt;/D&gt;&lt;D xsi:type="xsd:double"&gt;1.52246252495242&lt;/D&gt;&lt;D xsi:type="xsd:double"&gt;1.66157074539786&lt;/D&gt;&lt;D xsi:type="xsd:double"&gt;1.86172454535832&lt;/D&gt;&lt;D xsi:type="xsd:double"&gt;1.97740509819126&lt;/D&gt;&lt;D xsi:type="xsd:double"&gt;2.07393921799229&lt;/D&gt;&lt;D xsi:type="xsd:double"&gt;1.95784087398727&lt;/D&gt;&lt;D xsi:type="xsd:double"&gt;2.66448337817763&lt;/D&gt;&lt;D xsi:type="xsd:double"&gt;2.74920456102042&lt;/D&gt;&lt;D xsi:type="xsd:double"&gt;2.68301216298059&lt;/D&gt;&lt;/FQL&gt;&lt;FQL&gt;&lt;Q&gt;EWJ^FG_PRICE_MAVG(0,,,,60)&lt;/Q&gt;&lt;R&gt;1&lt;/R&gt;&lt;C&gt;1&lt;/C&gt;&lt;D xsi:type="xsd:double"&gt;68.6935&lt;/D&gt;&lt;/FQL&gt;&lt;FQL&gt;&lt;Q&gt;EWA^PERCENT_CHANGE(FMA_EPS(+1,0,,,,"PORTAGG","MEAN"),FMA_EPS(+1,-3AM,,,,"PORTAGG","MEAN"))&lt;/Q&gt;&lt;R&gt;1&lt;/R&gt;&lt;C&gt;1&lt;/C&gt;&lt;D xsi:type="xsd:double"&gt;-1.64875384862388&lt;/D&gt;&lt;/FQL&gt;&lt;FQL&gt;&lt;Q&gt;TRYCA10Y-FDS^PCTCHG(FG_YIELD(0,,,,"YTM"),FG_YIELD(-3AM,,,,"YTM"))&lt;/Q&gt;&lt;R&gt;1&lt;/R&gt;&lt;C&gt;1&lt;/C&gt;&lt;D xsi:type="xsd:double"&gt;-16.746964&lt;/D&gt;&lt;/FQL&gt;&lt;FQL&gt;&lt;Q&gt;EWG^FMA_PE(NTMA,0,,,"PORTAGG","MEANR")&lt;/Q&gt;&lt;R&gt;1&lt;/R&gt;&lt;C&gt;1&lt;/C&gt;&lt;D xsi:type="xsd:double"&gt;11.9030285004895&lt;/D&gt;&lt;/FQL&gt;&lt;FQL&gt;&lt;Q&gt;TRYZA10Y-FDS^JULIAN(FG_YIELD(-10AY,0,CY,,"YTM").DATES)&lt;/Q&gt;&lt;R&gt;10&lt;/R&gt;&lt;C&gt;1&lt;/C&gt;&lt;D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xsi:type="xsd:long"&gt;45289&lt;/D&gt;&lt;/FQL&gt;&lt;FQL&gt;&lt;Q&gt;URTH^FG_TOTAL_RETURNC(0,-3AM)&lt;/Q&gt;&lt;R&gt;1&lt;/R&gt;&lt;C&gt;1&lt;/C&gt;&lt;D xsi:type="xsd:double"&gt;6.4813375&lt;/D&gt;&lt;/FQL&gt;&lt;FQL&gt;&lt;Q&gt;EWQ^PERCENT_CHANGE(FMA_EPS(+1,0,,,,"PORTAGG","MEAN"),FMA_EPS(+1,-3AM,,,,"PORTAGG","MEAN"))&lt;/Q&gt;&lt;R&gt;1&lt;/R&gt;&lt;C&gt;1&lt;/C&gt;&lt;D xsi:type="xsd:double"&gt;-2.23496746471884&lt;/D&gt;&lt;/FQL&gt;&lt;FQL&gt;&lt;Q&gt;REFSEREPO-FDS^FG_YIELD(NOW,,,0)&lt;/Q&gt;&lt;R&gt;1&lt;/R&gt;&lt;C&gt;1&lt;/C&gt;&lt;D xsi:type="xsd:double"&gt;3.5&lt;/D&gt;&lt;/FQL&gt;&lt;FQL&gt;&lt;Q&gt;EWI^FG_FCF_YIELD_NTM(0)&lt;/Q&gt;&lt;R&gt;1&lt;/R&gt;&lt;C&gt;1&lt;/C&gt;&lt;D xsi:type="xsd:double"&gt;5.53629189196255&lt;/D&gt;&lt;/FQL&gt;&lt;FQL&gt;&lt;Q&gt;EWC^FG_PRICE_MAVG(0,,,,60)&lt;/Q&gt;&lt;R&gt;1&lt;/R&gt;&lt;C&gt;1&lt;/C&gt;&lt;D xsi:type="xsd:double"&gt;38.0575&lt;/D&gt;&lt;/FQL&gt;&lt;FQL&gt;&lt;Q&gt;ENZL^FG_TOTAL_RETURNC(0,-12AM)&lt;/Q&gt;&lt;R&gt;1&lt;/R&gt;&lt;C&gt;1&lt;/C&gt;&lt;D xsi:type="xsd:double"&gt;9.774804&lt;/D&gt;&lt;/FQL&gt;&lt;FQL&gt;&lt;Q&gt;USDGBP^FG_COMPANY_NAME&lt;/Q&gt;&lt;R&gt;1&lt;/R&gt;&lt;C&gt;1&lt;/C&gt;&lt;D xsi:type="xsd:string"&gt;British Pounds per U.S. Dollar&lt;/D&gt;&lt;/FQL&gt;&lt;FQL&gt;&lt;Q&gt;EWA^JULIAN(FMA_EPS(NTMA,-20AY,0,CY,,"PORTAGG","MEANR").DATES)&lt;/Q&gt;&lt;R&gt;20&lt;/R&gt;&lt;C&gt;1&lt;/C&gt;&lt;D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xsi:type="xsd:long"&gt;45289&lt;/D&gt;&lt;/FQL&gt;&lt;FQL&gt;&lt;Q&gt;WL-FDS^FG_PRICE(0)&lt;/Q&gt;&lt;R&gt;1&lt;/R&gt;&lt;C&gt;1&lt;/C&gt;&lt;D xsi:type="xsd:double"&gt;557.2&lt;/D&gt;&lt;/FQL&gt;&lt;FQL&gt;&lt;Q&gt;EWI^FMA_DIV_YLD(NTMA,NOW,NOW,M,"PORTAGG","MEANR")&lt;/Q&gt;&lt;R&gt;1&lt;/R&gt;&lt;C&gt;1&lt;/C&gt;&lt;D xsi:type="xsd:double"&gt;5.34971634812909&lt;/D&gt;&lt;/FQL&gt;&lt;FQL&gt;&lt;Q&gt;DUMMY^ECON_DATE(45503,,, 'MM/YYYY')&lt;/Q&gt;&lt;R&gt;1&lt;/R&gt;&lt;C&gt;1&lt;/C&gt;&lt;D xsi:type="xsd:string"&gt;07/2024&lt;/D&gt;&lt;/FQL&gt;&lt;FQL&gt;&lt;Q&gt;DUMMY^ECON_DATE(45412,,, 'MM/YYYY')&lt;/Q&gt;&lt;R&gt;1&lt;/R&gt;&lt;C&gt;1&lt;/C&gt;&lt;D xsi:type="xsd:string"&gt;04/2024&lt;/D&gt;&lt;/FQL&gt;&lt;FQL&gt;&lt;Q&gt;DUMMY^ECON_EXPR_DATA('FDS_ECON[NTCPMIMFGSA@NZ]',07/2024,,Q)&lt;/Q&gt;&lt;R&gt;1&lt;/R&gt;&lt;C&gt;1&lt;/C&gt;&lt;D xsi:type="xsd:double"&gt;45.437874&lt;/D&gt;&lt;/FQL&gt;&lt;FQL&gt;&lt;Q&gt;DUMMY^ECON_EXPR_DATA('FDS_ECON[NTCPMIMFGSA@NZ]',04/2024,,Q)&lt;/Q&gt;&lt;R&gt;1&lt;/R&gt;&lt;C&gt;1&lt;/C&gt;&lt;D xsi:type="xsd:double"&gt;47.78823&lt;/D&gt;&lt;/FQL&gt;&lt;FQL&gt;&lt;Q&gt;DUMMY^ECON_EXPR_DATA('FDS_ECON[NTCPMIMFGSA@AU]',07/2024,,Q)&lt;/Q&gt;&lt;R&gt;1&lt;/R&gt;&lt;C&gt;1&lt;/C&gt;&lt;D xsi:type="xsd:double"&gt;48.811333&lt;/D&gt;&lt;/FQL&gt;&lt;FQL&gt;&lt;Q&gt;DUMMY^ECON_EXPR_DATA('FDS_ECON[NTCPMIMFGSA@AU]',04/2024,,Q)&lt;/Q&gt;&lt;R&gt;1&lt;/R&gt;&lt;C&gt;1&lt;/C&gt;&lt;D xsi:type="xsd:double"&gt;48.39547&lt;/D&gt;&lt;/FQL&gt;&lt;FQL&gt;&lt;Q&gt;DUMMY^ECON_EXPR_DATA('FDS_ECON[NTCPMIMFGSA@CA]',07/2024,,Q)&lt;/Q&gt;&lt;R&gt;1&lt;/R&gt;&lt;C&gt;1&lt;/C&gt;&lt;D xsi:type="xsd:double"&gt;49.331886&lt;/D&gt;&lt;/FQL&gt;&lt;FQL&gt;&lt;Q&gt;DUMMY^ECON_EXPR_DATA('FDS_ECON[NTCPMIMFGSA@CA]',04/2024,,Q)&lt;/Q&gt;&lt;R&gt;1&lt;/R&gt;&lt;C&gt;1&lt;/C&gt;&lt;D xsi:type="xsd:double"&gt;49.30091&lt;/D&gt;&lt;/FQL&gt;&lt;FQL&gt;&lt;Q&gt;DUMMY^ECON_EXPR_DATA('FDS_ECON[NTCPMIMFGSA@DE]',07/2024,,Q)&lt;/Q&gt;&lt;R&gt;1&lt;/R&gt;&lt;C&gt;1&lt;/C&gt;&lt;D xsi:type="xsd:double"&gt;43.782&lt;/D&gt;&lt;/FQL&gt;&lt;FQL&gt;&lt;Q&gt;DUMMY^ECON_EXPR_DATA('FDS_ECON[NTCPMIMFGSA@DE]',04/2024,,Q)&lt;/Q&gt;&lt;R&gt;1&lt;/R&gt;&lt;C&gt;1&lt;/C&gt;&lt;D xsi:type="xsd:double"&gt;43.319096&lt;/D&gt;&lt;/FQL&gt;&lt;FQL&gt;&lt;Q&gt;DUMMY^ECON_EXPR_DATA('FDS_ECON[NTCPMIMFGSA@JP]',07/2024,,Q)&lt;/Q&gt;&lt;R&gt;1&lt;/R&gt;&lt;C&gt;1&lt;/C&gt;&lt;D xsi:type="xsd:double"&gt;49.991356&lt;/D&gt;&lt;/FQL&gt;&lt;FQL&gt;&lt;Q&gt;DUMMY^ECON_EXPR_DATA('FDS_ECON[NTCPMIMFGSA@JP]',04/2024,,Q)&lt;/Q&gt;&lt;R&gt;1&lt;/R&gt;&lt;C&gt;1&lt;/C&gt;&lt;D xsi:type="xsd:double"&gt;47.808857&lt;/D&gt;&lt;/FQL&gt;&lt;FQL&gt;&lt;Q&gt;DUMMY^ECON_EXPR_DATA('FDS_ECON[NTCPMIMFGSA@CH]',07/2024,,Q)&lt;/Q&gt;&lt;R&gt;1&lt;/R&gt;&lt;C&gt;1&lt;/C&gt;&lt;D xsi:type="xsd:double"&gt;43.896877&lt;/D&gt;&lt;/FQL&gt;&lt;FQL&gt;&lt;Q&gt;DUMMY^ECON_EXPR_DATA('FDS_ECON[NTCPMIMFGSA@CH]',04/2024,,Q)&lt;/Q&gt;&lt;R&gt;1&lt;/R&gt;&lt;C&gt;1&lt;/C&gt;&lt;D xsi:type="xsd:double"&gt;44.08605&lt;/D&gt;&lt;/FQL&gt;&lt;FQL&gt;&lt;Q&gt;DUMMY^ECON_EXPR_DATA('FDS_ECON[NTCPMIMFGSA@GB]',07/2024,,Q)&lt;/Q&gt;&lt;R&gt;1&lt;/R&gt;&lt;C&gt;1&lt;/C&gt;&lt;D xsi:type="xsd:double"&gt;50.395269999999996&lt;/D&gt;&lt;/FQL&gt;&lt;FQL&gt;&lt;Q&gt;DUMMY^ECON_EXPR_DATA('FDS_ECON[NTCPMIMFGSA@GB]',04/2024,,Q)&lt;/Q&gt;&lt;R&gt;1&lt;/R&gt;&lt;C&gt;1&lt;/C&gt;&lt;D xsi:type="xsd:double"&gt;48.24796&lt;/D&gt;&lt;/FQL&gt;&lt;FQL&gt;&lt;Q&gt;DUMMY^ECON_EXPR_DATA('FDS_ECON[NTCPMIMFGMESA@US]',07/2024,,Q)&lt;/Q&gt;&lt;R&gt;1&lt;/R&gt;&lt;C&gt;1&lt;/C&gt;&lt;D xsi:type="xsd:double"&gt;50.939392&lt;/D&gt;&lt;/FQL&gt;&lt;FQL&gt;&lt;Q&gt;DUMMY^ECON_EXPR_DATA('FDS_ECON[NTCPMIMFGMESA@US]',04/2024,,Q)&lt;/Q&gt;&lt;R&gt;1&lt;/R&gt;&lt;C&gt;1&lt;/C&gt;&lt;D xsi:type="xsd:double"&gt;51.582687&lt;/D&gt;&lt;/FQL&gt;&lt;FQL&gt;&lt;Q&gt;DUMMY^ECON_EXPR_DATA('FDS_ECON[NTCPMIMFGSA@FR]',07/2024,,Q)&lt;/Q&gt;&lt;R&gt;1&lt;/R&gt;&lt;C&gt;1&lt;/C&gt;&lt;D xsi:type="xsd:double"&gt;45.684513&lt;/D&gt;&lt;/FQL&gt;&lt;FQL&gt;&lt;Q&gt;DUMMY^ECON_EXPR_DATA('FDS_ECON[NTCPMIMFGSA@FR]',04/2024,,Q)&lt;/Q&gt;&lt;R&gt;1&lt;/R&gt;&lt;C&gt;1&lt;/C&gt;&lt;D xsi:type="xsd:double"&gt;45.498753&lt;/D&gt;&lt;/FQL&gt;&lt;FQL&gt;&lt;Q&gt;DUMMY^ECON_EXPR_DATA('FDS_ECON[NTCPMIMFGSA@NL]',07/2024,,Q)&lt;/Q&gt;&lt;R&gt;1&lt;/R&gt;&lt;C&gt;1&lt;/C&gt;&lt;D xsi:type="xsd:double"&gt;51.49388&lt;/D&gt;&lt;/FQL&gt;&lt;FQL&gt;&lt;Q&gt;DUMMY^ECON_EXPR_DATA('FDS_ECON[NTCPMIMFGSA@NL]',04/2024,,Q)&lt;/Q&gt;&lt;R&gt;1&lt;/R&gt;&lt;C&gt;1&lt;/C&gt;&lt;D xsi:type="xsd:double"&gt;49.325874&lt;/D&gt;&lt;/FQL&gt;&lt;FQL&gt;&lt;Q&gt;DUMMY^ECON_EXPR_DATA('FDS_ECON[]',07/2024,,Q)&lt;/Q&gt;&lt;R&gt;0&lt;/R&gt;&lt;C&gt;0&lt;/C&gt;&lt;/FQL&gt;&lt;FQL&gt;&lt;Q&gt;DUMMY^ECON_EXPR_DATA('FDS_ECON[]',04/2024,,Q)&lt;/Q&gt;&lt;R&gt;0&lt;/R&gt;&lt;C&gt;0&lt;/C&gt;&lt;/FQL&gt;&lt;FQL&gt;&lt;Q&gt;DUMMY^ECON_EXPR_DATA('FDS_ECON[NTCPMIMFGSA@IT]',07/2024,,Q)&lt;/Q&gt;&lt;R&gt;1&lt;/R&gt;&lt;C&gt;1&lt;/C&gt;&lt;D xsi:type="xsd:double"&gt;46.215786&lt;/D&gt;&lt;/FQL&gt;&lt;FQL&gt;&lt;Q&gt;DUMMY^ECON_EXPR_DATA('FDS_ECON[NTCPMIMFGSA@IT]',04/2024,,Q)&lt;/Q&gt;&lt;R&gt;1&lt;/R&gt;&lt;C&gt;1&lt;/C&gt;&lt;D xsi:type="xsd:double"&gt;49.208153&lt;/D&gt;&lt;/FQL&gt;&lt;FQL&gt;&lt;Q&gt;DUMMY^ECON_EXPR_DATA('FDS_ECON[PMIDMMANHE]',07/2024,,Q)&lt;/Q&gt;&lt;R&gt;1&lt;/R&gt;&lt;C&gt;1&lt;/C&gt;&lt;D xsi:type="xsd:double"&gt;49.418633&lt;/D&gt;&lt;/FQL&gt;&lt;FQL&gt;&lt;Q&gt;DUMMY^ECON_EXPR_DATA('FDS_ECON[PMIDMMANHE]',04/2024,,Q)&lt;/Q&gt;&lt;R&gt;1&lt;/R&gt;&lt;C&gt;1&lt;/C&gt;&lt;D xsi:type="xsd:double"&gt;49.13539&lt;/D&gt;&lt;/FQL&gt;&lt;FQL&gt;&lt;Q&gt;DUMMY^ECON_EXPR_DATA('FDS_ECON[NTCPMIMFGSA@EME]',07/2024,,Q)&lt;/Q&gt;&lt;R&gt;1&lt;/R&gt;&lt;C&gt;1&lt;/C&gt;&lt;D xsi:type="xsd:double"&gt;52.007824&lt;/D&gt;&lt;/FQL&gt;&lt;FQL&gt;&lt;Q&gt;DUMMY^ECON_EXPR_DATA('FDS_ECON[NTCPMIMFGSA@EME]',04/2024,,Q)&lt;/Q&gt;&lt;R&gt;1&lt;/R&gt;&lt;C&gt;1&lt;/C&gt;&lt;D xsi:type="xsd:double"&gt;51.519516&lt;/D&gt;&lt;/FQL&gt;&lt;/Schema&gt;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<sst xmlns="http://schemas.openxmlformats.org/spreadsheetml/2006/main" count="2053" uniqueCount="915">
  <si>
    <t>ETF name</t>
  </si>
  <si>
    <t>SPY</t>
  </si>
  <si>
    <t>PE trailing</t>
  </si>
  <si>
    <t>PE forward</t>
  </si>
  <si>
    <t>3 month return</t>
  </si>
  <si>
    <t>6 month return</t>
  </si>
  <si>
    <t>VWO</t>
  </si>
  <si>
    <t>EWW</t>
  </si>
  <si>
    <t>FCF yield</t>
  </si>
  <si>
    <t>Price / 52 week high</t>
  </si>
  <si>
    <t>Liquidity</t>
  </si>
  <si>
    <t>EWG</t>
  </si>
  <si>
    <t>EWZ</t>
  </si>
  <si>
    <t>This sheet contains FactSet XML data for use with this workbook's =FDS codes.  Modifying the worksheet's contents may damage the workbook's =FDS functionality.</t>
  </si>
  <si>
    <t>TRYUS10Y-FDS</t>
  </si>
  <si>
    <t>TRYMX10Y-FDS</t>
  </si>
  <si>
    <t>Number of companies with downward revisions (1 month)</t>
  </si>
  <si>
    <t>TRYCN10Y-FDS</t>
  </si>
  <si>
    <t>TRYIN10Y-FDS</t>
  </si>
  <si>
    <t>TRYDE10Y-FDS</t>
  </si>
  <si>
    <t>TRYBR10Y-FDS</t>
  </si>
  <si>
    <t>EWY</t>
  </si>
  <si>
    <t>EZA</t>
  </si>
  <si>
    <t>EPOL</t>
  </si>
  <si>
    <t>EWT</t>
  </si>
  <si>
    <t>TUR</t>
  </si>
  <si>
    <t>MCHI</t>
  </si>
  <si>
    <t>ECH</t>
  </si>
  <si>
    <t>GREK</t>
  </si>
  <si>
    <t>EPU</t>
  </si>
  <si>
    <t>EPHE</t>
  </si>
  <si>
    <t>QAT</t>
  </si>
  <si>
    <t>INDA</t>
  </si>
  <si>
    <t>EWM</t>
  </si>
  <si>
    <t>UAE</t>
  </si>
  <si>
    <t>EIDO</t>
  </si>
  <si>
    <t>KSA</t>
  </si>
  <si>
    <t>VNM</t>
  </si>
  <si>
    <t>iShares MSCI South Korea ETF</t>
  </si>
  <si>
    <t>iShares MSCI Germany ETF</t>
  </si>
  <si>
    <t>iShares MSCI Taiwan ETF</t>
  </si>
  <si>
    <t>iShares MSCI China ETF</t>
  </si>
  <si>
    <t>EWL</t>
  </si>
  <si>
    <t>iShares MSCI Switzerland ETF</t>
  </si>
  <si>
    <t>EWA</t>
  </si>
  <si>
    <t>iShares MSCI Australia ETF</t>
  </si>
  <si>
    <t>EWJ</t>
  </si>
  <si>
    <t>iShares MSCI Japan ETF</t>
  </si>
  <si>
    <t>EWU</t>
  </si>
  <si>
    <t>EWC</t>
  </si>
  <si>
    <t>iShares MSCI Canada ETF</t>
  </si>
  <si>
    <t>QQQ</t>
  </si>
  <si>
    <t>iShares Trust - iShares MSCI India ETF</t>
  </si>
  <si>
    <t>iShares MSCI Mexico ETF</t>
  </si>
  <si>
    <t>iShares MSCI Brazil ETF</t>
  </si>
  <si>
    <t>Momnetum</t>
  </si>
  <si>
    <t xml:space="preserve"> 3month</t>
  </si>
  <si>
    <t>6 month</t>
  </si>
  <si>
    <t>Contra momentum</t>
  </si>
  <si>
    <t>12 month percentile</t>
  </si>
  <si>
    <t>Value</t>
  </si>
  <si>
    <t>Price</t>
  </si>
  <si>
    <t>Upgardes</t>
  </si>
  <si>
    <t>1 month%</t>
  </si>
  <si>
    <t>3 month%</t>
  </si>
  <si>
    <t>% of times Index drwdown more than</t>
  </si>
  <si>
    <t xml:space="preserve">Number of companies </t>
  </si>
  <si>
    <t>EV/EBITDA</t>
  </si>
  <si>
    <t>% of Fund/Index above moving average</t>
  </si>
  <si>
    <t>Downgrades</t>
  </si>
  <si>
    <t>Breadth</t>
  </si>
  <si>
    <t>6 month rank</t>
  </si>
  <si>
    <t>12 month return</t>
  </si>
  <si>
    <t>% of index above 200D</t>
  </si>
  <si>
    <t>Total Momentum</t>
  </si>
  <si>
    <t>Index breadth</t>
  </si>
  <si>
    <t>upgardes %</t>
  </si>
  <si>
    <t>U/D</t>
  </si>
  <si>
    <t>Revison</t>
  </si>
  <si>
    <t>Upgrades</t>
  </si>
  <si>
    <t>Revsion</t>
  </si>
  <si>
    <t>% of model</t>
  </si>
  <si>
    <t>weights</t>
  </si>
  <si>
    <t>Score</t>
  </si>
  <si>
    <t>Diffusiion</t>
  </si>
  <si>
    <t>Worst</t>
  </si>
  <si>
    <t>Count</t>
  </si>
  <si>
    <t>times darwdown</t>
  </si>
  <si>
    <t>%</t>
  </si>
  <si>
    <t xml:space="preserve">Freq </t>
  </si>
  <si>
    <t>Growth</t>
  </si>
  <si>
    <t>Min</t>
  </si>
  <si>
    <t>Max</t>
  </si>
  <si>
    <t>Current percentile</t>
  </si>
  <si>
    <t>12 month return -prentile</t>
  </si>
  <si>
    <t>1  month return percentile</t>
  </si>
  <si>
    <t>Country Code</t>
  </si>
  <si>
    <t>10Y Treasury</t>
  </si>
  <si>
    <t>Yield Name</t>
  </si>
  <si>
    <t>ZA</t>
  </si>
  <si>
    <t>PL</t>
  </si>
  <si>
    <t>KR</t>
  </si>
  <si>
    <t>DE</t>
  </si>
  <si>
    <t>TW</t>
  </si>
  <si>
    <t>CN</t>
  </si>
  <si>
    <t>TR</t>
  </si>
  <si>
    <t>FR</t>
  </si>
  <si>
    <t>CL</t>
  </si>
  <si>
    <t>TIPSCL10Y-FDS</t>
  </si>
  <si>
    <t>EU</t>
  </si>
  <si>
    <t>CH</t>
  </si>
  <si>
    <t>GR</t>
  </si>
  <si>
    <t>PE</t>
  </si>
  <si>
    <t>AU</t>
  </si>
  <si>
    <t>JP</t>
  </si>
  <si>
    <t>GB</t>
  </si>
  <si>
    <t>CA</t>
  </si>
  <si>
    <t>PH</t>
  </si>
  <si>
    <t>IN</t>
  </si>
  <si>
    <t>US</t>
  </si>
  <si>
    <t>QA</t>
  </si>
  <si>
    <t>MX</t>
  </si>
  <si>
    <t>MY</t>
  </si>
  <si>
    <t>AE</t>
  </si>
  <si>
    <t>ID</t>
  </si>
  <si>
    <t>SA</t>
  </si>
  <si>
    <t>VN</t>
  </si>
  <si>
    <t>BR</t>
  </si>
  <si>
    <t>TRYZA10Y-FDS</t>
  </si>
  <si>
    <t>TRYPL10Y-FDS</t>
  </si>
  <si>
    <t>TRYKR10Y-FDS</t>
  </si>
  <si>
    <t>TRYTW10Y-FDS</t>
  </si>
  <si>
    <t>TRYTR7Y-FDS</t>
  </si>
  <si>
    <t>TRYFR10Y-FDS</t>
  </si>
  <si>
    <t>TRYEU10Y-FDS</t>
  </si>
  <si>
    <t>TRYCH10Y-FDS</t>
  </si>
  <si>
    <t>TRYGR10Y-FDS</t>
  </si>
  <si>
    <t>TRYPE10Y-FDS</t>
  </si>
  <si>
    <t>TRYAU10Y-FDS</t>
  </si>
  <si>
    <t>TRYJP10Y-FDS</t>
  </si>
  <si>
    <t>TRY10Y-FDS</t>
  </si>
  <si>
    <t>TRYGB10Y-FDS</t>
  </si>
  <si>
    <t>TRYCA10Y-FDS</t>
  </si>
  <si>
    <t>TRYPH10Y-FDS</t>
  </si>
  <si>
    <t>TRYQA10Y-FDS</t>
  </si>
  <si>
    <t>TRYMY10Y-FDS</t>
  </si>
  <si>
    <t>TRYAE10Y-FDS</t>
  </si>
  <si>
    <t>TRYID10Y-FDS</t>
  </si>
  <si>
    <t>TRYSA10Y-FDS</t>
  </si>
  <si>
    <t>TRYVN10Y-FDS</t>
  </si>
  <si>
    <t/>
  </si>
  <si>
    <t>POLICY RATE</t>
  </si>
  <si>
    <t>Country ISO</t>
  </si>
  <si>
    <t>Econ Country ID</t>
  </si>
  <si>
    <t>Rate Name</t>
  </si>
  <si>
    <t>Symbol</t>
  </si>
  <si>
    <t>G7</t>
  </si>
  <si>
    <t>CC_CA</t>
  </si>
  <si>
    <t>Canada Target Rate</t>
  </si>
  <si>
    <t>REFCATARG-FDS</t>
  </si>
  <si>
    <t>EUZ</t>
  </si>
  <si>
    <t>CC_EUZ</t>
  </si>
  <si>
    <t>Eurozone Main Refinancing Operations Minimum Bid Rate</t>
  </si>
  <si>
    <t>REFEUREFI-FDS</t>
  </si>
  <si>
    <t>CC_JP</t>
  </si>
  <si>
    <t>Japan Policy Rate</t>
  </si>
  <si>
    <t>REFJPTON-FDS</t>
  </si>
  <si>
    <t>CC_GB</t>
  </si>
  <si>
    <t>UK Bank Rate</t>
  </si>
  <si>
    <t>REFGBBANK-FDS</t>
  </si>
  <si>
    <t>CC_US</t>
  </si>
  <si>
    <t>US Federal Funds Target Rate</t>
  </si>
  <si>
    <t>REFFFUND-FDS</t>
  </si>
  <si>
    <t>Asia Pacific</t>
  </si>
  <si>
    <t>CC_AU</t>
  </si>
  <si>
    <t>Australia Target Cash Rate</t>
  </si>
  <si>
    <t>REFAUCASH-FDS</t>
  </si>
  <si>
    <t>CC_CN</t>
  </si>
  <si>
    <t>China Loan Prime Rate (LPR) - 1 Year</t>
  </si>
  <si>
    <t>REFCNRMB-FDS</t>
  </si>
  <si>
    <t>HK</t>
  </si>
  <si>
    <t>CC_HK</t>
  </si>
  <si>
    <t>Hong Kong China Discount Window Base Rate</t>
  </si>
  <si>
    <t>REFHKBASE-FDS</t>
  </si>
  <si>
    <t>CC_IN</t>
  </si>
  <si>
    <t>India Repo Rate</t>
  </si>
  <si>
    <t>REFINREPO-FDS</t>
  </si>
  <si>
    <t>CC_ID</t>
  </si>
  <si>
    <t>Indonesia BI (Reverse) Repo Rate - 7 Day</t>
  </si>
  <si>
    <t>REFIDRREPO-FDS</t>
  </si>
  <si>
    <t>KZ</t>
  </si>
  <si>
    <t>CC_KZ</t>
  </si>
  <si>
    <t>Kazakhstan Base Interest Rate</t>
  </si>
  <si>
    <t>REFKZBASE-FDS</t>
  </si>
  <si>
    <t>CC_MY</t>
  </si>
  <si>
    <t>Malaysia Policy Rate - Overnight</t>
  </si>
  <si>
    <t>REFMYON-FDS</t>
  </si>
  <si>
    <t>NZ</t>
  </si>
  <si>
    <t>CC_NZ</t>
  </si>
  <si>
    <t>New Zealand Official Cash Rate</t>
  </si>
  <si>
    <t>REFNZOCR-FDS</t>
  </si>
  <si>
    <t>PK</t>
  </si>
  <si>
    <t>CC_PK</t>
  </si>
  <si>
    <t>Pakistan Policy Rate</t>
  </si>
  <si>
    <t>REFPKMPR-FDS</t>
  </si>
  <si>
    <t>CC_PH</t>
  </si>
  <si>
    <t>Philippines Reverse Repo Rate - Overnight</t>
  </si>
  <si>
    <t>REFPHRREPO-FDS</t>
  </si>
  <si>
    <t>SG</t>
  </si>
  <si>
    <t>CC_SG</t>
  </si>
  <si>
    <t>CC_KR</t>
  </si>
  <si>
    <t>South Korea Base Rate</t>
  </si>
  <si>
    <t>REFKRBASE-FDS</t>
  </si>
  <si>
    <t>LK</t>
  </si>
  <si>
    <t>CC_LK</t>
  </si>
  <si>
    <t>Sri Lanka Repo rate</t>
  </si>
  <si>
    <t>REFLKREPO-FDS</t>
  </si>
  <si>
    <t>CC_TW</t>
  </si>
  <si>
    <t>Taiwan China Discount Rate</t>
  </si>
  <si>
    <t>REFTWDISC-FDS</t>
  </si>
  <si>
    <t>TH</t>
  </si>
  <si>
    <t>CC_TH</t>
  </si>
  <si>
    <t>Thailand Repo Rate - 1 Day</t>
  </si>
  <si>
    <t>REFTHREPO-FDS</t>
  </si>
  <si>
    <t>CC_VN</t>
  </si>
  <si>
    <t>Vietnam Discount Rate</t>
  </si>
  <si>
    <t>REFVNDISC-FDS</t>
  </si>
  <si>
    <t>Europe</t>
  </si>
  <si>
    <t>AL</t>
  </si>
  <si>
    <t>CC_AL</t>
  </si>
  <si>
    <t>Albania Repo Rate - 1 Week</t>
  </si>
  <si>
    <t>REFAL1WREPO-FDS</t>
  </si>
  <si>
    <t>BY</t>
  </si>
  <si>
    <t>CC_BY</t>
  </si>
  <si>
    <t>Belarus Refinancing Rate</t>
  </si>
  <si>
    <t>REFBYREF-FDS</t>
  </si>
  <si>
    <t>CZ</t>
  </si>
  <si>
    <t>CC_CZ</t>
  </si>
  <si>
    <t>Czech Republic Repo Rate - 2 Week</t>
  </si>
  <si>
    <t>REFCZREPO-FDS</t>
  </si>
  <si>
    <t>DK</t>
  </si>
  <si>
    <t>CC_DK</t>
  </si>
  <si>
    <t>Denmark Certificates of Deposit Rate</t>
  </si>
  <si>
    <t>REFDKDEP-FDS</t>
  </si>
  <si>
    <t>UZ</t>
  </si>
  <si>
    <t>HU</t>
  </si>
  <si>
    <t>CC_HU</t>
  </si>
  <si>
    <t>Hungary Base Rate</t>
  </si>
  <si>
    <t>REFHUBASE-FDS</t>
  </si>
  <si>
    <t>IS</t>
  </si>
  <si>
    <t>CC_IS</t>
  </si>
  <si>
    <t>Iceland Term Deposit Rate - 7 Day</t>
  </si>
  <si>
    <t>REFISDEP-FDS</t>
  </si>
  <si>
    <t>NO</t>
  </si>
  <si>
    <t>CC_NO</t>
  </si>
  <si>
    <t>Norway Key Sight Deposit Rate</t>
  </si>
  <si>
    <t>REFNOSIGHT-FDS</t>
  </si>
  <si>
    <t>CC_PL</t>
  </si>
  <si>
    <t>Poland Reference Rate - 7 Day</t>
  </si>
  <si>
    <t>REFPL7D-FDS</t>
  </si>
  <si>
    <t>RO</t>
  </si>
  <si>
    <t>CC_RO</t>
  </si>
  <si>
    <t>Romania Policy Rate</t>
  </si>
  <si>
    <t>REFROMPR-FDS</t>
  </si>
  <si>
    <t>RU</t>
  </si>
  <si>
    <t>CC_RU</t>
  </si>
  <si>
    <t>Disc. Russia Repo Rate - 1 Week</t>
  </si>
  <si>
    <t>REFRU1WREPO-FDS</t>
  </si>
  <si>
    <t>RS</t>
  </si>
  <si>
    <t>CC_RS</t>
  </si>
  <si>
    <t>Serbia Policy Rate</t>
  </si>
  <si>
    <t>REFRSMPR-FDS</t>
  </si>
  <si>
    <t>SE</t>
  </si>
  <si>
    <t>CC_SE</t>
  </si>
  <si>
    <t>Sweden Repo Rate</t>
  </si>
  <si>
    <t>REFSEREPO-FDS</t>
  </si>
  <si>
    <t>CC_CH</t>
  </si>
  <si>
    <t>Swiss Policy Rate - Sight Deposit Rate</t>
  </si>
  <si>
    <t>REFCHMPR-FDS</t>
  </si>
  <si>
    <t>CC_TR</t>
  </si>
  <si>
    <t>Turkey Repo Rate - 1 Week</t>
  </si>
  <si>
    <t>REFTR1WREPO-FDS</t>
  </si>
  <si>
    <t>UA</t>
  </si>
  <si>
    <t>CC_UA</t>
  </si>
  <si>
    <t>Ukraine Discount Rate</t>
  </si>
  <si>
    <t>REFUADISC-FDS</t>
  </si>
  <si>
    <t>Latin America</t>
  </si>
  <si>
    <t>AR</t>
  </si>
  <si>
    <t>CC_AR</t>
  </si>
  <si>
    <t>Argentina Monetary Policy Rate</t>
  </si>
  <si>
    <t>REFARPR-FDS</t>
  </si>
  <si>
    <t>CC_BR</t>
  </si>
  <si>
    <t>Brazil Target Selic Rate</t>
  </si>
  <si>
    <t>REFBRSELIC-FDS</t>
  </si>
  <si>
    <t>CC_CL</t>
  </si>
  <si>
    <t>Chile Monetary Policy Rate</t>
  </si>
  <si>
    <t>REFCLMPR-FDS</t>
  </si>
  <si>
    <t>CO</t>
  </si>
  <si>
    <t>CC_CO</t>
  </si>
  <si>
    <t>Colombia Minimum Intervention Rate</t>
  </si>
  <si>
    <t>REFCOMININT-FDS</t>
  </si>
  <si>
    <t>CC_MX</t>
  </si>
  <si>
    <t>Mexico Target Rate - Overnight</t>
  </si>
  <si>
    <t>REFMXTON-FDS</t>
  </si>
  <si>
    <t>CC_PE</t>
  </si>
  <si>
    <t>Peru Policy Rate</t>
  </si>
  <si>
    <t>REFPEMPR-FDS</t>
  </si>
  <si>
    <t>UY</t>
  </si>
  <si>
    <t>CC_UY</t>
  </si>
  <si>
    <t>Uruguay Policy Rate</t>
  </si>
  <si>
    <t>REFUYMPR-FDS</t>
  </si>
  <si>
    <t>Middle East &amp; Africa</t>
  </si>
  <si>
    <t>BH</t>
  </si>
  <si>
    <t>CC_BH</t>
  </si>
  <si>
    <t>Bahrain Deposit Rate - 1 Week</t>
  </si>
  <si>
    <t>REFBH1WDEP-FDS</t>
  </si>
  <si>
    <t>BW</t>
  </si>
  <si>
    <t>CC_BW</t>
  </si>
  <si>
    <t>Disc. Botswana Bank Rate</t>
  </si>
  <si>
    <t>REFBWBANK-FDS</t>
  </si>
  <si>
    <t>EG</t>
  </si>
  <si>
    <t>CC_EG</t>
  </si>
  <si>
    <t>Egypt Deposit Rate - Overnight</t>
  </si>
  <si>
    <t>REFEGDEP-FDS</t>
  </si>
  <si>
    <t>GH</t>
  </si>
  <si>
    <t>CC_GH</t>
  </si>
  <si>
    <t>Ghana Policy Rate</t>
  </si>
  <si>
    <t>REFGHMPR-FDS</t>
  </si>
  <si>
    <t>IL</t>
  </si>
  <si>
    <t>CC_IL</t>
  </si>
  <si>
    <t>Israel Headline Short-Term Interest Rate</t>
  </si>
  <si>
    <t>REFILMPR-FDS</t>
  </si>
  <si>
    <t>JO</t>
  </si>
  <si>
    <t>CC_JO</t>
  </si>
  <si>
    <t>Jordan Monetary Policy Rate</t>
  </si>
  <si>
    <t>REFJOMPR-FDS</t>
  </si>
  <si>
    <t>KE</t>
  </si>
  <si>
    <t>CC_KE</t>
  </si>
  <si>
    <t>Kenya Policy Rate</t>
  </si>
  <si>
    <t>REFKEMPR-FDS</t>
  </si>
  <si>
    <t>KW</t>
  </si>
  <si>
    <t>CC_KW</t>
  </si>
  <si>
    <t>Kuwait Discount Rate</t>
  </si>
  <si>
    <t>REFKWDISC-FDS</t>
  </si>
  <si>
    <t>MU</t>
  </si>
  <si>
    <t>CC_MU</t>
  </si>
  <si>
    <t>Mauritius Repo Rate</t>
  </si>
  <si>
    <t>REFMUREPO-FDS</t>
  </si>
  <si>
    <t>MA</t>
  </si>
  <si>
    <t>CC_MA</t>
  </si>
  <si>
    <t>Morocco Policy Rate</t>
  </si>
  <si>
    <t>REFMAMPR-FDS</t>
  </si>
  <si>
    <t>NA</t>
  </si>
  <si>
    <t>CC_NA</t>
  </si>
  <si>
    <t>Namibia Repo Rate</t>
  </si>
  <si>
    <t>REFNAREPO-FDS</t>
  </si>
  <si>
    <t>NG</t>
  </si>
  <si>
    <t>CC_NG</t>
  </si>
  <si>
    <t>Nigeria Policy Rate</t>
  </si>
  <si>
    <t>RENGMPR-FDS</t>
  </si>
  <si>
    <t>CC_QA</t>
  </si>
  <si>
    <t>Qatar Lending Rate - Overnight</t>
  </si>
  <si>
    <t>REFQALEND-FDS</t>
  </si>
  <si>
    <t>CC_SA</t>
  </si>
  <si>
    <t>Saudi Arabia Repo Rate</t>
  </si>
  <si>
    <t>REFSAREPO-FDS</t>
  </si>
  <si>
    <t>CC_ZA</t>
  </si>
  <si>
    <t>South Africa Repo Rate</t>
  </si>
  <si>
    <t>REFZAREPO-FDS</t>
  </si>
  <si>
    <t>TN</t>
  </si>
  <si>
    <t>CC_TN</t>
  </si>
  <si>
    <t>Tunisia Policy Rate - Rate of Call for Tender (TAO)</t>
  </si>
  <si>
    <t>REFTNMPR-FDS</t>
  </si>
  <si>
    <t>CC_AE</t>
  </si>
  <si>
    <t>United Arab Emirates Repo Rate</t>
  </si>
  <si>
    <t>REFAEREPO-FDS</t>
  </si>
  <si>
    <t>ZM</t>
  </si>
  <si>
    <t>CC_ZM</t>
  </si>
  <si>
    <t>Zambia Policy Rate</t>
  </si>
  <si>
    <t>REFZMMPR-FDS</t>
  </si>
  <si>
    <t>Current Rates</t>
  </si>
  <si>
    <t>3 month change</t>
  </si>
  <si>
    <t>6 month change</t>
  </si>
  <si>
    <t>Currency Pairs</t>
  </si>
  <si>
    <t>Name of Currency Pair</t>
  </si>
  <si>
    <t>Currency change last 12 month</t>
  </si>
  <si>
    <t>Currency change last 3  month</t>
  </si>
  <si>
    <t>Currency change last 1 month</t>
  </si>
  <si>
    <t>Rolling 12 month returns</t>
  </si>
  <si>
    <t xml:space="preserve"> 1 month revison</t>
  </si>
  <si>
    <t>3 month revsion</t>
  </si>
  <si>
    <t>Rev 1 month</t>
  </si>
  <si>
    <t>Rev 3 month</t>
  </si>
  <si>
    <t>Best</t>
  </si>
  <si>
    <t>median</t>
  </si>
  <si>
    <t>Monthly ( % )</t>
  </si>
  <si>
    <t xml:space="preserve">Yearly ( % </t>
  </si>
  <si>
    <t>% drawdown</t>
  </si>
  <si>
    <t>C</t>
  </si>
  <si>
    <t>Percentile 1montsh back</t>
  </si>
  <si>
    <t>Percentile 2months</t>
  </si>
  <si>
    <t xml:space="preserve">Cuurent </t>
  </si>
  <si>
    <t>Max monthly  Drawdown</t>
  </si>
  <si>
    <t>Yearly drawdown freq</t>
  </si>
  <si>
    <t>High is good , means low risk</t>
  </si>
  <si>
    <t>12 month return percentile</t>
  </si>
  <si>
    <t>DY</t>
  </si>
  <si>
    <t>EV/ EBIT</t>
  </si>
  <si>
    <t>ROE</t>
  </si>
  <si>
    <t>Cuurency Volataility annlualzied</t>
  </si>
  <si>
    <t>DY -Shor term rates</t>
  </si>
  <si>
    <t>FCF -rates</t>
  </si>
  <si>
    <t>Trailing PE percentile</t>
  </si>
  <si>
    <t>Forward PE percentile</t>
  </si>
  <si>
    <t>Central bank Direction</t>
  </si>
  <si>
    <t>A</t>
  </si>
  <si>
    <t>A.1</t>
  </si>
  <si>
    <t>A.2</t>
  </si>
  <si>
    <t>A.3</t>
  </si>
  <si>
    <t xml:space="preserve">B. </t>
  </si>
  <si>
    <t>C.1</t>
  </si>
  <si>
    <t>C.2</t>
  </si>
  <si>
    <t>D</t>
  </si>
  <si>
    <t>Final model</t>
  </si>
  <si>
    <t xml:space="preserve">E. </t>
  </si>
  <si>
    <t>e.1</t>
  </si>
  <si>
    <t>Currency  volatality</t>
  </si>
  <si>
    <t>e.2</t>
  </si>
  <si>
    <t>Imbalances</t>
  </si>
  <si>
    <t>ROE - rates</t>
  </si>
  <si>
    <t>CNYA</t>
  </si>
  <si>
    <t>ENZL</t>
  </si>
  <si>
    <t>iShares MSCI China A ETF</t>
  </si>
  <si>
    <t>iShares MSCI Chile ETF</t>
  </si>
  <si>
    <t>iShares MSCI Indonesia ETF</t>
  </si>
  <si>
    <t>iShares MSCI Philippines ETF</t>
  </si>
  <si>
    <t>iShares MSCI Poland ETF</t>
  </si>
  <si>
    <t>iShares MSCI Peru ETF</t>
  </si>
  <si>
    <t>iShares MSCI Malaysia ETF</t>
  </si>
  <si>
    <t>iShares MSCI South Africa ETF</t>
  </si>
  <si>
    <t>Global X MSCI Greece ETF</t>
  </si>
  <si>
    <t>iShares MSCI Qatar ETF</t>
  </si>
  <si>
    <t>iShares MSCI Turkey ETF</t>
  </si>
  <si>
    <t>iShares MSCI UAE ETF</t>
  </si>
  <si>
    <t>VanEck Vietnam ETF</t>
  </si>
  <si>
    <t xml:space="preserve">Saudi Arabia </t>
  </si>
  <si>
    <t>iShares MSCI New Zealand ETF</t>
  </si>
  <si>
    <t xml:space="preserve">United kingdom </t>
  </si>
  <si>
    <t>Nasdaq</t>
  </si>
  <si>
    <t>TRYNZ10Y-FDS</t>
  </si>
  <si>
    <t>Equity attractivess</t>
  </si>
  <si>
    <t>EY</t>
  </si>
  <si>
    <t>EY - traling</t>
  </si>
  <si>
    <t>FF reate</t>
  </si>
  <si>
    <t xml:space="preserve">10 year </t>
  </si>
  <si>
    <t>Spread -FF</t>
  </si>
  <si>
    <t>Spread - 30 year</t>
  </si>
  <si>
    <t>Oil</t>
  </si>
  <si>
    <t>3 month change%</t>
  </si>
  <si>
    <t>Cb action</t>
  </si>
  <si>
    <t>market based Indicator- 3month</t>
  </si>
  <si>
    <t>C.3</t>
  </si>
  <si>
    <t>market based Indicator- 6 month</t>
  </si>
  <si>
    <t>Average last 3 months</t>
  </si>
  <si>
    <t>USDEUR</t>
  </si>
  <si>
    <t>USDJPY</t>
  </si>
  <si>
    <t>USDAUD</t>
  </si>
  <si>
    <t>USDCAD</t>
  </si>
  <si>
    <t>USDGBP</t>
  </si>
  <si>
    <t>USDNZD</t>
  </si>
  <si>
    <t>USDCHF</t>
  </si>
  <si>
    <t>Currency Annualized yearly  volatility (3 years)</t>
  </si>
  <si>
    <t>12 month out</t>
  </si>
  <si>
    <t>earnings growth</t>
  </si>
  <si>
    <t>rank - 1 month</t>
  </si>
  <si>
    <t>rank 3 month</t>
  </si>
  <si>
    <t>rank 6 month</t>
  </si>
  <si>
    <t>Currency change last 6  month</t>
  </si>
  <si>
    <t>Cuurency Momnetum</t>
  </si>
  <si>
    <t>CA- trailing as % of GDP</t>
  </si>
  <si>
    <t>CA forcasted as % of GDP</t>
  </si>
  <si>
    <t>CAGDPY@</t>
  </si>
  <si>
    <t>CY 2022</t>
  </si>
  <si>
    <t>CY 2023</t>
  </si>
  <si>
    <t>Country Name</t>
  </si>
  <si>
    <t>CC Code</t>
  </si>
  <si>
    <t>Mnemonic</t>
  </si>
  <si>
    <t>CC_GR</t>
  </si>
  <si>
    <t>Cuuremncy Momentum</t>
  </si>
  <si>
    <t>Cuurency Volatality</t>
  </si>
  <si>
    <t>In rate Dffe</t>
  </si>
  <si>
    <t>CAD</t>
  </si>
  <si>
    <t>Rank</t>
  </si>
  <si>
    <t>Currency Score</t>
  </si>
  <si>
    <t>G</t>
  </si>
  <si>
    <t>Quality</t>
  </si>
  <si>
    <t>Current</t>
  </si>
  <si>
    <t>% of Financials</t>
  </si>
  <si>
    <t>Growth Track Record</t>
  </si>
  <si>
    <t>Worst Historical Return</t>
  </si>
  <si>
    <t>F</t>
  </si>
  <si>
    <t>Prioce / 52 week low</t>
  </si>
  <si>
    <t>Closeness - 52W- H</t>
  </si>
  <si>
    <t>Closeness -52WL</t>
  </si>
  <si>
    <t>Contra</t>
  </si>
  <si>
    <t>A-4</t>
  </si>
  <si>
    <t>Away-52W L</t>
  </si>
  <si>
    <t>Closeness - 52w L</t>
  </si>
  <si>
    <t>rank Currency</t>
  </si>
  <si>
    <t>CURRENT RATES</t>
  </si>
  <si>
    <t>DY - Current Rates</t>
  </si>
  <si>
    <t>FCF - Current Rates</t>
  </si>
  <si>
    <t>ROE - Current Rates</t>
  </si>
  <si>
    <t>DY - Current Rate Percentile</t>
  </si>
  <si>
    <t>FCF - Current Rate Percentile</t>
  </si>
  <si>
    <t>ROE - Current Rate  Percentile</t>
  </si>
  <si>
    <t>PE trailing Percentile</t>
  </si>
  <si>
    <t>PE forward Percentile</t>
  </si>
  <si>
    <t>ETF</t>
  </si>
  <si>
    <t>ETF Name</t>
  </si>
  <si>
    <t>Yearly freq</t>
  </si>
  <si>
    <t>Risk Score</t>
  </si>
  <si>
    <t>Yearly Drawdwn</t>
  </si>
  <si>
    <t>Monthly  Drawdwin</t>
  </si>
  <si>
    <t>Long term Econmic growth</t>
  </si>
  <si>
    <t>Current Long termRates</t>
  </si>
  <si>
    <t>Policy rates</t>
  </si>
  <si>
    <t>" Higher weight = poor score , so reverse scores</t>
  </si>
  <si>
    <t>Worst drawdown</t>
  </si>
  <si>
    <t xml:space="preserve">Average ROE </t>
  </si>
  <si>
    <t>Overall Value Score</t>
  </si>
  <si>
    <t>country</t>
  </si>
  <si>
    <t>Financilas As % of earnings</t>
  </si>
  <si>
    <t>Worst Drawdown percentile</t>
  </si>
  <si>
    <t>Overall Quality Score</t>
  </si>
  <si>
    <t>Other data</t>
  </si>
  <si>
    <t>VGK</t>
  </si>
  <si>
    <t>Europe ETF</t>
  </si>
  <si>
    <t>EM ETF</t>
  </si>
  <si>
    <t>Average ROE - currenr rate</t>
  </si>
  <si>
    <t>Avg ROE - Current Rates</t>
  </si>
  <si>
    <t>Value Percentile</t>
  </si>
  <si>
    <t>Quality Percentile</t>
  </si>
  <si>
    <t>MOMENTUM</t>
  </si>
  <si>
    <t>COUNTRY</t>
  </si>
  <si>
    <t>VALUE</t>
  </si>
  <si>
    <t>LIQUIDITY</t>
  </si>
  <si>
    <t>QUALITY</t>
  </si>
  <si>
    <t>RISK</t>
  </si>
  <si>
    <t>CURRENCY</t>
  </si>
  <si>
    <t>OVERALL SCORE</t>
  </si>
  <si>
    <t>UPGRADES</t>
  </si>
  <si>
    <t>LIQUIDITY_SCORE</t>
  </si>
  <si>
    <t>SCORE</t>
  </si>
  <si>
    <t>USDUSD</t>
  </si>
  <si>
    <t>CC_DE</t>
  </si>
  <si>
    <t>Back to Index</t>
  </si>
  <si>
    <r>
      <t xml:space="preserve">Data in GDP PPP Constant price terms, modified by updated Base Years and Informal Economy data. </t>
    </r>
    <r>
      <rPr>
        <b/>
        <u/>
        <sz val="11"/>
        <color indexed="30"/>
        <rFont val="Calibri"/>
        <family val="2"/>
      </rPr>
      <t>Read more</t>
    </r>
  </si>
  <si>
    <t>Compound Annual Growth Rate</t>
  </si>
  <si>
    <t>Year on Year Growth Rate</t>
  </si>
  <si>
    <t>Region</t>
  </si>
  <si>
    <t>Country</t>
  </si>
  <si>
    <t>CAGR 3 Year %</t>
  </si>
  <si>
    <t>CAGR 5 Year %</t>
  </si>
  <si>
    <t>CAGR 10 Year %</t>
  </si>
  <si>
    <t>Asia-Pacific</t>
  </si>
  <si>
    <t>Afghanistan</t>
  </si>
  <si>
    <t>E</t>
  </si>
  <si>
    <t>Albania</t>
  </si>
  <si>
    <t>Africa</t>
  </si>
  <si>
    <t>Algeria</t>
  </si>
  <si>
    <t>B</t>
  </si>
  <si>
    <t>Angola</t>
  </si>
  <si>
    <t>Americas</t>
  </si>
  <si>
    <t>Argentina</t>
  </si>
  <si>
    <t>Armenia</t>
  </si>
  <si>
    <t>Australia</t>
  </si>
  <si>
    <t>Austria</t>
  </si>
  <si>
    <t>Azerbaijan</t>
  </si>
  <si>
    <t>Bahamas, The</t>
  </si>
  <si>
    <t>Middle East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</si>
  <si>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</si>
  <si>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</si>
  <si>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</si>
  <si>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</si>
  <si>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</si>
  <si>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</si>
  <si>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</si>
  <si>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</si>
  <si>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</si>
  <si>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</si>
  <si>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</si>
  <si>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</si>
  <si>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</si>
  <si>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</si>
  <si>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</si>
  <si>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</si>
  <si>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</si>
  <si>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</si>
  <si>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</si>
  <si>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</si>
  <si>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</si>
  <si>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</si>
  <si>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</si>
  <si>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</si>
  <si>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</si>
  <si>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</si>
  <si>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</si>
  <si>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</si>
  <si>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</si>
  <si>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</si>
  <si>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</si>
  <si>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</si>
  <si>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</si>
  <si>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</si>
  <si>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</si>
  <si>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</si>
  <si>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</si>
  <si>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</si>
  <si>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</si>
  <si>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</si>
  <si>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</si>
  <si>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</si>
  <si>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</si>
  <si>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</si>
  <si>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</si>
  <si>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</si>
  <si>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</si>
  <si>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</si>
  <si>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</si>
  <si>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</si>
  <si>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</si>
  <si>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</si>
  <si>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</si>
  <si>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</si>
  <si>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</si>
  <si>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</si>
  <si>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</si>
  <si>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</si>
  <si>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</si>
  <si>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</si>
  <si>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</si>
  <si>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</si>
  <si>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</si>
  <si>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</si>
  <si>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</si>
  <si>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</si>
  <si>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</si>
  <si>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</si>
  <si>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</si>
  <si>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</si>
  <si>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</si>
  <si>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</si>
  <si>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</si>
  <si>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</si>
  <si>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</si>
  <si>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</si>
  <si>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</si>
  <si>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</si>
  <si>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</si>
  <si>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</si>
  <si>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</si>
  <si>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</si>
  <si>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</si>
  <si>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</si>
  <si>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</si>
  <si>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</si>
  <si>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</si>
  <si>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</si>
  <si>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</si>
  <si>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</si>
  <si>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</si>
  <si>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</si>
  <si>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</si>
  <si>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</si>
  <si>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</si>
  <si>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</si>
  <si>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</si>
  <si>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</si>
  <si>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</si>
  <si>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</si>
  <si>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</si>
  <si>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</si>
  <si>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</si>
  <si>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</si>
  <si>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</si>
  <si>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</si>
  <si>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</si>
  <si>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</si>
  <si>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</si>
  <si>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</si>
  <si>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</si>
  <si>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</si>
  <si>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</si>
  <si>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</si>
  <si>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</si>
  <si>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</si>
  <si>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</si>
  <si>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</si>
  <si>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</si>
  <si>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</si>
  <si>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</si>
  <si>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</si>
  <si>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</si>
  <si>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</si>
  <si>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</si>
  <si>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</si>
  <si>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</si>
  <si>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</si>
  <si>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</si>
  <si>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</si>
  <si>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</si>
  <si>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</si>
  <si>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</si>
  <si>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</si>
  <si>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</si>
  <si>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</si>
  <si>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</si>
  <si>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</si>
  <si>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</si>
  <si>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</si>
  <si>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</si>
  <si>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</si>
  <si>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Vietnam</t>
  </si>
  <si>
    <t>Yemen, Rep.</t>
  </si>
  <si>
    <t>Zambia</t>
  </si>
  <si>
    <t>Zimbabwe</t>
  </si>
  <si>
    <t>Compound Annual Growth Rates Over 3, 5, 10 year periods  - By Region</t>
  </si>
  <si>
    <t>DQR PPP Grade</t>
  </si>
  <si>
    <t>DQR PPP Index</t>
  </si>
  <si>
    <t>DQR PPP Global Rank</t>
  </si>
  <si>
    <t>DQR PPP Regional Rank</t>
  </si>
  <si>
    <t>Forcecasts</t>
  </si>
  <si>
    <t xml:space="preserve">Avg. ROE - Curr Rates </t>
  </si>
  <si>
    <t xml:space="preserve">Financilas As % of earnings </t>
  </si>
  <si>
    <t>Earnings  track record</t>
  </si>
  <si>
    <t xml:space="preserve">Earnings track record </t>
  </si>
  <si>
    <t>OVERALL RANK</t>
  </si>
  <si>
    <t>AVG 5 &amp; 10 YR CAGR</t>
  </si>
  <si>
    <t>CAGR RANK</t>
  </si>
  <si>
    <t>COUNTRY NAME</t>
  </si>
  <si>
    <t>INFLATION RATES</t>
  </si>
  <si>
    <t>ROE- Inflation Rates</t>
  </si>
  <si>
    <t>ROE - Inflation Rate Percentile</t>
  </si>
  <si>
    <t>SET-BKK</t>
  </si>
  <si>
    <t>Thailand SET Index</t>
  </si>
  <si>
    <t>ROE - Inflation</t>
  </si>
  <si>
    <t>level</t>
  </si>
  <si>
    <t>Quarrerly Pint Change</t>
  </si>
  <si>
    <t>EM</t>
  </si>
  <si>
    <t>DM</t>
  </si>
  <si>
    <t>NTCPMIMFGMESA@US</t>
  </si>
  <si>
    <t>NTCPMIMFGSA@CA</t>
  </si>
  <si>
    <t>NTCPMIMFGSA@AU</t>
  </si>
  <si>
    <t>NTCPMIMFGSA@JP</t>
  </si>
  <si>
    <t>NTCPMIMFGSA@NZ</t>
  </si>
  <si>
    <t>NTCPMIMFGSA@DE</t>
  </si>
  <si>
    <t>NTCPMIMFGSA@GB</t>
  </si>
  <si>
    <t>NTCPMIMFGSA@CH</t>
  </si>
  <si>
    <t>PMIDMMANHE</t>
  </si>
  <si>
    <t>Developed Markets</t>
  </si>
  <si>
    <t>NTCPMIMFGSA@EME</t>
  </si>
  <si>
    <t>Emerging Markets</t>
  </si>
  <si>
    <t>USA</t>
  </si>
  <si>
    <t>Country_Code</t>
  </si>
  <si>
    <t>PMI</t>
  </si>
  <si>
    <t>A-5</t>
  </si>
  <si>
    <t>Economic Momentm</t>
  </si>
  <si>
    <t>Q-Q Change</t>
  </si>
  <si>
    <t>GDP AVG 5 &amp; 10 YR CAGR</t>
  </si>
  <si>
    <t>GDP Percentile</t>
  </si>
  <si>
    <t>Start Date</t>
  </si>
  <si>
    <t>End Date</t>
  </si>
  <si>
    <t>Q-Q CHANGE</t>
  </si>
  <si>
    <t>PMI RANK</t>
  </si>
  <si>
    <t>Q-Q CHANGE RANK</t>
  </si>
  <si>
    <t>CODE</t>
  </si>
  <si>
    <t>INFLATION RATE</t>
  </si>
  <si>
    <t>COMPOSITE VALUE</t>
  </si>
  <si>
    <t>Top down</t>
  </si>
  <si>
    <t>URTH</t>
  </si>
  <si>
    <t>World</t>
  </si>
  <si>
    <t>max</t>
  </si>
  <si>
    <t>Monthly Return Percentile</t>
  </si>
  <si>
    <t>name</t>
  </si>
  <si>
    <t>Spot</t>
  </si>
  <si>
    <t>30day Moving Avg.</t>
  </si>
  <si>
    <t>% change 1 month</t>
  </si>
  <si>
    <t>3 Month change</t>
  </si>
  <si>
    <t>6 month  cahnge</t>
  </si>
  <si>
    <t>12 month change</t>
  </si>
  <si>
    <t>Price / 52weeek high</t>
  </si>
  <si>
    <t>5 year high</t>
  </si>
  <si>
    <t>Commodity Indicator</t>
  </si>
  <si>
    <t>TIOS-FDS</t>
  </si>
  <si>
    <t>Iron Ore</t>
  </si>
  <si>
    <t>COPP-FDS</t>
  </si>
  <si>
    <t>Copper</t>
  </si>
  <si>
    <t>BRENT-FDS</t>
  </si>
  <si>
    <t>W-FDS</t>
  </si>
  <si>
    <t>Wheat</t>
  </si>
  <si>
    <t>CPALM-FDS</t>
  </si>
  <si>
    <t>Palm Oil</t>
  </si>
  <si>
    <t>PLATI-FDS</t>
  </si>
  <si>
    <t>Platinum</t>
  </si>
  <si>
    <t>NI-FDS</t>
  </si>
  <si>
    <t>Nickel</t>
  </si>
  <si>
    <t>PASP-FDS</t>
  </si>
  <si>
    <t>Palaadium</t>
  </si>
  <si>
    <t>WL-FDS</t>
  </si>
  <si>
    <t>DDR3512M-FDS</t>
  </si>
  <si>
    <t>DRAM</t>
  </si>
  <si>
    <t>COMPOSITE VALUE SCORE</t>
  </si>
  <si>
    <t xml:space="preserve">Cut off (-ve) </t>
  </si>
  <si>
    <t>Cut off (+ve)</t>
  </si>
  <si>
    <t>Total</t>
  </si>
  <si>
    <t>japan</t>
  </si>
  <si>
    <t>30da MA index</t>
  </si>
  <si>
    <t>Index Level</t>
  </si>
  <si>
    <t xml:space="preserve">200D MA index </t>
  </si>
  <si>
    <t>ETF Ticker</t>
  </si>
  <si>
    <t>COUNTRY CODE</t>
  </si>
  <si>
    <t>Weight in momnetum</t>
  </si>
  <si>
    <t>Cut off</t>
  </si>
  <si>
    <t>Cut Off</t>
  </si>
  <si>
    <t>Weight in value</t>
  </si>
  <si>
    <t>value Cut  off</t>
  </si>
  <si>
    <t>ETF TICKER</t>
  </si>
  <si>
    <t>VOLATILITY</t>
  </si>
  <si>
    <t>STD_DEV</t>
  </si>
  <si>
    <t>Annualized Volatility</t>
  </si>
  <si>
    <t>Weight in Currency</t>
  </si>
  <si>
    <t>Momentum_vol</t>
  </si>
  <si>
    <t>Value_Vol</t>
  </si>
  <si>
    <t>Liquidity_Vol</t>
  </si>
  <si>
    <t>Currency_Vol</t>
  </si>
  <si>
    <t>Weight in Liquidity</t>
  </si>
  <si>
    <t>60D MA index</t>
  </si>
  <si>
    <t>FC0000GR</t>
  </si>
  <si>
    <t>FC0000NZ</t>
  </si>
  <si>
    <t>FC0000AU</t>
  </si>
  <si>
    <t>FC0000CA</t>
  </si>
  <si>
    <t>FC0000JP</t>
  </si>
  <si>
    <t>FC0000CH</t>
  </si>
  <si>
    <t>FC0000GB</t>
  </si>
  <si>
    <t>FC0000US</t>
  </si>
  <si>
    <t>ETF Market_Cap</t>
  </si>
  <si>
    <t>Country Index Ticker</t>
  </si>
  <si>
    <t>Index Market Cap</t>
  </si>
  <si>
    <t xml:space="preserve">WEIGHTED_AVG </t>
  </si>
  <si>
    <t>CUT-OFF</t>
  </si>
  <si>
    <t>Number of Bets</t>
  </si>
  <si>
    <t>NQG00809</t>
  </si>
  <si>
    <t>MOMENTUM_WEIGHT</t>
  </si>
  <si>
    <t>LIQUIDITY_WEIGHT</t>
  </si>
  <si>
    <t>CURRENCY_WEIGHT</t>
  </si>
  <si>
    <t>WEIGHTED_AVERAGE</t>
  </si>
  <si>
    <t>NORMALIZED_WT_AVG</t>
  </si>
  <si>
    <t>VALUE_WEIGHT</t>
  </si>
  <si>
    <t>A- 6</t>
  </si>
  <si>
    <t>Size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</si>
  <si>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</si>
  <si>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</si>
  <si>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</si>
  <si>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</si>
  <si>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</si>
  <si>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</si>
  <si>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</si>
  <si>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CC_IT</t>
  </si>
  <si>
    <t>CC_FR</t>
  </si>
  <si>
    <t>CC_NL</t>
  </si>
  <si>
    <t>iShares MSCI Italy ETF</t>
  </si>
  <si>
    <t>iShares MSCI Netherlands ETF</t>
  </si>
  <si>
    <t>iShares MSCI Sweden ETF</t>
  </si>
  <si>
    <t>iShares MSCI France ETF</t>
  </si>
  <si>
    <t>NL</t>
  </si>
  <si>
    <t>IT</t>
  </si>
  <si>
    <t>TRYNL10Y-FDS</t>
  </si>
  <si>
    <t>TRYSE10Y-FDS</t>
  </si>
  <si>
    <t>TRYIT10Y-FDS</t>
  </si>
  <si>
    <t>USDANG</t>
  </si>
  <si>
    <t>USDSEK</t>
  </si>
  <si>
    <t>USDITL</t>
  </si>
  <si>
    <t>NTCPMIMFGSA@FR</t>
  </si>
  <si>
    <t>NTCPMIMFGSA@NL</t>
  </si>
  <si>
    <t>NTCPMIMFGSA@IT</t>
  </si>
  <si>
    <t>Asset class momnetum</t>
  </si>
  <si>
    <t>Asset Class - Momnetum</t>
  </si>
  <si>
    <t>GLD</t>
  </si>
  <si>
    <t>UUP</t>
  </si>
  <si>
    <t>DBA</t>
  </si>
  <si>
    <t>TLT</t>
  </si>
  <si>
    <t>Earnings Revsion</t>
  </si>
  <si>
    <t>Upgrades 1 month</t>
  </si>
  <si>
    <t>Downgrades 1 month</t>
  </si>
  <si>
    <t>FXI</t>
  </si>
  <si>
    <t>Equity Global Attractiveness</t>
  </si>
  <si>
    <t>Clsoeness to 52 week</t>
  </si>
  <si>
    <t>1 month</t>
  </si>
  <si>
    <t>Closeness to 52 week</t>
  </si>
  <si>
    <t>rank</t>
  </si>
  <si>
    <t>USO</t>
  </si>
  <si>
    <t>techincal strength</t>
  </si>
  <si>
    <t>% of Countries above 30 day</t>
  </si>
  <si>
    <t>% of Countries above 60 day</t>
  </si>
  <si>
    <t>% of Countries above 200 day</t>
  </si>
  <si>
    <t>Sum</t>
  </si>
  <si>
    <t>1 month change</t>
  </si>
  <si>
    <t>1 month return</t>
  </si>
  <si>
    <t>PMI Q-Q Change</t>
  </si>
  <si>
    <t>Overall Safety Score</t>
  </si>
  <si>
    <t>SAFETY PERCENTILE</t>
  </si>
  <si>
    <t>Safety</t>
  </si>
  <si>
    <t>Monthly freq</t>
  </si>
  <si>
    <t>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</si>
</sst>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0.000"/>
    <numFmt numFmtId="170" formatCode="0.000000"/>
    <numFmt numFmtId="171" formatCode="0.0000000000000000%"/>
    <numFmt numFmtId="172" formatCode="&quot;$&quot;#,##0.00"/>
    <numFmt numFmtId="173" formatCode="_(&quot;$&quot;* #,##0.00_);_(&quot;$&quot;* \(#,##0.00\);_(&quot;$&quot;* &quot;-&quot;??_);_(@_)"/>
    <numFmt numFmtId="174" formatCode="_(&quot;$&quot;* #,##0_);_(&quot;$&quot;* \(#,##0\);_(&quot;$&quot;* &quot;-&quot;??_);_(@_)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9"/>
      <color rgb="FF00B0F0"/>
      <name val="Trebuchet MS"/>
      <family val="2"/>
    </font>
    <font>
      <sz val="10"/>
      <name val="Arial"/>
      <family val="2"/>
    </font>
    <font>
      <sz val="9"/>
      <color indexed="8"/>
      <name val="Trebuchet MS"/>
      <family val="2"/>
    </font>
    <font>
      <sz val="14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1"/>
      <scheme val="minor"/>
    </font>
    <font>
      <u/>
      <sz val="11"/>
      <color indexed="12"/>
      <name val="Calibri"/>
      <family val="2"/>
    </font>
    <font>
      <b/>
      <sz val="14"/>
      <color indexed="12"/>
      <name val="Calibri"/>
      <family val="2"/>
    </font>
    <font>
      <b/>
      <sz val="16"/>
      <color indexed="8"/>
      <name val="Calibri"/>
      <family val="2"/>
    </font>
    <font>
      <b/>
      <u/>
      <sz val="11"/>
      <color indexed="30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1"/>
      <scheme val="minor"/>
    </font>
    <font>
      <b/>
      <sz val="12"/>
      <color rgb="FF000118"/>
      <name val="Nunito Sans"/>
    </font>
    <font>
      <b/>
      <sz val="11"/>
      <color rgb="FFFF0000"/>
      <name val="Calibri"/>
      <family val="2"/>
      <scheme val="minor"/>
    </font>
    <font>
      <sz val="7"/>
      <name val="Courier New"/>
      <family val="3"/>
    </font>
    <font>
      <b/>
      <sz val="9"/>
      <color indexed="81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2">
    <xf numFmtId="0" fontId="0" fillId="0" borderId="0"/>
    <xf numFmtId="164" fontId="2" fillId="0" borderId="0" applyFont="0" applyFill="0" applyBorder="0" applyAlignment="0" applyProtection="0"/>
    <xf numFmtId="0" fontId="5" fillId="4" borderId="0" applyNumberFormat="0" applyBorder="0" applyAlignment="0" applyProtection="0"/>
    <xf numFmtId="9" fontId="2" fillId="0" borderId="0" applyFont="0" applyFill="0" applyBorder="0" applyAlignment="0" applyProtection="0"/>
    <xf numFmtId="0" fontId="21" fillId="0" borderId="0"/>
    <xf numFmtId="0" fontId="22" fillId="0" borderId="0"/>
    <xf numFmtId="0" fontId="26" fillId="0" borderId="0"/>
    <xf numFmtId="0" fontId="27" fillId="0" borderId="27"/>
    <xf numFmtId="0" fontId="28" fillId="0" borderId="27"/>
    <xf numFmtId="0" fontId="29" fillId="0" borderId="6"/>
    <xf numFmtId="0" fontId="29" fillId="0" borderId="0"/>
    <xf numFmtId="0" fontId="30" fillId="14" borderId="0"/>
    <xf numFmtId="0" fontId="31" fillId="15" borderId="0"/>
    <xf numFmtId="0" fontId="32" fillId="16" borderId="0"/>
    <xf numFmtId="0" fontId="33" fillId="12" borderId="13"/>
    <xf numFmtId="0" fontId="34" fillId="17" borderId="13"/>
    <xf numFmtId="0" fontId="35" fillId="17" borderId="13"/>
    <xf numFmtId="0" fontId="36" fillId="0" borderId="28"/>
    <xf numFmtId="0" fontId="23" fillId="18" borderId="29"/>
    <xf numFmtId="0" fontId="24" fillId="0" borderId="0"/>
    <xf numFmtId="0" fontId="21" fillId="13" borderId="13"/>
    <xf numFmtId="0" fontId="37" fillId="0" borderId="0"/>
    <xf numFmtId="0" fontId="18" fillId="0" borderId="30"/>
    <xf numFmtId="0" fontId="25" fillId="19" borderId="0"/>
    <xf numFmtId="0" fontId="21" fillId="20" borderId="0"/>
    <xf numFmtId="0" fontId="21" fillId="21" borderId="0"/>
    <xf numFmtId="0" fontId="25" fillId="22" borderId="0"/>
    <xf numFmtId="0" fontId="25" fillId="23" borderId="0"/>
    <xf numFmtId="0" fontId="21" fillId="7" borderId="0"/>
    <xf numFmtId="0" fontId="21" fillId="5" borderId="0"/>
    <xf numFmtId="0" fontId="25" fillId="24" borderId="0"/>
    <xf numFmtId="0" fontId="25" fillId="25" borderId="0"/>
    <xf numFmtId="0" fontId="21" fillId="26" borderId="0"/>
    <xf numFmtId="0" fontId="21" fillId="3" borderId="0"/>
    <xf numFmtId="0" fontId="25" fillId="27" borderId="0"/>
    <xf numFmtId="0" fontId="25" fillId="28" borderId="0"/>
    <xf numFmtId="0" fontId="21" fillId="29" borderId="0"/>
    <xf numFmtId="0" fontId="21" fillId="6" borderId="0"/>
    <xf numFmtId="0" fontId="25" fillId="30" borderId="0"/>
    <xf numFmtId="0" fontId="25" fillId="31" borderId="0"/>
    <xf numFmtId="0" fontId="21" fillId="8" borderId="0"/>
    <xf numFmtId="0" fontId="21" fillId="32" borderId="0"/>
    <xf numFmtId="0" fontId="25" fillId="33" borderId="0"/>
    <xf numFmtId="0" fontId="25" fillId="34" borderId="0"/>
    <xf numFmtId="0" fontId="21" fillId="35" borderId="0"/>
    <xf numFmtId="0" fontId="21" fillId="36" borderId="0"/>
    <xf numFmtId="0" fontId="25" fillId="9" borderId="0"/>
    <xf numFmtId="0" fontId="22" fillId="0" borderId="0"/>
    <xf numFmtId="0" fontId="22" fillId="0" borderId="0"/>
    <xf numFmtId="0" fontId="21" fillId="0" borderId="0"/>
    <xf numFmtId="0" fontId="14" fillId="0" borderId="0"/>
    <xf numFmtId="0" fontId="21" fillId="0" borderId="0" applyFill="0" applyProtection="0"/>
  </cellStyleXfs>
  <cellXfs count="22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9" fontId="1" fillId="0" borderId="0" xfId="0" applyNumberFormat="1" applyFont="1"/>
    <xf numFmtId="164" fontId="0" fillId="0" borderId="0" xfId="1" applyFont="1" applyFill="1"/>
    <xf numFmtId="164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2" xfId="0" applyFont="1" applyBorder="1"/>
    <xf numFmtId="0" fontId="1" fillId="0" borderId="3" xfId="0" applyFont="1" applyBorder="1"/>
    <xf numFmtId="9" fontId="0" fillId="0" borderId="6" xfId="0" applyNumberFormat="1" applyBorder="1"/>
    <xf numFmtId="9" fontId="4" fillId="0" borderId="0" xfId="0" applyNumberFormat="1" applyFont="1"/>
    <xf numFmtId="0" fontId="4" fillId="0" borderId="0" xfId="0" applyFont="1"/>
    <xf numFmtId="0" fontId="3" fillId="0" borderId="0" xfId="0" applyFont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168" fontId="0" fillId="0" borderId="0" xfId="0" applyNumberFormat="1"/>
    <xf numFmtId="0" fontId="0" fillId="5" borderId="0" xfId="0" applyFill="1"/>
    <xf numFmtId="4" fontId="0" fillId="0" borderId="0" xfId="0" applyNumberFormat="1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2" fontId="6" fillId="0" borderId="0" xfId="0" applyNumberFormat="1" applyFont="1"/>
    <xf numFmtId="0" fontId="7" fillId="0" borderId="0" xfId="0" applyFont="1"/>
    <xf numFmtId="2" fontId="8" fillId="0" borderId="0" xfId="0" applyNumberFormat="1" applyFont="1" applyAlignment="1">
      <alignment horizontal="left"/>
    </xf>
    <xf numFmtId="0" fontId="9" fillId="4" borderId="10" xfId="2" applyFont="1" applyBorder="1"/>
    <xf numFmtId="0" fontId="9" fillId="4" borderId="0" xfId="2" applyFont="1"/>
    <xf numFmtId="3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8" borderId="0" xfId="0" applyFill="1"/>
    <xf numFmtId="164" fontId="0" fillId="0" borderId="0" xfId="1" applyFont="1"/>
    <xf numFmtId="2" fontId="0" fillId="2" borderId="0" xfId="0" applyNumberFormat="1" applyFill="1"/>
    <xf numFmtId="169" fontId="10" fillId="0" borderId="0" xfId="0" applyNumberFormat="1" applyFont="1"/>
    <xf numFmtId="165" fontId="10" fillId="0" borderId="0" xfId="0" applyNumberFormat="1" applyFont="1"/>
    <xf numFmtId="165" fontId="11" fillId="0" borderId="0" xfId="0" applyNumberFormat="1" applyFont="1"/>
    <xf numFmtId="167" fontId="0" fillId="0" borderId="0" xfId="1" applyNumberFormat="1" applyFont="1"/>
    <xf numFmtId="0" fontId="0" fillId="2" borderId="0" xfId="0" applyFill="1"/>
    <xf numFmtId="2" fontId="0" fillId="0" borderId="0" xfId="0" applyNumberFormat="1"/>
    <xf numFmtId="168" fontId="0" fillId="0" borderId="0" xfId="3" applyNumberFormat="1" applyFont="1"/>
    <xf numFmtId="0" fontId="1" fillId="0" borderId="0" xfId="0" applyFont="1" applyAlignment="1">
      <alignment wrapText="1"/>
    </xf>
    <xf numFmtId="10" fontId="0" fillId="0" borderId="0" xfId="0" applyNumberFormat="1"/>
    <xf numFmtId="0" fontId="1" fillId="9" borderId="0" xfId="0" applyFont="1" applyFill="1"/>
    <xf numFmtId="170" fontId="0" fillId="0" borderId="0" xfId="0" applyNumberFormat="1"/>
    <xf numFmtId="166" fontId="0" fillId="0" borderId="0" xfId="0" applyNumberFormat="1"/>
    <xf numFmtId="0" fontId="4" fillId="0" borderId="11" xfId="0" applyFont="1" applyBorder="1"/>
    <xf numFmtId="167" fontId="4" fillId="0" borderId="12" xfId="0" applyNumberFormat="1" applyFont="1" applyBorder="1"/>
    <xf numFmtId="0" fontId="0" fillId="0" borderId="11" xfId="0" applyBorder="1"/>
    <xf numFmtId="167" fontId="0" fillId="0" borderId="12" xfId="0" applyNumberFormat="1" applyBorder="1"/>
    <xf numFmtId="0" fontId="0" fillId="0" borderId="12" xfId="0" applyBorder="1"/>
    <xf numFmtId="167" fontId="0" fillId="0" borderId="7" xfId="0" applyNumberFormat="1" applyBorder="1"/>
    <xf numFmtId="0" fontId="3" fillId="2" borderId="2" xfId="0" applyFont="1" applyFill="1" applyBorder="1"/>
    <xf numFmtId="0" fontId="4" fillId="2" borderId="4" xfId="0" applyFont="1" applyFill="1" applyBorder="1"/>
    <xf numFmtId="0" fontId="0" fillId="0" borderId="2" xfId="0" applyBorder="1"/>
    <xf numFmtId="0" fontId="4" fillId="0" borderId="4" xfId="0" applyFont="1" applyBorder="1"/>
    <xf numFmtId="9" fontId="0" fillId="0" borderId="12" xfId="0" applyNumberFormat="1" applyBorder="1"/>
    <xf numFmtId="171" fontId="0" fillId="0" borderId="0" xfId="0" applyNumberFormat="1"/>
    <xf numFmtId="9" fontId="0" fillId="2" borderId="0" xfId="0" applyNumberFormat="1" applyFill="1"/>
    <xf numFmtId="172" fontId="0" fillId="0" borderId="0" xfId="0" applyNumberFormat="1"/>
    <xf numFmtId="9" fontId="1" fillId="2" borderId="0" xfId="0" applyNumberFormat="1" applyFont="1" applyFill="1"/>
    <xf numFmtId="9" fontId="0" fillId="2" borderId="5" xfId="0" applyNumberFormat="1" applyFill="1" applyBorder="1"/>
    <xf numFmtId="9" fontId="0" fillId="2" borderId="6" xfId="0" applyNumberFormat="1" applyFill="1" applyBorder="1"/>
    <xf numFmtId="9" fontId="0" fillId="2" borderId="7" xfId="0" applyNumberFormat="1" applyFill="1" applyBorder="1"/>
    <xf numFmtId="0" fontId="0" fillId="0" borderId="0" xfId="0" applyAlignment="1">
      <alignment wrapText="1"/>
    </xf>
    <xf numFmtId="9" fontId="0" fillId="0" borderId="0" xfId="3" applyFont="1"/>
    <xf numFmtId="10" fontId="0" fillId="0" borderId="0" xfId="3" applyNumberFormat="1" applyFont="1"/>
    <xf numFmtId="0" fontId="0" fillId="5" borderId="0" xfId="0" applyFill="1" applyAlignment="1">
      <alignment wrapText="1"/>
    </xf>
    <xf numFmtId="10" fontId="0" fillId="5" borderId="0" xfId="3" applyNumberFormat="1" applyFont="1" applyFill="1" applyAlignment="1">
      <alignment wrapText="1"/>
    </xf>
    <xf numFmtId="0" fontId="0" fillId="0" borderId="17" xfId="0" applyBorder="1"/>
    <xf numFmtId="0" fontId="0" fillId="0" borderId="21" xfId="0" applyBorder="1"/>
    <xf numFmtId="0" fontId="0" fillId="0" borderId="19" xfId="0" applyBorder="1"/>
    <xf numFmtId="0" fontId="21" fillId="0" borderId="0" xfId="4"/>
    <xf numFmtId="0" fontId="19" fillId="0" borderId="0" xfId="4" applyFont="1"/>
    <xf numFmtId="0" fontId="15" fillId="0" borderId="0" xfId="50" applyFont="1"/>
    <xf numFmtId="3" fontId="21" fillId="0" borderId="0" xfId="4" applyNumberFormat="1"/>
    <xf numFmtId="0" fontId="16" fillId="0" borderId="0" xfId="4" applyFont="1"/>
    <xf numFmtId="1" fontId="21" fillId="0" borderId="0" xfId="4" applyNumberFormat="1" applyAlignment="1">
      <alignment horizontal="right"/>
    </xf>
    <xf numFmtId="1" fontId="18" fillId="11" borderId="1" xfId="4" applyNumberFormat="1" applyFont="1" applyFill="1" applyBorder="1" applyAlignment="1">
      <alignment horizontal="left" vertical="center"/>
    </xf>
    <xf numFmtId="1" fontId="18" fillId="11" borderId="1" xfId="4" applyNumberFormat="1" applyFont="1" applyFill="1" applyBorder="1" applyAlignment="1">
      <alignment horizontal="right" vertical="center"/>
    </xf>
    <xf numFmtId="1" fontId="18" fillId="11" borderId="20" xfId="4" applyNumberFormat="1" applyFont="1" applyFill="1" applyBorder="1" applyAlignment="1">
      <alignment horizontal="right" vertical="center"/>
    </xf>
    <xf numFmtId="165" fontId="19" fillId="0" borderId="21" xfId="4" applyNumberFormat="1" applyFont="1" applyBorder="1"/>
    <xf numFmtId="165" fontId="19" fillId="0" borderId="0" xfId="4" applyNumberFormat="1" applyFont="1"/>
    <xf numFmtId="165" fontId="19" fillId="0" borderId="22" xfId="4" applyNumberFormat="1" applyFont="1" applyBorder="1"/>
    <xf numFmtId="0" fontId="18" fillId="0" borderId="0" xfId="4" applyFont="1"/>
    <xf numFmtId="0" fontId="19" fillId="0" borderId="0" xfId="4" applyFont="1" applyAlignment="1">
      <alignment horizontal="center"/>
    </xf>
    <xf numFmtId="0" fontId="19" fillId="0" borderId="22" xfId="4" applyFont="1" applyBorder="1" applyAlignment="1">
      <alignment horizontal="center"/>
    </xf>
    <xf numFmtId="3" fontId="19" fillId="0" borderId="0" xfId="4" applyNumberFormat="1" applyFont="1"/>
    <xf numFmtId="0" fontId="18" fillId="11" borderId="24" xfId="4" applyFont="1" applyFill="1" applyBorder="1" applyAlignment="1">
      <alignment horizontal="center" vertical="center" wrapText="1"/>
    </xf>
    <xf numFmtId="0" fontId="18" fillId="11" borderId="26" xfId="4" applyFont="1" applyFill="1" applyBorder="1" applyAlignment="1">
      <alignment horizontal="center" vertical="center" wrapText="1"/>
    </xf>
    <xf numFmtId="0" fontId="18" fillId="11" borderId="25" xfId="4" applyFont="1" applyFill="1" applyBorder="1" applyAlignment="1">
      <alignment horizontal="center" vertical="center" wrapText="1"/>
    </xf>
    <xf numFmtId="0" fontId="18" fillId="0" borderId="0" xfId="4" applyFont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165" fontId="19" fillId="0" borderId="0" xfId="4" applyNumberFormat="1" applyFont="1" applyAlignment="1">
      <alignment horizontal="center"/>
    </xf>
    <xf numFmtId="0" fontId="21" fillId="10" borderId="0" xfId="50" applyFont="1" applyFill="1" applyAlignment="1">
      <alignment vertical="center"/>
    </xf>
    <xf numFmtId="0" fontId="18" fillId="0" borderId="21" xfId="4" applyFont="1" applyBorder="1" applyAlignment="1">
      <alignment horizontal="center"/>
    </xf>
    <xf numFmtId="0" fontId="18" fillId="11" borderId="19" xfId="4" applyFont="1" applyFill="1" applyBorder="1" applyAlignment="1">
      <alignment horizontal="right" vertical="center"/>
    </xf>
    <xf numFmtId="0" fontId="18" fillId="11" borderId="1" xfId="4" applyFont="1" applyFill="1" applyBorder="1" applyAlignment="1">
      <alignment horizontal="right" vertical="center"/>
    </xf>
    <xf numFmtId="0" fontId="18" fillId="11" borderId="20" xfId="4" applyFont="1" applyFill="1" applyBorder="1" applyAlignment="1">
      <alignment horizontal="right" vertical="center"/>
    </xf>
    <xf numFmtId="0" fontId="20" fillId="0" borderId="21" xfId="4" applyFont="1" applyBorder="1" applyAlignment="1">
      <alignment horizontal="center"/>
    </xf>
    <xf numFmtId="0" fontId="19" fillId="0" borderId="21" xfId="4" applyFont="1" applyBorder="1"/>
    <xf numFmtId="1" fontId="18" fillId="11" borderId="19" xfId="4" applyNumberFormat="1" applyFont="1" applyFill="1" applyBorder="1" applyAlignment="1">
      <alignment horizontal="right" vertical="center"/>
    </xf>
    <xf numFmtId="0" fontId="21" fillId="13" borderId="13" xfId="20"/>
    <xf numFmtId="0" fontId="38" fillId="0" borderId="0" xfId="5" applyFont="1"/>
    <xf numFmtId="0" fontId="38" fillId="0" borderId="0" xfId="5" applyFont="1" applyAlignment="1">
      <alignment horizontal="left"/>
    </xf>
    <xf numFmtId="0" fontId="39" fillId="0" borderId="0" xfId="0" applyFont="1"/>
    <xf numFmtId="0" fontId="13" fillId="0" borderId="0" xfId="0" applyFont="1"/>
    <xf numFmtId="0" fontId="40" fillId="0" borderId="0" xfId="0" applyFont="1" applyAlignment="1">
      <alignment wrapText="1"/>
    </xf>
    <xf numFmtId="14" fontId="41" fillId="0" borderId="0" xfId="0" applyNumberFormat="1" applyFont="1"/>
    <xf numFmtId="0" fontId="13" fillId="0" borderId="0" xfId="0" applyFont="1" applyAlignment="1">
      <alignment wrapText="1"/>
    </xf>
    <xf numFmtId="0" fontId="13" fillId="0" borderId="16" xfId="0" applyFont="1" applyBorder="1" applyAlignment="1">
      <alignment horizontal="center" vertical="center"/>
    </xf>
    <xf numFmtId="0" fontId="13" fillId="0" borderId="4" xfId="0" applyFont="1" applyBorder="1"/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0" fontId="13" fillId="0" borderId="0" xfId="0" applyNumberFormat="1" applyFont="1"/>
    <xf numFmtId="165" fontId="0" fillId="0" borderId="14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5" xfId="0" applyNumberFormat="1" applyBorder="1" applyAlignment="1">
      <alignment horizontal="center" vertical="center"/>
    </xf>
    <xf numFmtId="9" fontId="0" fillId="0" borderId="4" xfId="0" applyNumberFormat="1" applyBorder="1"/>
    <xf numFmtId="9" fontId="0" fillId="0" borderId="12" xfId="3" applyFont="1" applyBorder="1"/>
    <xf numFmtId="0" fontId="0" fillId="0" borderId="2" xfId="0" applyBorder="1" applyAlignment="1">
      <alignment horizontal="left"/>
    </xf>
    <xf numFmtId="9" fontId="0" fillId="0" borderId="4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9" fontId="0" fillId="0" borderId="12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0" fontId="0" fillId="0" borderId="0" xfId="3" applyNumberFormat="1" applyFont="1" applyBorder="1"/>
    <xf numFmtId="10" fontId="0" fillId="0" borderId="6" xfId="3" applyNumberFormat="1" applyFont="1" applyBorder="1"/>
    <xf numFmtId="2" fontId="0" fillId="0" borderId="6" xfId="0" applyNumberFormat="1" applyBorder="1"/>
    <xf numFmtId="0" fontId="13" fillId="37" borderId="2" xfId="0" applyFont="1" applyFill="1" applyBorder="1"/>
    <xf numFmtId="0" fontId="13" fillId="37" borderId="3" xfId="0" applyFont="1" applyFill="1" applyBorder="1"/>
    <xf numFmtId="164" fontId="10" fillId="0" borderId="0" xfId="1" applyFont="1" applyFill="1" applyBorder="1" applyAlignment="1"/>
    <xf numFmtId="173" fontId="0" fillId="0" borderId="0" xfId="0" applyNumberFormat="1"/>
    <xf numFmtId="174" fontId="0" fillId="0" borderId="0" xfId="0" applyNumberFormat="1"/>
    <xf numFmtId="0" fontId="0" fillId="0" borderId="31" xfId="0" applyBorder="1"/>
    <xf numFmtId="0" fontId="40" fillId="0" borderId="0" xfId="0" applyFont="1"/>
    <xf numFmtId="173" fontId="40" fillId="0" borderId="0" xfId="0" applyNumberFormat="1" applyFont="1"/>
    <xf numFmtId="9" fontId="0" fillId="0" borderId="7" xfId="3" applyFont="1" applyBorder="1"/>
    <xf numFmtId="0" fontId="0" fillId="0" borderId="32" xfId="0" applyBorder="1"/>
    <xf numFmtId="173" fontId="0" fillId="2" borderId="0" xfId="0" applyNumberFormat="1" applyFill="1"/>
    <xf numFmtId="0" fontId="13" fillId="0" borderId="2" xfId="0" applyFont="1" applyBorder="1"/>
    <xf numFmtId="9" fontId="0" fillId="0" borderId="7" xfId="0" applyNumberFormat="1" applyBorder="1"/>
    <xf numFmtId="0" fontId="13" fillId="0" borderId="1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37" borderId="4" xfId="0" applyFont="1" applyFill="1" applyBorder="1"/>
    <xf numFmtId="10" fontId="0" fillId="0" borderId="12" xfId="3" applyNumberFormat="1" applyFont="1" applyBorder="1"/>
    <xf numFmtId="10" fontId="0" fillId="0" borderId="7" xfId="3" applyNumberFormat="1" applyFont="1" applyBorder="1"/>
    <xf numFmtId="2" fontId="0" fillId="0" borderId="0" xfId="1" applyNumberFormat="1" applyFont="1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9" fontId="0" fillId="0" borderId="0" xfId="3" applyFont="1" applyBorder="1" applyAlignment="1">
      <alignment horizontal="center" vertical="center"/>
    </xf>
    <xf numFmtId="165" fontId="0" fillId="0" borderId="23" xfId="0" applyNumberFormat="1" applyBorder="1" applyAlignment="1">
      <alignment horizontal="center" vertical="center"/>
    </xf>
    <xf numFmtId="9" fontId="0" fillId="0" borderId="23" xfId="3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9" fontId="0" fillId="0" borderId="1" xfId="3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5" xfId="0" applyBorder="1"/>
    <xf numFmtId="10" fontId="0" fillId="0" borderId="0" xfId="3" applyNumberFormat="1" applyFont="1" applyFill="1" applyBorder="1"/>
    <xf numFmtId="167" fontId="0" fillId="0" borderId="3" xfId="0" applyNumberFormat="1" applyBorder="1"/>
    <xf numFmtId="167" fontId="0" fillId="0" borderId="4" xfId="0" applyNumberFormat="1" applyBorder="1"/>
    <xf numFmtId="167" fontId="0" fillId="0" borderId="6" xfId="0" applyNumberFormat="1" applyBorder="1"/>
    <xf numFmtId="0" fontId="42" fillId="0" borderId="2" xfId="0" applyFont="1" applyBorder="1"/>
    <xf numFmtId="0" fontId="1" fillId="0" borderId="12" xfId="0" applyFont="1" applyBorder="1"/>
    <xf numFmtId="165" fontId="0" fillId="0" borderId="6" xfId="0" applyNumberForma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33" xfId="0" applyBorder="1"/>
    <xf numFmtId="165" fontId="0" fillId="0" borderId="17" xfId="0" applyNumberFormat="1" applyBorder="1" applyAlignment="1">
      <alignment horizontal="center" vertical="center"/>
    </xf>
    <xf numFmtId="165" fontId="0" fillId="0" borderId="21" xfId="0" applyNumberFormat="1" applyBorder="1" applyAlignment="1">
      <alignment horizontal="center" vertical="center"/>
    </xf>
    <xf numFmtId="165" fontId="0" fillId="0" borderId="19" xfId="0" applyNumberFormat="1" applyBorder="1" applyAlignment="1">
      <alignment horizontal="center" vertical="center"/>
    </xf>
    <xf numFmtId="167" fontId="1" fillId="0" borderId="0" xfId="0" applyNumberFormat="1" applyFont="1"/>
    <xf numFmtId="0" fontId="0" fillId="38" borderId="0" xfId="0" applyFill="1"/>
    <xf numFmtId="0" fontId="1" fillId="38" borderId="0" xfId="0" applyFont="1" applyFill="1"/>
    <xf numFmtId="2" fontId="0" fillId="38" borderId="0" xfId="0" applyNumberFormat="1" applyFill="1"/>
    <xf numFmtId="14" fontId="43" fillId="0" borderId="4" xfId="0" applyNumberFormat="1" applyFont="1" applyBorder="1"/>
    <xf numFmtId="14" fontId="43" fillId="0" borderId="7" xfId="0" applyNumberFormat="1" applyFont="1" applyBorder="1"/>
    <xf numFmtId="0" fontId="1" fillId="0" borderId="4" xfId="0" applyFont="1" applyBorder="1"/>
    <xf numFmtId="0" fontId="1" fillId="0" borderId="11" xfId="0" applyFont="1" applyBorder="1"/>
    <xf numFmtId="9" fontId="1" fillId="2" borderId="12" xfId="0" applyNumberFormat="1" applyFont="1" applyFill="1" applyBorder="1"/>
    <xf numFmtId="0" fontId="3" fillId="0" borderId="5" xfId="0" applyFont="1" applyBorder="1"/>
    <xf numFmtId="9" fontId="4" fillId="0" borderId="6" xfId="0" applyNumberFormat="1" applyFont="1" applyBorder="1"/>
    <xf numFmtId="9" fontId="4" fillId="0" borderId="7" xfId="0" applyNumberFormat="1" applyFont="1" applyBorder="1"/>
    <xf numFmtId="166" fontId="0" fillId="0" borderId="3" xfId="0" applyNumberFormat="1" applyBorder="1"/>
    <xf numFmtId="9" fontId="0" fillId="0" borderId="3" xfId="0" applyNumberFormat="1" applyBorder="1"/>
    <xf numFmtId="9" fontId="0" fillId="2" borderId="12" xfId="0" applyNumberFormat="1" applyFill="1" applyBorder="1"/>
    <xf numFmtId="167" fontId="4" fillId="0" borderId="7" xfId="0" applyNumberFormat="1" applyFont="1" applyBorder="1"/>
    <xf numFmtId="9" fontId="0" fillId="2" borderId="4" xfId="0" applyNumberFormat="1" applyFill="1" applyBorder="1"/>
    <xf numFmtId="0" fontId="0" fillId="36" borderId="0" xfId="0" applyFill="1"/>
    <xf numFmtId="9" fontId="0" fillId="36" borderId="9" xfId="0" applyNumberFormat="1" applyFill="1" applyBorder="1"/>
    <xf numFmtId="1" fontId="0" fillId="36" borderId="0" xfId="0" applyNumberFormat="1" applyFill="1"/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3" fontId="20" fillId="0" borderId="0" xfId="4" applyNumberFormat="1" applyFont="1" applyAlignment="1">
      <alignment horizontal="center"/>
    </xf>
    <xf numFmtId="0" fontId="18" fillId="0" borderId="17" xfId="4" applyFont="1" applyBorder="1" applyAlignment="1">
      <alignment horizontal="center" vertical="center"/>
    </xf>
    <xf numFmtId="0" fontId="18" fillId="0" borderId="23" xfId="4" applyFont="1" applyBorder="1" applyAlignment="1">
      <alignment horizontal="center" vertical="center"/>
    </xf>
    <xf numFmtId="0" fontId="18" fillId="0" borderId="18" xfId="4" applyFont="1" applyBorder="1" applyAlignment="1">
      <alignment horizontal="center" vertical="center"/>
    </xf>
  </cellXfs>
  <cellStyles count="52">
    <cellStyle name="20% - Accent1 2" xfId="24" xr:uid="{6BF567C9-3E19-4630-AF0A-0733C7BFCE04}"/>
    <cellStyle name="20% - Accent2 2" xfId="28" xr:uid="{5F0600A4-5BB4-497F-9807-6F9D2A2A3D3D}"/>
    <cellStyle name="20% - Accent3 2" xfId="32" xr:uid="{DBF42285-B623-4F8B-BA82-E5910643416B}"/>
    <cellStyle name="20% - Accent4 2" xfId="36" xr:uid="{4DCDC153-26D1-4002-8E2D-81916D625F7E}"/>
    <cellStyle name="20% - Accent5 2" xfId="40" xr:uid="{8DAB878B-1406-49CB-A825-4A720222E27A}"/>
    <cellStyle name="20% - Accent6 2" xfId="44" xr:uid="{D7129595-6E29-4C9E-8A40-CB20ED27F2A1}"/>
    <cellStyle name="40% - Accent1 2" xfId="25" xr:uid="{EE5EFDA3-DAFB-44BD-9F41-B55E770AE017}"/>
    <cellStyle name="40% - Accent2 2" xfId="29" xr:uid="{E60B08D7-FCFC-4B75-949E-53F991A87A95}"/>
    <cellStyle name="40% - Accent3 2" xfId="33" xr:uid="{B55CEAC8-3FFC-42A0-9906-73D0C544EB86}"/>
    <cellStyle name="40% - Accent4 2" xfId="37" xr:uid="{59C4DF45-BCD5-46B6-8F9E-6EDD2098F372}"/>
    <cellStyle name="40% - Accent5 2" xfId="41" xr:uid="{B4421AFC-A7D7-4211-8102-F52CAE046248}"/>
    <cellStyle name="40% - Accent6 2" xfId="45" xr:uid="{4375B196-4796-4AEE-B670-08CF84FDA4DE}"/>
    <cellStyle name="60% - Accent1 2" xfId="26" xr:uid="{5AA6FCB0-CD17-4C34-8429-EDB769B7872A}"/>
    <cellStyle name="60% - Accent2 2" xfId="30" xr:uid="{725B5829-70DC-47F8-94AF-24E67FFE08A6}"/>
    <cellStyle name="60% - Accent3 2" xfId="34" xr:uid="{78968431-9ED7-4764-B0A6-174D90961FDE}"/>
    <cellStyle name="60% - Accent4 2" xfId="38" xr:uid="{2CDE5411-0817-42C7-9BE8-A3F5850D4E7C}"/>
    <cellStyle name="60% - Accent5 2" xfId="42" xr:uid="{AA76549F-F357-40F6-A8A0-F4D9C90E33C5}"/>
    <cellStyle name="60% - Accent6 2" xfId="46" xr:uid="{B834F776-29E6-442B-B2A4-13E499B88243}"/>
    <cellStyle name="Accent1 2" xfId="23" xr:uid="{E31E200E-E4F1-40BC-A964-614943D67F5F}"/>
    <cellStyle name="Accent2 2" xfId="27" xr:uid="{14CB3ABC-1D87-42A7-8EC9-22951DAB35B7}"/>
    <cellStyle name="Accent3 2" xfId="31" xr:uid="{FC8DFCD8-A5C1-453C-A832-7C7EEC8D3A45}"/>
    <cellStyle name="Accent4 2" xfId="35" xr:uid="{C984AEFA-60ED-4827-A0A8-CF53BC33DB1C}"/>
    <cellStyle name="Accent5 2" xfId="39" xr:uid="{C4C081E2-30E4-4FE8-9241-47C9A7D4F425}"/>
    <cellStyle name="Accent6 2" xfId="43" xr:uid="{ACBE0022-0325-4427-B342-7D198FC24C57}"/>
    <cellStyle name="Bad 2" xfId="12" xr:uid="{34FA6DDA-7C4A-4AAF-B54F-AC61B9198874}"/>
    <cellStyle name="Calculation 2" xfId="16" xr:uid="{4C103943-B964-476F-8DED-2CBBE8FF5AB3}"/>
    <cellStyle name="Check Cell 2" xfId="18" xr:uid="{A5B4E367-727F-4FF5-97CD-0B2AC393E0AC}"/>
    <cellStyle name="Comma" xfId="1" builtinId="3"/>
    <cellStyle name="Explanatory Text 2" xfId="21" xr:uid="{CA4E047B-78A0-4149-B455-DA7DEC1140AC}"/>
    <cellStyle name="Good" xfId="2" builtinId="26"/>
    <cellStyle name="Good 2" xfId="11" xr:uid="{ACD8C754-FD4D-4B70-9E33-7A7C7FD8649E}"/>
    <cellStyle name="Heading 1 2" xfId="7" xr:uid="{173B1166-3921-420C-8765-28E946828845}"/>
    <cellStyle name="Heading 2 2" xfId="8" xr:uid="{E323F497-5728-45A9-A83B-E5FFBE5F3B8D}"/>
    <cellStyle name="Heading 3 2" xfId="9" xr:uid="{842A6238-2186-496C-BA5F-D924F4DD879D}"/>
    <cellStyle name="Heading 4 2" xfId="10" xr:uid="{0E8A40DF-39D7-4BCE-B781-19E0C27BDDB5}"/>
    <cellStyle name="Hyperlink 2" xfId="50" xr:uid="{585E602A-854D-40CA-B45C-D7EC796A3C12}"/>
    <cellStyle name="Input 2" xfId="14" xr:uid="{9FB5D653-92B2-447E-A9C5-44E81D71809B}"/>
    <cellStyle name="Linked Cell 2" xfId="17" xr:uid="{4DC9DA3A-47A9-4697-9B4B-E2759465A1FF}"/>
    <cellStyle name="Neutral 2" xfId="13" xr:uid="{86A8DAC4-4E23-4DC3-8FAD-3DAEBC1B653E}"/>
    <cellStyle name="Normal" xfId="0" builtinId="0"/>
    <cellStyle name="Normal 2" xfId="5" xr:uid="{1B6474D5-B1FB-4CF3-894C-9CA566BA18CC}"/>
    <cellStyle name="Normal 2 2" xfId="47" xr:uid="{2D7C4D45-C813-4CC8-9258-BED30AB3C215}"/>
    <cellStyle name="Normal 2 2 2" xfId="48" xr:uid="{2C1E2A28-1B42-41ED-B6CB-85F988B9763D}"/>
    <cellStyle name="Normal 3" xfId="49" xr:uid="{D60CEBFB-F3B0-497F-A27B-E0BA49DFEF7C}"/>
    <cellStyle name="Normal 4" xfId="4" xr:uid="{958436DA-23C3-4F88-95CD-360D4C51F944}"/>
    <cellStyle name="Normal 5" xfId="51" xr:uid="{7B936215-C9A4-44ED-9EFF-D9C25E5F21B0}"/>
    <cellStyle name="Note 2" xfId="20" xr:uid="{DA5BF5B2-5940-424E-85C9-00F9C2454F44}"/>
    <cellStyle name="Output 2" xfId="15" xr:uid="{482649A2-BB86-4C01-9ED9-51DFAD926240}"/>
    <cellStyle name="Percent" xfId="3" builtinId="5"/>
    <cellStyle name="Title 2" xfId="6" xr:uid="{FB6D4149-6ABD-4DB4-95B3-0D1495DBAFEF}"/>
    <cellStyle name="Total 2" xfId="22" xr:uid="{AA230248-B9E2-4D03-991C-F308A812F75F}"/>
    <cellStyle name="Warning Text 2" xfId="19" xr:uid="{DCD35606-1851-419A-A761-DC327BEC07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5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4.xml"/><Relationship Id="rId33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hartsheet" Target="chartsheets/sheet1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6.xml"/><Relationship Id="rId30" Type="http://schemas.openxmlformats.org/officeDocument/2006/relationships/theme" Target="theme/theme1.xml"/><Relationship Id="rId35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worldeconomics.com/Concepts/World-Economics-GDP-Database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/>
  </sheetViews>
  <sheetFormatPr defaultRowHeight="14.5" x14ac:dyDescent="0.35"/>
  <sheetData>
    <row r="1" spans="1:2" x14ac:dyDescent="0.35">
      <c r="B1" t="s">
        <v>13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  <row r="11" spans="1:2" x14ac:dyDescent="0.35"/>
    <row r="12" spans="1:2" x14ac:dyDescent="0.35"/>
    <row r="13" spans="1:2" x14ac:dyDescent="0.35"/>
    <row r="14" spans="1:2" x14ac:dyDescent="0.35"/>
    <row r="15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8:V86"/>
  <sheetViews>
    <sheetView topLeftCell="A7" zoomScale="70" zoomScaleNormal="70" workbookViewId="0">
      <selection activeCell="H20" sqref="H20"/>
    </sheetView>
  </sheetViews>
  <sheetFormatPr defaultRowHeight="14.5" x14ac:dyDescent="0.35"/>
  <cols>
    <col min="3" max="3" width="18.54296875" customWidth="1"/>
    <col min="4" max="4" width="26.81640625" customWidth="1"/>
    <col min="5" max="5" width="24.81640625" bestFit="1" customWidth="1"/>
    <col min="6" max="6" width="18.81640625" customWidth="1"/>
    <col min="7" max="7" width="27" customWidth="1"/>
    <col min="8" max="8" width="22.453125" customWidth="1"/>
    <col min="9" max="9" width="19.453125" customWidth="1"/>
    <col min="10" max="10" width="24.453125" customWidth="1"/>
    <col min="11" max="11" width="16.453125" customWidth="1"/>
    <col min="13" max="13" width="21.54296875" customWidth="1"/>
    <col min="14" max="14" width="12" customWidth="1"/>
    <col min="15" max="15" width="13.453125" customWidth="1"/>
    <col min="19" max="19" width="20.453125" bestFit="1" customWidth="1"/>
    <col min="22" max="22" width="11.453125" customWidth="1"/>
  </cols>
  <sheetData>
    <row r="8" spans="3:19" x14ac:dyDescent="0.35">
      <c r="C8" s="51" t="s">
        <v>415</v>
      </c>
      <c r="D8" s="51" t="s">
        <v>55</v>
      </c>
    </row>
    <row r="9" spans="3:19" ht="15" thickBot="1" x14ac:dyDescent="0.4">
      <c r="M9" t="s">
        <v>473</v>
      </c>
      <c r="N9" s="66">
        <v>0.06</v>
      </c>
      <c r="S9" s="65"/>
    </row>
    <row r="10" spans="3:19" x14ac:dyDescent="0.35">
      <c r="C10" s="1" t="s">
        <v>416</v>
      </c>
      <c r="D10" s="62" t="s">
        <v>61</v>
      </c>
      <c r="E10" s="16" t="s">
        <v>9</v>
      </c>
      <c r="F10" s="16" t="s">
        <v>56</v>
      </c>
      <c r="G10" s="188" t="s">
        <v>57</v>
      </c>
    </row>
    <row r="11" spans="3:19" ht="15" thickBot="1" x14ac:dyDescent="0.4">
      <c r="D11" s="189" t="s">
        <v>82</v>
      </c>
      <c r="E11" s="68">
        <v>0.4</v>
      </c>
      <c r="F11" s="68">
        <v>0.3</v>
      </c>
      <c r="G11" s="190">
        <v>0.3</v>
      </c>
    </row>
    <row r="12" spans="3:19" s="19" customFormat="1" ht="15" thickBot="1" x14ac:dyDescent="0.4">
      <c r="D12" s="191" t="s">
        <v>81</v>
      </c>
      <c r="E12" s="192">
        <f>E11*$E$34</f>
        <v>0.4</v>
      </c>
      <c r="F12" s="192">
        <f t="shared" ref="F12:G12" si="0">F11*$E$34</f>
        <v>0.3</v>
      </c>
      <c r="G12" s="193">
        <f t="shared" si="0"/>
        <v>0.3</v>
      </c>
      <c r="H12" s="18"/>
      <c r="M12" s="60" t="s">
        <v>450</v>
      </c>
      <c r="N12" s="61"/>
      <c r="O12" s="63" t="s">
        <v>472</v>
      </c>
    </row>
    <row r="13" spans="3:19" s="19" customFormat="1" ht="15" thickBot="1" x14ac:dyDescent="0.4">
      <c r="D13" s="20"/>
      <c r="E13" s="18"/>
      <c r="F13" s="18"/>
      <c r="G13" s="18"/>
      <c r="M13" s="54" t="s">
        <v>451</v>
      </c>
      <c r="N13" s="55">
        <f>(1/'Value -2 '!H11)</f>
        <v>4.7147084718916182E-2</v>
      </c>
      <c r="O13" s="55">
        <f>N13*(1+N9)</f>
        <v>4.9975909802051154E-2</v>
      </c>
    </row>
    <row r="14" spans="3:19" x14ac:dyDescent="0.35">
      <c r="C14" s="1" t="s">
        <v>417</v>
      </c>
      <c r="D14" s="15" t="s">
        <v>78</v>
      </c>
      <c r="E14" s="194" t="s">
        <v>63</v>
      </c>
      <c r="F14" s="195" t="s">
        <v>64</v>
      </c>
      <c r="G14" s="195" t="s">
        <v>79</v>
      </c>
      <c r="H14" s="11" t="s">
        <v>77</v>
      </c>
      <c r="M14" s="56" t="s">
        <v>452</v>
      </c>
      <c r="N14" s="57">
        <f>(1/'Value -2 '!G11)</f>
        <v>3.8319860400715729E-2</v>
      </c>
      <c r="O14" s="58"/>
    </row>
    <row r="15" spans="3:19" x14ac:dyDescent="0.35">
      <c r="D15" s="189" t="s">
        <v>82</v>
      </c>
      <c r="E15" s="66">
        <v>0.2</v>
      </c>
      <c r="F15" s="66">
        <v>0.2</v>
      </c>
      <c r="G15" s="66">
        <v>0.3</v>
      </c>
      <c r="H15" s="196">
        <v>0.3</v>
      </c>
      <c r="M15" s="56"/>
      <c r="N15" s="58"/>
      <c r="O15" s="58"/>
    </row>
    <row r="16" spans="3:19" ht="15" thickBot="1" x14ac:dyDescent="0.4">
      <c r="D16" s="191" t="s">
        <v>81</v>
      </c>
      <c r="E16" s="192">
        <f t="shared" ref="E16:F16" si="1">E15*$F$34</f>
        <v>0</v>
      </c>
      <c r="F16" s="192">
        <f t="shared" si="1"/>
        <v>0</v>
      </c>
      <c r="G16" s="192">
        <f>G15*$F$34</f>
        <v>0</v>
      </c>
      <c r="H16" s="193">
        <f>H15*$F$34</f>
        <v>0</v>
      </c>
      <c r="M16" s="56" t="s">
        <v>453</v>
      </c>
      <c r="N16" s="57">
        <f>'LIQIDITY 2'!L11/100</f>
        <v>5.5E-2</v>
      </c>
      <c r="O16" s="64">
        <v>4.4999999999999998E-2</v>
      </c>
    </row>
    <row r="17" spans="3:22" ht="15" thickBot="1" x14ac:dyDescent="0.4">
      <c r="D17" s="20"/>
      <c r="E17" s="18"/>
      <c r="F17" s="18"/>
      <c r="G17" s="18"/>
      <c r="H17" s="18"/>
      <c r="M17" s="56" t="s">
        <v>454</v>
      </c>
      <c r="N17" s="57">
        <f>'LIQIDITY 2'!E10/100</f>
        <v>3.8682000000000001E-2</v>
      </c>
      <c r="O17" s="58"/>
    </row>
    <row r="18" spans="3:22" x14ac:dyDescent="0.35">
      <c r="C18" s="1" t="s">
        <v>418</v>
      </c>
      <c r="D18" s="62" t="s">
        <v>70</v>
      </c>
      <c r="E18" s="127" t="s">
        <v>73</v>
      </c>
      <c r="F18" s="5"/>
      <c r="M18" s="56"/>
      <c r="N18" s="58"/>
      <c r="O18" s="58"/>
    </row>
    <row r="19" spans="3:22" x14ac:dyDescent="0.35">
      <c r="D19" s="189" t="s">
        <v>82</v>
      </c>
      <c r="E19" s="196">
        <v>1</v>
      </c>
      <c r="F19" s="5"/>
      <c r="G19" s="5"/>
      <c r="M19" s="56"/>
      <c r="N19" s="58"/>
      <c r="O19" s="58"/>
    </row>
    <row r="20" spans="3:22" ht="15" thickBot="1" x14ac:dyDescent="0.4">
      <c r="D20" s="191" t="s">
        <v>81</v>
      </c>
      <c r="E20" s="197">
        <f>E19*$G$34</f>
        <v>0</v>
      </c>
      <c r="F20" s="5"/>
      <c r="G20" s="5"/>
      <c r="M20" s="56"/>
      <c r="N20" s="58"/>
      <c r="O20" s="58"/>
    </row>
    <row r="21" spans="3:22" ht="15" thickBot="1" x14ac:dyDescent="0.4">
      <c r="G21" s="5"/>
      <c r="M21" s="56" t="s">
        <v>455</v>
      </c>
      <c r="N21" s="57">
        <f>N13-N16</f>
        <v>-7.8529152810838179E-3</v>
      </c>
      <c r="O21" s="57">
        <f>O13-O16</f>
        <v>4.9759098020511552E-3</v>
      </c>
    </row>
    <row r="22" spans="3:22" ht="15" thickBot="1" x14ac:dyDescent="0.4">
      <c r="C22" s="1" t="s">
        <v>505</v>
      </c>
      <c r="D22" s="15" t="s">
        <v>58</v>
      </c>
      <c r="E22" s="16" t="s">
        <v>503</v>
      </c>
      <c r="F22" s="11" t="s">
        <v>59</v>
      </c>
      <c r="M22" s="12" t="s">
        <v>456</v>
      </c>
      <c r="N22" s="59">
        <f>N13-N17</f>
        <v>8.4650847189161813E-3</v>
      </c>
      <c r="O22" s="57"/>
    </row>
    <row r="23" spans="3:22" x14ac:dyDescent="0.35">
      <c r="D23" s="189" t="s">
        <v>82</v>
      </c>
      <c r="E23" s="66">
        <v>0</v>
      </c>
      <c r="F23" s="196">
        <v>0</v>
      </c>
      <c r="G23" s="5"/>
      <c r="M23" s="9"/>
      <c r="N23" s="5"/>
      <c r="T23" s="9"/>
    </row>
    <row r="24" spans="3:22" ht="15" thickBot="1" x14ac:dyDescent="0.4">
      <c r="D24" s="191" t="s">
        <v>81</v>
      </c>
      <c r="E24" s="17">
        <f>E23*$H$34</f>
        <v>0</v>
      </c>
      <c r="F24" s="151">
        <f t="shared" ref="F24" si="2">F23*$H$34</f>
        <v>0</v>
      </c>
      <c r="G24" s="5"/>
      <c r="Q24" s="5"/>
      <c r="R24" s="53"/>
      <c r="T24" s="9"/>
      <c r="V24" s="9"/>
    </row>
    <row r="25" spans="3:22" ht="15" thickBot="1" x14ac:dyDescent="0.4"/>
    <row r="26" spans="3:22" x14ac:dyDescent="0.35">
      <c r="C26" s="114" t="s">
        <v>766</v>
      </c>
      <c r="D26" s="150" t="s">
        <v>767</v>
      </c>
      <c r="E26" s="10" t="s">
        <v>765</v>
      </c>
      <c r="F26" s="11" t="s">
        <v>768</v>
      </c>
    </row>
    <row r="27" spans="3:22" x14ac:dyDescent="0.35">
      <c r="D27" s="189" t="s">
        <v>82</v>
      </c>
      <c r="E27" s="66">
        <v>0.6</v>
      </c>
      <c r="F27" s="196">
        <v>0.4</v>
      </c>
    </row>
    <row r="28" spans="3:22" ht="15" thickBot="1" x14ac:dyDescent="0.4">
      <c r="D28" s="191" t="s">
        <v>81</v>
      </c>
      <c r="E28" s="17">
        <f>E27*$I$34</f>
        <v>0</v>
      </c>
      <c r="F28" s="151">
        <f>F27*$I$34</f>
        <v>0</v>
      </c>
    </row>
    <row r="29" spans="3:22" ht="15" thickBot="1" x14ac:dyDescent="0.4"/>
    <row r="30" spans="3:22" x14ac:dyDescent="0.35">
      <c r="C30" t="s">
        <v>859</v>
      </c>
      <c r="D30" s="15" t="s">
        <v>860</v>
      </c>
      <c r="E30" s="198">
        <v>0.2</v>
      </c>
    </row>
    <row r="31" spans="3:22" ht="15" thickBot="1" x14ac:dyDescent="0.4">
      <c r="D31" s="12"/>
      <c r="E31" s="151">
        <f>E30*$J$34</f>
        <v>0</v>
      </c>
    </row>
    <row r="32" spans="3:22" ht="15" thickBot="1" x14ac:dyDescent="0.4"/>
    <row r="33" spans="3:12" x14ac:dyDescent="0.35">
      <c r="D33" s="15" t="s">
        <v>74</v>
      </c>
      <c r="E33" s="15" t="s">
        <v>61</v>
      </c>
      <c r="F33" s="16" t="s">
        <v>80</v>
      </c>
      <c r="G33" s="16" t="s">
        <v>70</v>
      </c>
      <c r="H33" s="16" t="s">
        <v>504</v>
      </c>
      <c r="I33" s="119" t="s">
        <v>767</v>
      </c>
      <c r="J33" s="119" t="s">
        <v>860</v>
      </c>
    </row>
    <row r="34" spans="3:12" ht="15" thickBot="1" x14ac:dyDescent="0.4">
      <c r="D34" s="12"/>
      <c r="E34" s="69">
        <v>1</v>
      </c>
      <c r="F34" s="70">
        <v>0</v>
      </c>
      <c r="G34" s="70">
        <v>0</v>
      </c>
      <c r="H34" s="70">
        <v>0</v>
      </c>
      <c r="I34" s="71">
        <v>0</v>
      </c>
      <c r="J34" s="71">
        <v>0</v>
      </c>
    </row>
    <row r="38" spans="3:12" x14ac:dyDescent="0.35">
      <c r="C38" s="51" t="s">
        <v>419</v>
      </c>
      <c r="D38" s="51" t="s">
        <v>60</v>
      </c>
    </row>
    <row r="39" spans="3:12" x14ac:dyDescent="0.35">
      <c r="E39" s="1" t="s">
        <v>410</v>
      </c>
      <c r="F39" t="s">
        <v>411</v>
      </c>
      <c r="G39" s="1" t="s">
        <v>412</v>
      </c>
      <c r="H39" t="s">
        <v>413</v>
      </c>
      <c r="I39" s="1" t="s">
        <v>429</v>
      </c>
      <c r="J39" s="1" t="s">
        <v>524</v>
      </c>
      <c r="K39" s="1" t="s">
        <v>746</v>
      </c>
    </row>
    <row r="40" spans="3:12" x14ac:dyDescent="0.35">
      <c r="E40" s="5">
        <v>0.05</v>
      </c>
      <c r="F40" s="5">
        <v>0.25</v>
      </c>
      <c r="G40" s="5">
        <v>0.25</v>
      </c>
      <c r="H40" s="5">
        <v>0.25</v>
      </c>
      <c r="I40" s="5">
        <v>0.1</v>
      </c>
      <c r="J40" s="5">
        <v>0</v>
      </c>
      <c r="K40" s="5">
        <v>0.1</v>
      </c>
      <c r="L40" s="5">
        <f>SUM(E40:K40)</f>
        <v>1</v>
      </c>
    </row>
    <row r="42" spans="3:12" x14ac:dyDescent="0.35">
      <c r="C42" s="51" t="s">
        <v>398</v>
      </c>
      <c r="D42" s="51" t="s">
        <v>10</v>
      </c>
    </row>
    <row r="43" spans="3:12" x14ac:dyDescent="0.35">
      <c r="C43" t="s">
        <v>420</v>
      </c>
      <c r="D43" t="s">
        <v>414</v>
      </c>
      <c r="E43" s="5">
        <v>0.5</v>
      </c>
    </row>
    <row r="44" spans="3:12" x14ac:dyDescent="0.35">
      <c r="C44" t="s">
        <v>421</v>
      </c>
      <c r="D44" t="s">
        <v>460</v>
      </c>
      <c r="E44" s="5">
        <v>0.25</v>
      </c>
      <c r="F44" s="5"/>
    </row>
    <row r="45" spans="3:12" x14ac:dyDescent="0.35">
      <c r="C45" t="s">
        <v>461</v>
      </c>
      <c r="D45" t="s">
        <v>462</v>
      </c>
      <c r="E45" s="5">
        <v>0.25</v>
      </c>
    </row>
    <row r="47" spans="3:12" x14ac:dyDescent="0.35">
      <c r="D47" s="1"/>
    </row>
    <row r="48" spans="3:12" x14ac:dyDescent="0.35">
      <c r="C48" s="51" t="s">
        <v>422</v>
      </c>
      <c r="D48" s="51" t="s">
        <v>912</v>
      </c>
    </row>
    <row r="49" spans="3:8" x14ac:dyDescent="0.35">
      <c r="E49" t="s">
        <v>395</v>
      </c>
      <c r="F49" t="s">
        <v>396</v>
      </c>
    </row>
    <row r="50" spans="3:8" x14ac:dyDescent="0.35">
      <c r="D50" t="s">
        <v>65</v>
      </c>
      <c r="E50" s="73">
        <v>-0.05</v>
      </c>
      <c r="F50">
        <v>-10</v>
      </c>
    </row>
    <row r="52" spans="3:8" x14ac:dyDescent="0.35">
      <c r="E52" s="1" t="s">
        <v>913</v>
      </c>
      <c r="F52" t="s">
        <v>520</v>
      </c>
      <c r="G52" t="s">
        <v>405</v>
      </c>
    </row>
    <row r="53" spans="3:8" x14ac:dyDescent="0.35">
      <c r="D53" s="1" t="s">
        <v>521</v>
      </c>
      <c r="E53" s="5">
        <v>0.25</v>
      </c>
      <c r="F53" s="5">
        <v>0.25</v>
      </c>
      <c r="G53" s="5">
        <v>0.5</v>
      </c>
    </row>
    <row r="55" spans="3:8" x14ac:dyDescent="0.35">
      <c r="C55" s="51" t="s">
        <v>424</v>
      </c>
      <c r="D55" s="51" t="s">
        <v>493</v>
      </c>
      <c r="F55" s="1">
        <v>1</v>
      </c>
      <c r="G55" s="1">
        <v>3</v>
      </c>
      <c r="H55" s="1">
        <v>6</v>
      </c>
    </row>
    <row r="56" spans="3:8" x14ac:dyDescent="0.35">
      <c r="C56" s="51" t="s">
        <v>425</v>
      </c>
      <c r="D56" t="s">
        <v>478</v>
      </c>
      <c r="E56" s="5">
        <v>0.5</v>
      </c>
      <c r="F56" s="5">
        <v>0.2</v>
      </c>
      <c r="G56" s="5">
        <v>0.4</v>
      </c>
      <c r="H56" s="5">
        <v>0.4</v>
      </c>
    </row>
    <row r="57" spans="3:8" x14ac:dyDescent="0.35">
      <c r="C57" t="s">
        <v>425</v>
      </c>
      <c r="D57" t="s">
        <v>426</v>
      </c>
      <c r="E57" s="5">
        <v>0.3</v>
      </c>
    </row>
    <row r="58" spans="3:8" x14ac:dyDescent="0.35">
      <c r="C58" t="s">
        <v>427</v>
      </c>
      <c r="D58" t="s">
        <v>428</v>
      </c>
      <c r="E58" s="5">
        <v>0.2</v>
      </c>
    </row>
    <row r="60" spans="3:8" x14ac:dyDescent="0.35">
      <c r="C60" s="51" t="s">
        <v>500</v>
      </c>
      <c r="D60" s="51" t="s">
        <v>495</v>
      </c>
    </row>
    <row r="61" spans="3:8" x14ac:dyDescent="0.35">
      <c r="D61" t="s">
        <v>497</v>
      </c>
      <c r="F61" s="5">
        <v>0.25</v>
      </c>
      <c r="G61" t="s">
        <v>527</v>
      </c>
    </row>
    <row r="62" spans="3:8" x14ac:dyDescent="0.35">
      <c r="D62" t="s">
        <v>498</v>
      </c>
      <c r="F62" s="5">
        <v>0.25</v>
      </c>
    </row>
    <row r="63" spans="3:8" x14ac:dyDescent="0.35">
      <c r="D63" t="s">
        <v>499</v>
      </c>
      <c r="F63" s="5">
        <v>0.25</v>
      </c>
    </row>
    <row r="64" spans="3:8" x14ac:dyDescent="0.35">
      <c r="D64" t="s">
        <v>539</v>
      </c>
      <c r="F64" s="5">
        <v>0.25</v>
      </c>
    </row>
    <row r="65" spans="3:9" x14ac:dyDescent="0.35">
      <c r="F65" s="5"/>
    </row>
    <row r="67" spans="3:9" x14ac:dyDescent="0.35">
      <c r="D67" s="1"/>
      <c r="E67" s="1"/>
      <c r="F67" s="1"/>
      <c r="G67" s="1"/>
      <c r="H67" s="1"/>
      <c r="I67" s="1"/>
    </row>
    <row r="68" spans="3:9" x14ac:dyDescent="0.35">
      <c r="D68" s="5"/>
      <c r="E68" s="5"/>
      <c r="F68" s="5"/>
      <c r="G68" s="5"/>
      <c r="H68" s="5"/>
      <c r="I68" s="5"/>
    </row>
    <row r="69" spans="3:9" x14ac:dyDescent="0.35">
      <c r="C69" s="51" t="s">
        <v>494</v>
      </c>
      <c r="D69" s="51" t="s">
        <v>423</v>
      </c>
    </row>
    <row r="71" spans="3:9" x14ac:dyDescent="0.35">
      <c r="C71" s="114" t="s">
        <v>778</v>
      </c>
      <c r="D71" s="6">
        <v>0.3</v>
      </c>
    </row>
    <row r="72" spans="3:9" x14ac:dyDescent="0.35">
      <c r="C72" s="19" t="s">
        <v>545</v>
      </c>
      <c r="D72" s="18">
        <v>0.33329999999999999</v>
      </c>
    </row>
    <row r="73" spans="3:9" x14ac:dyDescent="0.35">
      <c r="C73" s="19" t="s">
        <v>547</v>
      </c>
      <c r="D73" s="18">
        <v>0.33329999999999999</v>
      </c>
    </row>
    <row r="74" spans="3:9" x14ac:dyDescent="0.35">
      <c r="C74" s="19" t="s">
        <v>548</v>
      </c>
      <c r="D74" s="18">
        <v>0.33329999999999999</v>
      </c>
    </row>
    <row r="76" spans="3:9" x14ac:dyDescent="0.35">
      <c r="C76" s="114" t="s">
        <v>546</v>
      </c>
      <c r="D76" s="5">
        <v>0.2</v>
      </c>
    </row>
    <row r="77" spans="3:9" x14ac:dyDescent="0.35">
      <c r="G77" s="1"/>
      <c r="H77" s="1"/>
    </row>
    <row r="78" spans="3:9" x14ac:dyDescent="0.35">
      <c r="C78" s="114" t="s">
        <v>543</v>
      </c>
      <c r="D78" s="5">
        <v>0.4</v>
      </c>
    </row>
    <row r="80" spans="3:9" x14ac:dyDescent="0.35">
      <c r="C80" s="114" t="s">
        <v>549</v>
      </c>
      <c r="D80" s="5">
        <v>0.1</v>
      </c>
    </row>
    <row r="82" spans="3:8" x14ac:dyDescent="0.35">
      <c r="C82" t="s">
        <v>815</v>
      </c>
      <c r="D82" s="5">
        <f>D71+D76+D78+D80</f>
        <v>1</v>
      </c>
      <c r="G82" s="1"/>
      <c r="H82" s="1"/>
    </row>
    <row r="86" spans="3:8" x14ac:dyDescent="0.35">
      <c r="G86" s="1"/>
      <c r="H86" s="1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B6:O39"/>
  <sheetViews>
    <sheetView topLeftCell="A19" zoomScale="55" zoomScaleNormal="55" workbookViewId="0">
      <selection activeCell="F48" sqref="F48"/>
    </sheetView>
  </sheetViews>
  <sheetFormatPr defaultRowHeight="14.5" x14ac:dyDescent="0.35"/>
  <cols>
    <col min="2" max="2" width="14.54296875" customWidth="1"/>
    <col min="3" max="3" width="20.54296875" customWidth="1"/>
    <col min="4" max="4" width="12.54296875" customWidth="1"/>
    <col min="5" max="5" width="14.54296875" customWidth="1"/>
    <col min="6" max="6" width="10.54296875" customWidth="1"/>
    <col min="7" max="7" width="12" customWidth="1"/>
    <col min="8" max="8" width="26.81640625" bestFit="1" customWidth="1"/>
    <col min="9" max="9" width="20.1796875" customWidth="1"/>
    <col min="12" max="12" width="13.81640625" customWidth="1"/>
    <col min="13" max="13" width="14.453125" customWidth="1"/>
    <col min="14" max="14" width="14.54296875" customWidth="1"/>
    <col min="15" max="15" width="14.453125" customWidth="1"/>
    <col min="16" max="16" width="12" customWidth="1"/>
    <col min="17" max="17" width="15.1796875" customWidth="1"/>
  </cols>
  <sheetData>
    <row r="6" spans="3:9" x14ac:dyDescent="0.35">
      <c r="C6" s="1" t="s">
        <v>886</v>
      </c>
    </row>
    <row r="7" spans="3:9" ht="15" thickBot="1" x14ac:dyDescent="0.4">
      <c r="D7" t="s">
        <v>887</v>
      </c>
      <c r="H7" s="1" t="s">
        <v>902</v>
      </c>
    </row>
    <row r="8" spans="3:9" ht="15" thickBot="1" x14ac:dyDescent="0.4">
      <c r="C8" s="62" t="s">
        <v>6</v>
      </c>
      <c r="D8" s="10">
        <f>'Asset class'!S3</f>
        <v>6</v>
      </c>
      <c r="E8" s="11">
        <f t="shared" ref="E8:E17" si="0">D8</f>
        <v>6</v>
      </c>
    </row>
    <row r="9" spans="3:9" x14ac:dyDescent="0.35">
      <c r="C9" s="56" t="s">
        <v>1</v>
      </c>
      <c r="D9">
        <f>'Asset class'!S4</f>
        <v>3</v>
      </c>
      <c r="E9" s="58">
        <f t="shared" si="0"/>
        <v>3</v>
      </c>
      <c r="H9" s="62" t="s">
        <v>903</v>
      </c>
      <c r="I9" s="171">
        <f>Timing!L22</f>
        <v>1</v>
      </c>
    </row>
    <row r="10" spans="3:9" x14ac:dyDescent="0.35">
      <c r="C10" s="56" t="s">
        <v>888</v>
      </c>
      <c r="D10">
        <f>'Asset class'!S5</f>
        <v>1</v>
      </c>
      <c r="E10" s="58">
        <f t="shared" si="0"/>
        <v>1</v>
      </c>
      <c r="H10" s="56" t="s">
        <v>904</v>
      </c>
      <c r="I10" s="57">
        <f>Timing!M22</f>
        <v>0.92307692307692313</v>
      </c>
    </row>
    <row r="11" spans="3:9" ht="15" thickBot="1" x14ac:dyDescent="0.4">
      <c r="C11" s="56" t="s">
        <v>889</v>
      </c>
      <c r="D11">
        <f>'Asset class'!S6</f>
        <v>10</v>
      </c>
      <c r="E11" s="58">
        <f t="shared" si="0"/>
        <v>10</v>
      </c>
      <c r="H11" s="12" t="s">
        <v>905</v>
      </c>
      <c r="I11" s="59">
        <f>Timing!N22</f>
        <v>1</v>
      </c>
    </row>
    <row r="12" spans="3:9" x14ac:dyDescent="0.35">
      <c r="C12" s="56" t="s">
        <v>51</v>
      </c>
      <c r="D12">
        <f>'Asset class'!S7</f>
        <v>8</v>
      </c>
      <c r="E12" s="58">
        <f t="shared" si="0"/>
        <v>8</v>
      </c>
    </row>
    <row r="13" spans="3:9" x14ac:dyDescent="0.35">
      <c r="C13" s="56" t="s">
        <v>890</v>
      </c>
      <c r="D13">
        <f>'Asset class'!S8</f>
        <v>7</v>
      </c>
      <c r="E13" s="58">
        <f t="shared" si="0"/>
        <v>7</v>
      </c>
    </row>
    <row r="14" spans="3:9" ht="15" thickBot="1" x14ac:dyDescent="0.4">
      <c r="C14" s="12" t="s">
        <v>457</v>
      </c>
      <c r="D14">
        <f>'Asset class'!S9</f>
        <v>9</v>
      </c>
      <c r="E14" s="14">
        <f t="shared" si="0"/>
        <v>9</v>
      </c>
    </row>
    <row r="15" spans="3:9" ht="15" thickBot="1" x14ac:dyDescent="0.4">
      <c r="C15" s="144" t="s">
        <v>891</v>
      </c>
      <c r="D15">
        <f>'Asset class'!S10</f>
        <v>4</v>
      </c>
      <c r="E15" s="14">
        <f t="shared" si="0"/>
        <v>4</v>
      </c>
    </row>
    <row r="16" spans="3:9" ht="15" thickBot="1" x14ac:dyDescent="0.4">
      <c r="C16" s="178" t="s">
        <v>536</v>
      </c>
      <c r="D16">
        <f>'Asset class'!S11</f>
        <v>2</v>
      </c>
      <c r="E16" s="14">
        <f t="shared" si="0"/>
        <v>2</v>
      </c>
    </row>
    <row r="17" spans="2:15" ht="15" thickBot="1" x14ac:dyDescent="0.4">
      <c r="C17" s="148" t="s">
        <v>46</v>
      </c>
      <c r="D17">
        <f>'Asset class'!S12</f>
        <v>5</v>
      </c>
      <c r="E17" s="14">
        <f t="shared" si="0"/>
        <v>5</v>
      </c>
    </row>
    <row r="20" spans="2:15" x14ac:dyDescent="0.35">
      <c r="C20" s="1" t="s">
        <v>892</v>
      </c>
    </row>
    <row r="22" spans="2:15" ht="15" thickBot="1" x14ac:dyDescent="0.4">
      <c r="C22" s="1" t="s">
        <v>893</v>
      </c>
      <c r="D22" s="1"/>
      <c r="E22" s="1" t="s">
        <v>894</v>
      </c>
    </row>
    <row r="23" spans="2:15" x14ac:dyDescent="0.35">
      <c r="B23" s="62" t="s">
        <v>1</v>
      </c>
      <c r="C23" s="170">
        <f>'Momnetum ranking'!H22</f>
        <v>0.48111332007952284</v>
      </c>
      <c r="D23" s="170"/>
      <c r="E23" s="171">
        <f>'Momnetum ranking'!I22</f>
        <v>0.31212723658051689</v>
      </c>
    </row>
    <row r="24" spans="2:15" x14ac:dyDescent="0.35">
      <c r="B24" s="56" t="s">
        <v>51</v>
      </c>
      <c r="C24" s="9">
        <f>'Momnetum ranking'!H10</f>
        <v>0.47058823529411764</v>
      </c>
      <c r="D24" s="9"/>
      <c r="E24" s="57">
        <f>'Momnetum ranking'!I10</f>
        <v>0.35294117647058826</v>
      </c>
    </row>
    <row r="25" spans="2:15" x14ac:dyDescent="0.35">
      <c r="B25" s="56" t="s">
        <v>895</v>
      </c>
      <c r="C25" s="9">
        <f>'Momnetum ranking'!H23</f>
        <v>0.44230769230769229</v>
      </c>
      <c r="D25" s="9"/>
      <c r="E25" s="57">
        <f>'Momnetum ranking'!I23</f>
        <v>0.42307692307692307</v>
      </c>
    </row>
    <row r="26" spans="2:15" x14ac:dyDescent="0.35">
      <c r="B26" s="56" t="s">
        <v>46</v>
      </c>
      <c r="C26" s="9">
        <f>'Momnetum ranking'!H21</f>
        <v>0.48529411764705882</v>
      </c>
      <c r="D26" s="9"/>
      <c r="E26" s="57">
        <f>'Momnetum ranking'!I21</f>
        <v>0.37745098039215685</v>
      </c>
    </row>
    <row r="27" spans="2:15" ht="15" thickBot="1" x14ac:dyDescent="0.4">
      <c r="B27" s="12" t="s">
        <v>536</v>
      </c>
      <c r="C27" s="172">
        <f>'Momnetum ranking'!H18</f>
        <v>0.33177933177933178</v>
      </c>
      <c r="D27" s="172"/>
      <c r="E27" s="59">
        <f>'Momnetum ranking'!I18</f>
        <v>0.46542346542346541</v>
      </c>
    </row>
    <row r="28" spans="2:15" x14ac:dyDescent="0.35">
      <c r="B28" s="62" t="s">
        <v>6</v>
      </c>
      <c r="C28" s="170">
        <f>'Momnetum ranking'!H19</f>
        <v>0.19995855781185246</v>
      </c>
      <c r="D28" s="170"/>
      <c r="E28" s="171">
        <f>'Momnetum ranking'!I19</f>
        <v>0.24761707418151679</v>
      </c>
    </row>
    <row r="29" spans="2:15" ht="15" thickBot="1" x14ac:dyDescent="0.4">
      <c r="B29" s="12"/>
      <c r="C29" s="13"/>
      <c r="D29" s="13"/>
      <c r="E29" s="14"/>
    </row>
    <row r="31" spans="2:15" ht="15" thickBot="1" x14ac:dyDescent="0.4"/>
    <row r="32" spans="2:15" x14ac:dyDescent="0.35">
      <c r="C32" s="173" t="s">
        <v>896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/>
    </row>
    <row r="33" spans="3:15" ht="29" x14ac:dyDescent="0.35">
      <c r="C33" s="56"/>
      <c r="E33" t="s">
        <v>77</v>
      </c>
      <c r="F33" t="s">
        <v>70</v>
      </c>
      <c r="G33" s="72" t="s">
        <v>899</v>
      </c>
      <c r="H33" t="s">
        <v>4</v>
      </c>
      <c r="K33" t="s">
        <v>77</v>
      </c>
      <c r="L33" t="s">
        <v>70</v>
      </c>
      <c r="M33" s="72" t="s">
        <v>897</v>
      </c>
      <c r="N33" t="s">
        <v>4</v>
      </c>
      <c r="O33" s="174" t="s">
        <v>394</v>
      </c>
    </row>
    <row r="34" spans="3:15" x14ac:dyDescent="0.35">
      <c r="C34" s="56"/>
      <c r="O34" s="58"/>
    </row>
    <row r="35" spans="3:15" x14ac:dyDescent="0.35">
      <c r="C35" s="56" t="s">
        <v>227</v>
      </c>
      <c r="E35" s="9">
        <f>'Momnetum ranking'!J18</f>
        <v>-0.13364413364413363</v>
      </c>
      <c r="F35" s="5">
        <f>'Momnetum ranking'!K18</f>
        <v>0.63370253164557</v>
      </c>
      <c r="G35" s="9">
        <f>'Momnetum ranking'!Q18</f>
        <v>0.99521862999999999</v>
      </c>
      <c r="H35" s="3">
        <f>'Momnetum ranking'!O18</f>
        <v>4.8115133999999999</v>
      </c>
      <c r="K35">
        <f>_xlfn.RANK.EQ(E35,$E$35:$E$39)</f>
        <v>5</v>
      </c>
      <c r="L35">
        <f>_xlfn.RANK.EQ(F35,$F$35:$F$39)</f>
        <v>3</v>
      </c>
      <c r="M35">
        <f>_xlfn.RANK.EQ(G35,$G$35:$G$39)</f>
        <v>1</v>
      </c>
      <c r="N35">
        <f>_xlfn.RANK.EQ(H35,$H$35:$H$39)</f>
        <v>4</v>
      </c>
      <c r="O35" s="58">
        <f>MEDIAN(K35:N35)</f>
        <v>3.5</v>
      </c>
    </row>
    <row r="36" spans="3:15" x14ac:dyDescent="0.35">
      <c r="C36" s="56" t="s">
        <v>749</v>
      </c>
      <c r="E36" s="9">
        <f>'Momnetum ranking'!J19</f>
        <v>-4.7658516369664339E-2</v>
      </c>
      <c r="F36" s="5">
        <f>'Momnetum ranking'!K19</f>
        <v>0.40839369407754605</v>
      </c>
      <c r="G36" s="9">
        <f>'Momnetum ranking'!Q19</f>
        <v>0.97539640000000005</v>
      </c>
      <c r="H36" s="3">
        <f>'Momnetum ranking'!O19</f>
        <v>2.8553128000000001</v>
      </c>
      <c r="K36">
        <f t="shared" ref="K36:K39" si="1">_xlfn.RANK.EQ(E36,$E$35:$E$39)</f>
        <v>4</v>
      </c>
      <c r="L36">
        <f t="shared" ref="L36:L39" si="2">_xlfn.RANK.EQ(F36,$F$35:$F$39)</f>
        <v>5</v>
      </c>
      <c r="M36">
        <f t="shared" ref="M36:M39" si="3">_xlfn.RANK.EQ(G36,$G$35:$G$39)</f>
        <v>5</v>
      </c>
      <c r="N36">
        <f t="shared" ref="N36:N39" si="4">_xlfn.RANK.EQ(H36,$H$35:$H$39)</f>
        <v>5</v>
      </c>
      <c r="O36" s="58">
        <f t="shared" ref="O36:O39" si="5">MEDIAN(K36:N36)</f>
        <v>5</v>
      </c>
    </row>
    <row r="37" spans="3:15" x14ac:dyDescent="0.35">
      <c r="C37" s="56" t="s">
        <v>781</v>
      </c>
      <c r="E37" s="9">
        <f>'Momnetum ranking'!J20</f>
        <v>8.3216783216783219E-2</v>
      </c>
      <c r="F37" s="5">
        <f>'Momnetum ranking'!K20</f>
        <v>0.67321178120617109</v>
      </c>
      <c r="G37" s="9">
        <f>'Momnetum ranking'!Q20</f>
        <v>0.99138000000000004</v>
      </c>
      <c r="H37" s="3">
        <f>'Momnetum ranking'!O20</f>
        <v>6.4813375000000004</v>
      </c>
      <c r="K37">
        <f t="shared" si="1"/>
        <v>3</v>
      </c>
      <c r="L37">
        <f t="shared" si="2"/>
        <v>2</v>
      </c>
      <c r="M37">
        <f t="shared" si="3"/>
        <v>2</v>
      </c>
      <c r="N37">
        <f t="shared" si="4"/>
        <v>2</v>
      </c>
      <c r="O37" s="58">
        <f t="shared" si="5"/>
        <v>2</v>
      </c>
    </row>
    <row r="38" spans="3:15" x14ac:dyDescent="0.35">
      <c r="C38" s="56" t="s">
        <v>816</v>
      </c>
      <c r="E38" s="9">
        <f>'Momnetum ranking'!J21</f>
        <v>0.10784313725490197</v>
      </c>
      <c r="F38" s="5">
        <f>'Momnetum ranking'!K21</f>
        <v>0.52450980392156898</v>
      </c>
      <c r="G38" s="9">
        <f>'Momnetum ranking'!Q21</f>
        <v>0.99010456000000002</v>
      </c>
      <c r="H38" s="3">
        <f>'Momnetum ranking'!O21</f>
        <v>6.8247437</v>
      </c>
      <c r="K38">
        <f t="shared" si="1"/>
        <v>2</v>
      </c>
      <c r="L38">
        <f t="shared" si="2"/>
        <v>4</v>
      </c>
      <c r="M38">
        <f t="shared" si="3"/>
        <v>3</v>
      </c>
      <c r="N38">
        <f t="shared" si="4"/>
        <v>1</v>
      </c>
      <c r="O38" s="58">
        <f t="shared" si="5"/>
        <v>2.5</v>
      </c>
    </row>
    <row r="39" spans="3:15" ht="15" thickBot="1" x14ac:dyDescent="0.4">
      <c r="C39" s="12" t="s">
        <v>119</v>
      </c>
      <c r="D39" s="13"/>
      <c r="E39" s="172">
        <f>'Momnetum ranking'!J22</f>
        <v>0.16898608349900596</v>
      </c>
      <c r="F39" s="17">
        <f>'Momnetum ranking'!K22</f>
        <v>0.75049900199600794</v>
      </c>
      <c r="G39" s="172">
        <f>'Momnetum ranking'!Q22</f>
        <v>0.98795029999999995</v>
      </c>
      <c r="H39" s="175">
        <f>'Momnetum ranking'!O22</f>
        <v>6.4728620000000001</v>
      </c>
      <c r="I39" s="13"/>
      <c r="J39" s="13"/>
      <c r="K39" s="13">
        <f t="shared" si="1"/>
        <v>1</v>
      </c>
      <c r="L39" s="13">
        <f t="shared" si="2"/>
        <v>1</v>
      </c>
      <c r="M39" s="13">
        <f t="shared" si="3"/>
        <v>4</v>
      </c>
      <c r="N39" s="13">
        <f t="shared" si="4"/>
        <v>3</v>
      </c>
      <c r="O39" s="14">
        <f t="shared" si="5"/>
        <v>2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E8:E17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9"/>
  <sheetViews>
    <sheetView zoomScale="70" zoomScaleNormal="70" workbookViewId="0">
      <selection activeCell="A9" sqref="A9"/>
    </sheetView>
  </sheetViews>
  <sheetFormatPr defaultRowHeight="14.5" x14ac:dyDescent="0.35"/>
  <cols>
    <col min="1" max="1" width="12" customWidth="1"/>
    <col min="2" max="2" width="25.453125" customWidth="1"/>
    <col min="3" max="3" width="20.81640625" customWidth="1"/>
    <col min="4" max="4" width="0.453125" customWidth="1"/>
    <col min="5" max="5" width="18" customWidth="1"/>
    <col min="6" max="6" width="13.453125" customWidth="1"/>
    <col min="7" max="7" width="15.453125" customWidth="1"/>
    <col min="8" max="8" width="16.453125" customWidth="1"/>
    <col min="9" max="9" width="7.453125" customWidth="1"/>
    <col min="10" max="10" width="6.54296875" customWidth="1"/>
    <col min="11" max="11" width="18.81640625" customWidth="1"/>
    <col min="12" max="12" width="13.453125" customWidth="1"/>
    <col min="13" max="13" width="13" customWidth="1"/>
    <col min="14" max="14" width="13.453125" customWidth="1"/>
    <col min="15" max="15" width="5" customWidth="1"/>
    <col min="16" max="16" width="9.54296875" customWidth="1"/>
  </cols>
  <sheetData>
    <row r="1" spans="1:19" ht="15" thickBot="1" x14ac:dyDescent="0.4">
      <c r="C1" t="s">
        <v>0</v>
      </c>
      <c r="E1" t="s">
        <v>898</v>
      </c>
      <c r="F1" t="s">
        <v>4</v>
      </c>
      <c r="G1" t="s">
        <v>5</v>
      </c>
      <c r="H1" t="s">
        <v>9</v>
      </c>
      <c r="K1" t="s">
        <v>899</v>
      </c>
      <c r="L1" t="s">
        <v>4</v>
      </c>
      <c r="M1" t="s">
        <v>71</v>
      </c>
      <c r="N1" t="s">
        <v>72</v>
      </c>
      <c r="P1" s="1" t="s">
        <v>83</v>
      </c>
      <c r="Q1" t="s">
        <v>84</v>
      </c>
      <c r="S1" t="s">
        <v>900</v>
      </c>
    </row>
    <row r="2" spans="1:19" s="22" customFormat="1" ht="15" thickBot="1" x14ac:dyDescent="0.4">
      <c r="A2" s="21"/>
      <c r="K2" s="176">
        <v>0.33</v>
      </c>
      <c r="L2" s="176">
        <v>0.33</v>
      </c>
      <c r="M2" s="176">
        <v>0.33</v>
      </c>
    </row>
    <row r="3" spans="1:19" x14ac:dyDescent="0.35">
      <c r="A3" t="s">
        <v>6</v>
      </c>
      <c r="C3" t="str">
        <f>A3</f>
        <v>VWO</v>
      </c>
      <c r="E3" s="3" cm="1">
        <f t="array" ref="E3">_xll.FDS(C3,"FG_TOTAL_RETURNC(0,-1AM)")</f>
        <v>2.3640037</v>
      </c>
      <c r="F3" s="3" cm="1">
        <f t="array" ref="F3">_xll.FDS(C3,"FG_TOTAL_RETURNC(0,-3AM)")</f>
        <v>2.8553128000000001</v>
      </c>
      <c r="G3" s="3" cm="1">
        <f t="array" ref="G3">_xll.FDS(C3,"FG_TOTAL_RETURNC(0,-6AM)")</f>
        <v>9.2500099999999996</v>
      </c>
      <c r="H3" s="9" cm="1">
        <f t="array" ref="H3">_xll.FDS(C3,"P_PRICE(0)/P_PRICE_HIGH_PR(0,,,USD,,,""PRICE"",""INTRA"",""52W"")")</f>
        <v>0.97539640000000005</v>
      </c>
      <c r="K3" s="4">
        <f>_xlfn.RANK.EQ(H3,H$3:H$12)</f>
        <v>5</v>
      </c>
      <c r="L3" s="4">
        <f>_xlfn.RANK.EQ(F3,F$3:F$12)</f>
        <v>7</v>
      </c>
      <c r="M3" s="4">
        <f>_xlfn.RANK.EQ(G3,G$3:G$12)</f>
        <v>5</v>
      </c>
      <c r="N3" s="4"/>
      <c r="P3" s="3">
        <f t="shared" ref="P3:P12" si="0">SUMPRODUCT($K$2:$M$2,K3:M3)</f>
        <v>5.61</v>
      </c>
      <c r="Q3">
        <f t="shared" ref="Q3:Q12" si="1">COUNTIF(K3:N3,"&gt;70")</f>
        <v>0</v>
      </c>
      <c r="S3" s="3">
        <f>11-_xlfn.RANK.EQ(P3,$P$3:$P$12)</f>
        <v>6</v>
      </c>
    </row>
    <row r="4" spans="1:19" x14ac:dyDescent="0.35">
      <c r="A4" t="s">
        <v>1</v>
      </c>
      <c r="C4" t="str">
        <f t="shared" ref="C4:C12" si="2">A4</f>
        <v>SPY</v>
      </c>
      <c r="E4" s="3" cm="1">
        <f t="array" ref="E4">_xll.FDS(C4,"FG_TOTAL_RETURNC(0,-1AM)")</f>
        <v>2.494669</v>
      </c>
      <c r="F4" s="3" cm="1">
        <f t="array" ref="F4">_xll.FDS(C4,"FG_TOTAL_RETURNC(0,-3AM)")</f>
        <v>6.4728620000000001</v>
      </c>
      <c r="G4" s="3" cm="1">
        <f t="array" ref="G4">_xll.FDS(C4,"FG_TOTAL_RETURNC(0,-6AM)")</f>
        <v>10.594023</v>
      </c>
      <c r="H4" s="9" cm="1">
        <f t="array" ref="H4">_xll.FDS(C4,"P_PRICE(0)/P_PRICE_HIGH_PR(0,,,USD,,,""PRICE"",""INTRA"",""52W"")")</f>
        <v>0.98795029999999995</v>
      </c>
      <c r="I4" s="177"/>
      <c r="K4" s="4">
        <f t="shared" ref="K4:K12" si="3">_xlfn.RANK.EQ(H4,H$3:H$12)</f>
        <v>4</v>
      </c>
      <c r="L4" s="4">
        <f t="shared" ref="L4:M12" si="4">_xlfn.RANK.EQ(F4,F$3:F$12)</f>
        <v>4</v>
      </c>
      <c r="M4" s="4">
        <f t="shared" si="4"/>
        <v>4</v>
      </c>
      <c r="N4" s="4"/>
      <c r="P4" s="3">
        <f t="shared" si="0"/>
        <v>3.96</v>
      </c>
      <c r="Q4">
        <f t="shared" si="1"/>
        <v>0</v>
      </c>
      <c r="S4" s="3">
        <f t="shared" ref="S4:S12" si="5">11-_xlfn.RANK.EQ(P4,$P$3:$P$12)</f>
        <v>3</v>
      </c>
    </row>
    <row r="5" spans="1:19" x14ac:dyDescent="0.35">
      <c r="A5" t="s">
        <v>888</v>
      </c>
      <c r="C5" t="str">
        <f t="shared" si="2"/>
        <v>GLD</v>
      </c>
      <c r="E5" s="3" cm="1">
        <f t="array" ref="E5">_xll.FDS(C5,"FG_TOTAL_RETURNC(0,-1AM)")</f>
        <v>5.7325600000000003</v>
      </c>
      <c r="F5" s="3" cm="1">
        <f t="array" ref="F5">_xll.FDS(C5,"FG_TOTAL_RETURNC(0,-3AM)")</f>
        <v>7.7673909999999999</v>
      </c>
      <c r="G5" s="3" cm="1">
        <f t="array" ref="G5">_xll.FDS(C5,"FG_TOTAL_RETURNC(0,-6AM)")</f>
        <v>23.052132</v>
      </c>
      <c r="H5" s="9" cm="1">
        <f t="array" ref="H5">_xll.FDS(C5,"P_PRICE(0)/P_PRICE_HIGH_PR(0,,,USD,,,""PRICE"",""INTRA"",""52W"")")</f>
        <v>0.99547030000000003</v>
      </c>
      <c r="I5" s="177"/>
      <c r="K5" s="4">
        <f t="shared" si="3"/>
        <v>1</v>
      </c>
      <c r="L5" s="4">
        <f t="shared" si="4"/>
        <v>2</v>
      </c>
      <c r="M5" s="4">
        <f t="shared" si="4"/>
        <v>1</v>
      </c>
      <c r="N5" s="4"/>
      <c r="P5" s="3">
        <f t="shared" si="0"/>
        <v>1.32</v>
      </c>
      <c r="Q5">
        <f t="shared" si="1"/>
        <v>0</v>
      </c>
      <c r="S5" s="3">
        <f t="shared" si="5"/>
        <v>1</v>
      </c>
    </row>
    <row r="6" spans="1:19" x14ac:dyDescent="0.35">
      <c r="A6" t="s">
        <v>889</v>
      </c>
      <c r="C6" t="str">
        <f t="shared" si="2"/>
        <v>UUP</v>
      </c>
      <c r="E6" s="3" cm="1">
        <f t="array" ref="E6">_xll.FDS(C6,"FG_TOTAL_RETURNC(0,-1AM)")</f>
        <v>-2.4567424999999998</v>
      </c>
      <c r="F6" s="3" cm="1">
        <f t="array" ref="F6">_xll.FDS(C6,"FG_TOTAL_RETURNC(0,-3AM)")</f>
        <v>-2.0500362000000001</v>
      </c>
      <c r="G6" s="3" cm="1">
        <f t="array" ref="G6">_xll.FDS(C6,"FG_TOTAL_RETURNC(0,-6AM)")</f>
        <v>0.3559947</v>
      </c>
      <c r="H6" s="9" cm="1">
        <f t="array" ref="H6">_xll.FDS(C6,"P_PRICE(0)/P_PRICE_HIGH_PR(0,,,USD,,,""PRICE"",""INTRA"",""52W"")")</f>
        <v>0.93452674000000002</v>
      </c>
      <c r="I6" s="177"/>
      <c r="K6" s="4">
        <f t="shared" si="3"/>
        <v>9</v>
      </c>
      <c r="L6" s="4">
        <f t="shared" si="4"/>
        <v>9</v>
      </c>
      <c r="M6" s="4">
        <f t="shared" si="4"/>
        <v>10</v>
      </c>
      <c r="N6" s="4"/>
      <c r="P6" s="3">
        <f t="shared" si="0"/>
        <v>9.24</v>
      </c>
      <c r="Q6">
        <f t="shared" si="1"/>
        <v>0</v>
      </c>
      <c r="S6" s="3">
        <f t="shared" si="5"/>
        <v>10</v>
      </c>
    </row>
    <row r="7" spans="1:19" x14ac:dyDescent="0.35">
      <c r="A7" t="s">
        <v>51</v>
      </c>
      <c r="C7" t="str">
        <f t="shared" si="2"/>
        <v>QQQ</v>
      </c>
      <c r="E7" s="3" cm="1">
        <f t="array" ref="E7">_xll.FDS(C7,"FG_TOTAL_RETURNC(0,-1AM)")</f>
        <v>1.4572144</v>
      </c>
      <c r="F7" s="3" cm="1">
        <f t="array" ref="F7">_xll.FDS(C7,"FG_TOTAL_RETURNC(0,-3AM)")</f>
        <v>3.2810807</v>
      </c>
      <c r="G7" s="3" cm="1">
        <f t="array" ref="G7">_xll.FDS(C7,"FG_TOTAL_RETURNC(0,-6AM)")</f>
        <v>7.5248600000000003</v>
      </c>
      <c r="H7" s="9" cm="1">
        <f t="array" ref="H7">_xll.FDS(C7,"P_PRICE(0)/P_PRICE_HIGH_PR(0,,,USD,,,""PRICE"",""INTRA"",""52W"")")</f>
        <v>0.93473949999999995</v>
      </c>
      <c r="I7" s="1"/>
      <c r="K7" s="4">
        <f t="shared" si="3"/>
        <v>8</v>
      </c>
      <c r="L7" s="4">
        <f t="shared" si="4"/>
        <v>6</v>
      </c>
      <c r="M7" s="4">
        <f t="shared" si="4"/>
        <v>6</v>
      </c>
      <c r="N7" s="4"/>
      <c r="P7" s="3">
        <f t="shared" si="0"/>
        <v>6.6</v>
      </c>
      <c r="Q7">
        <f t="shared" si="1"/>
        <v>0</v>
      </c>
      <c r="S7" s="3">
        <f t="shared" si="5"/>
        <v>8</v>
      </c>
    </row>
    <row r="8" spans="1:19" x14ac:dyDescent="0.35">
      <c r="A8" t="s">
        <v>890</v>
      </c>
      <c r="C8" t="str">
        <f t="shared" si="2"/>
        <v>DBA</v>
      </c>
      <c r="E8" s="3" cm="1">
        <f t="array" ref="E8">_xll.FDS(C8,"FG_TOTAL_RETURNC(0,-1AM)")</f>
        <v>5.2475690000000004</v>
      </c>
      <c r="F8" s="3" cm="1">
        <f t="array" ref="F8">_xll.FDS(C8,"FG_TOTAL_RETURNC(0,-3AM)")</f>
        <v>-2.3173509999999999</v>
      </c>
      <c r="G8" s="3" cm="1">
        <f t="array" ref="G8">_xll.FDS(C8,"FG_TOTAL_RETURNC(0,-6AM)")</f>
        <v>12.128043</v>
      </c>
      <c r="H8" s="9" cm="1">
        <f t="array" ref="H8">_xll.FDS(C8,"P_PRICE(0)/P_PRICE_HIGH_PR(0,,,USD,,,""PRICE"",""INTRA"",""52W"")")</f>
        <v>0.93478673999999995</v>
      </c>
      <c r="I8" s="1"/>
      <c r="K8" s="4">
        <f t="shared" si="3"/>
        <v>7</v>
      </c>
      <c r="L8" s="4">
        <f t="shared" si="4"/>
        <v>10</v>
      </c>
      <c r="M8" s="4">
        <f t="shared" si="4"/>
        <v>2</v>
      </c>
      <c r="N8" s="4"/>
      <c r="P8" s="3">
        <f t="shared" si="0"/>
        <v>6.2700000000000005</v>
      </c>
      <c r="Q8">
        <f t="shared" si="1"/>
        <v>0</v>
      </c>
      <c r="S8" s="3">
        <f t="shared" si="5"/>
        <v>7</v>
      </c>
    </row>
    <row r="9" spans="1:19" x14ac:dyDescent="0.35">
      <c r="A9" t="s">
        <v>901</v>
      </c>
      <c r="C9" t="str">
        <f t="shared" si="2"/>
        <v>USO</v>
      </c>
      <c r="E9" s="3" cm="1">
        <f t="array" ref="E9">_xll.FDS(C9,"FG_TOTAL_RETURNC(0,-1AM)")</f>
        <v>2.1013380000000002</v>
      </c>
      <c r="F9" s="3" cm="1">
        <f t="array" ref="F9">_xll.FDS(C9,"FG_TOTAL_RETURNC(0,-3AM)")</f>
        <v>0.26119946999999999</v>
      </c>
      <c r="G9" s="3" cm="1">
        <f t="array" ref="G9">_xll.FDS(C9,"FG_TOTAL_RETURNC(0,-6AM)")</f>
        <v>4.6483040000000004</v>
      </c>
      <c r="H9" s="9" cm="1">
        <f t="array" ref="H9">_xll.FDS(C9,"P_PRICE(0)/P_PRICE_HIGH_PR(0,,,USD,,,""PRICE"",""INTRA"",""52W"")")</f>
        <v>0.92039316999999998</v>
      </c>
      <c r="I9" s="1"/>
      <c r="K9" s="4">
        <f t="shared" si="3"/>
        <v>10</v>
      </c>
      <c r="L9" s="4">
        <f t="shared" si="4"/>
        <v>8</v>
      </c>
      <c r="M9" s="4">
        <f t="shared" si="4"/>
        <v>8</v>
      </c>
      <c r="N9" s="4"/>
      <c r="P9" s="3">
        <f t="shared" si="0"/>
        <v>8.58</v>
      </c>
      <c r="Q9">
        <f t="shared" si="1"/>
        <v>0</v>
      </c>
      <c r="S9" s="3">
        <f t="shared" si="5"/>
        <v>9</v>
      </c>
    </row>
    <row r="10" spans="1:19" x14ac:dyDescent="0.35">
      <c r="A10" t="s">
        <v>891</v>
      </c>
      <c r="C10" t="str">
        <f t="shared" si="2"/>
        <v>TLT</v>
      </c>
      <c r="E10" s="3" cm="1">
        <f t="array" ref="E10">_xll.FDS(C10,"FG_TOTAL_RETURNC(0,-1AM)")</f>
        <v>4.6659470000000001</v>
      </c>
      <c r="F10" s="3" cm="1">
        <f t="array" ref="F10">_xll.FDS(C10,"FG_TOTAL_RETURNC(0,-3AM)")</f>
        <v>10.698378</v>
      </c>
      <c r="G10" s="3" cm="1">
        <f t="array" ref="G10">_xll.FDS(C10,"FG_TOTAL_RETURNC(0,-6AM)")</f>
        <v>5.6331515000000003</v>
      </c>
      <c r="H10" s="9" cm="1">
        <f t="array" ref="H10">_xll.FDS(C10,"P_PRICE(0)/P_PRICE_HIGH_PR(0,,,USD,,,""PRICE"",""INTRA"",""52W"")")</f>
        <v>0.96977230000000003</v>
      </c>
      <c r="K10" s="4">
        <f t="shared" si="3"/>
        <v>6</v>
      </c>
      <c r="L10" s="4">
        <f t="shared" si="4"/>
        <v>1</v>
      </c>
      <c r="M10" s="4">
        <f t="shared" si="4"/>
        <v>7</v>
      </c>
      <c r="N10" s="4"/>
      <c r="P10" s="3">
        <f t="shared" si="0"/>
        <v>4.62</v>
      </c>
      <c r="Q10">
        <f t="shared" si="1"/>
        <v>0</v>
      </c>
      <c r="S10" s="3">
        <f t="shared" si="5"/>
        <v>4</v>
      </c>
    </row>
    <row r="11" spans="1:19" x14ac:dyDescent="0.35">
      <c r="A11" t="s">
        <v>536</v>
      </c>
      <c r="C11" t="str">
        <f t="shared" si="2"/>
        <v>VGK</v>
      </c>
      <c r="E11" s="3" cm="1">
        <f t="array" ref="E11">_xll.FDS(C11,"FG_TOTAL_RETURNC(0,-1AM)")</f>
        <v>4.6738625000000003</v>
      </c>
      <c r="F11" s="3" cm="1">
        <f t="array" ref="F11">_xll.FDS(C11,"FG_TOTAL_RETURNC(0,-3AM)")</f>
        <v>4.8115133999999999</v>
      </c>
      <c r="G11" s="3" cm="1">
        <f t="array" ref="G11">_xll.FDS(C11,"FG_TOTAL_RETURNC(0,-6AM)")</f>
        <v>10.790991999999999</v>
      </c>
      <c r="H11" s="9" cm="1">
        <f t="array" ref="H11">_xll.FDS(C11,"P_PRICE(0)/P_PRICE_HIGH_PR(0,,,USD,,,""PRICE"",""INTRA"",""52W"")")</f>
        <v>0.99521862999999999</v>
      </c>
      <c r="K11" s="4">
        <f t="shared" si="3"/>
        <v>2</v>
      </c>
      <c r="L11" s="4">
        <f t="shared" si="4"/>
        <v>5</v>
      </c>
      <c r="M11" s="4">
        <f t="shared" si="4"/>
        <v>3</v>
      </c>
      <c r="P11" s="3">
        <f t="shared" si="0"/>
        <v>3.3</v>
      </c>
      <c r="Q11">
        <f t="shared" si="1"/>
        <v>0</v>
      </c>
      <c r="S11" s="3">
        <f t="shared" si="5"/>
        <v>2</v>
      </c>
    </row>
    <row r="12" spans="1:19" x14ac:dyDescent="0.35">
      <c r="A12" t="s">
        <v>46</v>
      </c>
      <c r="C12" t="str">
        <f t="shared" si="2"/>
        <v>EWJ</v>
      </c>
      <c r="E12" s="3" cm="1">
        <f t="array" ref="E12">_xll.FDS(C12,"FG_TOTAL_RETURNC(0,-1AM)")</f>
        <v>3.9070486999999998</v>
      </c>
      <c r="F12" s="3" cm="1">
        <f t="array" ref="F12">_xll.FDS(C12,"FG_TOTAL_RETURNC(0,-3AM)")</f>
        <v>6.8247437</v>
      </c>
      <c r="G12" s="3" cm="1">
        <f t="array" ref="G12">_xll.FDS(C12,"FG_TOTAL_RETURNC(0,-6AM)")</f>
        <v>4.2746662999999998</v>
      </c>
      <c r="H12" s="9" cm="1">
        <f t="array" ref="H12">_xll.FDS(C12,"P_PRICE(0)/P_PRICE_HIGH_PR(0,,,USD,,,""PRICE"",""INTRA"",""52W"")")</f>
        <v>0.99010456000000002</v>
      </c>
      <c r="K12" s="4">
        <f t="shared" si="3"/>
        <v>3</v>
      </c>
      <c r="L12" s="4">
        <f t="shared" si="4"/>
        <v>3</v>
      </c>
      <c r="M12" s="4">
        <f t="shared" si="4"/>
        <v>9</v>
      </c>
      <c r="P12" s="3">
        <f t="shared" si="0"/>
        <v>4.95</v>
      </c>
      <c r="Q12">
        <f t="shared" si="1"/>
        <v>0</v>
      </c>
      <c r="S12" s="3">
        <f t="shared" si="5"/>
        <v>5</v>
      </c>
    </row>
    <row r="13" spans="1:19" x14ac:dyDescent="0.35">
      <c r="F13" s="3"/>
      <c r="G13" s="3"/>
      <c r="H13" s="9"/>
      <c r="K13" s="4"/>
      <c r="L13" s="4"/>
      <c r="M13" s="4"/>
      <c r="P13" s="4"/>
    </row>
    <row r="21" spans="3:3" ht="15" customHeight="1" x14ac:dyDescent="0.35"/>
    <row r="22" spans="3:3" ht="15" customHeight="1" x14ac:dyDescent="0.35"/>
    <row r="23" spans="3:3" ht="15" customHeight="1" x14ac:dyDescent="0.35"/>
    <row r="24" spans="3:3" ht="15" customHeight="1" x14ac:dyDescent="0.35">
      <c r="C24" s="1"/>
    </row>
    <row r="25" spans="3:3" ht="15" customHeight="1" x14ac:dyDescent="0.35"/>
    <row r="26" spans="3:3" ht="15" customHeight="1" x14ac:dyDescent="0.35"/>
    <row r="27" spans="3:3" ht="15" customHeight="1" x14ac:dyDescent="0.35"/>
    <row r="28" spans="3:3" ht="15" customHeight="1" x14ac:dyDescent="0.35"/>
    <row r="29" spans="3:3" ht="15" customHeight="1" x14ac:dyDescent="0.35"/>
    <row r="30" spans="3:3" ht="15" customHeight="1" x14ac:dyDescent="0.35"/>
    <row r="31" spans="3:3" ht="15" customHeight="1" x14ac:dyDescent="0.35">
      <c r="C31" s="1"/>
    </row>
    <row r="32" spans="3:3" ht="15" customHeight="1" x14ac:dyDescent="0.35"/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>
      <c r="C36" s="1"/>
    </row>
    <row r="37" spans="3:3" ht="15" customHeight="1" x14ac:dyDescent="0.35"/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>
      <c r="C41" s="1"/>
    </row>
    <row r="42" spans="3:3" ht="15" customHeight="1" x14ac:dyDescent="0.35">
      <c r="C42" s="1"/>
    </row>
    <row r="43" spans="3:3" ht="15" customHeight="1" x14ac:dyDescent="0.35"/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9CE9-D88B-4C94-B4F6-F98AE1A97539}">
  <dimension ref="B2:P18"/>
  <sheetViews>
    <sheetView tabSelected="1" topLeftCell="C1" zoomScale="85" zoomScaleNormal="85" workbookViewId="0">
      <selection activeCell="K29" sqref="K29"/>
    </sheetView>
  </sheetViews>
  <sheetFormatPr defaultRowHeight="14.5" x14ac:dyDescent="0.35"/>
  <cols>
    <col min="2" max="2" width="13.453125" customWidth="1"/>
    <col min="3" max="3" width="34.453125" customWidth="1"/>
    <col min="4" max="4" width="12.453125" bestFit="1" customWidth="1"/>
    <col min="5" max="6" width="12.453125" customWidth="1"/>
    <col min="7" max="7" width="15" hidden="1" customWidth="1"/>
    <col min="8" max="8" width="15" customWidth="1"/>
    <col min="9" max="9" width="15.453125" bestFit="1" customWidth="1"/>
    <col min="10" max="10" width="11" customWidth="1"/>
    <col min="11" max="11" width="11.453125" bestFit="1" customWidth="1"/>
    <col min="12" max="12" width="14.1796875" customWidth="1"/>
    <col min="13" max="13" width="18.1796875" customWidth="1"/>
    <col min="14" max="14" width="17.1796875" customWidth="1"/>
  </cols>
  <sheetData>
    <row r="2" spans="2:16" ht="18.75" customHeight="1" x14ac:dyDescent="0.35">
      <c r="D2" s="123">
        <f>Assumption!D72*Assumption!$D$71</f>
        <v>9.9989999999999996E-2</v>
      </c>
      <c r="E2" s="123">
        <f>Assumption!D73*Assumption!$D$71</f>
        <v>9.9989999999999996E-2</v>
      </c>
      <c r="F2" s="123">
        <f>Assumption!D74*Assumption!$D$71</f>
        <v>9.9989999999999996E-2</v>
      </c>
      <c r="G2" s="123"/>
      <c r="H2" s="123"/>
      <c r="I2" s="123">
        <f>Assumption!D76</f>
        <v>0.2</v>
      </c>
      <c r="J2" s="123">
        <f>Assumption!D78</f>
        <v>0.4</v>
      </c>
      <c r="K2" s="114"/>
      <c r="L2" s="123">
        <f>Assumption!D80</f>
        <v>0.1</v>
      </c>
      <c r="P2" s="50">
        <f>SUM(D2:N2)</f>
        <v>0.99996999999999991</v>
      </c>
    </row>
    <row r="4" spans="2:16" ht="60.75" customHeight="1" x14ac:dyDescent="0.35">
      <c r="B4" s="205" t="s">
        <v>544</v>
      </c>
      <c r="C4" s="206"/>
      <c r="D4" s="210" t="s">
        <v>778</v>
      </c>
      <c r="E4" s="211"/>
      <c r="F4" s="212"/>
      <c r="G4" s="213" t="s">
        <v>812</v>
      </c>
      <c r="H4" s="213" t="s">
        <v>812</v>
      </c>
      <c r="I4" s="203" t="s">
        <v>546</v>
      </c>
      <c r="J4" s="209" t="s">
        <v>543</v>
      </c>
      <c r="K4" s="209"/>
      <c r="L4" s="203" t="s">
        <v>549</v>
      </c>
      <c r="M4" s="203" t="s">
        <v>550</v>
      </c>
      <c r="N4" s="203" t="s">
        <v>737</v>
      </c>
    </row>
    <row r="5" spans="2:16" x14ac:dyDescent="0.35">
      <c r="B5" s="207"/>
      <c r="C5" s="208"/>
      <c r="D5" s="118" t="s">
        <v>545</v>
      </c>
      <c r="E5" s="118" t="s">
        <v>547</v>
      </c>
      <c r="F5" s="118" t="s">
        <v>914</v>
      </c>
      <c r="G5" s="214"/>
      <c r="H5" s="214"/>
      <c r="I5" s="204"/>
      <c r="J5" s="202" t="s">
        <v>553</v>
      </c>
      <c r="K5" s="152" t="s">
        <v>551</v>
      </c>
      <c r="L5" s="204"/>
      <c r="M5" s="204"/>
      <c r="N5" s="204"/>
    </row>
    <row r="6" spans="2:16" x14ac:dyDescent="0.35">
      <c r="B6" s="77" t="s">
        <v>42</v>
      </c>
      <c r="C6" s="166" t="str" cm="1">
        <f t="array" ref="C6">_xll.FDS(B6,"FG_COMPANY_NAME")</f>
        <v>iShares MSCI Switzerland ETF</v>
      </c>
      <c r="D6" s="153">
        <f>VLOOKUP(B6,'Value -2 '!$D$3:$AC$15,26,FALSE)</f>
        <v>57.099999999999994</v>
      </c>
      <c r="E6" s="120">
        <f>VLOOKUP(B6,'Quality - 2'!$B$2:$S$14,18,FALSE)</f>
        <v>85.7</v>
      </c>
      <c r="F6" s="153">
        <f>VLOOKUP(B6,Safety!$B$4:$R$16,17,FALSE)</f>
        <v>78.5</v>
      </c>
      <c r="G6" s="179">
        <f t="shared" ref="G6:G18" si="0">(D6*$D$2 +E6*$E$2 +F6*$F$2)/($D$2+$E$2+$F$2)</f>
        <v>73.76666666666668</v>
      </c>
      <c r="H6" s="124" cm="1">
        <f t="array" ref="H6">_xlfn.PERCENTRANK.EXC(_xlfn._xlws.FILTER($G$6:G$18, ISNUMBER($G$6:G$18)),G6)*100</f>
        <v>92.800000000000011</v>
      </c>
      <c r="I6" s="153">
        <f>VLOOKUP(B6,'LIQIDITY 2'!$A$3:$X$15,24,FALSE)</f>
        <v>42.8</v>
      </c>
      <c r="J6" s="120">
        <f ca="1">VLOOKUP(B6,'Momnetum ranking'!$A$3:$AJ$15,36,FALSE)</f>
        <v>92.800000000000011</v>
      </c>
      <c r="K6" s="163">
        <f>VLOOKUP(B6,'Momnetum ranking'!$A$3:$H$15,8,FALSE)</f>
        <v>0.43478260869565216</v>
      </c>
      <c r="L6" s="120">
        <f>VLOOKUP(B6,'Currency- 2'!$A$3:$U$15,21,FALSE)</f>
        <v>92.800000000000011</v>
      </c>
      <c r="M6" s="162">
        <f t="shared" ref="M6:M18" ca="1" si="1">D6*$D$2 + E6*$E$2 + F6*$F$2 + I6*$I$2 + J6*$J$2 + L6*$L$2</f>
        <v>77.087787000000006</v>
      </c>
      <c r="N6" s="120" cm="1">
        <f t="array" aca="1" ref="N6" ca="1">_xlfn.PERCENTRANK.EXC(_xlfn._xlws.FILTER($M$6:M$18, ISNUMBER($M$6:M$18)),M6)*100</f>
        <v>92.800000000000011</v>
      </c>
    </row>
    <row r="7" spans="2:16" x14ac:dyDescent="0.35">
      <c r="B7" s="78" t="s">
        <v>46</v>
      </c>
      <c r="C7" s="167" t="str" cm="1">
        <f t="array" ref="C7">_xll.FDS(B7,"FG_COMPANY_NAME")</f>
        <v>iShares MSCI Japan ETF</v>
      </c>
      <c r="D7" s="159">
        <f>VLOOKUP(B7,'Value -2 '!$D$3:$AC$15,26,FALSE)</f>
        <v>50</v>
      </c>
      <c r="E7" s="121">
        <f>VLOOKUP(B7,'Quality - 2'!$B$2:$S$14,18,FALSE)</f>
        <v>42.8</v>
      </c>
      <c r="F7" s="159">
        <f>VLOOKUP(B7,Safety!$B$4:$R$16,17,FALSE)</f>
        <v>50</v>
      </c>
      <c r="G7" s="180">
        <f t="shared" si="0"/>
        <v>47.6</v>
      </c>
      <c r="H7" s="125" cm="1">
        <f t="array" ref="H7">_xlfn.PERCENTRANK.EXC(_xlfn._xlws.FILTER($G$6:G$18, ISNUMBER($G$6:G$18)),G7)*100</f>
        <v>50</v>
      </c>
      <c r="I7" s="159">
        <f>VLOOKUP(B7,'LIQIDITY 2'!$A$3:$X$15,24,FALSE)</f>
        <v>7.1</v>
      </c>
      <c r="J7" s="121">
        <f ca="1">VLOOKUP(B7,'Momnetum ranking'!$A$3:$AJ$15,36,FALSE)</f>
        <v>35.699999999999996</v>
      </c>
      <c r="K7" s="161">
        <f>VLOOKUP(B7,'Momnetum ranking'!$A$3:$H$15,8,FALSE)</f>
        <v>0.48529411764705882</v>
      </c>
      <c r="L7" s="121">
        <f>VLOOKUP(B7,'Currency- 2'!$A$3:$U$15,21,FALSE)</f>
        <v>71.399999999999991</v>
      </c>
      <c r="M7" s="160">
        <f t="shared" ca="1" si="1"/>
        <v>37.118572</v>
      </c>
      <c r="N7" s="121" cm="1">
        <f t="array" aca="1" ref="N7" ca="1">_xlfn.PERCENTRANK.EXC(_xlfn._xlws.FILTER($M$6:M$18, ISNUMBER($M$6:M$18)),M7)*100</f>
        <v>28.499999999999996</v>
      </c>
    </row>
    <row r="8" spans="2:16" x14ac:dyDescent="0.35">
      <c r="B8" s="78" t="s">
        <v>51</v>
      </c>
      <c r="C8" s="167" t="str" cm="1">
        <f t="array" ref="C8">_xll.FDS(B8,"FG_COMPANY_NAME")</f>
        <v>Invesco QQQ Trust Series I</v>
      </c>
      <c r="D8" s="159">
        <f>VLOOKUP(B8,'Value -2 '!$D$3:$AC$15,26,FALSE)</f>
        <v>14.2</v>
      </c>
      <c r="E8" s="121">
        <f>VLOOKUP(B8,'Quality - 2'!$B$2:$S$14,18,FALSE)</f>
        <v>78.5</v>
      </c>
      <c r="F8" s="159">
        <f>VLOOKUP(B8,Safety!$B$4:$R$16,17,FALSE)</f>
        <v>92.800000000000011</v>
      </c>
      <c r="G8" s="180">
        <f t="shared" si="0"/>
        <v>61.83333333333335</v>
      </c>
      <c r="H8" s="125" cm="1">
        <f t="array" ref="H8">_xlfn.PERCENTRANK.EXC(_xlfn._xlws.FILTER($G$6:G$18, ISNUMBER($G$6:G$18)),G8)*100</f>
        <v>71.399999999999991</v>
      </c>
      <c r="I8" s="159">
        <f>VLOOKUP(B8,'LIQIDITY 2'!$A$3:$X$15,24,FALSE)</f>
        <v>7.1</v>
      </c>
      <c r="J8" s="121">
        <f ca="1">VLOOKUP(B8,'Momnetum ranking'!$A$3:$AJ$15,36,FALSE)</f>
        <v>14.2</v>
      </c>
      <c r="K8" s="161">
        <f>VLOOKUP(B8,'Momnetum ranking'!$A$3:$H$15,8,FALSE)</f>
        <v>0.47058823529411764</v>
      </c>
      <c r="L8" s="121">
        <f>VLOOKUP(B8,'Currency- 2'!$A$3:$U$15,21,FALSE)</f>
        <v>14.2</v>
      </c>
      <c r="M8" s="160">
        <f t="shared" ca="1" si="1"/>
        <v>27.068145000000001</v>
      </c>
      <c r="N8" s="121" cm="1">
        <f t="array" aca="1" ref="N8" ca="1">_xlfn.PERCENTRANK.EXC(_xlfn._xlws.FILTER($M$6:M$18, ISNUMBER($M$6:M$18)),M8)*100</f>
        <v>7.1</v>
      </c>
    </row>
    <row r="9" spans="2:16" x14ac:dyDescent="0.35">
      <c r="B9" s="78" t="s">
        <v>1</v>
      </c>
      <c r="C9" s="167" t="str" cm="1">
        <f t="array" ref="C9">_xll.FDS(B9,"FG_COMPANY_NAME")</f>
        <v>SPDR S&amp;P 500 ETF Trust</v>
      </c>
      <c r="D9" s="159">
        <f>VLOOKUP(B9,'Value -2 '!$D$3:$AC$15,26,FALSE)</f>
        <v>28.499999999999996</v>
      </c>
      <c r="E9" s="121">
        <f>VLOOKUP(B9,'Quality - 2'!$B$2:$S$14,18,FALSE)</f>
        <v>92.800000000000011</v>
      </c>
      <c r="F9" s="159">
        <f>VLOOKUP(B9,Safety!$B$4:$R$16,17,FALSE)</f>
        <v>71.399999999999991</v>
      </c>
      <c r="G9" s="180">
        <f t="shared" si="0"/>
        <v>64.233333333333348</v>
      </c>
      <c r="H9" s="125" cm="1">
        <f t="array" ref="H9">_xlfn.PERCENTRANK.EXC(_xlfn._xlws.FILTER($G$6:G$18, ISNUMBER($G$6:G$18)),G9)*100</f>
        <v>78.5</v>
      </c>
      <c r="I9" s="159">
        <f>VLOOKUP(B9,'LIQIDITY 2'!$A$3:$X$15,24,FALSE)</f>
        <v>7.1</v>
      </c>
      <c r="J9" s="121">
        <f ca="1">VLOOKUP(B9,'Momnetum ranking'!$A$3:$AJ$15,36,FALSE)</f>
        <v>64.2</v>
      </c>
      <c r="K9" s="161">
        <f>VLOOKUP(B9,'Momnetum ranking'!$A$3:$H$15,8,FALSE)</f>
        <v>0.48111332007952284</v>
      </c>
      <c r="L9" s="121">
        <f>VLOOKUP(B9,'Currency- 2'!$A$3:$U$15,21,FALSE)</f>
        <v>14.2</v>
      </c>
      <c r="M9" s="160">
        <f t="shared" ca="1" si="1"/>
        <v>47.788073000000011</v>
      </c>
      <c r="N9" s="121" cm="1">
        <f t="array" aca="1" ref="N9" ca="1">_xlfn.PERCENTRANK.EXC(_xlfn._xlws.FILTER($M$6:M$18, ISNUMBER($M$6:M$18)),M9)*100</f>
        <v>64.2</v>
      </c>
    </row>
    <row r="10" spans="2:16" x14ac:dyDescent="0.35">
      <c r="B10" s="78" t="s">
        <v>11</v>
      </c>
      <c r="C10" s="167" t="str" cm="1">
        <f t="array" ref="C10">_xll.FDS(B10,"FG_COMPANY_NAME")</f>
        <v>iShares MSCI Germany ETF</v>
      </c>
      <c r="D10" s="159">
        <f>VLOOKUP(B10,'Value -2 '!$D$3:$AC$15,26,FALSE)</f>
        <v>78.5</v>
      </c>
      <c r="E10" s="121">
        <f>VLOOKUP(B10,'Quality - 2'!$B$2:$S$14,18,FALSE)</f>
        <v>28.499999999999996</v>
      </c>
      <c r="F10" s="159">
        <f>VLOOKUP(B10,Safety!$B$4:$R$16,17,FALSE)</f>
        <v>28.499999999999996</v>
      </c>
      <c r="G10" s="180">
        <f t="shared" si="0"/>
        <v>45.166666666666671</v>
      </c>
      <c r="H10" s="125" cm="1">
        <f t="array" ref="H10">_xlfn.PERCENTRANK.EXC(_xlfn._xlws.FILTER($G$6:G$18, ISNUMBER($G$6:G$18)),G10)*100</f>
        <v>35.699999999999996</v>
      </c>
      <c r="I10" s="159">
        <f>VLOOKUP(B10,'LIQIDITY 2'!$A$3:$X$15,24,FALSE)</f>
        <v>42.8</v>
      </c>
      <c r="J10" s="121">
        <f ca="1">VLOOKUP(B10,'Momnetum ranking'!$A$3:$AJ$15,36,FALSE)</f>
        <v>57.099999999999994</v>
      </c>
      <c r="K10" s="161">
        <f>VLOOKUP(B10,'Momnetum ranking'!$A$3:$H$15,8,FALSE)</f>
        <v>0.47457627118644069</v>
      </c>
      <c r="L10" s="121">
        <f>VLOOKUP(B10,'Currency- 2'!$A$3:$U$15,21,FALSE)</f>
        <v>78.5</v>
      </c>
      <c r="M10" s="160">
        <f t="shared" ca="1" si="1"/>
        <v>52.798645</v>
      </c>
      <c r="N10" s="121" cm="1">
        <f t="array" aca="1" ref="N10" ca="1">_xlfn.PERCENTRANK.EXC(_xlfn._xlws.FILTER($M$6:M$18, ISNUMBER($M$6:M$18)),M10)*100</f>
        <v>71.399999999999991</v>
      </c>
    </row>
    <row r="11" spans="2:16" x14ac:dyDescent="0.35">
      <c r="B11" s="78" t="s">
        <v>48</v>
      </c>
      <c r="C11" s="167" t="str" cm="1">
        <f t="array" ref="C11">_xll.FDS(B11,"FG_COMPANY_NAME")</f>
        <v>iShares MSCI United Kingdom ETF</v>
      </c>
      <c r="D11" s="159">
        <f>VLOOKUP(B11,'Value -2 '!$D$3:$AC$15,26,FALSE)</f>
        <v>85.7</v>
      </c>
      <c r="E11" s="121">
        <f>VLOOKUP(B11,'Quality - 2'!$B$2:$S$14,18,FALSE)</f>
        <v>57.099999999999994</v>
      </c>
      <c r="F11" s="159">
        <f>VLOOKUP(B11,Safety!$B$4:$R$16,17,FALSE)</f>
        <v>21.4</v>
      </c>
      <c r="G11" s="180">
        <f t="shared" si="0"/>
        <v>54.733333333333348</v>
      </c>
      <c r="H11" s="125" cm="1">
        <f t="array" ref="H11">_xlfn.PERCENTRANK.EXC(_xlfn._xlws.FILTER($G$6:G$18, ISNUMBER($G$6:G$18)),G11)*100</f>
        <v>64.2</v>
      </c>
      <c r="I11" s="159">
        <f>VLOOKUP(B11,'LIQIDITY 2'!$A$3:$X$15,24,FALSE)</f>
        <v>42.8</v>
      </c>
      <c r="J11" s="121">
        <f ca="1">VLOOKUP(B11,'Momnetum ranking'!$A$3:$AJ$15,36,FALSE)</f>
        <v>85.7</v>
      </c>
      <c r="K11" s="161">
        <f>VLOOKUP(B11,'Momnetum ranking'!$A$3:$H$15,8,FALSE)</f>
        <v>0.38271604938271603</v>
      </c>
      <c r="L11" s="121">
        <f>VLOOKUP(B11,'Currency- 2'!$A$3:$U$15,21,FALSE)</f>
        <v>64.2</v>
      </c>
      <c r="M11" s="160">
        <f t="shared" ca="1" si="1"/>
        <v>65.678358000000003</v>
      </c>
      <c r="N11" s="121" cm="1">
        <f t="array" aca="1" ref="N11" ca="1">_xlfn.PERCENTRANK.EXC(_xlfn._xlws.FILTER($M$6:M$18, ISNUMBER($M$6:M$18)),M11)*100</f>
        <v>85.7</v>
      </c>
    </row>
    <row r="12" spans="2:16" x14ac:dyDescent="0.35">
      <c r="B12" s="78" t="s">
        <v>49</v>
      </c>
      <c r="C12" s="167" t="str" cm="1">
        <f t="array" ref="C12">_xll.FDS(B12,"FG_COMPANY_NAME")</f>
        <v>iShares MSCI Canada ETF</v>
      </c>
      <c r="D12" s="159">
        <f>VLOOKUP(B12,'Value -2 '!$D$3:$AC$15,26,FALSE)</f>
        <v>42.8</v>
      </c>
      <c r="E12" s="121">
        <f>VLOOKUP(B12,'Quality - 2'!$B$2:$S$14,18,FALSE)</f>
        <v>64.2</v>
      </c>
      <c r="F12" s="159">
        <f>VLOOKUP(B12,Safety!$B$4:$R$16,17,FALSE)</f>
        <v>42.8</v>
      </c>
      <c r="G12" s="180">
        <f t="shared" si="0"/>
        <v>49.933333333333344</v>
      </c>
      <c r="H12" s="125" cm="1">
        <f t="array" ref="H12">_xlfn.PERCENTRANK.EXC(_xlfn._xlws.FILTER($G$6:G$18, ISNUMBER($G$6:G$18)),G12)*100</f>
        <v>57.099999999999994</v>
      </c>
      <c r="I12" s="159">
        <f>VLOOKUP(B12,'LIQIDITY 2'!$A$3:$X$15,24,FALSE)</f>
        <v>42.8</v>
      </c>
      <c r="J12" s="121">
        <f ca="1">VLOOKUP(B12,'Momnetum ranking'!$A$3:$AJ$15,36,FALSE)</f>
        <v>71.399999999999991</v>
      </c>
      <c r="K12" s="161">
        <f>VLOOKUP(B12,'Momnetum ranking'!$A$3:$H$15,8,FALSE)</f>
        <v>0.5</v>
      </c>
      <c r="L12" s="121">
        <f>VLOOKUP(B12,'Currency- 2'!$A$3:$U$15,21,FALSE)</f>
        <v>28.499999999999996</v>
      </c>
      <c r="M12" s="160">
        <f t="shared" ca="1" si="1"/>
        <v>54.948501999999998</v>
      </c>
      <c r="N12" s="121" cm="1">
        <f t="array" aca="1" ref="N12" ca="1">_xlfn.PERCENTRANK.EXC(_xlfn._xlws.FILTER($M$6:M$18, ISNUMBER($M$6:M$18)),M12)*100</f>
        <v>78.5</v>
      </c>
    </row>
    <row r="13" spans="2:16" x14ac:dyDescent="0.35">
      <c r="B13" s="78" t="s">
        <v>44</v>
      </c>
      <c r="C13" s="167" t="str" cm="1">
        <f t="array" ref="C13">_xll.FDS(B13,"FG_COMPANY_NAME")</f>
        <v>iShares MSCI Australia ETF</v>
      </c>
      <c r="D13" s="159">
        <f>VLOOKUP(B13,'Value -2 '!$D$3:$AC$15,26,FALSE)</f>
        <v>21.4</v>
      </c>
      <c r="E13" s="121">
        <f>VLOOKUP(B13,'Quality - 2'!$B$2:$S$14,18,FALSE)</f>
        <v>21.4</v>
      </c>
      <c r="F13" s="159">
        <f>VLOOKUP(B13,Safety!$B$4:$R$16,17,FALSE)</f>
        <v>14.2</v>
      </c>
      <c r="G13" s="180">
        <f t="shared" si="0"/>
        <v>19</v>
      </c>
      <c r="H13" s="125" cm="1">
        <f t="array" ref="H13">_xlfn.PERCENTRANK.EXC(_xlfn._xlws.FILTER($G$6:G$18, ISNUMBER($G$6:G$18)),G13)*100</f>
        <v>7.1</v>
      </c>
      <c r="I13" s="159">
        <f>VLOOKUP(B13,'LIQIDITY 2'!$A$3:$X$15,24,FALSE)</f>
        <v>7.1</v>
      </c>
      <c r="J13" s="121">
        <f ca="1">VLOOKUP(B13,'Momnetum ranking'!$A$3:$AJ$15,36,FALSE)</f>
        <v>78.5</v>
      </c>
      <c r="K13" s="161">
        <f>VLOOKUP(B13,'Momnetum ranking'!$A$3:$H$15,8,FALSE)</f>
        <v>0.3559322033898305</v>
      </c>
      <c r="L13" s="121">
        <f>VLOOKUP(B13,'Currency- 2'!$A$3:$U$15,21,FALSE)</f>
        <v>50</v>
      </c>
      <c r="M13" s="160">
        <f t="shared" ca="1" si="1"/>
        <v>43.51943</v>
      </c>
      <c r="N13" s="121" cm="1">
        <f t="array" aca="1" ref="N13" ca="1">_xlfn.PERCENTRANK.EXC(_xlfn._xlws.FILTER($M$6:M$18, ISNUMBER($M$6:M$18)),M13)*100</f>
        <v>57.099999999999994</v>
      </c>
    </row>
    <row r="14" spans="2:16" x14ac:dyDescent="0.35">
      <c r="B14" s="78" t="s">
        <v>431</v>
      </c>
      <c r="C14" s="167" t="str" cm="1">
        <f t="array" ref="C14">_xll.FDS(B14,"FG_COMPANY_NAME")</f>
        <v>iShares MSCI New Zealand ETF</v>
      </c>
      <c r="D14" s="159">
        <f>VLOOKUP(B14,'Value -2 '!$D$3:$AC$15,26,FALSE)</f>
        <v>7.1</v>
      </c>
      <c r="E14" s="121">
        <f>VLOOKUP(B14,'Quality - 2'!$B$2:$S$14,18,FALSE)</f>
        <v>14.2</v>
      </c>
      <c r="F14" s="159">
        <f>VLOOKUP(B14,Safety!$B$4:$R$16,17,FALSE)</f>
        <v>64.2</v>
      </c>
      <c r="G14" s="180">
        <f t="shared" si="0"/>
        <v>28.5</v>
      </c>
      <c r="H14" s="125" cm="1">
        <f t="array" ref="H14">_xlfn.PERCENTRANK.EXC(_xlfn._xlws.FILTER($G$6:G$18, ISNUMBER($G$6:G$18)),G14)*100</f>
        <v>14.2</v>
      </c>
      <c r="I14" s="159">
        <f>VLOOKUP(B14,'LIQIDITY 2'!$A$3:$X$15,24,FALSE)</f>
        <v>42.8</v>
      </c>
      <c r="J14" s="121">
        <f ca="1">VLOOKUP(B14,'Momnetum ranking'!$A$3:$AJ$15,36,FALSE)</f>
        <v>50</v>
      </c>
      <c r="K14" s="161">
        <f>VLOOKUP(B14,'Momnetum ranking'!$A$3:$H$15,8,FALSE)</f>
        <v>0.35714285714285715</v>
      </c>
      <c r="L14" s="121">
        <f>VLOOKUP(B14,'Currency- 2'!$A$3:$U$15,21,FALSE)</f>
        <v>7.1</v>
      </c>
      <c r="M14" s="160">
        <f t="shared" ca="1" si="1"/>
        <v>37.819144999999999</v>
      </c>
      <c r="N14" s="121" cm="1">
        <f t="array" aca="1" ref="N14" ca="1">_xlfn.PERCENTRANK.EXC(_xlfn._xlws.FILTER($M$6:M$18, ISNUMBER($M$6:M$18)),M14)*100</f>
        <v>35.699999999999996</v>
      </c>
    </row>
    <row r="15" spans="2:16" x14ac:dyDescent="0.35">
      <c r="B15" s="78" t="s">
        <v>865</v>
      </c>
      <c r="C15" s="167" t="str" cm="1">
        <f t="array" ref="C15">_xll.FDS(B15,"FG_COMPANY_NAME")</f>
        <v>iShares MSCI France ETF</v>
      </c>
      <c r="D15" s="159">
        <f>VLOOKUP(B15,'Value -2 '!$D$3:$AC$15,26,FALSE)</f>
        <v>64.2</v>
      </c>
      <c r="E15" s="121">
        <f>VLOOKUP(B15,'Quality - 2'!$B$2:$S$14,18,FALSE)</f>
        <v>71.399999999999991</v>
      </c>
      <c r="F15" s="159">
        <f>VLOOKUP(B15,Safety!$B$4:$R$16,17,FALSE)</f>
        <v>85.7</v>
      </c>
      <c r="G15" s="180">
        <f t="shared" si="0"/>
        <v>73.766666666666666</v>
      </c>
      <c r="H15" s="125" cm="1">
        <f t="array" ref="H15">_xlfn.PERCENTRANK.EXC(_xlfn._xlws.FILTER($G$6:G$18, ISNUMBER($G$6:G$18)),G15)*100</f>
        <v>85.7</v>
      </c>
      <c r="I15" s="159">
        <f>VLOOKUP(B15,'LIQIDITY 2'!$A$3:$X$15,24,FALSE)</f>
        <v>42.8</v>
      </c>
      <c r="J15" s="121">
        <f ca="1">VLOOKUP(B15,'Momnetum ranking'!$A$3:$AJ$15,36,FALSE)</f>
        <v>7.1</v>
      </c>
      <c r="K15" s="161">
        <f>VLOOKUP(B15,'Momnetum ranking'!$A$3:$H$15,8,FALSE)</f>
        <v>0.41935483870967744</v>
      </c>
      <c r="L15" s="121">
        <f>VLOOKUP(B15,'Currency- 2'!$A$3:$U$15,21,FALSE)</f>
        <v>85.7</v>
      </c>
      <c r="M15" s="160">
        <f t="shared" ca="1" si="1"/>
        <v>42.097787000000004</v>
      </c>
      <c r="N15" s="121" cm="1">
        <f t="array" aca="1" ref="N15" ca="1">_xlfn.PERCENTRANK.EXC(_xlfn._xlws.FILTER($M$6:M$18, ISNUMBER($M$6:M$18)),M15)*100</f>
        <v>42.8</v>
      </c>
    </row>
    <row r="16" spans="2:16" x14ac:dyDescent="0.35">
      <c r="B16" s="78" t="s">
        <v>867</v>
      </c>
      <c r="C16" s="167" t="str" cm="1">
        <f t="array" ref="C16">_xll.FDS(B16,"FG_COMPANY_NAME")</f>
        <v>iShares MSCI Netherlands ETF</v>
      </c>
      <c r="D16" s="159">
        <f>VLOOKUP(B16,'Value -2 '!$D$3:$AC$15,26,FALSE)</f>
        <v>35.699999999999996</v>
      </c>
      <c r="E16" s="121">
        <f>VLOOKUP(B16,'Quality - 2'!$B$2:$S$14,18,FALSE)</f>
        <v>35.699999999999996</v>
      </c>
      <c r="F16" s="159">
        <f>VLOOKUP(B16,Safety!$B$4:$R$16,17,FALSE)</f>
        <v>57.099999999999994</v>
      </c>
      <c r="G16" s="180">
        <f t="shared" si="0"/>
        <v>42.833333333333336</v>
      </c>
      <c r="H16" s="125" cm="1">
        <f t="array" ref="H16">_xlfn.PERCENTRANK.EXC(_xlfn._xlws.FILTER($G$6:G$18, ISNUMBER($G$6:G$18)),G16)*100</f>
        <v>21.4</v>
      </c>
      <c r="I16" s="159">
        <f>VLOOKUP(B16,'LIQIDITY 2'!$A$3:$X$15,24,FALSE)</f>
        <v>42.8</v>
      </c>
      <c r="J16" s="121">
        <f ca="1">VLOOKUP(B16,'Momnetum ranking'!$A$3:$AJ$15,36,FALSE)</f>
        <v>21.4</v>
      </c>
      <c r="K16" s="161">
        <f>VLOOKUP(B16,'Momnetum ranking'!$A$3:$H$15,8,FALSE)</f>
        <v>0.50943396226415094</v>
      </c>
      <c r="L16" s="121">
        <f>VLOOKUP(B16,'Currency- 2'!$A$3:$U$15,21,FALSE)</f>
        <v>57.099999999999994</v>
      </c>
      <c r="M16" s="160">
        <f t="shared" ca="1" si="1"/>
        <v>35.678715000000004</v>
      </c>
      <c r="N16" s="121" cm="1">
        <f t="array" aca="1" ref="N16" ca="1">_xlfn.PERCENTRANK.EXC(_xlfn._xlws.FILTER($M$6:M$18, ISNUMBER($M$6:M$18)),M16)*100</f>
        <v>21.4</v>
      </c>
    </row>
    <row r="17" spans="2:14" x14ac:dyDescent="0.35">
      <c r="B17" s="78" t="s">
        <v>864</v>
      </c>
      <c r="C17" s="167" t="str" cm="1">
        <f t="array" ref="C17">_xll.FDS(B17,"FG_COMPANY_NAME")</f>
        <v>iShares MSCI Sweden ETF</v>
      </c>
      <c r="D17" s="159">
        <f>VLOOKUP(B17,'Value -2 '!$D$3:$AC$15,26,FALSE)</f>
        <v>71.399999999999991</v>
      </c>
      <c r="E17" s="121">
        <f>VLOOKUP(B17,'Quality - 2'!$B$2:$S$14,18,FALSE)</f>
        <v>50</v>
      </c>
      <c r="F17" s="159">
        <f>VLOOKUP(B17,Safety!$B$4:$R$16,17,FALSE)</f>
        <v>7.1</v>
      </c>
      <c r="G17" s="180">
        <f t="shared" si="0"/>
        <v>42.833333333333336</v>
      </c>
      <c r="H17" s="125" cm="1">
        <f t="array" ref="H17">_xlfn.PERCENTRANK.EXC(_xlfn._xlws.FILTER($G$6:G$18, ISNUMBER($G$6:G$18)),G17)*100</f>
        <v>21.4</v>
      </c>
      <c r="I17" s="159">
        <f>VLOOKUP(B17,'LIQIDITY 2'!$A$3:$X$15,24,FALSE)</f>
        <v>35.699999999999996</v>
      </c>
      <c r="J17" s="121">
        <f ca="1">VLOOKUP(B17,'Momnetum ranking'!$A$3:$AJ$15,36,FALSE)</f>
        <v>28.499999999999996</v>
      </c>
      <c r="K17" s="161">
        <f>VLOOKUP(B17,'Momnetum ranking'!$A$3:$H$15,8,FALSE)</f>
        <v>0.37777777777777777</v>
      </c>
      <c r="L17" s="121">
        <f>VLOOKUP(B17,'Currency- 2'!$A$3:$U$15,21,FALSE)</f>
        <v>42.8</v>
      </c>
      <c r="M17" s="160">
        <f t="shared" ca="1" si="1"/>
        <v>35.668714999999999</v>
      </c>
      <c r="N17" s="121" cm="1">
        <f t="array" aca="1" ref="N17" ca="1">_xlfn.PERCENTRANK.EXC(_xlfn._xlws.FILTER($M$6:M$18, ISNUMBER($M$6:M$18)),M17)*100</f>
        <v>14.2</v>
      </c>
    </row>
    <row r="18" spans="2:14" x14ac:dyDescent="0.35">
      <c r="B18" s="79" t="s">
        <v>866</v>
      </c>
      <c r="C18" s="168" t="str" cm="1">
        <f t="array" ref="C18">_xll.FDS(B18,"FG_COMPANY_NAME")</f>
        <v>iShares MSCI Italy ETF</v>
      </c>
      <c r="D18" s="154">
        <f>VLOOKUP(B18,'Value -2 '!$D$3:$AC$15,26,FALSE)</f>
        <v>92.800000000000011</v>
      </c>
      <c r="E18" s="122">
        <f>VLOOKUP(B18,'Quality - 2'!$B$2:$S$14,18,FALSE)</f>
        <v>7.1</v>
      </c>
      <c r="F18" s="154">
        <f>VLOOKUP(B18,Safety!$B$4:$R$16,17,FALSE)</f>
        <v>35.699999999999996</v>
      </c>
      <c r="G18" s="181">
        <f t="shared" si="0"/>
        <v>45.20000000000001</v>
      </c>
      <c r="H18" s="126" cm="1">
        <f t="array" ref="H18">_xlfn.PERCENTRANK.EXC(_xlfn._xlws.FILTER($G$6:G$18, ISNUMBER($G$6:G$18)),G18)*100</f>
        <v>42.8</v>
      </c>
      <c r="I18" s="154">
        <f>VLOOKUP(B18,'LIQIDITY 2'!$A$3:$X$15,24,FALSE)</f>
        <v>42.8</v>
      </c>
      <c r="J18" s="122">
        <f ca="1">VLOOKUP(B18,'Momnetum ranking'!$A$3:$AJ$15,36,FALSE)</f>
        <v>42.8</v>
      </c>
      <c r="K18" s="165">
        <f>VLOOKUP(B18,'Momnetum ranking'!$A$3:$H$15,8,FALSE)</f>
        <v>0.46153846153846156</v>
      </c>
      <c r="L18" s="122">
        <f>VLOOKUP(B18,'Currency- 2'!$A$3:$U$15,21,FALSE)</f>
        <v>35.699999999999996</v>
      </c>
      <c r="M18" s="164">
        <f t="shared" ca="1" si="1"/>
        <v>42.808644000000008</v>
      </c>
      <c r="N18" s="122" cm="1">
        <f t="array" aca="1" ref="N18" ca="1">_xlfn.PERCENTRANK.EXC(_xlfn._xlws.FILTER($M$6:M$18, ISNUMBER($M$6:M$18)),M18)*100</f>
        <v>50</v>
      </c>
    </row>
  </sheetData>
  <mergeCells count="9">
    <mergeCell ref="N4:N5"/>
    <mergeCell ref="L4:L5"/>
    <mergeCell ref="M4:M5"/>
    <mergeCell ref="B4:C5"/>
    <mergeCell ref="J4:K4"/>
    <mergeCell ref="I4:I5"/>
    <mergeCell ref="D4:F4"/>
    <mergeCell ref="G4:G5"/>
    <mergeCell ref="H4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1AE5F-A3AF-4A6D-851D-579992230606}">
  <dimension ref="B1:U22"/>
  <sheetViews>
    <sheetView topLeftCell="C1" zoomScale="82" zoomScaleNormal="82" workbookViewId="0">
      <selection activeCell="R28" sqref="R28"/>
    </sheetView>
  </sheetViews>
  <sheetFormatPr defaultRowHeight="14.5" x14ac:dyDescent="0.35"/>
  <cols>
    <col min="2" max="2" width="12.1796875" bestFit="1" customWidth="1"/>
    <col min="3" max="3" width="25.453125" customWidth="1"/>
    <col min="4" max="4" width="15.453125" customWidth="1"/>
    <col min="5" max="5" width="14.453125" customWidth="1"/>
    <col min="6" max="6" width="11.54296875" bestFit="1" customWidth="1"/>
    <col min="7" max="7" width="7.453125" bestFit="1" customWidth="1"/>
    <col min="8" max="8" width="10.1796875" bestFit="1" customWidth="1"/>
    <col min="9" max="9" width="11.453125" bestFit="1" customWidth="1"/>
    <col min="10" max="10" width="14.453125" hidden="1" customWidth="1"/>
    <col min="11" max="11" width="20.1796875" bestFit="1" customWidth="1"/>
    <col min="12" max="12" width="12" hidden="1" customWidth="1"/>
    <col min="13" max="13" width="15.453125" bestFit="1" customWidth="1"/>
    <col min="14" max="14" width="12.54296875" hidden="1" customWidth="1"/>
    <col min="15" max="15" width="18.453125" bestFit="1" customWidth="1"/>
    <col min="16" max="16" width="13.453125" hidden="1" customWidth="1"/>
    <col min="17" max="17" width="19.81640625" bestFit="1" customWidth="1"/>
    <col min="18" max="18" width="20.54296875" bestFit="1" customWidth="1"/>
    <col min="19" max="19" width="21.54296875" bestFit="1" customWidth="1"/>
  </cols>
  <sheetData>
    <row r="1" spans="2:21" ht="15" thickBot="1" x14ac:dyDescent="0.4"/>
    <row r="2" spans="2:21" x14ac:dyDescent="0.35">
      <c r="C2" s="129" t="s">
        <v>822</v>
      </c>
      <c r="D2" s="130">
        <v>0.5</v>
      </c>
      <c r="E2" s="62" t="s">
        <v>836</v>
      </c>
      <c r="F2" s="127">
        <v>0.1</v>
      </c>
      <c r="R2" s="144" t="s">
        <v>851</v>
      </c>
      <c r="S2" s="144" t="s">
        <v>851</v>
      </c>
    </row>
    <row r="3" spans="2:21" ht="15" thickBot="1" x14ac:dyDescent="0.4">
      <c r="C3" s="131" t="s">
        <v>823</v>
      </c>
      <c r="D3" s="132">
        <v>70</v>
      </c>
      <c r="E3" s="56" t="s">
        <v>824</v>
      </c>
      <c r="F3" s="58">
        <v>50</v>
      </c>
      <c r="R3" s="148">
        <f ca="1">COUNTIF(R9:R17,"&gt;0")</f>
        <v>0</v>
      </c>
      <c r="S3" s="148">
        <f ca="1">COUNTIF(S9:S17,"&gt;0")</f>
        <v>0</v>
      </c>
    </row>
    <row r="4" spans="2:21" ht="15" thickBot="1" x14ac:dyDescent="0.4">
      <c r="C4" s="131" t="s">
        <v>825</v>
      </c>
      <c r="D4" s="133">
        <v>0.3</v>
      </c>
      <c r="E4" s="56" t="s">
        <v>831</v>
      </c>
      <c r="F4" s="128">
        <v>0.1</v>
      </c>
    </row>
    <row r="5" spans="2:21" ht="15" thickBot="1" x14ac:dyDescent="0.4">
      <c r="C5" s="134" t="s">
        <v>826</v>
      </c>
      <c r="D5" s="135">
        <v>70</v>
      </c>
      <c r="E5" s="12" t="s">
        <v>823</v>
      </c>
      <c r="F5" s="14">
        <v>60</v>
      </c>
      <c r="Q5" s="62" t="s">
        <v>849</v>
      </c>
      <c r="R5" s="11"/>
    </row>
    <row r="6" spans="2:21" ht="15" thickBot="1" x14ac:dyDescent="0.4">
      <c r="Q6" s="12" t="s">
        <v>850</v>
      </c>
      <c r="R6" s="147">
        <v>0.01</v>
      </c>
    </row>
    <row r="7" spans="2:21" ht="15" thickBot="1" x14ac:dyDescent="0.4"/>
    <row r="8" spans="2:21" x14ac:dyDescent="0.35">
      <c r="B8" s="139" t="s">
        <v>827</v>
      </c>
      <c r="C8" s="139" t="s">
        <v>518</v>
      </c>
      <c r="D8" s="140" t="s">
        <v>544</v>
      </c>
      <c r="E8" s="140" t="s">
        <v>828</v>
      </c>
      <c r="F8" s="140" t="s">
        <v>543</v>
      </c>
      <c r="G8" s="140" t="s">
        <v>545</v>
      </c>
      <c r="H8" s="140" t="s">
        <v>546</v>
      </c>
      <c r="I8" s="140" t="s">
        <v>549</v>
      </c>
      <c r="J8" s="140" t="s">
        <v>832</v>
      </c>
      <c r="K8" s="140" t="s">
        <v>853</v>
      </c>
      <c r="L8" s="140" t="s">
        <v>833</v>
      </c>
      <c r="M8" s="140" t="s">
        <v>858</v>
      </c>
      <c r="N8" s="140" t="s">
        <v>834</v>
      </c>
      <c r="O8" s="140" t="s">
        <v>854</v>
      </c>
      <c r="P8" s="140" t="s">
        <v>835</v>
      </c>
      <c r="Q8" s="140" t="s">
        <v>855</v>
      </c>
      <c r="R8" s="155" t="s">
        <v>856</v>
      </c>
      <c r="S8" s="155" t="s">
        <v>857</v>
      </c>
    </row>
    <row r="9" spans="2:21" x14ac:dyDescent="0.35">
      <c r="B9" s="56" t="s">
        <v>431</v>
      </c>
      <c r="C9" s="56" t="str" cm="1">
        <f t="array" ref="C9">_xll.FDS(B9,"FG_COMPANY_NAME")</f>
        <v>iShares MSCI New Zealand ETF</v>
      </c>
      <c r="D9" t="s">
        <v>674</v>
      </c>
      <c r="E9" s="136">
        <f>HLOOKUP(B9,'Monthly Returns'!$A$1:$N$139,139,FALSE)</f>
        <v>0.20353092708747253</v>
      </c>
      <c r="F9">
        <f ca="1">VLOOKUP(B9,OUTPUT_COUNTRY!$B$6:$N$18, 9, FALSE)</f>
        <v>50</v>
      </c>
      <c r="G9" s="47">
        <f>IFERROR(VLOOKUP(B9,OUTPUT_COUNTRY!$B$6:$N$18, 7, FALSE),0)</f>
        <v>14.2</v>
      </c>
      <c r="H9">
        <f>VLOOKUP(B9,OUTPUT_COUNTRY!$B$6:$N$18, 8, FALSE)</f>
        <v>42.8</v>
      </c>
      <c r="I9">
        <f>VLOOKUP(B9,OUTPUT_COUNTRY!$B$6:$N$18, 11, FALSE)</f>
        <v>7.1</v>
      </c>
      <c r="J9" s="47">
        <f t="shared" ref="J9:J21" ca="1" si="0">IF(F9&gt;=$D$3,1/E9,0)</f>
        <v>0</v>
      </c>
      <c r="K9" s="136">
        <f ca="1">J9/$J$22</f>
        <v>0</v>
      </c>
      <c r="L9">
        <f t="shared" ref="L9:L21" si="1">IF(G9&gt;=$D$5,1/E9,0)</f>
        <v>0</v>
      </c>
      <c r="M9" s="136">
        <f>L9/$L$22</f>
        <v>0</v>
      </c>
      <c r="N9">
        <f t="shared" ref="N9:N21" si="2">IF(H9&gt;=$F$3,1/E9,0)</f>
        <v>0</v>
      </c>
      <c r="O9" s="136" t="e">
        <f>N9/$N$22</f>
        <v>#DIV/0!</v>
      </c>
      <c r="P9">
        <f t="shared" ref="P9:P21" si="3">IF(I9&gt;=$F$5,1/E9,0)</f>
        <v>0</v>
      </c>
      <c r="Q9" s="136">
        <f>P9/$P$22</f>
        <v>0</v>
      </c>
      <c r="R9" s="156" t="e">
        <f t="shared" ref="R9:R21" ca="1" si="4">IF($D$2*K9+$D$4*M9+$F$2*O9+$F$4*Q9 = 0,"",$D$2*K9+$D$4*M9+$F$2*O9+$F$4*Q9)</f>
        <v>#DIV/0!</v>
      </c>
      <c r="S9" s="156" t="str">
        <f t="shared" ref="S9:S21" ca="1" si="5">IFERROR(IF(R9&gt;=$R$6, R9/SUMIF($R$9:$R$17,"&gt;="&amp;$R$6), ""),"")</f>
        <v/>
      </c>
      <c r="U9" s="50"/>
    </row>
    <row r="10" spans="2:21" x14ac:dyDescent="0.35">
      <c r="B10" s="56" t="s">
        <v>44</v>
      </c>
      <c r="C10" s="56" t="str" cm="1">
        <f t="array" ref="C10">_xll.FDS(B10,"FG_COMPANY_NAME")</f>
        <v>iShares MSCI Australia ETF</v>
      </c>
      <c r="D10" t="s">
        <v>576</v>
      </c>
      <c r="E10" s="136">
        <f>HLOOKUP(B10,'Monthly Returns'!$A$1:$N$139,139,FALSE)</f>
        <v>0.22814603837572353</v>
      </c>
      <c r="F10">
        <f ca="1">VLOOKUP(B10,OUTPUT_COUNTRY!$B$6:$N$18, 9, FALSE)</f>
        <v>78.5</v>
      </c>
      <c r="G10" s="47">
        <f>IFERROR(VLOOKUP(B10,OUTPUT_COUNTRY!$B$6:$N$18, 7, FALSE),0)</f>
        <v>7.1</v>
      </c>
      <c r="H10">
        <f>VLOOKUP(B10,OUTPUT_COUNTRY!$B$6:$N$18, 8, FALSE)</f>
        <v>7.1</v>
      </c>
      <c r="I10">
        <f>VLOOKUP(B10,OUTPUT_COUNTRY!$B$6:$N$18, 11, FALSE)</f>
        <v>50</v>
      </c>
      <c r="J10" s="47">
        <f t="shared" ca="1" si="0"/>
        <v>4.3831574158353108</v>
      </c>
      <c r="K10" s="136">
        <f t="shared" ref="K10:K21" ca="1" si="6">J10/$J$22</f>
        <v>0.21133267158185981</v>
      </c>
      <c r="L10">
        <f t="shared" si="1"/>
        <v>0</v>
      </c>
      <c r="M10" s="136">
        <f t="shared" ref="M10:M21" si="7">L10/$L$22</f>
        <v>0</v>
      </c>
      <c r="N10">
        <f t="shared" si="2"/>
        <v>0</v>
      </c>
      <c r="O10" s="136" t="e">
        <f t="shared" ref="O10:O21" si="8">N10/$N$22</f>
        <v>#DIV/0!</v>
      </c>
      <c r="P10">
        <f t="shared" si="3"/>
        <v>0</v>
      </c>
      <c r="Q10" s="136">
        <f t="shared" ref="Q10:Q21" si="9">P10/$P$22</f>
        <v>0</v>
      </c>
      <c r="R10" s="156" t="e">
        <f t="shared" ca="1" si="4"/>
        <v>#DIV/0!</v>
      </c>
      <c r="S10" s="156" t="str">
        <f t="shared" ca="1" si="5"/>
        <v/>
      </c>
      <c r="U10" s="50"/>
    </row>
    <row r="11" spans="2:21" x14ac:dyDescent="0.35">
      <c r="B11" s="56" t="s">
        <v>49</v>
      </c>
      <c r="C11" s="56" t="str" cm="1">
        <f t="array" ref="C11">_xll.FDS(B11,"FG_COMPANY_NAME")</f>
        <v>iShares MSCI Canada ETF</v>
      </c>
      <c r="D11" t="s">
        <v>598</v>
      </c>
      <c r="E11" s="136">
        <f>HLOOKUP(B11,'Monthly Returns'!$A$1:$N$139,139,FALSE)</f>
        <v>0.21017390932569385</v>
      </c>
      <c r="F11">
        <f ca="1">VLOOKUP(B11,OUTPUT_COUNTRY!$B$6:$N$18, 9, FALSE)</f>
        <v>71.399999999999991</v>
      </c>
      <c r="G11" s="47">
        <f>IFERROR(VLOOKUP(B11,OUTPUT_COUNTRY!$B$6:$N$18, 7, FALSE),0)</f>
        <v>57.099999999999994</v>
      </c>
      <c r="H11">
        <f>VLOOKUP(B11,OUTPUT_COUNTRY!$B$6:$N$18, 8, FALSE)</f>
        <v>42.8</v>
      </c>
      <c r="I11">
        <f>VLOOKUP(B11,OUTPUT_COUNTRY!$B$6:$N$18, 11, FALSE)</f>
        <v>28.499999999999996</v>
      </c>
      <c r="J11" s="47">
        <f t="shared" ca="1" si="0"/>
        <v>4.7579645028649118</v>
      </c>
      <c r="K11" s="136">
        <f t="shared" ca="1" si="6"/>
        <v>0.22940388726387409</v>
      </c>
      <c r="L11">
        <f t="shared" si="1"/>
        <v>0</v>
      </c>
      <c r="M11" s="136">
        <f t="shared" si="7"/>
        <v>0</v>
      </c>
      <c r="N11">
        <f t="shared" si="2"/>
        <v>0</v>
      </c>
      <c r="O11" s="136" t="e">
        <f t="shared" si="8"/>
        <v>#DIV/0!</v>
      </c>
      <c r="P11">
        <f t="shared" si="3"/>
        <v>0</v>
      </c>
      <c r="Q11" s="136">
        <f t="shared" si="9"/>
        <v>0</v>
      </c>
      <c r="R11" s="156" t="e">
        <f t="shared" ca="1" si="4"/>
        <v>#DIV/0!</v>
      </c>
      <c r="S11" s="156" t="str">
        <f t="shared" ca="1" si="5"/>
        <v/>
      </c>
      <c r="U11" s="50"/>
    </row>
    <row r="12" spans="2:21" x14ac:dyDescent="0.35">
      <c r="B12" s="56" t="s">
        <v>11</v>
      </c>
      <c r="C12" s="56" t="str" cm="1">
        <f t="array" ref="C12">_xll.FDS(B12,"FG_COMPANY_NAME")</f>
        <v>iShares MSCI Germany ETF</v>
      </c>
      <c r="D12" t="s">
        <v>625</v>
      </c>
      <c r="E12" s="136">
        <f>HLOOKUP(B12,'Monthly Returns'!$A$1:$N$139,139,FALSE)</f>
        <v>0.22270660497781292</v>
      </c>
      <c r="F12">
        <f ca="1">VLOOKUP(B12,OUTPUT_COUNTRY!$B$6:$N$18, 9, FALSE)</f>
        <v>57.099999999999994</v>
      </c>
      <c r="G12" s="47">
        <f>IFERROR(VLOOKUP(B12,OUTPUT_COUNTRY!$B$6:$N$18, 7, FALSE),0)</f>
        <v>35.699999999999996</v>
      </c>
      <c r="H12">
        <f>VLOOKUP(B12,OUTPUT_COUNTRY!$B$6:$N$18, 8, FALSE)</f>
        <v>42.8</v>
      </c>
      <c r="I12">
        <f>VLOOKUP(B12,OUTPUT_COUNTRY!$B$6:$N$18, 11, FALSE)</f>
        <v>78.5</v>
      </c>
      <c r="J12" s="47">
        <f t="shared" ca="1" si="0"/>
        <v>0</v>
      </c>
      <c r="K12" s="136">
        <f t="shared" ca="1" si="6"/>
        <v>0</v>
      </c>
      <c r="L12">
        <f t="shared" si="1"/>
        <v>0</v>
      </c>
      <c r="M12" s="136">
        <f t="shared" si="7"/>
        <v>0</v>
      </c>
      <c r="N12">
        <f t="shared" si="2"/>
        <v>0</v>
      </c>
      <c r="O12" s="136" t="e">
        <f t="shared" si="8"/>
        <v>#DIV/0!</v>
      </c>
      <c r="P12">
        <f t="shared" si="3"/>
        <v>4.4902125830512514</v>
      </c>
      <c r="Q12" s="136">
        <f t="shared" si="9"/>
        <v>0.16447213892267307</v>
      </c>
      <c r="R12" s="156" t="e">
        <f t="shared" ca="1" si="4"/>
        <v>#DIV/0!</v>
      </c>
      <c r="S12" s="156" t="str">
        <f t="shared" ca="1" si="5"/>
        <v/>
      </c>
      <c r="U12" s="50"/>
    </row>
    <row r="13" spans="2:21" x14ac:dyDescent="0.35">
      <c r="B13" s="56" t="s">
        <v>46</v>
      </c>
      <c r="C13" s="56" t="str" cm="1">
        <f t="array" ref="C13">_xll.FDS(B13,"FG_COMPANY_NAME")</f>
        <v>iShares MSCI Japan ETF</v>
      </c>
      <c r="D13" t="s">
        <v>643</v>
      </c>
      <c r="E13" s="136">
        <f>HLOOKUP(B13,'Monthly Returns'!$A$1:$N$139,139,FALSE)</f>
        <v>0.15371241087778614</v>
      </c>
      <c r="F13">
        <f ca="1">VLOOKUP(B13,OUTPUT_COUNTRY!$B$6:$N$18, 9, FALSE)</f>
        <v>35.699999999999996</v>
      </c>
      <c r="G13" s="47">
        <f>IFERROR(VLOOKUP(B13,OUTPUT_COUNTRY!$B$6:$N$18, 7, FALSE),0)</f>
        <v>50</v>
      </c>
      <c r="H13">
        <f>VLOOKUP(B13,OUTPUT_COUNTRY!$B$6:$N$18, 8, FALSE)</f>
        <v>7.1</v>
      </c>
      <c r="I13">
        <f>VLOOKUP(B13,OUTPUT_COUNTRY!$B$6:$N$18, 11, FALSE)</f>
        <v>71.399999999999991</v>
      </c>
      <c r="J13" s="47">
        <f t="shared" ca="1" si="0"/>
        <v>0</v>
      </c>
      <c r="K13" s="136">
        <f t="shared" ca="1" si="6"/>
        <v>0</v>
      </c>
      <c r="L13">
        <f t="shared" si="1"/>
        <v>0</v>
      </c>
      <c r="M13" s="136">
        <f t="shared" si="7"/>
        <v>0</v>
      </c>
      <c r="N13">
        <f t="shared" si="2"/>
        <v>0</v>
      </c>
      <c r="O13" s="136" t="e">
        <f t="shared" si="8"/>
        <v>#DIV/0!</v>
      </c>
      <c r="P13">
        <f t="shared" si="3"/>
        <v>6.5056555569548724</v>
      </c>
      <c r="Q13" s="136">
        <f t="shared" si="9"/>
        <v>0.23829586344872813</v>
      </c>
      <c r="R13" s="156" t="e">
        <f t="shared" ca="1" si="4"/>
        <v>#DIV/0!</v>
      </c>
      <c r="S13" s="156" t="str">
        <f t="shared" ca="1" si="5"/>
        <v/>
      </c>
      <c r="U13" s="50"/>
    </row>
    <row r="14" spans="2:21" x14ac:dyDescent="0.35">
      <c r="B14" s="56" t="s">
        <v>42</v>
      </c>
      <c r="C14" s="56" t="str" cm="1">
        <f t="array" ref="C14">_xll.FDS(B14,"FG_COMPANY_NAME")</f>
        <v>iShares MSCI Switzerland ETF</v>
      </c>
      <c r="D14" t="s">
        <v>706</v>
      </c>
      <c r="E14" s="136">
        <f>HLOOKUP(B14,'Monthly Returns'!$A$1:$N$139,139,FALSE)</f>
        <v>0.16155002384059231</v>
      </c>
      <c r="F14">
        <f ca="1">VLOOKUP(B14,OUTPUT_COUNTRY!$B$6:$N$18, 9, FALSE)</f>
        <v>92.800000000000011</v>
      </c>
      <c r="G14" s="47">
        <f>IFERROR(VLOOKUP(B14,OUTPUT_COUNTRY!$B$6:$N$18, 7, FALSE),0)</f>
        <v>92.800000000000011</v>
      </c>
      <c r="H14">
        <f>VLOOKUP(B14,OUTPUT_COUNTRY!$B$6:$N$18, 8, FALSE)</f>
        <v>42.8</v>
      </c>
      <c r="I14">
        <f>VLOOKUP(B14,OUTPUT_COUNTRY!$B$6:$N$18, 11, FALSE)</f>
        <v>92.800000000000011</v>
      </c>
      <c r="J14" s="47">
        <f t="shared" ca="1" si="0"/>
        <v>6.190033131698816</v>
      </c>
      <c r="K14" s="136">
        <f t="shared" ca="1" si="6"/>
        <v>0.2984506634820091</v>
      </c>
      <c r="L14">
        <f t="shared" si="1"/>
        <v>6.190033131698816</v>
      </c>
      <c r="M14" s="136">
        <f t="shared" si="7"/>
        <v>0.29091740606352923</v>
      </c>
      <c r="N14">
        <f t="shared" si="2"/>
        <v>0</v>
      </c>
      <c r="O14" s="136" t="e">
        <f t="shared" si="8"/>
        <v>#DIV/0!</v>
      </c>
      <c r="P14">
        <f t="shared" si="3"/>
        <v>6.190033131698816</v>
      </c>
      <c r="Q14" s="136">
        <f t="shared" si="9"/>
        <v>0.2267349196373441</v>
      </c>
      <c r="R14" s="156" t="e">
        <f t="shared" ca="1" si="4"/>
        <v>#DIV/0!</v>
      </c>
      <c r="S14" s="156" t="str">
        <f t="shared" ca="1" si="5"/>
        <v/>
      </c>
      <c r="U14" s="50"/>
    </row>
    <row r="15" spans="2:21" x14ac:dyDescent="0.35">
      <c r="B15" s="56" t="s">
        <v>48</v>
      </c>
      <c r="C15" s="56" t="str" cm="1">
        <f t="array" ref="C15">_xll.FDS(B15,"FG_COMPANY_NAME")</f>
        <v>iShares MSCI United Kingdom ETF</v>
      </c>
      <c r="D15" t="s">
        <v>719</v>
      </c>
      <c r="E15" s="136">
        <f>HLOOKUP(B15,'Monthly Returns'!$A$1:$N$139,139,FALSE)</f>
        <v>0.18486330398024745</v>
      </c>
      <c r="F15">
        <f ca="1">VLOOKUP(B15,OUTPUT_COUNTRY!$B$6:$N$18, 9, FALSE)</f>
        <v>85.7</v>
      </c>
      <c r="G15" s="47">
        <f>IFERROR(VLOOKUP(B15,OUTPUT_COUNTRY!$B$6:$N$18, 7, FALSE),0)</f>
        <v>64.2</v>
      </c>
      <c r="H15">
        <f>VLOOKUP(B15,OUTPUT_COUNTRY!$B$6:$N$18, 8, FALSE)</f>
        <v>42.8</v>
      </c>
      <c r="I15">
        <f>VLOOKUP(B15,OUTPUT_COUNTRY!$B$6:$N$18, 11, FALSE)</f>
        <v>64.2</v>
      </c>
      <c r="J15" s="47">
        <f t="shared" ca="1" si="0"/>
        <v>5.4094023987954341</v>
      </c>
      <c r="K15" s="136">
        <f t="shared" ca="1" si="6"/>
        <v>0.26081277767225713</v>
      </c>
      <c r="L15">
        <f t="shared" si="1"/>
        <v>0</v>
      </c>
      <c r="M15" s="136">
        <f t="shared" si="7"/>
        <v>0</v>
      </c>
      <c r="N15">
        <f t="shared" si="2"/>
        <v>0</v>
      </c>
      <c r="O15" s="136" t="e">
        <f t="shared" si="8"/>
        <v>#DIV/0!</v>
      </c>
      <c r="P15">
        <f t="shared" si="3"/>
        <v>5.4094023987954341</v>
      </c>
      <c r="Q15" s="136">
        <f t="shared" si="9"/>
        <v>0.19814117179698096</v>
      </c>
      <c r="R15" s="156" t="e">
        <f t="shared" ca="1" si="4"/>
        <v>#DIV/0!</v>
      </c>
      <c r="S15" s="156" t="str">
        <f t="shared" ca="1" si="5"/>
        <v/>
      </c>
      <c r="U15" s="50"/>
    </row>
    <row r="16" spans="2:21" x14ac:dyDescent="0.35">
      <c r="B16" s="56" t="s">
        <v>51</v>
      </c>
      <c r="C16" s="56" t="str" cm="1">
        <f t="array" ref="C16">_xll.FDS(B16,"FG_COMPANY_NAME")</f>
        <v>Invesco QQQ Trust Series I</v>
      </c>
      <c r="D16" t="s">
        <v>720</v>
      </c>
      <c r="E16" s="136">
        <f>HLOOKUP(B16,'Monthly Returns'!$A$1:$N$139,139,FALSE)</f>
        <v>0.21104230278601141</v>
      </c>
      <c r="F16">
        <f ca="1">VLOOKUP(B16,OUTPUT_COUNTRY!$B$6:$N$18, 9, FALSE)</f>
        <v>14.2</v>
      </c>
      <c r="G16" s="47">
        <f>IFERROR(VLOOKUP(B16,OUTPUT_COUNTRY!$B$6:$N$18, 7, FALSE),0)</f>
        <v>71.399999999999991</v>
      </c>
      <c r="H16">
        <f>VLOOKUP(B16,OUTPUT_COUNTRY!$B$6:$N$18, 8, FALSE)</f>
        <v>7.1</v>
      </c>
      <c r="I16">
        <f>VLOOKUP(B16,OUTPUT_COUNTRY!$B$6:$N$18, 11, FALSE)</f>
        <v>14.2</v>
      </c>
      <c r="J16" s="47">
        <f t="shared" ca="1" si="0"/>
        <v>0</v>
      </c>
      <c r="K16" s="136">
        <f t="shared" ca="1" si="6"/>
        <v>0</v>
      </c>
      <c r="L16">
        <f t="shared" si="1"/>
        <v>4.7383865073437939</v>
      </c>
      <c r="M16" s="136">
        <f t="shared" si="7"/>
        <v>0.22269333334966618</v>
      </c>
      <c r="N16">
        <f t="shared" si="2"/>
        <v>0</v>
      </c>
      <c r="O16" s="136" t="e">
        <f t="shared" si="8"/>
        <v>#DIV/0!</v>
      </c>
      <c r="P16">
        <f t="shared" si="3"/>
        <v>0</v>
      </c>
      <c r="Q16" s="136">
        <f t="shared" si="9"/>
        <v>0</v>
      </c>
      <c r="R16" s="156" t="e">
        <f t="shared" ca="1" si="4"/>
        <v>#DIV/0!</v>
      </c>
      <c r="S16" s="156" t="str">
        <f t="shared" ca="1" si="5"/>
        <v/>
      </c>
      <c r="U16" s="50"/>
    </row>
    <row r="17" spans="2:21" x14ac:dyDescent="0.35">
      <c r="B17" s="56" t="s">
        <v>1</v>
      </c>
      <c r="C17" s="56" t="str" cm="1">
        <f t="array" ref="C17">_xll.FDS(B17,"FG_COMPANY_NAME")</f>
        <v>SPDR S&amp;P 500 ETF Trust</v>
      </c>
      <c r="D17" t="s">
        <v>720</v>
      </c>
      <c r="E17" s="136">
        <f>HLOOKUP(B17,'Monthly Returns'!$A$1:$N$139,139,FALSE)</f>
        <v>0.17718666005973199</v>
      </c>
      <c r="F17">
        <f ca="1">VLOOKUP(B17,OUTPUT_COUNTRY!$B$6:$N$18, 9, FALSE)</f>
        <v>64.2</v>
      </c>
      <c r="G17" s="47">
        <f>IFERROR(VLOOKUP(B17,OUTPUT_COUNTRY!$B$6:$N$18, 7, FALSE),0)</f>
        <v>78.5</v>
      </c>
      <c r="H17">
        <f>VLOOKUP(B17,OUTPUT_COUNTRY!$B$6:$N$18, 8, FALSE)</f>
        <v>7.1</v>
      </c>
      <c r="I17">
        <f>VLOOKUP(B17,OUTPUT_COUNTRY!$B$6:$N$18, 11, FALSE)</f>
        <v>14.2</v>
      </c>
      <c r="J17" s="47">
        <f t="shared" ca="1" si="0"/>
        <v>0</v>
      </c>
      <c r="K17" s="136">
        <f t="shared" ca="1" si="6"/>
        <v>0</v>
      </c>
      <c r="L17">
        <f t="shared" si="1"/>
        <v>5.6437657307998617</v>
      </c>
      <c r="M17" s="136">
        <f t="shared" si="7"/>
        <v>0.26524408705126484</v>
      </c>
      <c r="N17">
        <f t="shared" si="2"/>
        <v>0</v>
      </c>
      <c r="O17" s="136" t="e">
        <f t="shared" si="8"/>
        <v>#DIV/0!</v>
      </c>
      <c r="P17">
        <f t="shared" si="3"/>
        <v>0</v>
      </c>
      <c r="Q17" s="136">
        <f t="shared" si="9"/>
        <v>0</v>
      </c>
      <c r="R17" s="156" t="e">
        <f t="shared" ca="1" si="4"/>
        <v>#DIV/0!</v>
      </c>
      <c r="S17" s="156" t="str">
        <f t="shared" ca="1" si="5"/>
        <v/>
      </c>
      <c r="U17" s="50"/>
    </row>
    <row r="18" spans="2:21" x14ac:dyDescent="0.35">
      <c r="B18" s="56" t="s">
        <v>865</v>
      </c>
      <c r="C18" s="56" t="str" cm="1">
        <f t="array" ref="C18">_xll.FDS(B18,"FG_COMPANY_NAME")</f>
        <v>iShares MSCI France ETF</v>
      </c>
      <c r="D18" t="s">
        <v>621</v>
      </c>
      <c r="E18" s="136">
        <f>HLOOKUP(B18,'Monthly Returns'!$A$1:$N$139,139,FALSE)</f>
        <v>0.21251973594464862</v>
      </c>
      <c r="F18">
        <f ca="1">VLOOKUP(B18,OUTPUT_COUNTRY!$B$6:$N$18, 9, FALSE)</f>
        <v>7.1</v>
      </c>
      <c r="G18" s="47">
        <f>IFERROR(VLOOKUP(B18,OUTPUT_COUNTRY!$B$6:$N$18, 7, FALSE),0)</f>
        <v>85.7</v>
      </c>
      <c r="H18">
        <f>VLOOKUP(B18,OUTPUT_COUNTRY!$B$6:$N$18, 8, FALSE)</f>
        <v>42.8</v>
      </c>
      <c r="I18">
        <f>VLOOKUP(B18,OUTPUT_COUNTRY!$B$6:$N$18, 11, FALSE)</f>
        <v>85.7</v>
      </c>
      <c r="J18" s="47">
        <f t="shared" ca="1" si="0"/>
        <v>0</v>
      </c>
      <c r="K18" s="136">
        <f t="shared" ca="1" si="6"/>
        <v>0</v>
      </c>
      <c r="L18">
        <f t="shared" si="1"/>
        <v>4.7054453345474361</v>
      </c>
      <c r="M18" s="136">
        <f t="shared" si="7"/>
        <v>0.22114517353553981</v>
      </c>
      <c r="N18">
        <f t="shared" si="2"/>
        <v>0</v>
      </c>
      <c r="O18" s="136" t="e">
        <f t="shared" si="8"/>
        <v>#DIV/0!</v>
      </c>
      <c r="P18">
        <f t="shared" si="3"/>
        <v>4.7054453345474361</v>
      </c>
      <c r="Q18" s="136">
        <f t="shared" si="9"/>
        <v>0.17235590619427391</v>
      </c>
      <c r="R18" s="156" t="e">
        <f t="shared" ca="1" si="4"/>
        <v>#DIV/0!</v>
      </c>
      <c r="S18" s="156" t="str">
        <f t="shared" ca="1" si="5"/>
        <v/>
      </c>
    </row>
    <row r="19" spans="2:21" x14ac:dyDescent="0.35">
      <c r="B19" s="56" t="s">
        <v>867</v>
      </c>
      <c r="C19" s="56" t="str" cm="1">
        <f t="array" ref="C19">_xll.FDS(B19,"FG_COMPANY_NAME")</f>
        <v>iShares MSCI Netherlands ETF</v>
      </c>
      <c r="D19" t="s">
        <v>673</v>
      </c>
      <c r="E19" s="136">
        <f>HLOOKUP(B19,'Monthly Returns'!$A$1:$N$139,139,FALSE)</f>
        <v>0.21690011981848395</v>
      </c>
      <c r="F19">
        <f ca="1">VLOOKUP(B19,OUTPUT_COUNTRY!$B$6:$N$18, 9, FALSE)</f>
        <v>21.4</v>
      </c>
      <c r="G19" s="47">
        <f>IFERROR(VLOOKUP(B19,OUTPUT_COUNTRY!$B$6:$N$18, 7, FALSE),0)</f>
        <v>21.4</v>
      </c>
      <c r="H19">
        <f>VLOOKUP(B19,OUTPUT_COUNTRY!$B$6:$N$18, 8, FALSE)</f>
        <v>42.8</v>
      </c>
      <c r="I19">
        <f>VLOOKUP(B19,OUTPUT_COUNTRY!$B$6:$N$18, 11, FALSE)</f>
        <v>57.099999999999994</v>
      </c>
      <c r="J19" s="47">
        <f t="shared" ca="1" si="0"/>
        <v>0</v>
      </c>
      <c r="K19" s="136">
        <f t="shared" ca="1" si="6"/>
        <v>0</v>
      </c>
      <c r="L19">
        <f t="shared" si="1"/>
        <v>0</v>
      </c>
      <c r="M19" s="136">
        <f t="shared" si="7"/>
        <v>0</v>
      </c>
      <c r="N19">
        <f t="shared" si="2"/>
        <v>0</v>
      </c>
      <c r="O19" s="136" t="e">
        <f t="shared" si="8"/>
        <v>#DIV/0!</v>
      </c>
      <c r="P19">
        <f t="shared" si="3"/>
        <v>0</v>
      </c>
      <c r="Q19" s="136">
        <f t="shared" si="9"/>
        <v>0</v>
      </c>
      <c r="R19" s="156" t="e">
        <f t="shared" ca="1" si="4"/>
        <v>#DIV/0!</v>
      </c>
      <c r="S19" s="156" t="str">
        <f t="shared" ca="1" si="5"/>
        <v/>
      </c>
    </row>
    <row r="20" spans="2:21" x14ac:dyDescent="0.35">
      <c r="B20" s="56" t="s">
        <v>864</v>
      </c>
      <c r="C20" s="56" t="str" cm="1">
        <f t="array" ref="C20">_xll.FDS(B20,"FG_COMPANY_NAME")</f>
        <v>iShares MSCI Sweden ETF</v>
      </c>
      <c r="D20" t="s">
        <v>705</v>
      </c>
      <c r="E20" s="136">
        <f>HLOOKUP(B20,'Monthly Returns'!$A$1:$N$139,139,FALSE)</f>
        <v>0.24689192700216364</v>
      </c>
      <c r="F20">
        <f ca="1">VLOOKUP(B20,OUTPUT_COUNTRY!$B$6:$N$18, 9, FALSE)</f>
        <v>28.499999999999996</v>
      </c>
      <c r="G20" s="47">
        <f>IFERROR(VLOOKUP(B20,OUTPUT_COUNTRY!$B$6:$N$18, 7, FALSE),0)</f>
        <v>21.4</v>
      </c>
      <c r="H20">
        <f>VLOOKUP(B20,OUTPUT_COUNTRY!$B$6:$N$18, 8, FALSE)</f>
        <v>35.699999999999996</v>
      </c>
      <c r="I20">
        <f>VLOOKUP(B20,OUTPUT_COUNTRY!$B$6:$N$18, 11, FALSE)</f>
        <v>42.8</v>
      </c>
      <c r="J20" s="47">
        <f t="shared" ca="1" si="0"/>
        <v>0</v>
      </c>
      <c r="K20" s="136">
        <f t="shared" ca="1" si="6"/>
        <v>0</v>
      </c>
      <c r="L20">
        <f t="shared" si="1"/>
        <v>0</v>
      </c>
      <c r="M20" s="136">
        <f t="shared" si="7"/>
        <v>0</v>
      </c>
      <c r="N20">
        <f t="shared" si="2"/>
        <v>0</v>
      </c>
      <c r="O20" s="136" t="e">
        <f t="shared" si="8"/>
        <v>#DIV/0!</v>
      </c>
      <c r="P20">
        <f t="shared" si="3"/>
        <v>0</v>
      </c>
      <c r="Q20" s="136">
        <f t="shared" si="9"/>
        <v>0</v>
      </c>
      <c r="R20" s="156" t="e">
        <f t="shared" ca="1" si="4"/>
        <v>#DIV/0!</v>
      </c>
      <c r="S20" s="156" t="str">
        <f t="shared" ca="1" si="5"/>
        <v/>
      </c>
    </row>
    <row r="21" spans="2:21" ht="15" thickBot="1" x14ac:dyDescent="0.4">
      <c r="B21" s="12" t="s">
        <v>866</v>
      </c>
      <c r="C21" s="12" t="str" cm="1">
        <f t="array" ref="C21">_xll.FDS(B21,"FG_COMPANY_NAME")</f>
        <v>iShares MSCI Italy ETF</v>
      </c>
      <c r="D21" s="13" t="s">
        <v>641</v>
      </c>
      <c r="E21" s="137">
        <f>HLOOKUP(B21,'Monthly Returns'!$A$1:$N$139,139,FALSE)</f>
        <v>0.24073662506598434</v>
      </c>
      <c r="F21" s="13">
        <f ca="1">VLOOKUP(B21,OUTPUT_COUNTRY!$B$6:$N$18, 9, FALSE)</f>
        <v>42.8</v>
      </c>
      <c r="G21" s="138">
        <f>IFERROR(VLOOKUP(B21,OUTPUT_COUNTRY!$B$6:$N$18, 7, FALSE),0)</f>
        <v>42.8</v>
      </c>
      <c r="H21" s="13">
        <f>VLOOKUP(B21,OUTPUT_COUNTRY!$B$6:$N$18, 8, FALSE)</f>
        <v>42.8</v>
      </c>
      <c r="I21" s="13">
        <f>VLOOKUP(B21,OUTPUT_COUNTRY!$B$6:$N$18, 11, FALSE)</f>
        <v>35.699999999999996</v>
      </c>
      <c r="J21" s="138">
        <f t="shared" ca="1" si="0"/>
        <v>0</v>
      </c>
      <c r="K21" s="137">
        <f t="shared" ca="1" si="6"/>
        <v>0</v>
      </c>
      <c r="L21" s="13">
        <f t="shared" si="1"/>
        <v>0</v>
      </c>
      <c r="M21" s="137">
        <f t="shared" si="7"/>
        <v>0</v>
      </c>
      <c r="N21" s="13">
        <f t="shared" si="2"/>
        <v>0</v>
      </c>
      <c r="O21" s="137" t="e">
        <f t="shared" si="8"/>
        <v>#DIV/0!</v>
      </c>
      <c r="P21" s="13">
        <f t="shared" si="3"/>
        <v>0</v>
      </c>
      <c r="Q21" s="137">
        <f t="shared" si="9"/>
        <v>0</v>
      </c>
      <c r="R21" s="157" t="e">
        <f t="shared" ca="1" si="4"/>
        <v>#DIV/0!</v>
      </c>
      <c r="S21" s="157" t="str">
        <f t="shared" ca="1" si="5"/>
        <v/>
      </c>
    </row>
    <row r="22" spans="2:21" x14ac:dyDescent="0.35">
      <c r="J22" s="47">
        <f ca="1">SUM(J9:J21)</f>
        <v>20.740557449194469</v>
      </c>
      <c r="K22" s="169"/>
      <c r="L22">
        <f>SUM(L9:L21)</f>
        <v>21.277630704389907</v>
      </c>
      <c r="N22">
        <f>SUM(N9:N21)</f>
        <v>0</v>
      </c>
      <c r="P22">
        <f>SUM(P9:P21)</f>
        <v>27.300749005047805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B44C-519E-4333-ABE2-186377B89F23}">
  <dimension ref="C2:L16"/>
  <sheetViews>
    <sheetView topLeftCell="B1" zoomScale="95" zoomScaleNormal="95" workbookViewId="0">
      <selection activeCell="D21" sqref="D21"/>
    </sheetView>
  </sheetViews>
  <sheetFormatPr defaultRowHeight="14.5" x14ac:dyDescent="0.35"/>
  <cols>
    <col min="3" max="3" width="8.453125" bestFit="1" customWidth="1"/>
    <col min="4" max="4" width="34.453125" customWidth="1"/>
    <col min="5" max="5" width="9.54296875" customWidth="1"/>
    <col min="6" max="6" width="8.54296875" bestFit="1" customWidth="1"/>
    <col min="7" max="7" width="8" customWidth="1"/>
    <col min="8" max="8" width="14.453125" customWidth="1"/>
    <col min="9" max="9" width="11.453125" customWidth="1"/>
    <col min="10" max="10" width="12.81640625" customWidth="1"/>
    <col min="11" max="11" width="13.1796875" customWidth="1"/>
    <col min="12" max="12" width="17" customWidth="1"/>
  </cols>
  <sheetData>
    <row r="2" spans="3:12" x14ac:dyDescent="0.35">
      <c r="C2" s="209" t="s">
        <v>544</v>
      </c>
      <c r="D2" s="209"/>
      <c r="E2" s="209" t="s">
        <v>778</v>
      </c>
      <c r="F2" s="209"/>
      <c r="G2" s="209"/>
      <c r="H2" s="215" t="s">
        <v>778</v>
      </c>
      <c r="I2" s="209" t="s">
        <v>546</v>
      </c>
      <c r="J2" s="209" t="s">
        <v>543</v>
      </c>
      <c r="K2" s="209" t="s">
        <v>549</v>
      </c>
      <c r="L2" s="209" t="s">
        <v>737</v>
      </c>
    </row>
    <row r="3" spans="3:12" x14ac:dyDescent="0.35">
      <c r="C3" s="203"/>
      <c r="D3" s="203"/>
      <c r="E3" s="152" t="s">
        <v>545</v>
      </c>
      <c r="F3" s="152" t="s">
        <v>547</v>
      </c>
      <c r="G3" s="152" t="s">
        <v>914</v>
      </c>
      <c r="H3" s="213"/>
      <c r="I3" s="203"/>
      <c r="J3" s="203"/>
      <c r="K3" s="203"/>
      <c r="L3" s="203"/>
    </row>
    <row r="4" spans="3:12" x14ac:dyDescent="0.35">
      <c r="C4" s="77" t="s">
        <v>42</v>
      </c>
      <c r="D4" s="166" t="str" cm="1">
        <f t="array" ref="D4">_xll.FDS(C4,"FG_COMPANY_NAME")</f>
        <v>iShares MSCI Switzerland ETF</v>
      </c>
      <c r="E4" s="153" t="str">
        <f>IF(VLOOKUP(C4,OUTPUT_COUNTRY!$B$6:$N$18,3,FALSE)&gt;75,"++",(IF(VLOOKUP(C4,OUTPUT_COUNTRY!$B$6:$N$18,3,FALSE)&gt;50,"+",(IF(VLOOKUP(C4,OUTPUT_COUNTRY!$B$6:$N$18,3,FALSE)&gt;25,"-","--")))))</f>
        <v>+</v>
      </c>
      <c r="F4" s="120" t="str">
        <f>IF(VLOOKUP(C4,OUTPUT_COUNTRY!$B$6:$N$18,4,FALSE)&gt;75,"++",(IF(VLOOKUP(C4,OUTPUT_COUNTRY!$B$6:$N$18,4,FALSE)&gt;50,"+",(IF(VLOOKUP(C4,OUTPUT_COUNTRY!$B$6:$N$18,4,FALSE)&gt;25,"-","--")))))</f>
        <v>++</v>
      </c>
      <c r="G4" s="153" t="str">
        <f>IF(VLOOKUP(C4,OUTPUT_COUNTRY!$B$6:$N$18,5,FALSE)&gt;75,"++",(IF(VLOOKUP(C4,OUTPUT_COUNTRY!$B$6:$N$18,5,FALSE)&gt;50,"+",(IF(VLOOKUP(C4,OUTPUT_COUNTRY!$B$6:$N$18,5,FALSE)&gt;25,"-","--")))))</f>
        <v>++</v>
      </c>
      <c r="H4" s="120" t="str">
        <f>IF(VLOOKUP(C4,OUTPUT_COUNTRY!$B$6:$N$18,7,FALSE)&gt;75,"++",(IF(VLOOKUP(C4,OUTPUT_COUNTRY!$B$6:$N$18,7,FALSE)&gt;50,"+",(IF(VLOOKUP(C4,OUTPUT_COUNTRY!$B$6:$N$18,7,FALSE)&gt;25,"-","--")))))</f>
        <v>++</v>
      </c>
      <c r="I4" s="153" t="str">
        <f>IF(VLOOKUP(C4,OUTPUT_COUNTRY!$B$6:$N$18,8,FALSE)&gt;75,"++",(IF(VLOOKUP(C4,OUTPUT_COUNTRY!$B$6:$N$18,8,FALSE)&gt;50,"+",(IF(VLOOKUP(C4,OUTPUT_COUNTRY!$B$6:$N$18,8,FALSE)&gt;25,"-","--")))))</f>
        <v>-</v>
      </c>
      <c r="J4" s="120" t="str">
        <f ca="1">IF(VLOOKUP(C4,OUTPUT_COUNTRY!$B$6:$N$18,9,FALSE)&gt;75,"++",(IF(VLOOKUP(C4,OUTPUT_COUNTRY!$B$6:$N$18,9,FALSE)&gt;50,"+",(IF(VLOOKUP(C4,OUTPUT_COUNTRY!$B$6:$N$18,9,FALSE)&gt;25,"-","--")))))</f>
        <v>++</v>
      </c>
      <c r="K4" s="153" t="str">
        <f>IF(VLOOKUP(C4,OUTPUT_COUNTRY!$B$6:$N$18,11,FALSE)&gt;75,"++",(IF(VLOOKUP(C4,OUTPUT_COUNTRY!$B$6:$N$18,11,FALSE)&gt;50,"+",(IF(VLOOKUP(C4,OUTPUT_COUNTRY!$B$6:$N$18,11,FALSE)&gt;25,"-","--")))))</f>
        <v>++</v>
      </c>
      <c r="L4" s="120" t="str">
        <f ca="1">IF(VLOOKUP(C4,OUTPUT_COUNTRY!$B$6:$N$18,13,FALSE)&gt;75,"++",(IF(VLOOKUP(C4,OUTPUT_COUNTRY!$B$6:$N$18,13,FALSE)&gt;50,"+",(IF(VLOOKUP(C4,OUTPUT_COUNTRY!$B$6:$N$18,13,FALSE)&gt;25,"-","--")))))</f>
        <v>++</v>
      </c>
    </row>
    <row r="5" spans="3:12" x14ac:dyDescent="0.35">
      <c r="C5" s="78" t="s">
        <v>46</v>
      </c>
      <c r="D5" s="167" t="str" cm="1">
        <f t="array" ref="D5">_xll.FDS(C5,"FG_COMPANY_NAME")</f>
        <v>iShares MSCI Japan ETF</v>
      </c>
      <c r="E5" s="159" t="str">
        <f>IF(VLOOKUP(C5,OUTPUT_COUNTRY!$B$6:$N$18,3,FALSE)&gt;75,"++",(IF(VLOOKUP(C5,OUTPUT_COUNTRY!$B$6:$N$18,3,FALSE)&gt;50,"+",(IF(VLOOKUP(C5,OUTPUT_COUNTRY!$B$6:$N$18,3,FALSE)&gt;25,"-","--")))))</f>
        <v>-</v>
      </c>
      <c r="F5" s="121" t="str">
        <f>IF(VLOOKUP(C5,OUTPUT_COUNTRY!$B$6:$N$18,4,FALSE)&gt;75,"++",(IF(VLOOKUP(C5,OUTPUT_COUNTRY!$B$6:$N$18,4,FALSE)&gt;50,"+",(IF(VLOOKUP(C5,OUTPUT_COUNTRY!$B$6:$N$18,4,FALSE)&gt;25,"-","--")))))</f>
        <v>-</v>
      </c>
      <c r="G5" s="159" t="str">
        <f>IF(VLOOKUP(C5,OUTPUT_COUNTRY!$B$6:$N$18,5,FALSE)&gt;75,"++",(IF(VLOOKUP(C5,OUTPUT_COUNTRY!$B$6:$N$18,5,FALSE)&gt;50,"+",(IF(VLOOKUP(C5,OUTPUT_COUNTRY!$B$6:$N$18,5,FALSE)&gt;25,"-","--")))))</f>
        <v>-</v>
      </c>
      <c r="H5" s="121" t="str">
        <f>IF(VLOOKUP(C5,OUTPUT_COUNTRY!$B$6:$N$18,7,FALSE)&gt;75,"++",(IF(VLOOKUP(C5,OUTPUT_COUNTRY!$B$6:$N$18,7,FALSE)&gt;50,"+",(IF(VLOOKUP(C5,OUTPUT_COUNTRY!$B$6:$N$18,7,FALSE)&gt;25,"-","--")))))</f>
        <v>-</v>
      </c>
      <c r="I5" s="159" t="str">
        <f>IF(VLOOKUP(C5,OUTPUT_COUNTRY!$B$6:$N$18,8,FALSE)&gt;75,"++",(IF(VLOOKUP(C5,OUTPUT_COUNTRY!$B$6:$N$18,8,FALSE)&gt;50,"+",(IF(VLOOKUP(C5,OUTPUT_COUNTRY!$B$6:$N$18,8,FALSE)&gt;25,"-","--")))))</f>
        <v>--</v>
      </c>
      <c r="J5" s="121" t="str">
        <f ca="1">IF(VLOOKUP(C5,OUTPUT_COUNTRY!$B$6:$N$18,9,FALSE)&gt;75,"++",(IF(VLOOKUP(C5,OUTPUT_COUNTRY!$B$6:$N$18,9,FALSE)&gt;50,"+",(IF(VLOOKUP(C5,OUTPUT_COUNTRY!$B$6:$N$18,9,FALSE)&gt;25,"-","--")))))</f>
        <v>-</v>
      </c>
      <c r="K5" s="159" t="str">
        <f>IF(VLOOKUP(C5,OUTPUT_COUNTRY!$B$6:$N$18,11,FALSE)&gt;75,"++",(IF(VLOOKUP(C5,OUTPUT_COUNTRY!$B$6:$N$18,11,FALSE)&gt;50,"+",(IF(VLOOKUP(C5,OUTPUT_COUNTRY!$B$6:$N$18,11,FALSE)&gt;25,"-","--")))))</f>
        <v>+</v>
      </c>
      <c r="L5" s="121" t="str">
        <f ca="1">IF(VLOOKUP(C5,OUTPUT_COUNTRY!$B$6:$N$18,13,FALSE)&gt;75,"++",(IF(VLOOKUP(C5,OUTPUT_COUNTRY!$B$6:$N$18,13,FALSE)&gt;50,"+",(IF(VLOOKUP(C5,OUTPUT_COUNTRY!$B$6:$N$18,13,FALSE)&gt;25,"-","--")))))</f>
        <v>-</v>
      </c>
    </row>
    <row r="6" spans="3:12" x14ac:dyDescent="0.35">
      <c r="C6" s="78" t="s">
        <v>51</v>
      </c>
      <c r="D6" s="167" t="str" cm="1">
        <f t="array" ref="D6">_xll.FDS(C6,"FG_COMPANY_NAME")</f>
        <v>Invesco QQQ Trust Series I</v>
      </c>
      <c r="E6" s="159" t="str">
        <f>IF(VLOOKUP(C6,OUTPUT_COUNTRY!$B$6:$N$18,3,FALSE)&gt;75,"++",(IF(VLOOKUP(C6,OUTPUT_COUNTRY!$B$6:$N$18,3,FALSE)&gt;50,"+",(IF(VLOOKUP(C6,OUTPUT_COUNTRY!$B$6:$N$18,3,FALSE)&gt;25,"-","--")))))</f>
        <v>--</v>
      </c>
      <c r="F6" s="121" t="str">
        <f>IF(VLOOKUP(C6,OUTPUT_COUNTRY!$B$6:$N$18,4,FALSE)&gt;75,"++",(IF(VLOOKUP(C6,OUTPUT_COUNTRY!$B$6:$N$18,4,FALSE)&gt;50,"+",(IF(VLOOKUP(C6,OUTPUT_COUNTRY!$B$6:$N$18,4,FALSE)&gt;25,"-","--")))))</f>
        <v>++</v>
      </c>
      <c r="G6" s="159" t="str">
        <f>IF(VLOOKUP(C6,OUTPUT_COUNTRY!$B$6:$N$18,5,FALSE)&gt;75,"++",(IF(VLOOKUP(C6,OUTPUT_COUNTRY!$B$6:$N$18,5,FALSE)&gt;50,"+",(IF(VLOOKUP(C6,OUTPUT_COUNTRY!$B$6:$N$18,5,FALSE)&gt;25,"-","--")))))</f>
        <v>++</v>
      </c>
      <c r="H6" s="121" t="str">
        <f>IF(VLOOKUP(C6,OUTPUT_COUNTRY!$B$6:$N$18,7,FALSE)&gt;75,"++",(IF(VLOOKUP(C6,OUTPUT_COUNTRY!$B$6:$N$18,7,FALSE)&gt;50,"+",(IF(VLOOKUP(C6,OUTPUT_COUNTRY!$B$6:$N$18,7,FALSE)&gt;25,"-","--")))))</f>
        <v>+</v>
      </c>
      <c r="I6" s="159" t="str">
        <f>IF(VLOOKUP(C6,OUTPUT_COUNTRY!$B$6:$N$18,8,FALSE)&gt;75,"++",(IF(VLOOKUP(C6,OUTPUT_COUNTRY!$B$6:$N$18,8,FALSE)&gt;50,"+",(IF(VLOOKUP(C6,OUTPUT_COUNTRY!$B$6:$N$18,8,FALSE)&gt;25,"-","--")))))</f>
        <v>--</v>
      </c>
      <c r="J6" s="121" t="str">
        <f ca="1">IF(VLOOKUP(C6,OUTPUT_COUNTRY!$B$6:$N$18,9,FALSE)&gt;75,"++",(IF(VLOOKUP(C6,OUTPUT_COUNTRY!$B$6:$N$18,9,FALSE)&gt;50,"+",(IF(VLOOKUP(C6,OUTPUT_COUNTRY!$B$6:$N$18,9,FALSE)&gt;25,"-","--")))))</f>
        <v>--</v>
      </c>
      <c r="K6" s="159" t="str">
        <f>IF(VLOOKUP(C6,OUTPUT_COUNTRY!$B$6:$N$18,11,FALSE)&gt;75,"++",(IF(VLOOKUP(C6,OUTPUT_COUNTRY!$B$6:$N$18,11,FALSE)&gt;50,"+",(IF(VLOOKUP(C6,OUTPUT_COUNTRY!$B$6:$N$18,11,FALSE)&gt;25,"-","--")))))</f>
        <v>--</v>
      </c>
      <c r="L6" s="121" t="str">
        <f ca="1">IF(VLOOKUP(C6,OUTPUT_COUNTRY!$B$6:$N$18,13,FALSE)&gt;75,"++",(IF(VLOOKUP(C6,OUTPUT_COUNTRY!$B$6:$N$18,13,FALSE)&gt;50,"+",(IF(VLOOKUP(C6,OUTPUT_COUNTRY!$B$6:$N$18,13,FALSE)&gt;25,"-","--")))))</f>
        <v>--</v>
      </c>
    </row>
    <row r="7" spans="3:12" x14ac:dyDescent="0.35">
      <c r="C7" s="78" t="s">
        <v>1</v>
      </c>
      <c r="D7" s="167" t="str" cm="1">
        <f t="array" ref="D7">_xll.FDS(C7,"FG_COMPANY_NAME")</f>
        <v>SPDR S&amp;P 500 ETF Trust</v>
      </c>
      <c r="E7" s="159" t="str">
        <f>IF(VLOOKUP(C7,OUTPUT_COUNTRY!$B$6:$N$18,3,FALSE)&gt;75,"++",(IF(VLOOKUP(C7,OUTPUT_COUNTRY!$B$6:$N$18,3,FALSE)&gt;50,"+",(IF(VLOOKUP(C7,OUTPUT_COUNTRY!$B$6:$N$18,3,FALSE)&gt;25,"-","--")))))</f>
        <v>-</v>
      </c>
      <c r="F7" s="121" t="str">
        <f>IF(VLOOKUP(C7,OUTPUT_COUNTRY!$B$6:$N$18,4,FALSE)&gt;75,"++",(IF(VLOOKUP(C7,OUTPUT_COUNTRY!$B$6:$N$18,4,FALSE)&gt;50,"+",(IF(VLOOKUP(C7,OUTPUT_COUNTRY!$B$6:$N$18,4,FALSE)&gt;25,"-","--")))))</f>
        <v>++</v>
      </c>
      <c r="G7" s="159" t="str">
        <f>IF(VLOOKUP(C7,OUTPUT_COUNTRY!$B$6:$N$18,5,FALSE)&gt;75,"++",(IF(VLOOKUP(C7,OUTPUT_COUNTRY!$B$6:$N$18,5,FALSE)&gt;50,"+",(IF(VLOOKUP(C7,OUTPUT_COUNTRY!$B$6:$N$18,5,FALSE)&gt;25,"-","--")))))</f>
        <v>+</v>
      </c>
      <c r="H7" s="121" t="str">
        <f>IF(VLOOKUP(C7,OUTPUT_COUNTRY!$B$6:$N$18,7,FALSE)&gt;75,"++",(IF(VLOOKUP(C7,OUTPUT_COUNTRY!$B$6:$N$18,7,FALSE)&gt;50,"+",(IF(VLOOKUP(C7,OUTPUT_COUNTRY!$B$6:$N$18,7,FALSE)&gt;25,"-","--")))))</f>
        <v>++</v>
      </c>
      <c r="I7" s="159" t="str">
        <f>IF(VLOOKUP(C7,OUTPUT_COUNTRY!$B$6:$N$18,8,FALSE)&gt;75,"++",(IF(VLOOKUP(C7,OUTPUT_COUNTRY!$B$6:$N$18,8,FALSE)&gt;50,"+",(IF(VLOOKUP(C7,OUTPUT_COUNTRY!$B$6:$N$18,8,FALSE)&gt;25,"-","--")))))</f>
        <v>--</v>
      </c>
      <c r="J7" s="121" t="str">
        <f ca="1">IF(VLOOKUP(C7,OUTPUT_COUNTRY!$B$6:$N$18,9,FALSE)&gt;75,"++",(IF(VLOOKUP(C7,OUTPUT_COUNTRY!$B$6:$N$18,9,FALSE)&gt;50,"+",(IF(VLOOKUP(C7,OUTPUT_COUNTRY!$B$6:$N$18,9,FALSE)&gt;25,"-","--")))))</f>
        <v>+</v>
      </c>
      <c r="K7" s="159" t="str">
        <f>IF(VLOOKUP(C7,OUTPUT_COUNTRY!$B$6:$N$18,11,FALSE)&gt;75,"++",(IF(VLOOKUP(C7,OUTPUT_COUNTRY!$B$6:$N$18,11,FALSE)&gt;50,"+",(IF(VLOOKUP(C7,OUTPUT_COUNTRY!$B$6:$N$18,11,FALSE)&gt;25,"-","--")))))</f>
        <v>--</v>
      </c>
      <c r="L7" s="121" t="str">
        <f ca="1">IF(VLOOKUP(C7,OUTPUT_COUNTRY!$B$6:$N$18,13,FALSE)&gt;75,"++",(IF(VLOOKUP(C7,OUTPUT_COUNTRY!$B$6:$N$18,13,FALSE)&gt;50,"+",(IF(VLOOKUP(C7,OUTPUT_COUNTRY!$B$6:$N$18,13,FALSE)&gt;25,"-","--")))))</f>
        <v>+</v>
      </c>
    </row>
    <row r="8" spans="3:12" x14ac:dyDescent="0.35">
      <c r="C8" s="78" t="s">
        <v>11</v>
      </c>
      <c r="D8" s="167" t="str" cm="1">
        <f t="array" ref="D8">_xll.FDS(C8,"FG_COMPANY_NAME")</f>
        <v>iShares MSCI Germany ETF</v>
      </c>
      <c r="E8" s="159" t="str">
        <f>IF(VLOOKUP(C8,OUTPUT_COUNTRY!$B$6:$N$18,3,FALSE)&gt;75,"++",(IF(VLOOKUP(C8,OUTPUT_COUNTRY!$B$6:$N$18,3,FALSE)&gt;50,"+",(IF(VLOOKUP(C8,OUTPUT_COUNTRY!$B$6:$N$18,3,FALSE)&gt;25,"-","--")))))</f>
        <v>++</v>
      </c>
      <c r="F8" s="121" t="str">
        <f>IF(VLOOKUP(C8,OUTPUT_COUNTRY!$B$6:$N$18,4,FALSE)&gt;75,"++",(IF(VLOOKUP(C8,OUTPUT_COUNTRY!$B$6:$N$18,4,FALSE)&gt;50,"+",(IF(VLOOKUP(C8,OUTPUT_COUNTRY!$B$6:$N$18,4,FALSE)&gt;25,"-","--")))))</f>
        <v>-</v>
      </c>
      <c r="G8" s="159" t="str">
        <f>IF(VLOOKUP(C8,OUTPUT_COUNTRY!$B$6:$N$18,5,FALSE)&gt;75,"++",(IF(VLOOKUP(C8,OUTPUT_COUNTRY!$B$6:$N$18,5,FALSE)&gt;50,"+",(IF(VLOOKUP(C8,OUTPUT_COUNTRY!$B$6:$N$18,5,FALSE)&gt;25,"-","--")))))</f>
        <v>-</v>
      </c>
      <c r="H8" s="121" t="str">
        <f>IF(VLOOKUP(C8,OUTPUT_COUNTRY!$B$6:$N$18,7,FALSE)&gt;75,"++",(IF(VLOOKUP(C8,OUTPUT_COUNTRY!$B$6:$N$18,7,FALSE)&gt;50,"+",(IF(VLOOKUP(C8,OUTPUT_COUNTRY!$B$6:$N$18,7,FALSE)&gt;25,"-","--")))))</f>
        <v>-</v>
      </c>
      <c r="I8" s="159" t="str">
        <f>IF(VLOOKUP(C8,OUTPUT_COUNTRY!$B$6:$N$18,8,FALSE)&gt;75,"++",(IF(VLOOKUP(C8,OUTPUT_COUNTRY!$B$6:$N$18,8,FALSE)&gt;50,"+",(IF(VLOOKUP(C8,OUTPUT_COUNTRY!$B$6:$N$18,8,FALSE)&gt;25,"-","--")))))</f>
        <v>-</v>
      </c>
      <c r="J8" s="121" t="str">
        <f ca="1">IF(VLOOKUP(C8,OUTPUT_COUNTRY!$B$6:$N$18,9,FALSE)&gt;75,"++",(IF(VLOOKUP(C8,OUTPUT_COUNTRY!$B$6:$N$18,9,FALSE)&gt;50,"+",(IF(VLOOKUP(C8,OUTPUT_COUNTRY!$B$6:$N$18,9,FALSE)&gt;25,"-","--")))))</f>
        <v>+</v>
      </c>
      <c r="K8" s="159" t="str">
        <f>IF(VLOOKUP(C8,OUTPUT_COUNTRY!$B$6:$N$18,11,FALSE)&gt;75,"++",(IF(VLOOKUP(C8,OUTPUT_COUNTRY!$B$6:$N$18,11,FALSE)&gt;50,"+",(IF(VLOOKUP(C8,OUTPUT_COUNTRY!$B$6:$N$18,11,FALSE)&gt;25,"-","--")))))</f>
        <v>++</v>
      </c>
      <c r="L8" s="121" t="str">
        <f ca="1">IF(VLOOKUP(C8,OUTPUT_COUNTRY!$B$6:$N$18,13,FALSE)&gt;75,"++",(IF(VLOOKUP(C8,OUTPUT_COUNTRY!$B$6:$N$18,13,FALSE)&gt;50,"+",(IF(VLOOKUP(C8,OUTPUT_COUNTRY!$B$6:$N$18,13,FALSE)&gt;25,"-","--")))))</f>
        <v>+</v>
      </c>
    </row>
    <row r="9" spans="3:12" x14ac:dyDescent="0.35">
      <c r="C9" s="78" t="s">
        <v>48</v>
      </c>
      <c r="D9" s="167" t="str" cm="1">
        <f t="array" ref="D9">_xll.FDS(C9,"FG_COMPANY_NAME")</f>
        <v>iShares MSCI United Kingdom ETF</v>
      </c>
      <c r="E9" s="159" t="str">
        <f>IF(VLOOKUP(C9,OUTPUT_COUNTRY!$B$6:$N$18,3,FALSE)&gt;75,"++",(IF(VLOOKUP(C9,OUTPUT_COUNTRY!$B$6:$N$18,3,FALSE)&gt;50,"+",(IF(VLOOKUP(C9,OUTPUT_COUNTRY!$B$6:$N$18,3,FALSE)&gt;25,"-","--")))))</f>
        <v>++</v>
      </c>
      <c r="F9" s="121" t="str">
        <f>IF(VLOOKUP(C9,OUTPUT_COUNTRY!$B$6:$N$18,4,FALSE)&gt;75,"++",(IF(VLOOKUP(C9,OUTPUT_COUNTRY!$B$6:$N$18,4,FALSE)&gt;50,"+",(IF(VLOOKUP(C9,OUTPUT_COUNTRY!$B$6:$N$18,4,FALSE)&gt;25,"-","--")))))</f>
        <v>+</v>
      </c>
      <c r="G9" s="159" t="str">
        <f>IF(VLOOKUP(C9,OUTPUT_COUNTRY!$B$6:$N$18,5,FALSE)&gt;75,"++",(IF(VLOOKUP(C9,OUTPUT_COUNTRY!$B$6:$N$18,5,FALSE)&gt;50,"+",(IF(VLOOKUP(C9,OUTPUT_COUNTRY!$B$6:$N$18,5,FALSE)&gt;25,"-","--")))))</f>
        <v>--</v>
      </c>
      <c r="H9" s="121" t="str">
        <f>IF(VLOOKUP(C9,OUTPUT_COUNTRY!$B$6:$N$18,7,FALSE)&gt;75,"++",(IF(VLOOKUP(C9,OUTPUT_COUNTRY!$B$6:$N$18,7,FALSE)&gt;50,"+",(IF(VLOOKUP(C9,OUTPUT_COUNTRY!$B$6:$N$18,7,FALSE)&gt;25,"-","--")))))</f>
        <v>+</v>
      </c>
      <c r="I9" s="159" t="str">
        <f>IF(VLOOKUP(C9,OUTPUT_COUNTRY!$B$6:$N$18,8,FALSE)&gt;75,"++",(IF(VLOOKUP(C9,OUTPUT_COUNTRY!$B$6:$N$18,8,FALSE)&gt;50,"+",(IF(VLOOKUP(C9,OUTPUT_COUNTRY!$B$6:$N$18,8,FALSE)&gt;25,"-","--")))))</f>
        <v>-</v>
      </c>
      <c r="J9" s="121" t="str">
        <f ca="1">IF(VLOOKUP(C9,OUTPUT_COUNTRY!$B$6:$N$18,9,FALSE)&gt;75,"++",(IF(VLOOKUP(C9,OUTPUT_COUNTRY!$B$6:$N$18,9,FALSE)&gt;50,"+",(IF(VLOOKUP(C9,OUTPUT_COUNTRY!$B$6:$N$18,9,FALSE)&gt;25,"-","--")))))</f>
        <v>++</v>
      </c>
      <c r="K9" s="159" t="str">
        <f>IF(VLOOKUP(C9,OUTPUT_COUNTRY!$B$6:$N$18,11,FALSE)&gt;75,"++",(IF(VLOOKUP(C9,OUTPUT_COUNTRY!$B$6:$N$18,11,FALSE)&gt;50,"+",(IF(VLOOKUP(C9,OUTPUT_COUNTRY!$B$6:$N$18,11,FALSE)&gt;25,"-","--")))))</f>
        <v>+</v>
      </c>
      <c r="L9" s="121" t="str">
        <f ca="1">IF(VLOOKUP(C9,OUTPUT_COUNTRY!$B$6:$N$18,13,FALSE)&gt;75,"++",(IF(VLOOKUP(C9,OUTPUT_COUNTRY!$B$6:$N$18,13,FALSE)&gt;50,"+",(IF(VLOOKUP(C9,OUTPUT_COUNTRY!$B$6:$N$18,13,FALSE)&gt;25,"-","--")))))</f>
        <v>++</v>
      </c>
    </row>
    <row r="10" spans="3:12" x14ac:dyDescent="0.35">
      <c r="C10" s="78" t="s">
        <v>49</v>
      </c>
      <c r="D10" s="167" t="str" cm="1">
        <f t="array" ref="D10">_xll.FDS(C10,"FG_COMPANY_NAME")</f>
        <v>iShares MSCI Canada ETF</v>
      </c>
      <c r="E10" s="159" t="str">
        <f>IF(VLOOKUP(C10,OUTPUT_COUNTRY!$B$6:$N$18,3,FALSE)&gt;75,"++",(IF(VLOOKUP(C10,OUTPUT_COUNTRY!$B$6:$N$18,3,FALSE)&gt;50,"+",(IF(VLOOKUP(C10,OUTPUT_COUNTRY!$B$6:$N$18,3,FALSE)&gt;25,"-","--")))))</f>
        <v>-</v>
      </c>
      <c r="F10" s="121" t="str">
        <f>IF(VLOOKUP(C10,OUTPUT_COUNTRY!$B$6:$N$18,4,FALSE)&gt;75,"++",(IF(VLOOKUP(C10,OUTPUT_COUNTRY!$B$6:$N$18,4,FALSE)&gt;50,"+",(IF(VLOOKUP(C10,OUTPUT_COUNTRY!$B$6:$N$18,4,FALSE)&gt;25,"-","--")))))</f>
        <v>+</v>
      </c>
      <c r="G10" s="159" t="str">
        <f>IF(VLOOKUP(C10,OUTPUT_COUNTRY!$B$6:$N$18,5,FALSE)&gt;75,"++",(IF(VLOOKUP(C10,OUTPUT_COUNTRY!$B$6:$N$18,5,FALSE)&gt;50,"+",(IF(VLOOKUP(C10,OUTPUT_COUNTRY!$B$6:$N$18,5,FALSE)&gt;25,"-","--")))))</f>
        <v>-</v>
      </c>
      <c r="H10" s="121" t="str">
        <f>IF(VLOOKUP(C10,OUTPUT_COUNTRY!$B$6:$N$18,7,FALSE)&gt;75,"++",(IF(VLOOKUP(C10,OUTPUT_COUNTRY!$B$6:$N$18,7,FALSE)&gt;50,"+",(IF(VLOOKUP(C10,OUTPUT_COUNTRY!$B$6:$N$18,7,FALSE)&gt;25,"-","--")))))</f>
        <v>+</v>
      </c>
      <c r="I10" s="159" t="str">
        <f>IF(VLOOKUP(C10,OUTPUT_COUNTRY!$B$6:$N$18,8,FALSE)&gt;75,"++",(IF(VLOOKUP(C10,OUTPUT_COUNTRY!$B$6:$N$18,8,FALSE)&gt;50,"+",(IF(VLOOKUP(C10,OUTPUT_COUNTRY!$B$6:$N$18,8,FALSE)&gt;25,"-","--")))))</f>
        <v>-</v>
      </c>
      <c r="J10" s="121" t="str">
        <f ca="1">IF(VLOOKUP(C10,OUTPUT_COUNTRY!$B$6:$N$18,9,FALSE)&gt;75,"++",(IF(VLOOKUP(C10,OUTPUT_COUNTRY!$B$6:$N$18,9,FALSE)&gt;50,"+",(IF(VLOOKUP(C10,OUTPUT_COUNTRY!$B$6:$N$18,9,FALSE)&gt;25,"-","--")))))</f>
        <v>+</v>
      </c>
      <c r="K10" s="159" t="str">
        <f>IF(VLOOKUP(C10,OUTPUT_COUNTRY!$B$6:$N$18,11,FALSE)&gt;75,"++",(IF(VLOOKUP(C10,OUTPUT_COUNTRY!$B$6:$N$18,11,FALSE)&gt;50,"+",(IF(VLOOKUP(C10,OUTPUT_COUNTRY!$B$6:$N$18,11,FALSE)&gt;25,"-","--")))))</f>
        <v>-</v>
      </c>
      <c r="L10" s="121" t="str">
        <f ca="1">IF(VLOOKUP(C10,OUTPUT_COUNTRY!$B$6:$N$18,13,FALSE)&gt;75,"++",(IF(VLOOKUP(C10,OUTPUT_COUNTRY!$B$6:$N$18,13,FALSE)&gt;50,"+",(IF(VLOOKUP(C10,OUTPUT_COUNTRY!$B$6:$N$18,13,FALSE)&gt;25,"-","--")))))</f>
        <v>++</v>
      </c>
    </row>
    <row r="11" spans="3:12" x14ac:dyDescent="0.35">
      <c r="C11" s="78" t="s">
        <v>44</v>
      </c>
      <c r="D11" s="167" t="str" cm="1">
        <f t="array" ref="D11">_xll.FDS(C11,"FG_COMPANY_NAME")</f>
        <v>iShares MSCI Australia ETF</v>
      </c>
      <c r="E11" s="159" t="str">
        <f>IF(VLOOKUP(C11,OUTPUT_COUNTRY!$B$6:$N$18,3,FALSE)&gt;75,"++",(IF(VLOOKUP(C11,OUTPUT_COUNTRY!$B$6:$N$18,3,FALSE)&gt;50,"+",(IF(VLOOKUP(C11,OUTPUT_COUNTRY!$B$6:$N$18,3,FALSE)&gt;25,"-","--")))))</f>
        <v>--</v>
      </c>
      <c r="F11" s="121" t="str">
        <f>IF(VLOOKUP(C11,OUTPUT_COUNTRY!$B$6:$N$18,4,FALSE)&gt;75,"++",(IF(VLOOKUP(C11,OUTPUT_COUNTRY!$B$6:$N$18,4,FALSE)&gt;50,"+",(IF(VLOOKUP(C11,OUTPUT_COUNTRY!$B$6:$N$18,4,FALSE)&gt;25,"-","--")))))</f>
        <v>--</v>
      </c>
      <c r="G11" s="159" t="str">
        <f>IF(VLOOKUP(C11,OUTPUT_COUNTRY!$B$6:$N$18,5,FALSE)&gt;75,"++",(IF(VLOOKUP(C11,OUTPUT_COUNTRY!$B$6:$N$18,5,FALSE)&gt;50,"+",(IF(VLOOKUP(C11,OUTPUT_COUNTRY!$B$6:$N$18,5,FALSE)&gt;25,"-","--")))))</f>
        <v>--</v>
      </c>
      <c r="H11" s="121" t="str">
        <f>IF(VLOOKUP(C11,OUTPUT_COUNTRY!$B$6:$N$18,7,FALSE)&gt;75,"++",(IF(VLOOKUP(C11,OUTPUT_COUNTRY!$B$6:$N$18,7,FALSE)&gt;50,"+",(IF(VLOOKUP(C11,OUTPUT_COUNTRY!$B$6:$N$18,7,FALSE)&gt;25,"-","--")))))</f>
        <v>--</v>
      </c>
      <c r="I11" s="159" t="str">
        <f>IF(VLOOKUP(C11,OUTPUT_COUNTRY!$B$6:$N$18,8,FALSE)&gt;75,"++",(IF(VLOOKUP(C11,OUTPUT_COUNTRY!$B$6:$N$18,8,FALSE)&gt;50,"+",(IF(VLOOKUP(C11,OUTPUT_COUNTRY!$B$6:$N$18,8,FALSE)&gt;25,"-","--")))))</f>
        <v>--</v>
      </c>
      <c r="J11" s="121" t="str">
        <f ca="1">IF(VLOOKUP(C11,OUTPUT_COUNTRY!$B$6:$N$18,9,FALSE)&gt;75,"++",(IF(VLOOKUP(C11,OUTPUT_COUNTRY!$B$6:$N$18,9,FALSE)&gt;50,"+",(IF(VLOOKUP(C11,OUTPUT_COUNTRY!$B$6:$N$18,9,FALSE)&gt;25,"-","--")))))</f>
        <v>++</v>
      </c>
      <c r="K11" s="159" t="str">
        <f>IF(VLOOKUP(C11,OUTPUT_COUNTRY!$B$6:$N$18,11,FALSE)&gt;75,"++",(IF(VLOOKUP(C11,OUTPUT_COUNTRY!$B$6:$N$18,11,FALSE)&gt;50,"+",(IF(VLOOKUP(C11,OUTPUT_COUNTRY!$B$6:$N$18,11,FALSE)&gt;25,"-","--")))))</f>
        <v>-</v>
      </c>
      <c r="L11" s="121" t="str">
        <f ca="1">IF(VLOOKUP(C11,OUTPUT_COUNTRY!$B$6:$N$18,13,FALSE)&gt;75,"++",(IF(VLOOKUP(C11,OUTPUT_COUNTRY!$B$6:$N$18,13,FALSE)&gt;50,"+",(IF(VLOOKUP(C11,OUTPUT_COUNTRY!$B$6:$N$18,13,FALSE)&gt;25,"-","--")))))</f>
        <v>+</v>
      </c>
    </row>
    <row r="12" spans="3:12" x14ac:dyDescent="0.35">
      <c r="C12" s="78" t="s">
        <v>431</v>
      </c>
      <c r="D12" s="167" t="str" cm="1">
        <f t="array" ref="D12">_xll.FDS(C12,"FG_COMPANY_NAME")</f>
        <v>iShares MSCI New Zealand ETF</v>
      </c>
      <c r="E12" s="159" t="str">
        <f>IF(VLOOKUP(C12,OUTPUT_COUNTRY!$B$6:$N$18,3,FALSE)&gt;75,"++",(IF(VLOOKUP(C12,OUTPUT_COUNTRY!$B$6:$N$18,3,FALSE)&gt;50,"+",(IF(VLOOKUP(C12,OUTPUT_COUNTRY!$B$6:$N$18,3,FALSE)&gt;25,"-","--")))))</f>
        <v>--</v>
      </c>
      <c r="F12" s="121" t="str">
        <f>IF(VLOOKUP(C12,OUTPUT_COUNTRY!$B$6:$N$18,4,FALSE)&gt;75,"++",(IF(VLOOKUP(C12,OUTPUT_COUNTRY!$B$6:$N$18,4,FALSE)&gt;50,"+",(IF(VLOOKUP(C12,OUTPUT_COUNTRY!$B$6:$N$18,4,FALSE)&gt;25,"-","--")))))</f>
        <v>--</v>
      </c>
      <c r="G12" s="159" t="str">
        <f>IF(VLOOKUP(C12,OUTPUT_COUNTRY!$B$6:$N$18,5,FALSE)&gt;75,"++",(IF(VLOOKUP(C12,OUTPUT_COUNTRY!$B$6:$N$18,5,FALSE)&gt;50,"+",(IF(VLOOKUP(C12,OUTPUT_COUNTRY!$B$6:$N$18,5,FALSE)&gt;25,"-","--")))))</f>
        <v>+</v>
      </c>
      <c r="H12" s="121" t="str">
        <f>IF(VLOOKUP(C12,OUTPUT_COUNTRY!$B$6:$N$18,7,FALSE)&gt;75,"++",(IF(VLOOKUP(C12,OUTPUT_COUNTRY!$B$6:$N$18,7,FALSE)&gt;50,"+",(IF(VLOOKUP(C12,OUTPUT_COUNTRY!$B$6:$N$18,7,FALSE)&gt;25,"-","--")))))</f>
        <v>--</v>
      </c>
      <c r="I12" s="159" t="str">
        <f>IF(VLOOKUP(C12,OUTPUT_COUNTRY!$B$6:$N$18,8,FALSE)&gt;75,"++",(IF(VLOOKUP(C12,OUTPUT_COUNTRY!$B$6:$N$18,8,FALSE)&gt;50,"+",(IF(VLOOKUP(C12,OUTPUT_COUNTRY!$B$6:$N$18,8,FALSE)&gt;25,"-","--")))))</f>
        <v>-</v>
      </c>
      <c r="J12" s="121" t="str">
        <f ca="1">IF(VLOOKUP(C12,OUTPUT_COUNTRY!$B$6:$N$18,9,FALSE)&gt;75,"++",(IF(VLOOKUP(C12,OUTPUT_COUNTRY!$B$6:$N$18,9,FALSE)&gt;50,"+",(IF(VLOOKUP(C12,OUTPUT_COUNTRY!$B$6:$N$18,9,FALSE)&gt;25,"-","--")))))</f>
        <v>-</v>
      </c>
      <c r="K12" s="159" t="str">
        <f>IF(VLOOKUP(C12,OUTPUT_COUNTRY!$B$6:$N$18,11,FALSE)&gt;75,"++",(IF(VLOOKUP(C12,OUTPUT_COUNTRY!$B$6:$N$18,11,FALSE)&gt;50,"+",(IF(VLOOKUP(C12,OUTPUT_COUNTRY!$B$6:$N$18,11,FALSE)&gt;25,"-","--")))))</f>
        <v>--</v>
      </c>
      <c r="L12" s="121" t="str">
        <f ca="1">IF(VLOOKUP(C12,OUTPUT_COUNTRY!$B$6:$N$18,13,FALSE)&gt;75,"++",(IF(VLOOKUP(C12,OUTPUT_COUNTRY!$B$6:$N$18,13,FALSE)&gt;50,"+",(IF(VLOOKUP(C12,OUTPUT_COUNTRY!$B$6:$N$18,13,FALSE)&gt;25,"-","--")))))</f>
        <v>-</v>
      </c>
    </row>
    <row r="13" spans="3:12" x14ac:dyDescent="0.35">
      <c r="C13" s="78" t="s">
        <v>865</v>
      </c>
      <c r="D13" s="167" t="str" cm="1">
        <f t="array" ref="D13">_xll.FDS(C13,"FG_COMPANY_NAME")</f>
        <v>iShares MSCI France ETF</v>
      </c>
      <c r="E13" s="159" t="str">
        <f>IF(VLOOKUP(C13,OUTPUT_COUNTRY!$B$6:$N$18,3,FALSE)&gt;75,"++",(IF(VLOOKUP(C13,OUTPUT_COUNTRY!$B$6:$N$18,3,FALSE)&gt;50,"+",(IF(VLOOKUP(C13,OUTPUT_COUNTRY!$B$6:$N$18,3,FALSE)&gt;25,"-","--")))))</f>
        <v>+</v>
      </c>
      <c r="F13" s="121" t="str">
        <f>IF(VLOOKUP(C13,OUTPUT_COUNTRY!$B$6:$N$18,4,FALSE)&gt;75,"++",(IF(VLOOKUP(C13,OUTPUT_COUNTRY!$B$6:$N$18,4,FALSE)&gt;50,"+",(IF(VLOOKUP(C13,OUTPUT_COUNTRY!$B$6:$N$18,4,FALSE)&gt;25,"-","--")))))</f>
        <v>+</v>
      </c>
      <c r="G13" s="159" t="str">
        <f>IF(VLOOKUP(C13,OUTPUT_COUNTRY!$B$6:$N$18,5,FALSE)&gt;75,"++",(IF(VLOOKUP(C13,OUTPUT_COUNTRY!$B$6:$N$18,5,FALSE)&gt;50,"+",(IF(VLOOKUP(C13,OUTPUT_COUNTRY!$B$6:$N$18,5,FALSE)&gt;25,"-","--")))))</f>
        <v>++</v>
      </c>
      <c r="H13" s="121" t="str">
        <f>IF(VLOOKUP(C13,OUTPUT_COUNTRY!$B$6:$N$18,7,FALSE)&gt;75,"++",(IF(VLOOKUP(C13,OUTPUT_COUNTRY!$B$6:$N$18,7,FALSE)&gt;50,"+",(IF(VLOOKUP(C13,OUTPUT_COUNTRY!$B$6:$N$18,7,FALSE)&gt;25,"-","--")))))</f>
        <v>++</v>
      </c>
      <c r="I13" s="159" t="str">
        <f>IF(VLOOKUP(C13,OUTPUT_COUNTRY!$B$6:$N$18,8,FALSE)&gt;75,"++",(IF(VLOOKUP(C13,OUTPUT_COUNTRY!$B$6:$N$18,8,FALSE)&gt;50,"+",(IF(VLOOKUP(C13,OUTPUT_COUNTRY!$B$6:$N$18,8,FALSE)&gt;25,"-","--")))))</f>
        <v>-</v>
      </c>
      <c r="J13" s="121" t="str">
        <f ca="1">IF(VLOOKUP(C13,OUTPUT_COUNTRY!$B$6:$N$18,9,FALSE)&gt;75,"++",(IF(VLOOKUP(C13,OUTPUT_COUNTRY!$B$6:$N$18,9,FALSE)&gt;50,"+",(IF(VLOOKUP(C13,OUTPUT_COUNTRY!$B$6:$N$18,9,FALSE)&gt;25,"-","--")))))</f>
        <v>--</v>
      </c>
      <c r="K13" s="159" t="str">
        <f>IF(VLOOKUP(C13,OUTPUT_COUNTRY!$B$6:$N$18,11,FALSE)&gt;75,"++",(IF(VLOOKUP(C13,OUTPUT_COUNTRY!$B$6:$N$18,11,FALSE)&gt;50,"+",(IF(VLOOKUP(C13,OUTPUT_COUNTRY!$B$6:$N$18,11,FALSE)&gt;25,"-","--")))))</f>
        <v>++</v>
      </c>
      <c r="L13" s="121" t="str">
        <f ca="1">IF(VLOOKUP(C13,OUTPUT_COUNTRY!$B$6:$N$18,13,FALSE)&gt;75,"++",(IF(VLOOKUP(C13,OUTPUT_COUNTRY!$B$6:$N$18,13,FALSE)&gt;50,"+",(IF(VLOOKUP(C13,OUTPUT_COUNTRY!$B$6:$N$18,13,FALSE)&gt;25,"-","--")))))</f>
        <v>-</v>
      </c>
    </row>
    <row r="14" spans="3:12" x14ac:dyDescent="0.35">
      <c r="C14" s="78" t="s">
        <v>867</v>
      </c>
      <c r="D14" s="167" t="str" cm="1">
        <f t="array" ref="D14">_xll.FDS(C14,"FG_COMPANY_NAME")</f>
        <v>iShares MSCI Netherlands ETF</v>
      </c>
      <c r="E14" s="159" t="str">
        <f>IF(VLOOKUP(C14,OUTPUT_COUNTRY!$B$6:$N$18,3,FALSE)&gt;75,"++",(IF(VLOOKUP(C14,OUTPUT_COUNTRY!$B$6:$N$18,3,FALSE)&gt;50,"+",(IF(VLOOKUP(C14,OUTPUT_COUNTRY!$B$6:$N$18,3,FALSE)&gt;25,"-","--")))))</f>
        <v>-</v>
      </c>
      <c r="F14" s="121" t="str">
        <f>IF(VLOOKUP(C14,OUTPUT_COUNTRY!$B$6:$N$18,4,FALSE)&gt;75,"++",(IF(VLOOKUP(C14,OUTPUT_COUNTRY!$B$6:$N$18,4,FALSE)&gt;50,"+",(IF(VLOOKUP(C14,OUTPUT_COUNTRY!$B$6:$N$18,4,FALSE)&gt;25,"-","--")))))</f>
        <v>-</v>
      </c>
      <c r="G14" s="159" t="str">
        <f>IF(VLOOKUP(C14,OUTPUT_COUNTRY!$B$6:$N$18,5,FALSE)&gt;75,"++",(IF(VLOOKUP(C14,OUTPUT_COUNTRY!$B$6:$N$18,5,FALSE)&gt;50,"+",(IF(VLOOKUP(C14,OUTPUT_COUNTRY!$B$6:$N$18,5,FALSE)&gt;25,"-","--")))))</f>
        <v>+</v>
      </c>
      <c r="H14" s="121" t="str">
        <f>IF(VLOOKUP(C14,OUTPUT_COUNTRY!$B$6:$N$18,7,FALSE)&gt;75,"++",(IF(VLOOKUP(C14,OUTPUT_COUNTRY!$B$6:$N$18,7,FALSE)&gt;50,"+",(IF(VLOOKUP(C14,OUTPUT_COUNTRY!$B$6:$N$18,7,FALSE)&gt;25,"-","--")))))</f>
        <v>--</v>
      </c>
      <c r="I14" s="159" t="str">
        <f>IF(VLOOKUP(C14,OUTPUT_COUNTRY!$B$6:$N$18,8,FALSE)&gt;75,"++",(IF(VLOOKUP(C14,OUTPUT_COUNTRY!$B$6:$N$18,8,FALSE)&gt;50,"+",(IF(VLOOKUP(C14,OUTPUT_COUNTRY!$B$6:$N$18,8,FALSE)&gt;25,"-","--")))))</f>
        <v>-</v>
      </c>
      <c r="J14" s="121" t="str">
        <f ca="1">IF(VLOOKUP(C14,OUTPUT_COUNTRY!$B$6:$N$18,9,FALSE)&gt;75,"++",(IF(VLOOKUP(C14,OUTPUT_COUNTRY!$B$6:$N$18,9,FALSE)&gt;50,"+",(IF(VLOOKUP(C14,OUTPUT_COUNTRY!$B$6:$N$18,9,FALSE)&gt;25,"-","--")))))</f>
        <v>--</v>
      </c>
      <c r="K14" s="159" t="str">
        <f>IF(VLOOKUP(C14,OUTPUT_COUNTRY!$B$6:$N$18,11,FALSE)&gt;75,"++",(IF(VLOOKUP(C14,OUTPUT_COUNTRY!$B$6:$N$18,11,FALSE)&gt;50,"+",(IF(VLOOKUP(C14,OUTPUT_COUNTRY!$B$6:$N$18,11,FALSE)&gt;25,"-","--")))))</f>
        <v>+</v>
      </c>
      <c r="L14" s="121" t="str">
        <f ca="1">IF(VLOOKUP(C14,OUTPUT_COUNTRY!$B$6:$N$18,13,FALSE)&gt;75,"++",(IF(VLOOKUP(C14,OUTPUT_COUNTRY!$B$6:$N$18,13,FALSE)&gt;50,"+",(IF(VLOOKUP(C14,OUTPUT_COUNTRY!$B$6:$N$18,13,FALSE)&gt;25,"-","--")))))</f>
        <v>--</v>
      </c>
    </row>
    <row r="15" spans="3:12" x14ac:dyDescent="0.35">
      <c r="C15" s="78" t="s">
        <v>864</v>
      </c>
      <c r="D15" s="167" t="str" cm="1">
        <f t="array" ref="D15">_xll.FDS(C15,"FG_COMPANY_NAME")</f>
        <v>iShares MSCI Sweden ETF</v>
      </c>
      <c r="E15" s="159" t="str">
        <f>IF(VLOOKUP(C15,OUTPUT_COUNTRY!$B$6:$N$18,3,FALSE)&gt;75,"++",(IF(VLOOKUP(C15,OUTPUT_COUNTRY!$B$6:$N$18,3,FALSE)&gt;50,"+",(IF(VLOOKUP(C15,OUTPUT_COUNTRY!$B$6:$N$18,3,FALSE)&gt;25,"-","--")))))</f>
        <v>+</v>
      </c>
      <c r="F15" s="121" t="str">
        <f>IF(VLOOKUP(C15,OUTPUT_COUNTRY!$B$6:$N$18,4,FALSE)&gt;75,"++",(IF(VLOOKUP(C15,OUTPUT_COUNTRY!$B$6:$N$18,4,FALSE)&gt;50,"+",(IF(VLOOKUP(C15,OUTPUT_COUNTRY!$B$6:$N$18,4,FALSE)&gt;25,"-","--")))))</f>
        <v>-</v>
      </c>
      <c r="G15" s="159" t="str">
        <f>IF(VLOOKUP(C15,OUTPUT_COUNTRY!$B$6:$N$18,5,FALSE)&gt;75,"++",(IF(VLOOKUP(C15,OUTPUT_COUNTRY!$B$6:$N$18,5,FALSE)&gt;50,"+",(IF(VLOOKUP(C15,OUTPUT_COUNTRY!$B$6:$N$18,5,FALSE)&gt;25,"-","--")))))</f>
        <v>--</v>
      </c>
      <c r="H15" s="121" t="str">
        <f>IF(VLOOKUP(C15,OUTPUT_COUNTRY!$B$6:$N$18,7,FALSE)&gt;75,"++",(IF(VLOOKUP(C15,OUTPUT_COUNTRY!$B$6:$N$18,7,FALSE)&gt;50,"+",(IF(VLOOKUP(C15,OUTPUT_COUNTRY!$B$6:$N$18,7,FALSE)&gt;25,"-","--")))))</f>
        <v>--</v>
      </c>
      <c r="I15" s="159" t="str">
        <f>IF(VLOOKUP(C15,OUTPUT_COUNTRY!$B$6:$N$18,8,FALSE)&gt;75,"++",(IF(VLOOKUP(C15,OUTPUT_COUNTRY!$B$6:$N$18,8,FALSE)&gt;50,"+",(IF(VLOOKUP(C15,OUTPUT_COUNTRY!$B$6:$N$18,8,FALSE)&gt;25,"-","--")))))</f>
        <v>-</v>
      </c>
      <c r="J15" s="121" t="str">
        <f ca="1">IF(VLOOKUP(C15,OUTPUT_COUNTRY!$B$6:$N$18,9,FALSE)&gt;75,"++",(IF(VLOOKUP(C15,OUTPUT_COUNTRY!$B$6:$N$18,9,FALSE)&gt;50,"+",(IF(VLOOKUP(C15,OUTPUT_COUNTRY!$B$6:$N$18,9,FALSE)&gt;25,"-","--")))))</f>
        <v>-</v>
      </c>
      <c r="K15" s="159" t="str">
        <f>IF(VLOOKUP(C15,OUTPUT_COUNTRY!$B$6:$N$18,11,FALSE)&gt;75,"++",(IF(VLOOKUP(C15,OUTPUT_COUNTRY!$B$6:$N$18,11,FALSE)&gt;50,"+",(IF(VLOOKUP(C15,OUTPUT_COUNTRY!$B$6:$N$18,11,FALSE)&gt;25,"-","--")))))</f>
        <v>-</v>
      </c>
      <c r="L15" s="121" t="str">
        <f ca="1">IF(VLOOKUP(C15,OUTPUT_COUNTRY!$B$6:$N$18,13,FALSE)&gt;75,"++",(IF(VLOOKUP(C15,OUTPUT_COUNTRY!$B$6:$N$18,13,FALSE)&gt;50,"+",(IF(VLOOKUP(C15,OUTPUT_COUNTRY!$B$6:$N$18,13,FALSE)&gt;25,"-","--")))))</f>
        <v>--</v>
      </c>
    </row>
    <row r="16" spans="3:12" x14ac:dyDescent="0.35">
      <c r="C16" s="79" t="s">
        <v>866</v>
      </c>
      <c r="D16" s="168" t="str" cm="1">
        <f t="array" ref="D16">_xll.FDS(C16,"FG_COMPANY_NAME")</f>
        <v>iShares MSCI Italy ETF</v>
      </c>
      <c r="E16" s="154" t="str">
        <f>IF(VLOOKUP(C16,OUTPUT_COUNTRY!$B$6:$N$18,3,FALSE)&gt;75,"++",(IF(VLOOKUP(C16,OUTPUT_COUNTRY!$B$6:$N$18,3,FALSE)&gt;50,"+",(IF(VLOOKUP(C16,OUTPUT_COUNTRY!$B$6:$N$18,3,FALSE)&gt;25,"-","--")))))</f>
        <v>++</v>
      </c>
      <c r="F16" s="122" t="str">
        <f>IF(VLOOKUP(C16,OUTPUT_COUNTRY!$B$6:$N$18,4,FALSE)&gt;75,"++",(IF(VLOOKUP(C16,OUTPUT_COUNTRY!$B$6:$N$18,4,FALSE)&gt;50,"+",(IF(VLOOKUP(C16,OUTPUT_COUNTRY!$B$6:$N$18,4,FALSE)&gt;25,"-","--")))))</f>
        <v>--</v>
      </c>
      <c r="G16" s="154" t="str">
        <f>IF(VLOOKUP(C16,OUTPUT_COUNTRY!$B$6:$N$18,5,FALSE)&gt;75,"++",(IF(VLOOKUP(C16,OUTPUT_COUNTRY!$B$6:$N$18,5,FALSE)&gt;50,"+",(IF(VLOOKUP(C16,OUTPUT_COUNTRY!$B$6:$N$18,5,FALSE)&gt;25,"-","--")))))</f>
        <v>-</v>
      </c>
      <c r="H16" s="122" t="str">
        <f>IF(VLOOKUP(C16,OUTPUT_COUNTRY!$B$6:$N$18,7,FALSE)&gt;75,"++",(IF(VLOOKUP(C16,OUTPUT_COUNTRY!$B$6:$N$18,7,FALSE)&gt;50,"+",(IF(VLOOKUP(C16,OUTPUT_COUNTRY!$B$6:$N$18,7,FALSE)&gt;25,"-","--")))))</f>
        <v>-</v>
      </c>
      <c r="I16" s="154" t="str">
        <f>IF(VLOOKUP(C16,OUTPUT_COUNTRY!$B$6:$N$18,8,FALSE)&gt;75,"++",(IF(VLOOKUP(C16,OUTPUT_COUNTRY!$B$6:$N$18,8,FALSE)&gt;50,"+",(IF(VLOOKUP(C16,OUTPUT_COUNTRY!$B$6:$N$18,8,FALSE)&gt;25,"-","--")))))</f>
        <v>-</v>
      </c>
      <c r="J16" s="122" t="str">
        <f ca="1">IF(VLOOKUP(C16,OUTPUT_COUNTRY!$B$6:$N$18,9,FALSE)&gt;75,"++",(IF(VLOOKUP(C16,OUTPUT_COUNTRY!$B$6:$N$18,9,FALSE)&gt;50,"+",(IF(VLOOKUP(C16,OUTPUT_COUNTRY!$B$6:$N$18,9,FALSE)&gt;25,"-","--")))))</f>
        <v>-</v>
      </c>
      <c r="K16" s="154" t="str">
        <f>IF(VLOOKUP(C16,OUTPUT_COUNTRY!$B$6:$N$18,11,FALSE)&gt;75,"++",(IF(VLOOKUP(C16,OUTPUT_COUNTRY!$B$6:$N$18,11,FALSE)&gt;50,"+",(IF(VLOOKUP(C16,OUTPUT_COUNTRY!$B$6:$N$18,11,FALSE)&gt;25,"-","--")))))</f>
        <v>-</v>
      </c>
      <c r="L16" s="122" t="str">
        <f ca="1">IF(VLOOKUP(C16,OUTPUT_COUNTRY!$B$6:$N$18,13,FALSE)&gt;75,"++",(IF(VLOOKUP(C16,OUTPUT_COUNTRY!$B$6:$N$18,13,FALSE)&gt;50,"+",(IF(VLOOKUP(C16,OUTPUT_COUNTRY!$B$6:$N$18,13,FALSE)&gt;25,"-","--")))))</f>
        <v>-</v>
      </c>
    </row>
  </sheetData>
  <mergeCells count="7">
    <mergeCell ref="L2:L3"/>
    <mergeCell ref="J2:J3"/>
    <mergeCell ref="C2:D3"/>
    <mergeCell ref="E2:G2"/>
    <mergeCell ref="I2:I3"/>
    <mergeCell ref="K2:K3"/>
    <mergeCell ref="H2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topLeftCell="A33" workbookViewId="0">
      <selection activeCell="D78" sqref="D78"/>
    </sheetView>
  </sheetViews>
  <sheetFormatPr defaultRowHeight="14.5" x14ac:dyDescent="0.35"/>
  <cols>
    <col min="1" max="1" width="16.453125" style="27" customWidth="1"/>
    <col min="2" max="2" width="16.453125" customWidth="1"/>
    <col min="3" max="3" width="66.1796875" bestFit="1" customWidth="1"/>
    <col min="4" max="4" width="16.453125" bestFit="1" customWidth="1"/>
  </cols>
  <sheetData>
    <row r="1" spans="1:4" x14ac:dyDescent="0.35">
      <c r="C1" s="1" t="s">
        <v>151</v>
      </c>
    </row>
    <row r="2" spans="1:4" x14ac:dyDescent="0.35">
      <c r="A2" s="28" t="s">
        <v>152</v>
      </c>
      <c r="B2" s="29" t="s">
        <v>153</v>
      </c>
      <c r="C2" s="30" t="s">
        <v>154</v>
      </c>
      <c r="D2" s="30" t="s">
        <v>155</v>
      </c>
    </row>
    <row r="3" spans="1:4" x14ac:dyDescent="0.35">
      <c r="C3" s="31" t="s">
        <v>156</v>
      </c>
      <c r="D3" s="32"/>
    </row>
    <row r="4" spans="1:4" x14ac:dyDescent="0.35">
      <c r="A4" s="27" t="s">
        <v>116</v>
      </c>
      <c r="B4" t="s">
        <v>157</v>
      </c>
      <c r="C4" t="s">
        <v>158</v>
      </c>
      <c r="D4" t="s">
        <v>159</v>
      </c>
    </row>
    <row r="5" spans="1:4" x14ac:dyDescent="0.35">
      <c r="A5" s="27" t="s">
        <v>160</v>
      </c>
      <c r="B5" t="s">
        <v>161</v>
      </c>
      <c r="C5" t="s">
        <v>162</v>
      </c>
      <c r="D5" t="s">
        <v>163</v>
      </c>
    </row>
    <row r="6" spans="1:4" x14ac:dyDescent="0.35">
      <c r="A6" s="27" t="s">
        <v>114</v>
      </c>
      <c r="B6" t="s">
        <v>164</v>
      </c>
      <c r="C6" t="s">
        <v>165</v>
      </c>
      <c r="D6" t="s">
        <v>166</v>
      </c>
    </row>
    <row r="7" spans="1:4" x14ac:dyDescent="0.35">
      <c r="A7" s="27" t="s">
        <v>115</v>
      </c>
      <c r="B7" t="s">
        <v>167</v>
      </c>
      <c r="C7" t="s">
        <v>168</v>
      </c>
      <c r="D7" t="s">
        <v>169</v>
      </c>
    </row>
    <row r="8" spans="1:4" x14ac:dyDescent="0.35">
      <c r="A8" s="27" t="s">
        <v>119</v>
      </c>
      <c r="B8" t="s">
        <v>170</v>
      </c>
      <c r="C8" t="s">
        <v>171</v>
      </c>
      <c r="D8" t="s">
        <v>172</v>
      </c>
    </row>
    <row r="9" spans="1:4" x14ac:dyDescent="0.35">
      <c r="A9" s="27" t="s">
        <v>150</v>
      </c>
      <c r="C9" s="31" t="s">
        <v>173</v>
      </c>
      <c r="D9" s="33"/>
    </row>
    <row r="10" spans="1:4" x14ac:dyDescent="0.35">
      <c r="A10" s="27" t="s">
        <v>113</v>
      </c>
      <c r="B10" t="s">
        <v>174</v>
      </c>
      <c r="C10" t="s">
        <v>175</v>
      </c>
      <c r="D10" t="s">
        <v>176</v>
      </c>
    </row>
    <row r="11" spans="1:4" x14ac:dyDescent="0.35">
      <c r="A11" s="27" t="s">
        <v>104</v>
      </c>
      <c r="B11" t="s">
        <v>177</v>
      </c>
      <c r="C11" t="s">
        <v>178</v>
      </c>
      <c r="D11" t="s">
        <v>179</v>
      </c>
    </row>
    <row r="12" spans="1:4" x14ac:dyDescent="0.35">
      <c r="A12" s="27" t="s">
        <v>180</v>
      </c>
      <c r="B12" t="s">
        <v>181</v>
      </c>
      <c r="C12" t="s">
        <v>182</v>
      </c>
      <c r="D12" t="s">
        <v>183</v>
      </c>
    </row>
    <row r="13" spans="1:4" x14ac:dyDescent="0.35">
      <c r="A13" s="27" t="s">
        <v>118</v>
      </c>
      <c r="B13" t="s">
        <v>184</v>
      </c>
      <c r="C13" t="s">
        <v>185</v>
      </c>
      <c r="D13" t="s">
        <v>186</v>
      </c>
    </row>
    <row r="14" spans="1:4" x14ac:dyDescent="0.35">
      <c r="A14" s="27" t="s">
        <v>124</v>
      </c>
      <c r="B14" t="s">
        <v>187</v>
      </c>
      <c r="C14" t="s">
        <v>188</v>
      </c>
      <c r="D14" t="s">
        <v>189</v>
      </c>
    </row>
    <row r="15" spans="1:4" x14ac:dyDescent="0.35">
      <c r="A15" s="27" t="s">
        <v>114</v>
      </c>
      <c r="B15" t="s">
        <v>164</v>
      </c>
      <c r="C15" t="s">
        <v>165</v>
      </c>
      <c r="D15" t="s">
        <v>166</v>
      </c>
    </row>
    <row r="16" spans="1:4" x14ac:dyDescent="0.35">
      <c r="A16" s="27" t="s">
        <v>190</v>
      </c>
      <c r="B16" t="s">
        <v>191</v>
      </c>
      <c r="C16" t="s">
        <v>192</v>
      </c>
      <c r="D16" t="s">
        <v>193</v>
      </c>
    </row>
    <row r="17" spans="1:4" x14ac:dyDescent="0.35">
      <c r="A17" s="27" t="s">
        <v>122</v>
      </c>
      <c r="B17" t="s">
        <v>194</v>
      </c>
      <c r="C17" t="s">
        <v>195</v>
      </c>
      <c r="D17" t="s">
        <v>196</v>
      </c>
    </row>
    <row r="18" spans="1:4" x14ac:dyDescent="0.35">
      <c r="A18" s="27" t="s">
        <v>197</v>
      </c>
      <c r="B18" t="s">
        <v>198</v>
      </c>
      <c r="C18" t="s">
        <v>199</v>
      </c>
      <c r="D18" t="s">
        <v>200</v>
      </c>
    </row>
    <row r="19" spans="1:4" x14ac:dyDescent="0.35">
      <c r="A19" s="27" t="s">
        <v>201</v>
      </c>
      <c r="B19" t="s">
        <v>202</v>
      </c>
      <c r="C19" t="s">
        <v>203</v>
      </c>
      <c r="D19" t="s">
        <v>204</v>
      </c>
    </row>
    <row r="20" spans="1:4" x14ac:dyDescent="0.35">
      <c r="A20" s="27" t="s">
        <v>117</v>
      </c>
      <c r="B20" t="s">
        <v>205</v>
      </c>
      <c r="C20" t="s">
        <v>206</v>
      </c>
      <c r="D20" t="s">
        <v>207</v>
      </c>
    </row>
    <row r="21" spans="1:4" x14ac:dyDescent="0.35">
      <c r="A21" s="27" t="s">
        <v>208</v>
      </c>
      <c r="B21" t="s">
        <v>209</v>
      </c>
    </row>
    <row r="22" spans="1:4" x14ac:dyDescent="0.35">
      <c r="A22" s="27" t="s">
        <v>101</v>
      </c>
      <c r="B22" t="s">
        <v>210</v>
      </c>
      <c r="C22" t="s">
        <v>211</v>
      </c>
      <c r="D22" t="s">
        <v>212</v>
      </c>
    </row>
    <row r="23" spans="1:4" x14ac:dyDescent="0.35">
      <c r="A23" s="27" t="s">
        <v>213</v>
      </c>
      <c r="B23" t="s">
        <v>214</v>
      </c>
      <c r="C23" t="s">
        <v>215</v>
      </c>
      <c r="D23" t="s">
        <v>216</v>
      </c>
    </row>
    <row r="24" spans="1:4" x14ac:dyDescent="0.35">
      <c r="A24" s="27" t="s">
        <v>103</v>
      </c>
      <c r="B24" t="s">
        <v>217</v>
      </c>
      <c r="C24" t="s">
        <v>218</v>
      </c>
      <c r="D24" t="s">
        <v>219</v>
      </c>
    </row>
    <row r="25" spans="1:4" x14ac:dyDescent="0.35">
      <c r="A25" s="27" t="s">
        <v>220</v>
      </c>
      <c r="B25" t="s">
        <v>221</v>
      </c>
      <c r="C25" t="s">
        <v>222</v>
      </c>
      <c r="D25" t="s">
        <v>223</v>
      </c>
    </row>
    <row r="26" spans="1:4" x14ac:dyDescent="0.35">
      <c r="A26" s="27" t="s">
        <v>126</v>
      </c>
      <c r="B26" t="s">
        <v>224</v>
      </c>
      <c r="C26" t="s">
        <v>225</v>
      </c>
      <c r="D26" t="s">
        <v>226</v>
      </c>
    </row>
    <row r="27" spans="1:4" x14ac:dyDescent="0.35">
      <c r="A27" s="27" t="s">
        <v>150</v>
      </c>
      <c r="C27" s="31" t="s">
        <v>227</v>
      </c>
    </row>
    <row r="28" spans="1:4" x14ac:dyDescent="0.35">
      <c r="A28" s="27" t="s">
        <v>228</v>
      </c>
      <c r="B28" t="s">
        <v>229</v>
      </c>
      <c r="C28" t="s">
        <v>230</v>
      </c>
      <c r="D28" t="s">
        <v>231</v>
      </c>
    </row>
    <row r="29" spans="1:4" x14ac:dyDescent="0.35">
      <c r="A29" s="27" t="s">
        <v>232</v>
      </c>
      <c r="B29" t="s">
        <v>233</v>
      </c>
      <c r="C29" t="s">
        <v>234</v>
      </c>
      <c r="D29" t="s">
        <v>235</v>
      </c>
    </row>
    <row r="30" spans="1:4" x14ac:dyDescent="0.35">
      <c r="A30" s="27" t="s">
        <v>236</v>
      </c>
      <c r="B30" t="s">
        <v>237</v>
      </c>
      <c r="C30" t="s">
        <v>238</v>
      </c>
      <c r="D30" t="s">
        <v>239</v>
      </c>
    </row>
    <row r="31" spans="1:4" x14ac:dyDescent="0.35">
      <c r="A31" s="27" t="s">
        <v>240</v>
      </c>
      <c r="B31" t="s">
        <v>241</v>
      </c>
      <c r="C31" t="s">
        <v>242</v>
      </c>
      <c r="D31" t="s">
        <v>243</v>
      </c>
    </row>
    <row r="32" spans="1:4" x14ac:dyDescent="0.35">
      <c r="A32" s="27" t="s">
        <v>244</v>
      </c>
      <c r="B32" t="s">
        <v>161</v>
      </c>
      <c r="C32" t="s">
        <v>162</v>
      </c>
      <c r="D32" t="s">
        <v>163</v>
      </c>
    </row>
    <row r="33" spans="1:4" x14ac:dyDescent="0.35">
      <c r="A33" s="27" t="s">
        <v>245</v>
      </c>
      <c r="B33" t="s">
        <v>246</v>
      </c>
      <c r="C33" t="s">
        <v>247</v>
      </c>
      <c r="D33" t="s">
        <v>248</v>
      </c>
    </row>
    <row r="34" spans="1:4" x14ac:dyDescent="0.35">
      <c r="A34" s="27" t="s">
        <v>249</v>
      </c>
      <c r="B34" t="s">
        <v>250</v>
      </c>
      <c r="C34" t="s">
        <v>251</v>
      </c>
      <c r="D34" t="s">
        <v>252</v>
      </c>
    </row>
    <row r="35" spans="1:4" x14ac:dyDescent="0.35">
      <c r="A35" s="27" t="s">
        <v>253</v>
      </c>
      <c r="B35" t="s">
        <v>254</v>
      </c>
      <c r="C35" t="s">
        <v>255</v>
      </c>
      <c r="D35" t="s">
        <v>256</v>
      </c>
    </row>
    <row r="36" spans="1:4" x14ac:dyDescent="0.35">
      <c r="A36" s="27" t="s">
        <v>100</v>
      </c>
      <c r="B36" t="s">
        <v>257</v>
      </c>
      <c r="C36" t="s">
        <v>258</v>
      </c>
      <c r="D36" t="s">
        <v>259</v>
      </c>
    </row>
    <row r="37" spans="1:4" x14ac:dyDescent="0.35">
      <c r="A37" s="27" t="s">
        <v>260</v>
      </c>
      <c r="B37" t="s">
        <v>261</v>
      </c>
      <c r="C37" t="s">
        <v>262</v>
      </c>
      <c r="D37" t="s">
        <v>263</v>
      </c>
    </row>
    <row r="38" spans="1:4" x14ac:dyDescent="0.35">
      <c r="A38" s="27" t="s">
        <v>264</v>
      </c>
      <c r="B38" t="s">
        <v>265</v>
      </c>
      <c r="C38" t="s">
        <v>266</v>
      </c>
      <c r="D38" t="s">
        <v>267</v>
      </c>
    </row>
    <row r="39" spans="1:4" x14ac:dyDescent="0.35">
      <c r="A39" s="27" t="s">
        <v>268</v>
      </c>
      <c r="B39" t="s">
        <v>269</v>
      </c>
      <c r="C39" t="s">
        <v>270</v>
      </c>
      <c r="D39" t="s">
        <v>271</v>
      </c>
    </row>
    <row r="40" spans="1:4" x14ac:dyDescent="0.35">
      <c r="A40" s="27" t="s">
        <v>272</v>
      </c>
      <c r="B40" t="s">
        <v>273</v>
      </c>
      <c r="C40" t="s">
        <v>274</v>
      </c>
      <c r="D40" t="s">
        <v>275</v>
      </c>
    </row>
    <row r="41" spans="1:4" x14ac:dyDescent="0.35">
      <c r="A41" s="27" t="s">
        <v>110</v>
      </c>
      <c r="B41" t="s">
        <v>276</v>
      </c>
      <c r="C41" t="s">
        <v>277</v>
      </c>
      <c r="D41" t="s">
        <v>278</v>
      </c>
    </row>
    <row r="42" spans="1:4" x14ac:dyDescent="0.35">
      <c r="A42" s="27" t="s">
        <v>105</v>
      </c>
      <c r="B42" t="s">
        <v>279</v>
      </c>
      <c r="C42" t="s">
        <v>280</v>
      </c>
      <c r="D42" t="s">
        <v>281</v>
      </c>
    </row>
    <row r="43" spans="1:4" x14ac:dyDescent="0.35">
      <c r="A43" s="27" t="s">
        <v>282</v>
      </c>
      <c r="B43" t="s">
        <v>283</v>
      </c>
      <c r="C43" t="s">
        <v>284</v>
      </c>
      <c r="D43" t="s">
        <v>285</v>
      </c>
    </row>
    <row r="44" spans="1:4" x14ac:dyDescent="0.35">
      <c r="A44" s="27" t="s">
        <v>115</v>
      </c>
      <c r="B44" t="s">
        <v>167</v>
      </c>
      <c r="C44" t="s">
        <v>168</v>
      </c>
      <c r="D44" t="s">
        <v>169</v>
      </c>
    </row>
    <row r="45" spans="1:4" x14ac:dyDescent="0.35">
      <c r="A45" t="s">
        <v>102</v>
      </c>
      <c r="B45" t="s">
        <v>555</v>
      </c>
      <c r="C45" t="s">
        <v>162</v>
      </c>
      <c r="D45" t="s">
        <v>163</v>
      </c>
    </row>
    <row r="46" spans="1:4" x14ac:dyDescent="0.35">
      <c r="A46" s="27" t="s">
        <v>111</v>
      </c>
      <c r="B46" t="s">
        <v>487</v>
      </c>
      <c r="C46" t="s">
        <v>162</v>
      </c>
      <c r="D46" t="s">
        <v>163</v>
      </c>
    </row>
    <row r="47" spans="1:4" x14ac:dyDescent="0.35">
      <c r="A47" s="27" t="s">
        <v>150</v>
      </c>
      <c r="C47" s="31" t="s">
        <v>286</v>
      </c>
      <c r="D47" s="33"/>
    </row>
    <row r="48" spans="1:4" x14ac:dyDescent="0.35">
      <c r="A48" s="27" t="s">
        <v>287</v>
      </c>
      <c r="B48" t="s">
        <v>288</v>
      </c>
      <c r="C48" t="s">
        <v>289</v>
      </c>
      <c r="D48" t="s">
        <v>290</v>
      </c>
    </row>
    <row r="49" spans="1:4" x14ac:dyDescent="0.35">
      <c r="A49" s="27" t="s">
        <v>127</v>
      </c>
      <c r="B49" t="s">
        <v>291</v>
      </c>
      <c r="C49" t="s">
        <v>292</v>
      </c>
      <c r="D49" t="s">
        <v>293</v>
      </c>
    </row>
    <row r="50" spans="1:4" x14ac:dyDescent="0.35">
      <c r="A50" s="27" t="s">
        <v>107</v>
      </c>
      <c r="B50" t="s">
        <v>294</v>
      </c>
      <c r="C50" t="s">
        <v>295</v>
      </c>
      <c r="D50" t="s">
        <v>296</v>
      </c>
    </row>
    <row r="51" spans="1:4" x14ac:dyDescent="0.35">
      <c r="A51" s="27" t="s">
        <v>297</v>
      </c>
      <c r="B51" t="s">
        <v>298</v>
      </c>
      <c r="C51" t="s">
        <v>299</v>
      </c>
      <c r="D51" t="s">
        <v>300</v>
      </c>
    </row>
    <row r="52" spans="1:4" x14ac:dyDescent="0.35">
      <c r="A52" s="27" t="s">
        <v>121</v>
      </c>
      <c r="B52" t="s">
        <v>301</v>
      </c>
      <c r="C52" t="s">
        <v>302</v>
      </c>
      <c r="D52" t="s">
        <v>303</v>
      </c>
    </row>
    <row r="53" spans="1:4" x14ac:dyDescent="0.35">
      <c r="A53" s="27" t="s">
        <v>112</v>
      </c>
      <c r="B53" t="s">
        <v>304</v>
      </c>
      <c r="C53" t="s">
        <v>305</v>
      </c>
      <c r="D53" t="s">
        <v>306</v>
      </c>
    </row>
    <row r="54" spans="1:4" x14ac:dyDescent="0.35">
      <c r="A54" s="27" t="s">
        <v>307</v>
      </c>
      <c r="B54" t="s">
        <v>308</v>
      </c>
      <c r="C54" t="s">
        <v>309</v>
      </c>
      <c r="D54" t="s">
        <v>310</v>
      </c>
    </row>
    <row r="55" spans="1:4" x14ac:dyDescent="0.35">
      <c r="A55" s="27" t="s">
        <v>150</v>
      </c>
      <c r="C55" s="31" t="s">
        <v>311</v>
      </c>
      <c r="D55" s="33"/>
    </row>
    <row r="56" spans="1:4" x14ac:dyDescent="0.35">
      <c r="A56" s="27" t="s">
        <v>312</v>
      </c>
      <c r="B56" t="s">
        <v>313</v>
      </c>
      <c r="C56" t="s">
        <v>314</v>
      </c>
      <c r="D56" t="s">
        <v>315</v>
      </c>
    </row>
    <row r="57" spans="1:4" x14ac:dyDescent="0.35">
      <c r="A57" s="27" t="s">
        <v>316</v>
      </c>
      <c r="B57" t="s">
        <v>317</v>
      </c>
      <c r="C57" t="s">
        <v>318</v>
      </c>
      <c r="D57" t="s">
        <v>319</v>
      </c>
    </row>
    <row r="58" spans="1:4" x14ac:dyDescent="0.35">
      <c r="A58" s="27" t="s">
        <v>320</v>
      </c>
      <c r="B58" t="s">
        <v>321</v>
      </c>
      <c r="C58" t="s">
        <v>322</v>
      </c>
      <c r="D58" t="s">
        <v>323</v>
      </c>
    </row>
    <row r="59" spans="1:4" x14ac:dyDescent="0.35">
      <c r="A59" s="27" t="s">
        <v>324</v>
      </c>
      <c r="B59" t="s">
        <v>325</v>
      </c>
      <c r="C59" t="s">
        <v>326</v>
      </c>
      <c r="D59" t="s">
        <v>327</v>
      </c>
    </row>
    <row r="60" spans="1:4" x14ac:dyDescent="0.35">
      <c r="A60" s="27" t="s">
        <v>328</v>
      </c>
      <c r="B60" t="s">
        <v>329</v>
      </c>
      <c r="C60" t="s">
        <v>330</v>
      </c>
      <c r="D60" t="s">
        <v>331</v>
      </c>
    </row>
    <row r="61" spans="1:4" x14ac:dyDescent="0.35">
      <c r="A61" s="27" t="s">
        <v>332</v>
      </c>
      <c r="B61" t="s">
        <v>333</v>
      </c>
      <c r="C61" t="s">
        <v>334</v>
      </c>
      <c r="D61" t="s">
        <v>335</v>
      </c>
    </row>
    <row r="62" spans="1:4" x14ac:dyDescent="0.35">
      <c r="A62" s="27" t="s">
        <v>336</v>
      </c>
      <c r="B62" t="s">
        <v>337</v>
      </c>
      <c r="C62" t="s">
        <v>338</v>
      </c>
      <c r="D62" t="s">
        <v>339</v>
      </c>
    </row>
    <row r="63" spans="1:4" x14ac:dyDescent="0.35">
      <c r="A63" s="27" t="s">
        <v>340</v>
      </c>
      <c r="B63" t="s">
        <v>341</v>
      </c>
      <c r="C63" t="s">
        <v>342</v>
      </c>
      <c r="D63" t="s">
        <v>343</v>
      </c>
    </row>
    <row r="64" spans="1:4" x14ac:dyDescent="0.35">
      <c r="A64" s="27" t="s">
        <v>344</v>
      </c>
      <c r="B64" t="s">
        <v>345</v>
      </c>
      <c r="C64" t="s">
        <v>346</v>
      </c>
      <c r="D64" t="s">
        <v>347</v>
      </c>
    </row>
    <row r="65" spans="1:4" x14ac:dyDescent="0.35">
      <c r="A65" s="27" t="s">
        <v>348</v>
      </c>
      <c r="B65" t="s">
        <v>349</v>
      </c>
      <c r="C65" t="s">
        <v>350</v>
      </c>
      <c r="D65" t="s">
        <v>351</v>
      </c>
    </row>
    <row r="66" spans="1:4" x14ac:dyDescent="0.35">
      <c r="A66" s="27" t="s">
        <v>352</v>
      </c>
      <c r="B66" t="s">
        <v>353</v>
      </c>
      <c r="C66" t="s">
        <v>354</v>
      </c>
      <c r="D66" t="s">
        <v>355</v>
      </c>
    </row>
    <row r="67" spans="1:4" x14ac:dyDescent="0.35">
      <c r="A67" s="27" t="s">
        <v>356</v>
      </c>
      <c r="B67" t="s">
        <v>357</v>
      </c>
      <c r="C67" t="s">
        <v>358</v>
      </c>
      <c r="D67" t="s">
        <v>359</v>
      </c>
    </row>
    <row r="68" spans="1:4" x14ac:dyDescent="0.35">
      <c r="A68" s="27" t="s">
        <v>120</v>
      </c>
      <c r="B68" t="s">
        <v>360</v>
      </c>
      <c r="C68" t="s">
        <v>361</v>
      </c>
      <c r="D68" t="s">
        <v>362</v>
      </c>
    </row>
    <row r="69" spans="1:4" x14ac:dyDescent="0.35">
      <c r="A69" s="27" t="s">
        <v>125</v>
      </c>
      <c r="B69" t="s">
        <v>363</v>
      </c>
      <c r="C69" t="s">
        <v>364</v>
      </c>
      <c r="D69" t="s">
        <v>365</v>
      </c>
    </row>
    <row r="70" spans="1:4" x14ac:dyDescent="0.35">
      <c r="A70" s="27" t="s">
        <v>99</v>
      </c>
      <c r="B70" t="s">
        <v>366</v>
      </c>
      <c r="C70" t="s">
        <v>367</v>
      </c>
      <c r="D70" t="s">
        <v>368</v>
      </c>
    </row>
    <row r="71" spans="1:4" x14ac:dyDescent="0.35">
      <c r="A71" s="27" t="s">
        <v>369</v>
      </c>
      <c r="B71" t="s">
        <v>370</v>
      </c>
      <c r="C71" t="s">
        <v>371</v>
      </c>
      <c r="D71" t="s">
        <v>372</v>
      </c>
    </row>
    <row r="72" spans="1:4" x14ac:dyDescent="0.35">
      <c r="A72" s="27" t="s">
        <v>123</v>
      </c>
      <c r="B72" t="s">
        <v>373</v>
      </c>
      <c r="C72" t="s">
        <v>374</v>
      </c>
      <c r="D72" t="s">
        <v>375</v>
      </c>
    </row>
    <row r="73" spans="1:4" x14ac:dyDescent="0.35">
      <c r="A73" s="27" t="s">
        <v>376</v>
      </c>
      <c r="B73" t="s">
        <v>377</v>
      </c>
      <c r="C73" t="s">
        <v>378</v>
      </c>
      <c r="D73" t="s">
        <v>379</v>
      </c>
    </row>
    <row r="75" spans="1:4" x14ac:dyDescent="0.35">
      <c r="A75" t="s">
        <v>106</v>
      </c>
      <c r="B75" t="s">
        <v>869</v>
      </c>
      <c r="D75" s="26" t="s">
        <v>163</v>
      </c>
    </row>
    <row r="76" spans="1:4" x14ac:dyDescent="0.35">
      <c r="A76" t="s">
        <v>875</v>
      </c>
      <c r="B76" t="s">
        <v>870</v>
      </c>
      <c r="D76" s="26" t="s">
        <v>163</v>
      </c>
    </row>
    <row r="77" spans="1:4" x14ac:dyDescent="0.35">
      <c r="A77" t="s">
        <v>272</v>
      </c>
      <c r="B77" t="s">
        <v>273</v>
      </c>
      <c r="D77" s="26" t="s">
        <v>275</v>
      </c>
    </row>
    <row r="78" spans="1:4" x14ac:dyDescent="0.35">
      <c r="A78" t="s">
        <v>876</v>
      </c>
      <c r="B78" t="s">
        <v>868</v>
      </c>
      <c r="D78" s="26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C51"/>
  <sheetViews>
    <sheetView zoomScale="75" zoomScaleNormal="130" workbookViewId="0">
      <selection activeCell="O16" sqref="O16"/>
    </sheetView>
  </sheetViews>
  <sheetFormatPr defaultRowHeight="14.5" x14ac:dyDescent="0.35"/>
  <cols>
    <col min="1" max="1" width="12" customWidth="1"/>
    <col min="2" max="2" width="15" bestFit="1" customWidth="1"/>
    <col min="3" max="3" width="41.453125" customWidth="1"/>
    <col min="4" max="4" width="15.453125" customWidth="1"/>
    <col min="5" max="5" width="18.1796875" customWidth="1"/>
    <col min="6" max="6" width="11.54296875" bestFit="1" customWidth="1"/>
    <col min="7" max="7" width="7.54296875" customWidth="1"/>
    <col min="8" max="8" width="9.453125" customWidth="1"/>
    <col min="9" max="9" width="8.54296875" customWidth="1"/>
    <col min="10" max="10" width="11" customWidth="1"/>
    <col min="11" max="11" width="12.81640625" customWidth="1"/>
    <col min="12" max="12" width="8.54296875" customWidth="1"/>
    <col min="14" max="14" width="10.54296875" customWidth="1"/>
    <col min="15" max="15" width="10.81640625" customWidth="1"/>
    <col min="16" max="16" width="15" customWidth="1"/>
    <col min="17" max="17" width="12.453125" customWidth="1"/>
    <col min="18" max="20" width="13.453125" customWidth="1"/>
    <col min="21" max="21" width="14" customWidth="1"/>
    <col min="22" max="22" width="16.453125" customWidth="1"/>
    <col min="23" max="23" width="14.54296875" customWidth="1"/>
    <col min="24" max="24" width="14.453125" customWidth="1"/>
    <col min="25" max="25" width="11.54296875" customWidth="1"/>
    <col min="26" max="26" width="14.54296875" customWidth="1"/>
    <col min="27" max="28" width="11.54296875" customWidth="1"/>
  </cols>
  <sheetData>
    <row r="2" spans="1:29" ht="50.25" customHeight="1" x14ac:dyDescent="0.35">
      <c r="B2" t="s">
        <v>740</v>
      </c>
      <c r="D2" s="72" t="s">
        <v>0</v>
      </c>
      <c r="E2" s="72" t="s">
        <v>561</v>
      </c>
      <c r="F2" s="72"/>
      <c r="G2" s="72" t="s">
        <v>2</v>
      </c>
      <c r="H2" s="72" t="s">
        <v>3</v>
      </c>
      <c r="I2" s="72" t="s">
        <v>406</v>
      </c>
      <c r="J2" s="72" t="s">
        <v>8</v>
      </c>
      <c r="K2" s="72" t="s">
        <v>67</v>
      </c>
      <c r="L2" s="72" t="s">
        <v>407</v>
      </c>
      <c r="M2" s="72" t="s">
        <v>408</v>
      </c>
      <c r="N2" s="72" t="s">
        <v>509</v>
      </c>
      <c r="O2" s="72" t="s">
        <v>741</v>
      </c>
      <c r="P2" s="72" t="s">
        <v>769</v>
      </c>
      <c r="Q2" s="72" t="s">
        <v>510</v>
      </c>
      <c r="R2" s="72" t="s">
        <v>511</v>
      </c>
      <c r="S2" s="72" t="s">
        <v>512</v>
      </c>
      <c r="T2" s="72" t="s">
        <v>742</v>
      </c>
      <c r="U2" s="72" t="s">
        <v>513</v>
      </c>
      <c r="V2" s="72" t="s">
        <v>514</v>
      </c>
      <c r="W2" s="72" t="s">
        <v>515</v>
      </c>
      <c r="X2" s="72" t="s">
        <v>516</v>
      </c>
      <c r="Y2" s="72" t="s">
        <v>517</v>
      </c>
      <c r="Z2" s="72" t="s">
        <v>743</v>
      </c>
      <c r="AA2" s="115" t="s">
        <v>770</v>
      </c>
      <c r="AB2" s="72" t="s">
        <v>530</v>
      </c>
      <c r="AC2" s="72" t="s">
        <v>541</v>
      </c>
    </row>
    <row r="3" spans="1:29" x14ac:dyDescent="0.35">
      <c r="A3" t="s">
        <v>431</v>
      </c>
      <c r="B3" t="s">
        <v>198</v>
      </c>
      <c r="C3" t="str" cm="1">
        <f t="array" ref="C3">_xll.FDS(A3,"FG_COMPANY_NAME")</f>
        <v>iShares MSCI New Zealand ETF</v>
      </c>
      <c r="D3" t="s">
        <v>431</v>
      </c>
      <c r="E3" t="s">
        <v>674</v>
      </c>
      <c r="F3" s="2" cm="1">
        <f t="array" ref="F3">_xll.FDS(D3,"JULIAN(FMA_DIV_YLD(NTMA,NOW,NOW,M,""PORTAGG"",""MEANR"").dates)")</f>
        <v>45530</v>
      </c>
      <c r="G3" s="4" cm="1">
        <f t="array" ref="G3">_xll.FDS(D3,"FMA_PE(LTM,0,,,""PORTAGG"",""MEANR"")")</f>
        <v>49.031807939700002</v>
      </c>
      <c r="H3" s="4" cm="1">
        <f t="array" ref="H3">_xll.FDS(D3,"FMA_PE(NTMA,0,,,""PORTAGG"",""MEANR"")")</f>
        <v>26.977931586211302</v>
      </c>
      <c r="I3" cm="1">
        <f t="array" ref="I3">_xll.FDS(D3,"FMA_DIV_YLD(NTMA,NOW,NOW,M,""PORTAGG"",""MEANR"")")</f>
        <v>2.47828639752246</v>
      </c>
      <c r="J3" s="52" cm="1">
        <f t="array" ref="J3">IFERROR(_xll.FDS(D3,"FG_FCF_YIELD_NTM(0)"),(1/G3*100))</f>
        <v>1.5791694132935199</v>
      </c>
      <c r="K3" s="3" cm="1">
        <f t="array" ref="K3">_xll.FDS(D3,"FMA_EVAL_EBITDA(NTMA,0,,,""PORTAGG"",""MEANR"")")</f>
        <v>12.6081690424035</v>
      </c>
      <c r="L3" cm="1">
        <f t="array" ref="L3">_xll.FDS(D3,"FMA_EVAL_EBIT(LTMA,NOW,NOW,M,""PORTAGG"",""MEANR"")")</f>
        <v>21.4445840562048</v>
      </c>
      <c r="M3">
        <f>HLOOKUP(D3,'Index ROE'!$A$1:$N$25,25,FALSE)</f>
        <v>6.5791075391831502</v>
      </c>
      <c r="N3">
        <f>VLOOKUP(A3,'LIQIDITY 2'!$A$3:$E$16,5,FALSE)</f>
        <v>4.2854000000000001</v>
      </c>
      <c r="O3" cm="1">
        <f t="array" ref="O3">IFERROR(IFERROR(IFERROR(IFERROR(_xll.FDS(B3,"IMF_IFS_RCPI_Q(0)"),_xll.FDS(B3,"IMF_IFS_RCPI_Q(-1AM)")),_xll.FDS(B3,"IMF_IFS_RCPI_Q(-2AM)")),_xll.FDS(B3,"IMF_IFS_RCPI_Q(-3AM)")),$D$31)</f>
        <v>3.3306260000000001</v>
      </c>
      <c r="P3">
        <f>VLOOKUP(E3,GDP_GROWTH!$B$10:$W$165,22,FALSE)</f>
        <v>2.7196134550164452</v>
      </c>
      <c r="Q3">
        <f t="shared" ref="Q3:Q11" si="0">I3-N3</f>
        <v>-1.80711360247754</v>
      </c>
      <c r="R3" s="52">
        <f t="shared" ref="R3:R11" si="1">J3-N3</f>
        <v>-2.7062305867064804</v>
      </c>
      <c r="S3">
        <f t="shared" ref="S3:S11" si="2">M3-N3</f>
        <v>2.2937075391831501</v>
      </c>
      <c r="T3">
        <f t="shared" ref="T3:T11" si="3">M3-O3</f>
        <v>3.2484815391831501</v>
      </c>
      <c r="U3" cm="1">
        <f t="array" ref="U3">_xlfn.PERCENTRANK.EXC(_xlfn._xlws.FILTER(Q$3:Q$15, ISNUMBER(Q$3:Q$15)),Q3)*100</f>
        <v>21.4</v>
      </c>
      <c r="V3" cm="1">
        <f t="array" ref="V3">_xlfn.PERCENTRANK.EXC(_xlfn._xlws.FILTER(R$3:R$15, ISNUMBER(R$3:R$15)),R3)*100</f>
        <v>7.1</v>
      </c>
      <c r="W3" cm="1">
        <f t="array" ref="W3">_xlfn.PERCENTRANK.EXC(_xlfn._xlws.FILTER(S$3:S$15, ISNUMBER(S$3:S$15)),S3)*100</f>
        <v>7.1</v>
      </c>
      <c r="X3" cm="1">
        <f t="array" ref="X3">(1-_xlfn.PERCENTRANK.EXC(_xlfn._xlws.FILTER(G$3:G$15, ISNUMBER(G$3:G$15)),G3))*100</f>
        <v>7.1999999999999957</v>
      </c>
      <c r="Y3" cm="1">
        <f t="array" ref="Y3">(1-_xlfn.PERCENTRANK.EXC(_xlfn._xlws.FILTER(H$3:H$15, ISNUMBER(H$3:H$15)),H3))*100</f>
        <v>7.1999999999999957</v>
      </c>
      <c r="Z3" cm="1">
        <f t="array" ref="Z3">_xlfn.PERCENTRANK.EXC(_xlfn._xlws.FILTER(T$3:T$15, ISNUMBER(T$3:T$15)),T3)*100</f>
        <v>7.1</v>
      </c>
      <c r="AA3" cm="1">
        <f t="array" ref="AA3">_xlfn.PERCENTRANK.EXC(_xlfn._xlws.FILTER(P$3:P$15, ISNUMBER(P$3:P$15)),P3)*100</f>
        <v>92.800000000000011</v>
      </c>
      <c r="AB3">
        <f>U3*Assumption!$E$40 + V3*Assumption!$F$40 + X3*Assumption!$G$40 + Y3*Assumption!$H$40 + W3*Assumption!$I$40 +Z3* Assumption!$K$40 + AA3* Assumption!$J$40</f>
        <v>7.8649999999999975</v>
      </c>
      <c r="AC3" cm="1">
        <f t="array" ref="AC3">_xlfn.PERCENTRANK.EXC(_xlfn._xlws.FILTER(AB$3:AB$15, ISNUMBER(AB$3:AB$15)),AB3)*100</f>
        <v>7.1</v>
      </c>
    </row>
    <row r="4" spans="1:29" x14ac:dyDescent="0.35">
      <c r="A4" t="s">
        <v>44</v>
      </c>
      <c r="B4" t="s">
        <v>174</v>
      </c>
      <c r="C4" t="str" cm="1">
        <f t="array" ref="C4">_xll.FDS(A4,"FG_COMPANY_NAME")</f>
        <v>iShares MSCI Australia ETF</v>
      </c>
      <c r="D4" t="s">
        <v>44</v>
      </c>
      <c r="E4" t="s">
        <v>576</v>
      </c>
      <c r="F4" s="2" cm="1">
        <f t="array" ref="F4">_xll.FDS(D4,"JULIAN(FMA_DIV_YLD(NTMA,NOW,NOW,M,""PORTAGG"",""MEANR"").dates)")</f>
        <v>45531</v>
      </c>
      <c r="G4" s="4" cm="1">
        <f t="array" ref="G4">_xll.FDS(D4,"FMA_PE(LTM,0,,,""PORTAGG"",""MEANR"")")</f>
        <v>19.681265253435601</v>
      </c>
      <c r="H4" s="4" cm="1">
        <f t="array" ref="H4">_xll.FDS(D4,"FMA_PE(NTMA,0,,,""PORTAGG"",""MEANR"")")</f>
        <v>17.861463231591699</v>
      </c>
      <c r="I4" cm="1">
        <f t="array" ref="I4">_xll.FDS(D4,"FMA_DIV_YLD(NTMA,NOW,NOW,M,""PORTAGG"",""MEANR"")")</f>
        <v>3.7355902765315698</v>
      </c>
      <c r="J4" s="52" cm="1">
        <f t="array" ref="J4">IFERROR(_xll.FDS(D4,"FG_FCF_YIELD_NTM(0)"),(1/G4*100))</f>
        <v>4.7199886027398898</v>
      </c>
      <c r="K4" s="3" cm="1">
        <f t="array" ref="K4">_xll.FDS(D4,"FMA_EVAL_EBITDA(NTMA,0,,,""PORTAGG"",""MEANR"")")</f>
        <v>8.9759199716684694</v>
      </c>
      <c r="L4" cm="1">
        <f t="array" ref="L4">_xll.FDS(D4,"FMA_EVAL_EBIT(LTMA,NOW,NOW,M,""PORTAGG"",""MEANR"")")</f>
        <v>12.8579719360296</v>
      </c>
      <c r="M4">
        <f>HLOOKUP(D4,'Index ROE'!$A$1:$N$25,25,FALSE)</f>
        <v>13.226394097123199</v>
      </c>
      <c r="N4">
        <f>VLOOKUP(A4,'LIQIDITY 2'!$A$3:$E$16,5,FALSE)</f>
        <v>3.9540000000000002</v>
      </c>
      <c r="O4" cm="1">
        <f t="array" ref="O4">IFERROR(IFERROR(IFERROR(IFERROR(_xll.FDS(B4,"IMF_IFS_RCPI_Q(0)"),_xll.FDS(B4,"IMF_IFS_RCPI_Q(-1AM)")),_xll.FDS(B4,"IMF_IFS_RCPI_Q(-2AM)")),_xll.FDS(B4,"IMF_IFS_RCPI_Q(-3AM)")),$D$31)</f>
        <v>3.8145099999999998</v>
      </c>
      <c r="P4">
        <f>VLOOKUP(E4,GDP_GROWTH!$B$10:$W$165,22,FALSE)</f>
        <v>2.0879441195558623</v>
      </c>
      <c r="Q4">
        <f t="shared" si="0"/>
        <v>-0.21840972346843035</v>
      </c>
      <c r="R4" s="52">
        <f t="shared" si="1"/>
        <v>0.76598860273988967</v>
      </c>
      <c r="S4">
        <f t="shared" si="2"/>
        <v>9.2723940971231986</v>
      </c>
      <c r="T4">
        <f t="shared" si="3"/>
        <v>9.411884097123199</v>
      </c>
      <c r="U4" cm="1">
        <f t="array" ref="U4">_xlfn.PERCENTRANK.EXC(_xlfn._xlws.FILTER(Q$3:Q$15, ISNUMBER(Q$3:Q$15)),Q4)*100</f>
        <v>28.499999999999996</v>
      </c>
      <c r="V4" cm="1">
        <f t="array" ref="V4">_xlfn.PERCENTRANK.EXC(_xlfn._xlws.FILTER(R$3:R$15, ISNUMBER(R$3:R$15)),R4)*100</f>
        <v>28.499999999999996</v>
      </c>
      <c r="W4" cm="1">
        <f t="array" ref="W4">_xlfn.PERCENTRANK.EXC(_xlfn._xlws.FILTER(S$3:S$15, ISNUMBER(S$3:S$15)),S4)*100</f>
        <v>21.4</v>
      </c>
      <c r="X4" cm="1">
        <f t="array" ref="X4">(1-_xlfn.PERCENTRANK.EXC(_xlfn._xlws.FILTER(G$3:G$15, ISNUMBER(G$3:G$15)),G4))*100</f>
        <v>42.900000000000006</v>
      </c>
      <c r="Y4" cm="1">
        <f t="array" ref="Y4">(1-_xlfn.PERCENTRANK.EXC(_xlfn._xlws.FILTER(H$3:H$15, ISNUMBER(H$3:H$15)),H4))*100</f>
        <v>28.6</v>
      </c>
      <c r="Z4" cm="1">
        <f t="array" ref="Z4">_xlfn.PERCENTRANK.EXC(_xlfn._xlws.FILTER(T$3:T$15, ISNUMBER(T$3:T$15)),T4)*100</f>
        <v>21.4</v>
      </c>
      <c r="AA4" cm="1">
        <f t="array" ref="AA4">_xlfn.PERCENTRANK.EXC(_xlfn._xlws.FILTER(P$3:P$15, ISNUMBER(P$3:P$15)),P4)*100</f>
        <v>85.7</v>
      </c>
      <c r="AB4">
        <f>U4*Assumption!$E$40 + V4*Assumption!$F$40 + X4*Assumption!$G$40 + Y4*Assumption!$H$40 + W4*Assumption!$I$40 +Z4* Assumption!$K$40 + AA4* Assumption!$J$40</f>
        <v>30.704999999999998</v>
      </c>
      <c r="AC4" cm="1">
        <f t="array" ref="AC4">_xlfn.PERCENTRANK.EXC(_xlfn._xlws.FILTER(AB$3:AB$15, ISNUMBER(AB$3:AB$15)),AB4)*100</f>
        <v>21.4</v>
      </c>
    </row>
    <row r="5" spans="1:29" x14ac:dyDescent="0.35">
      <c r="A5" t="s">
        <v>49</v>
      </c>
      <c r="B5" t="s">
        <v>157</v>
      </c>
      <c r="C5" t="str" cm="1">
        <f t="array" ref="C5">_xll.FDS(A5,"FG_COMPANY_NAME")</f>
        <v>iShares MSCI Canada ETF</v>
      </c>
      <c r="D5" t="s">
        <v>49</v>
      </c>
      <c r="E5" t="s">
        <v>598</v>
      </c>
      <c r="F5" s="2" cm="1">
        <f t="array" ref="F5">_xll.FDS(D5,"JULIAN(FMA_DIV_YLD(NTMA,NOW,NOW,M,""PORTAGG"",""MEANR"").dates)")</f>
        <v>45531</v>
      </c>
      <c r="G5" s="4" cm="1">
        <f t="array" ref="G5">_xll.FDS(D5,"FMA_PE(LTM,0,,,""PORTAGG"",""MEANR"")")</f>
        <v>18.2823413248964</v>
      </c>
      <c r="H5" s="4" cm="1">
        <f t="array" ref="H5">_xll.FDS(D5,"FMA_PE(NTMA,0,,,""PORTAGG"",""MEANR"")")</f>
        <v>14.570886500393</v>
      </c>
      <c r="I5" cm="1">
        <f t="array" ref="I5">_xll.FDS(D5,"FMA_DIV_YLD(NTMA,NOW,NOW,M,""PORTAGG"",""MEANR"")")</f>
        <v>3.1503249920573499</v>
      </c>
      <c r="J5" s="52" cm="1">
        <f t="array" ref="J5">IFERROR(_xll.FDS(D5,"FG_FCF_YIELD_NTM(0)"),(1/G5*100))</f>
        <v>5.8095966300358599</v>
      </c>
      <c r="K5" s="3" cm="1">
        <f t="array" ref="K5">_xll.FDS(D5,"FMA_EVAL_EBITDA(NTMA,0,,,""PORTAGG"",""MEANR"")")</f>
        <v>9.7656978302317494</v>
      </c>
      <c r="L5" cm="1">
        <f t="array" ref="L5">_xll.FDS(D5,"FMA_EVAL_EBIT(LTMA,NOW,NOW,M,""PORTAGG"",""MEANR"")")</f>
        <v>16.1163345071399</v>
      </c>
      <c r="M5">
        <f>HLOOKUP(D5,'Index ROE'!$A$1:$N$25,25,FALSE)</f>
        <v>13.1491479008301</v>
      </c>
      <c r="N5">
        <f>VLOOKUP(A5,'LIQIDITY 2'!$A$3:$E$16,5,FALSE)</f>
        <v>3.1278999999999999</v>
      </c>
      <c r="O5" cm="1">
        <f t="array" ref="O5">IFERROR(IFERROR(IFERROR(IFERROR(_xll.FDS(B5,"IMF_IFS_RCPI_Q(0)"),_xll.FDS(B5,"IMF_IFS_RCPI_Q(-1AM)")),_xll.FDS(B5,"IMF_IFS_RCPI_Q(-2AM)")),_xll.FDS(B5,"IMF_IFS_RCPI_Q(-3AM)")),$D$31)</f>
        <v>2.7411842000000002</v>
      </c>
      <c r="P5">
        <f>VLOOKUP(E5,GDP_GROWTH!$B$10:$W$165,22,FALSE)</f>
        <v>1.4598842535213041</v>
      </c>
      <c r="Q5">
        <f t="shared" si="0"/>
        <v>2.2424992057350046E-2</v>
      </c>
      <c r="R5" s="52">
        <f t="shared" si="1"/>
        <v>2.68169663003586</v>
      </c>
      <c r="S5">
        <f t="shared" si="2"/>
        <v>10.021247900830099</v>
      </c>
      <c r="T5">
        <f t="shared" si="3"/>
        <v>10.407963700830098</v>
      </c>
      <c r="U5" cm="1">
        <f t="array" ref="U5">_xlfn.PERCENTRANK.EXC(_xlfn._xlws.FILTER(Q$3:Q$15, ISNUMBER(Q$3:Q$15)),Q5)*100</f>
        <v>42.8</v>
      </c>
      <c r="V5" cm="1">
        <f t="array" ref="V5">_xlfn.PERCENTRANK.EXC(_xlfn._xlws.FILTER(R$3:R$15, ISNUMBER(R$3:R$15)),R5)*100</f>
        <v>57.099999999999994</v>
      </c>
      <c r="W5" cm="1">
        <f t="array" ref="W5">_xlfn.PERCENTRANK.EXC(_xlfn._xlws.FILTER(S$3:S$15, ISNUMBER(S$3:S$15)),S5)*100</f>
        <v>42.8</v>
      </c>
      <c r="X5" cm="1">
        <f t="array" ref="X5">(1-_xlfn.PERCENTRANK.EXC(_xlfn._xlws.FILTER(G$3:G$15, ISNUMBER(G$3:G$15)),G5))*100</f>
        <v>50</v>
      </c>
      <c r="Y5" cm="1">
        <f t="array" ref="Y5">(1-_xlfn.PERCENTRANK.EXC(_xlfn._xlws.FILTER(H$3:H$15, ISNUMBER(H$3:H$15)),H5))*100</f>
        <v>57.2</v>
      </c>
      <c r="Z5" cm="1">
        <f t="array" ref="Z5">_xlfn.PERCENTRANK.EXC(_xlfn._xlws.FILTER(T$3:T$15, ISNUMBER(T$3:T$15)),T5)*100</f>
        <v>42.8</v>
      </c>
      <c r="AA5" cm="1">
        <f t="array" ref="AA5">_xlfn.PERCENTRANK.EXC(_xlfn._xlws.FILTER(P$3:P$15, ISNUMBER(P$3:P$15)),P5)*100</f>
        <v>42.8</v>
      </c>
      <c r="AB5">
        <f>U5*Assumption!$E$40 + V5*Assumption!$F$40 + X5*Assumption!$G$40 + Y5*Assumption!$H$40 + W5*Assumption!$I$40 +Z5* Assumption!$K$40 + AA5* Assumption!$J$40</f>
        <v>51.775000000000006</v>
      </c>
      <c r="AC5" cm="1">
        <f t="array" ref="AC5">_xlfn.PERCENTRANK.EXC(_xlfn._xlws.FILTER(AB$3:AB$15, ISNUMBER(AB$3:AB$15)),AB5)*100</f>
        <v>42.8</v>
      </c>
    </row>
    <row r="6" spans="1:29" x14ac:dyDescent="0.35">
      <c r="A6" t="s">
        <v>11</v>
      </c>
      <c r="B6" t="s">
        <v>555</v>
      </c>
      <c r="C6" t="str" cm="1">
        <f t="array" ref="C6">_xll.FDS(A6,"FG_COMPANY_NAME")</f>
        <v>iShares MSCI Germany ETF</v>
      </c>
      <c r="D6" t="s">
        <v>11</v>
      </c>
      <c r="E6" t="s">
        <v>625</v>
      </c>
      <c r="F6" s="2" cm="1">
        <f t="array" ref="F6">_xll.FDS(D6,"JULIAN(FMA_DIV_YLD(NTMA,NOW,NOW,M,""PORTAGG"",""MEANR"").dates)")</f>
        <v>45530</v>
      </c>
      <c r="G6" s="4" cm="1">
        <f t="array" ref="G6">_xll.FDS(D6,"FMA_PE(LTM,0,,,""PORTAGG"",""MEANR"")")</f>
        <v>15.399711734574501</v>
      </c>
      <c r="H6" s="4" cm="1">
        <f t="array" ref="H6">_xll.FDS(D6,"FMA_PE(NTMA,0,,,""PORTAGG"",""MEANR"")")</f>
        <v>11.9030285004895</v>
      </c>
      <c r="I6" cm="1">
        <f t="array" ref="I6">_xll.FDS(D6,"FMA_DIV_YLD(NTMA,NOW,NOW,M,""PORTAGG"",""MEANR"")")</f>
        <v>3.37341654193881</v>
      </c>
      <c r="J6" s="52" cm="1">
        <f t="array" ref="J6">IFERROR(_xll.FDS(D6,"FG_FCF_YIELD_NTM(0)"),(1/G6*100))</f>
        <v>5.8200433711277304</v>
      </c>
      <c r="K6" s="3" cm="1">
        <f t="array" ref="K6">_xll.FDS(D6,"FMA_EVAL_EBITDA(NTMA,0,,,""PORTAGG"",""MEANR"")")</f>
        <v>8.5195459681922703</v>
      </c>
      <c r="L6" cm="1">
        <f t="array" ref="L6">_xll.FDS(D6,"FMA_EVAL_EBIT(LTMA,NOW,NOW,M,""PORTAGG"",""MEANR"")")</f>
        <v>13.709384251534001</v>
      </c>
      <c r="M6">
        <f>HLOOKUP(D6,'Index ROE'!$A$1:$N$25,25,FALSE)</f>
        <v>11.93889064433</v>
      </c>
      <c r="N6">
        <f>VLOOKUP(A6,'LIQIDITY 2'!$A$3:$E$16,5,FALSE)</f>
        <v>2.262</v>
      </c>
      <c r="O6" cm="1">
        <f t="array" ref="O6">IFERROR(IFERROR(IFERROR(IFERROR(_xll.FDS(B6,"IMF_IFS_RCPI_Q(0)"),_xll.FDS(B6,"IMF_IFS_RCPI_Q(-1AM)")),_xll.FDS(B6,"IMF_IFS_RCPI_Q(-2AM)")),_xll.FDS(B6,"IMF_IFS_RCPI_Q(-3AM)")),$D$31)</f>
        <v>2.2863680999999998</v>
      </c>
      <c r="P6">
        <f>VLOOKUP(E6,GDP_GROWTH!$B$10:$W$165,22,FALSE)</f>
        <v>0.863192929992318</v>
      </c>
      <c r="Q6">
        <f t="shared" si="0"/>
        <v>1.11141654193881</v>
      </c>
      <c r="R6" s="52">
        <f t="shared" si="1"/>
        <v>3.5580433711277304</v>
      </c>
      <c r="S6">
        <f t="shared" si="2"/>
        <v>9.6768906443299993</v>
      </c>
      <c r="T6">
        <f t="shared" si="3"/>
        <v>9.6525225443300009</v>
      </c>
      <c r="U6" cm="1">
        <f t="array" ref="U6">_xlfn.PERCENTRANK.EXC(_xlfn._xlws.FILTER(Q$3:Q$15, ISNUMBER(Q$3:Q$15)),Q6)*100</f>
        <v>64.2</v>
      </c>
      <c r="V6" cm="1">
        <f t="array" ref="V6">_xlfn.PERCENTRANK.EXC(_xlfn._xlws.FILTER(R$3:R$15, ISNUMBER(R$3:R$15)),R6)*100</f>
        <v>85.7</v>
      </c>
      <c r="W6" cm="1">
        <f t="array" ref="W6">_xlfn.PERCENTRANK.EXC(_xlfn._xlws.FILTER(S$3:S$15, ISNUMBER(S$3:S$15)),S6)*100</f>
        <v>28.499999999999996</v>
      </c>
      <c r="X6" cm="1">
        <f t="array" ref="X6">(1-_xlfn.PERCENTRANK.EXC(_xlfn._xlws.FILTER(G$3:G$15, ISNUMBER(G$3:G$15)),G6))*100</f>
        <v>71.500000000000014</v>
      </c>
      <c r="Y6" cm="1">
        <f t="array" ref="Y6">(1-_xlfn.PERCENTRANK.EXC(_xlfn._xlws.FILTER(H$3:H$15, ISNUMBER(H$3:H$15)),H6))*100</f>
        <v>78.600000000000009</v>
      </c>
      <c r="Z6" cm="1">
        <f t="array" ref="Z6">_xlfn.PERCENTRANK.EXC(_xlfn._xlws.FILTER(T$3:T$15, ISNUMBER(T$3:T$15)),T6)*100</f>
        <v>28.499999999999996</v>
      </c>
      <c r="AA6" cm="1">
        <f t="array" ref="AA6">_xlfn.PERCENTRANK.EXC(_xlfn._xlws.FILTER(P$3:P$15, ISNUMBER(P$3:P$15)),P6)*100</f>
        <v>21.4</v>
      </c>
      <c r="AB6">
        <f>U6*Assumption!$E$40 + V6*Assumption!$F$40 + X6*Assumption!$G$40 + Y6*Assumption!$H$40 + W6*Assumption!$I$40 +Z6* Assumption!$K$40 + AA6* Assumption!$J$40</f>
        <v>67.86</v>
      </c>
      <c r="AC6" cm="1">
        <f t="array" ref="AC6">_xlfn.PERCENTRANK.EXC(_xlfn._xlws.FILTER(AB$3:AB$15, ISNUMBER(AB$3:AB$15)),AB6)*100</f>
        <v>78.5</v>
      </c>
    </row>
    <row r="7" spans="1:29" x14ac:dyDescent="0.35">
      <c r="A7" t="s">
        <v>46</v>
      </c>
      <c r="B7" t="s">
        <v>164</v>
      </c>
      <c r="C7" t="str" cm="1">
        <f t="array" ref="C7">_xll.FDS(A7,"FG_COMPANY_NAME")</f>
        <v>iShares MSCI Japan ETF</v>
      </c>
      <c r="D7" t="s">
        <v>46</v>
      </c>
      <c r="E7" t="s">
        <v>643</v>
      </c>
      <c r="F7" s="2" cm="1">
        <f t="array" ref="F7">_xll.FDS(D7,"JULIAN(FMA_DIV_YLD(NTMA,NOW,NOW,M,""PORTAGG"",""MEANR"").dates)")</f>
        <v>45530</v>
      </c>
      <c r="G7" s="4" cm="1">
        <f t="array" ref="G7">_xll.FDS(D7,"FMA_PE(LTM,0,,,""PORTAGG"",""MEANR"")")</f>
        <v>17.577348334306901</v>
      </c>
      <c r="H7" s="4" cm="1">
        <f t="array" ref="H7">_xll.FDS(D7,"FMA_PE(NTMA,0,,,""PORTAGG"",""MEANR"")")</f>
        <v>14.315101215557201</v>
      </c>
      <c r="I7" cm="1">
        <f t="array" ref="I7">_xll.FDS(D7,"FMA_DIV_YLD(NTMA,NOW,NOW,M,""PORTAGG"",""MEANR"")")</f>
        <v>2.40927940416505</v>
      </c>
      <c r="J7" s="52" cm="1">
        <f t="array" ref="J7">IFERROR(_xll.FDS(D7,"FG_FCF_YIELD_NTM(0)"),(1/G7*100))</f>
        <v>4.0628548098659101</v>
      </c>
      <c r="K7" s="3" cm="1">
        <f t="array" ref="K7">_xll.FDS(D7,"FMA_EVAL_EBITDA(NTMA,0,,,""PORTAGG"",""MEANR"")")</f>
        <v>9.9490426215555807</v>
      </c>
      <c r="L7" cm="1">
        <f t="array" ref="L7">_xll.FDS(D7,"FMA_EVAL_EBIT(LTMA,NOW,NOW,M,""PORTAGG"",""MEANR"")")</f>
        <v>17.181160013102101</v>
      </c>
      <c r="M7">
        <f>HLOOKUP(D7,'Index ROE'!$A$1:$N$25,25,FALSE)</f>
        <v>9.2997687113842105</v>
      </c>
      <c r="N7">
        <f>VLOOKUP(A7,'LIQIDITY 2'!$A$3:$E$16,5,FALSE)</f>
        <v>0.89300000000000002</v>
      </c>
      <c r="O7" cm="1">
        <f t="array" ref="O7">IFERROR(IFERROR(IFERROR(IFERROR(_xll.FDS(B7,"IMF_IFS_RCPI_Q(0)"),_xll.FDS(B7,"IMF_IFS_RCPI_Q(-1AM)")),_xll.FDS(B7,"IMF_IFS_RCPI_Q(-2AM)")),_xll.FDS(B7,"IMF_IFS_RCPI_Q(-3AM)")),$D$31)</f>
        <v>2.7266946000000001</v>
      </c>
      <c r="P7">
        <f>VLOOKUP(E7,GDP_GROWTH!$B$10:$W$165,22,FALSE)</f>
        <v>0.31456851442112077</v>
      </c>
      <c r="Q7">
        <f t="shared" si="0"/>
        <v>1.51627940416505</v>
      </c>
      <c r="R7" s="52">
        <f t="shared" si="1"/>
        <v>3.1698548098659103</v>
      </c>
      <c r="S7">
        <f t="shared" si="2"/>
        <v>8.4067687113842098</v>
      </c>
      <c r="T7">
        <f t="shared" si="3"/>
        <v>6.5730741113842104</v>
      </c>
      <c r="U7" cm="1">
        <f t="array" ref="U7">_xlfn.PERCENTRANK.EXC(_xlfn._xlws.FILTER(Q$3:Q$15, ISNUMBER(Q$3:Q$15)),Q7)*100</f>
        <v>78.5</v>
      </c>
      <c r="V7" cm="1">
        <f t="array" ref="V7">_xlfn.PERCENTRANK.EXC(_xlfn._xlws.FILTER(R$3:R$15, ISNUMBER(R$3:R$15)),R7)*100</f>
        <v>78.5</v>
      </c>
      <c r="W7" cm="1">
        <f t="array" ref="W7">_xlfn.PERCENTRANK.EXC(_xlfn._xlws.FILTER(S$3:S$15, ISNUMBER(S$3:S$15)),S7)*100</f>
        <v>14.2</v>
      </c>
      <c r="X7" cm="1">
        <f t="array" ref="X7">(1-_xlfn.PERCENTRANK.EXC(_xlfn._xlws.FILTER(G$3:G$15, ISNUMBER(G$3:G$15)),G7))*100</f>
        <v>57.2</v>
      </c>
      <c r="Y7" cm="1">
        <f t="array" ref="Y7">(1-_xlfn.PERCENTRANK.EXC(_xlfn._xlws.FILTER(H$3:H$15, ISNUMBER(H$3:H$15)),H7))*100</f>
        <v>64.3</v>
      </c>
      <c r="Z7" cm="1">
        <f t="array" ref="Z7">_xlfn.PERCENTRANK.EXC(_xlfn._xlws.FILTER(T$3:T$15, ISNUMBER(T$3:T$15)),T7)*100</f>
        <v>14.2</v>
      </c>
      <c r="AA7" cm="1">
        <f t="array" ref="AA7">_xlfn.PERCENTRANK.EXC(_xlfn._xlws.FILTER(P$3:P$15, ISNUMBER(P$3:P$15)),P7)*100</f>
        <v>7.1</v>
      </c>
      <c r="AB7">
        <f>U7*Assumption!$E$40 + V7*Assumption!$F$40 + X7*Assumption!$G$40 + Y7*Assumption!$H$40 + W7*Assumption!$I$40 +Z7* Assumption!$K$40 + AA7* Assumption!$J$40</f>
        <v>56.765000000000001</v>
      </c>
      <c r="AC7" cm="1">
        <f t="array" ref="AC7">_xlfn.PERCENTRANK.EXC(_xlfn._xlws.FILTER(AB$3:AB$15, ISNUMBER(AB$3:AB$15)),AB7)*100</f>
        <v>50</v>
      </c>
    </row>
    <row r="8" spans="1:29" x14ac:dyDescent="0.35">
      <c r="A8" t="s">
        <v>42</v>
      </c>
      <c r="B8" t="s">
        <v>276</v>
      </c>
      <c r="C8" t="str" cm="1">
        <f t="array" ref="C8">_xll.FDS(A8,"FG_COMPANY_NAME")</f>
        <v>iShares MSCI Switzerland ETF</v>
      </c>
      <c r="D8" t="s">
        <v>42</v>
      </c>
      <c r="E8" t="s">
        <v>706</v>
      </c>
      <c r="F8" s="2" cm="1">
        <f t="array" ref="F8">_xll.FDS(D8,"JULIAN(FMA_DIV_YLD(NTMA,NOW,NOW,M,""PORTAGG"",""MEANR"").dates)")</f>
        <v>45530</v>
      </c>
      <c r="G8" s="4" cm="1">
        <f t="array" ref="G8">_xll.FDS(D8,"FMA_PE(LTM,0,,,""PORTAGG"",""MEANR"")")</f>
        <v>22.247598665287999</v>
      </c>
      <c r="H8" s="4" cm="1">
        <f t="array" ref="H8">_xll.FDS(D8,"FMA_PE(NTMA,0,,,""PORTAGG"",""MEANR"")")</f>
        <v>17.6222898973855</v>
      </c>
      <c r="I8" cm="1">
        <f t="array" ref="I8">_xll.FDS(D8,"FMA_DIV_YLD(NTMA,NOW,NOW,M,""PORTAGG"",""MEANR"")")</f>
        <v>3.09344087867985</v>
      </c>
      <c r="J8" s="52" cm="1">
        <f t="array" ref="J8">IFERROR(_xll.FDS(D8,"FG_FCF_YIELD_NTM(0)"),(1/G8*100))</f>
        <v>4.6703459740049498</v>
      </c>
      <c r="K8" s="3" cm="1">
        <f t="array" ref="K8">_xll.FDS(D8,"FMA_EVAL_EBITDA(NTMA,0,,,""PORTAGG"",""MEANR"")")</f>
        <v>13.3796704428194</v>
      </c>
      <c r="L8" cm="1">
        <f t="array" ref="L8">_xll.FDS(D8,"FMA_EVAL_EBIT(LTMA,NOW,NOW,M,""PORTAGG"",""MEANR"")")</f>
        <v>16.974113890361298</v>
      </c>
      <c r="M8">
        <f>HLOOKUP(D8,'Index ROE'!$A$1:$N$25,25,FALSE)</f>
        <v>19.302463641340701</v>
      </c>
      <c r="N8">
        <f>VLOOKUP(A8,'LIQIDITY 2'!$A$3:$E$16,5,FALSE)</f>
        <v>0.432</v>
      </c>
      <c r="O8" cm="1">
        <f t="array" ref="O8">IFERROR(IFERROR(IFERROR(IFERROR(_xll.FDS(B8,"IMF_IFS_RCPI_Q(0)"),_xll.FDS(B8,"IMF_IFS_RCPI_Q(-1AM)")),_xll.FDS(B8,"IMF_IFS_RCPI_Q(-2AM)")),_xll.FDS(B8,"IMF_IFS_RCPI_Q(-3AM)")),$D$31)</f>
        <v>1.3619825999999999</v>
      </c>
      <c r="P8">
        <f>VLOOKUP(E8,GDP_GROWTH!$B$10:$W$165,22,FALSE)</f>
        <v>2.077185911672963</v>
      </c>
      <c r="Q8">
        <f t="shared" si="0"/>
        <v>2.66144087867985</v>
      </c>
      <c r="R8" s="52">
        <f t="shared" si="1"/>
        <v>4.2383459740049494</v>
      </c>
      <c r="S8">
        <f t="shared" si="2"/>
        <v>18.870463641340702</v>
      </c>
      <c r="T8">
        <f t="shared" si="3"/>
        <v>17.9404810413407</v>
      </c>
      <c r="U8" cm="1">
        <f t="array" ref="U8">_xlfn.PERCENTRANK.EXC(_xlfn._xlws.FILTER(Q$3:Q$15, ISNUMBER(Q$3:Q$15)),Q8)*100</f>
        <v>92.800000000000011</v>
      </c>
      <c r="V8" cm="1">
        <f t="array" ref="V8">_xlfn.PERCENTRANK.EXC(_xlfn._xlws.FILTER(R$3:R$15, ISNUMBER(R$3:R$15)),R8)*100</f>
        <v>92.800000000000011</v>
      </c>
      <c r="W8" cm="1">
        <f t="array" ref="W8">_xlfn.PERCENTRANK.EXC(_xlfn._xlws.FILTER(S$3:S$15, ISNUMBER(S$3:S$15)),S8)*100</f>
        <v>85.7</v>
      </c>
      <c r="X8" cm="1">
        <f t="array" ref="X8">(1-_xlfn.PERCENTRANK.EXC(_xlfn._xlws.FILTER(G$3:G$15, ISNUMBER(G$3:G$15)),G8))*100</f>
        <v>28.6</v>
      </c>
      <c r="Y8" cm="1">
        <f t="array" ref="Y8">(1-_xlfn.PERCENTRANK.EXC(_xlfn._xlws.FILTER(H$3:H$15, ISNUMBER(H$3:H$15)),H8))*100</f>
        <v>35.799999999999997</v>
      </c>
      <c r="Z8" cm="1">
        <f t="array" ref="Z8">_xlfn.PERCENTRANK.EXC(_xlfn._xlws.FILTER(T$3:T$15, ISNUMBER(T$3:T$15)),T8)*100</f>
        <v>85.7</v>
      </c>
      <c r="AA8" cm="1">
        <f t="array" ref="AA8">_xlfn.PERCENTRANK.EXC(_xlfn._xlws.FILTER(P$3:P$15, ISNUMBER(P$3:P$15)),P8)*100</f>
        <v>64.2</v>
      </c>
      <c r="AB8">
        <f>U8*Assumption!$E$40 + V8*Assumption!$F$40 + X8*Assumption!$G$40 + Y8*Assumption!$H$40 + W8*Assumption!$I$40 +Z8* Assumption!$K$40 + AA8* Assumption!$J$40</f>
        <v>61.08</v>
      </c>
      <c r="AC8" cm="1">
        <f t="array" ref="AC8">_xlfn.PERCENTRANK.EXC(_xlfn._xlws.FILTER(AB$3:AB$15, ISNUMBER(AB$3:AB$15)),AB8)*100</f>
        <v>57.099999999999994</v>
      </c>
    </row>
    <row r="9" spans="1:29" x14ac:dyDescent="0.35">
      <c r="A9" t="s">
        <v>48</v>
      </c>
      <c r="B9" t="s">
        <v>167</v>
      </c>
      <c r="C9" t="str" cm="1">
        <f t="array" ref="C9">_xll.FDS(A9,"FG_COMPANY_NAME")</f>
        <v>iShares MSCI United Kingdom ETF</v>
      </c>
      <c r="D9" t="s">
        <v>48</v>
      </c>
      <c r="E9" t="s">
        <v>719</v>
      </c>
      <c r="F9" s="2" cm="1">
        <f t="array" ref="F9">_xll.FDS(D9,"JULIAN(FMA_DIV_YLD(NTMA,NOW,NOW,M,""PORTAGG"",""MEANR"").dates)")</f>
        <v>45530</v>
      </c>
      <c r="G9" s="4" cm="1">
        <f t="array" ref="G9">_xll.FDS(D9,"FMA_PE(LTM,0,,,""PORTAGG"",""MEANR"")")</f>
        <v>14.376279892825499</v>
      </c>
      <c r="H9" s="4" cm="1">
        <f t="array" ref="H9">_xll.FDS(D9,"FMA_PE(NTMA,0,,,""PORTAGG"",""MEANR"")")</f>
        <v>11.7138707440388</v>
      </c>
      <c r="I9" cm="1">
        <f t="array" ref="I9">_xll.FDS(D9,"FMA_DIV_YLD(NTMA,NOW,NOW,M,""PORTAGG"",""MEANR"")")</f>
        <v>3.8266438235016098</v>
      </c>
      <c r="J9" s="52" cm="1">
        <f t="array" ref="J9">IFERROR(_xll.FDS(D9,"FG_FCF_YIELD_NTM(0)"),(1/G9*100))</f>
        <v>6.2663039186943497</v>
      </c>
      <c r="K9" s="3" cm="1">
        <f t="array" ref="K9">_xll.FDS(D9,"FMA_EVAL_EBITDA(NTMA,0,,,""PORTAGG"",""MEANR"")")</f>
        <v>7.6383021427879703</v>
      </c>
      <c r="L9" cm="1">
        <f t="array" ref="L9">_xll.FDS(D9,"FMA_EVAL_EBIT(LTMA,NOW,NOW,M,""PORTAGG"",""MEANR"")")</f>
        <v>10.840410432289699</v>
      </c>
      <c r="M9">
        <f>HLOOKUP(D9,'Index ROE'!$A$1:$N$25,25,FALSE)</f>
        <v>14.7207876109821</v>
      </c>
      <c r="N9">
        <f>VLOOKUP(A9,'LIQIDITY 2'!$A$3:$E$16,5,FALSE)</f>
        <v>3.988</v>
      </c>
      <c r="O9" cm="1">
        <f t="array" ref="O9">IFERROR(IFERROR(IFERROR(IFERROR(_xll.FDS(B9,"IMF_IFS_RCPI_Q(0)"),_xll.FDS(B9,"IMF_IFS_RCPI_Q(-1AM)")),_xll.FDS(B9,"IMF_IFS_RCPI_Q(-2AM)")),_xll.FDS(B9,"IMF_IFS_RCPI_Q(-3AM)")),$D$31)</f>
        <v>2.8697004000000002</v>
      </c>
      <c r="P9">
        <f>VLOOKUP(E9,GDP_GROWTH!$B$10:$W$165,22,FALSE)</f>
        <v>1.0976426250664972</v>
      </c>
      <c r="Q9">
        <f t="shared" si="0"/>
        <v>-0.16135617649839018</v>
      </c>
      <c r="R9" s="52">
        <f t="shared" si="1"/>
        <v>2.2783039186943497</v>
      </c>
      <c r="S9">
        <f t="shared" si="2"/>
        <v>10.732787610982101</v>
      </c>
      <c r="T9">
        <f t="shared" si="3"/>
        <v>11.851087210982101</v>
      </c>
      <c r="U9" cm="1">
        <f t="array" ref="U9">_xlfn.PERCENTRANK.EXC(_xlfn._xlws.FILTER(Q$3:Q$15, ISNUMBER(Q$3:Q$15)),Q9)*100</f>
        <v>35.699999999999996</v>
      </c>
      <c r="V9" cm="1">
        <f t="array" ref="V9">_xlfn.PERCENTRANK.EXC(_xlfn._xlws.FILTER(R$3:R$15, ISNUMBER(R$3:R$15)),R9)*100</f>
        <v>50</v>
      </c>
      <c r="W9" cm="1">
        <f t="array" ref="W9">_xlfn.PERCENTRANK.EXC(_xlfn._xlws.FILTER(S$3:S$15, ISNUMBER(S$3:S$15)),S9)*100</f>
        <v>64.2</v>
      </c>
      <c r="X9" cm="1">
        <f t="array" ref="X9">(1-_xlfn.PERCENTRANK.EXC(_xlfn._xlws.FILTER(G$3:G$15, ISNUMBER(G$3:G$15)),G9))*100</f>
        <v>85.8</v>
      </c>
      <c r="Y9" cm="1">
        <f t="array" ref="Y9">(1-_xlfn.PERCENTRANK.EXC(_xlfn._xlws.FILTER(H$3:H$15, ISNUMBER(H$3:H$15)),H9))*100</f>
        <v>85.8</v>
      </c>
      <c r="Z9" cm="1">
        <f t="array" ref="Z9">_xlfn.PERCENTRANK.EXC(_xlfn._xlws.FILTER(T$3:T$15, ISNUMBER(T$3:T$15)),T9)*100</f>
        <v>57.099999999999994</v>
      </c>
      <c r="AA9" cm="1">
        <f t="array" ref="AA9">_xlfn.PERCENTRANK.EXC(_xlfn._xlws.FILTER(P$3:P$15, ISNUMBER(P$3:P$15)),P9)*100</f>
        <v>35.699999999999996</v>
      </c>
      <c r="AB9">
        <f>U9*Assumption!$E$40 + V9*Assumption!$F$40 + X9*Assumption!$G$40 + Y9*Assumption!$H$40 + W9*Assumption!$I$40 +Z9* Assumption!$K$40 + AA9* Assumption!$J$40</f>
        <v>69.314999999999998</v>
      </c>
      <c r="AC9" cm="1">
        <f t="array" ref="AC9">_xlfn.PERCENTRANK.EXC(_xlfn._xlws.FILTER(AB$3:AB$15, ISNUMBER(AB$3:AB$15)),AB9)*100</f>
        <v>85.7</v>
      </c>
    </row>
    <row r="10" spans="1:29" x14ac:dyDescent="0.35">
      <c r="A10" t="s">
        <v>51</v>
      </c>
      <c r="B10" t="s">
        <v>170</v>
      </c>
      <c r="C10" t="str" cm="1">
        <f t="array" ref="C10">_xll.FDS(A10,"FG_COMPANY_NAME")</f>
        <v>Invesco QQQ Trust Series I</v>
      </c>
      <c r="D10" t="s">
        <v>51</v>
      </c>
      <c r="E10" t="s">
        <v>720</v>
      </c>
      <c r="F10" s="2" cm="1">
        <f t="array" ref="F10">_xll.FDS(D10,"JULIAN(FMA_DIV_YLD(NTMA,NOW,NOW,M,""PORTAGG"",""MEANR"").dates)")</f>
        <v>45532</v>
      </c>
      <c r="G10" s="4" cm="1">
        <f t="array" ref="G10">_xll.FDS(D10,"FMA_PE(LTM,0,,,""PORTAGG"",""MEANR"")")</f>
        <v>34.661422747100502</v>
      </c>
      <c r="H10" s="4" cm="1">
        <f t="array" ref="H10">_xll.FDS(D10,"FMA_PE(NTMA,0,,,""PORTAGG"",""MEANR"")")</f>
        <v>26.042199947510401</v>
      </c>
      <c r="I10" cm="1">
        <f t="array" ref="I10">_xll.FDS(D10,"FMA_DIV_YLD(NTMA,NOW,NOW,M,""PORTAGG"",""MEANR"")")</f>
        <v>0.84445278749859198</v>
      </c>
      <c r="J10" s="52" cm="1">
        <f t="array" ref="J10">IFERROR(_xll.FDS(D10,"FG_FCF_YIELD_NTM(0)"),(1/G10*100))</f>
        <v>3.6069341035433302</v>
      </c>
      <c r="K10" s="3" cm="1">
        <f t="array" ref="K10">_xll.FDS(D10,"FMA_EVAL_EBITDA(NTMA,0,,,""PORTAGG"",""MEANR"")")</f>
        <v>16.279633503088402</v>
      </c>
      <c r="L10" cm="1">
        <f t="array" ref="L10">_xll.FDS(D10,"FMA_EVAL_EBIT(LTMA,NOW,NOW,M,""PORTAGG"",""MEANR"")")</f>
        <v>24.7144027004367</v>
      </c>
      <c r="M10">
        <f>HLOOKUP(D10,'Index ROE'!$A$1:$N$25,25,FALSE)</f>
        <v>25.304063208905301</v>
      </c>
      <c r="N10">
        <f>VLOOKUP(A10,'LIQIDITY 2'!$A$3:$E$16,5,FALSE)</f>
        <v>3.8681999999999999</v>
      </c>
      <c r="O10" cm="1">
        <f t="array" ref="O10">IFERROR(IFERROR(IFERROR(IFERROR(_xll.FDS(B10,"IMF_IFS_RCPI_Q(0)"),_xll.FDS(B10,"IMF_IFS_RCPI_Q(-1AM)")),_xll.FDS(B10,"IMF_IFS_RCPI_Q(-2AM)")),_xll.FDS(B10,"IMF_IFS_RCPI_Q(-3AM)")),$D$31)</f>
        <v>3.19889</v>
      </c>
      <c r="P10">
        <f>VLOOKUP(E10,GDP_GROWTH!$B$10:$W$165,22,FALSE)</f>
        <v>2.0868572594445189</v>
      </c>
      <c r="Q10">
        <f t="shared" si="0"/>
        <v>-3.0237472125014078</v>
      </c>
      <c r="R10" s="52">
        <f t="shared" si="1"/>
        <v>-0.26126589645666964</v>
      </c>
      <c r="S10">
        <f t="shared" si="2"/>
        <v>21.435863208905303</v>
      </c>
      <c r="T10">
        <f t="shared" si="3"/>
        <v>22.105173208905303</v>
      </c>
      <c r="U10" cm="1">
        <f t="array" ref="U10">_xlfn.PERCENTRANK.EXC(_xlfn._xlws.FILTER(Q$3:Q$15, ISNUMBER(Q$3:Q$15)),Q10)*100</f>
        <v>7.1</v>
      </c>
      <c r="V10" cm="1">
        <f t="array" ref="V10">_xlfn.PERCENTRANK.EXC(_xlfn._xlws.FILTER(R$3:R$15, ISNUMBER(R$3:R$15)),R10)*100</f>
        <v>14.2</v>
      </c>
      <c r="W10" cm="1">
        <f t="array" ref="W10">_xlfn.PERCENTRANK.EXC(_xlfn._xlws.FILTER(S$3:S$15, ISNUMBER(S$3:S$15)),S10)*100</f>
        <v>92.800000000000011</v>
      </c>
      <c r="X10" cm="1">
        <f t="array" ref="X10">(1-_xlfn.PERCENTRANK.EXC(_xlfn._xlws.FILTER(G$3:G$15, ISNUMBER(G$3:G$15)),G10))*100</f>
        <v>14.3</v>
      </c>
      <c r="Y10" cm="1">
        <f t="array" ref="Y10">(1-_xlfn.PERCENTRANK.EXC(_xlfn._xlws.FILTER(H$3:H$15, ISNUMBER(H$3:H$15)),H10))*100</f>
        <v>14.3</v>
      </c>
      <c r="Z10" cm="1">
        <f t="array" ref="Z10">_xlfn.PERCENTRANK.EXC(_xlfn._xlws.FILTER(T$3:T$15, ISNUMBER(T$3:T$15)),T10)*100</f>
        <v>92.800000000000011</v>
      </c>
      <c r="AA10" cm="1">
        <f t="array" ref="AA10">_xlfn.PERCENTRANK.EXC(_xlfn._xlws.FILTER(P$3:P$15, ISNUMBER(P$3:P$15)),P10)*100</f>
        <v>71.399999999999991</v>
      </c>
      <c r="AB10">
        <f>U10*Assumption!$E$40 + V10*Assumption!$F$40 + X10*Assumption!$G$40 + Y10*Assumption!$H$40 + W10*Assumption!$I$40 +Z10* Assumption!$K$40 + AA10* Assumption!$J$40</f>
        <v>29.615000000000002</v>
      </c>
      <c r="AC10" cm="1">
        <f t="array" ref="AC10">_xlfn.PERCENTRANK.EXC(_xlfn._xlws.FILTER(AB$3:AB$15, ISNUMBER(AB$3:AB$15)),AB10)*100</f>
        <v>14.2</v>
      </c>
    </row>
    <row r="11" spans="1:29" x14ac:dyDescent="0.35">
      <c r="A11" t="s">
        <v>1</v>
      </c>
      <c r="B11" t="s">
        <v>170</v>
      </c>
      <c r="C11" t="str" cm="1">
        <f t="array" ref="C11">_xll.FDS(A11,"FG_COMPANY_NAME")</f>
        <v>SPDR S&amp;P 500 ETF Trust</v>
      </c>
      <c r="D11" t="s">
        <v>1</v>
      </c>
      <c r="E11" t="s">
        <v>720</v>
      </c>
      <c r="F11" s="2" cm="1">
        <f t="array" ref="F11">_xll.FDS(D11,"JULIAN(FMA_DIV_YLD(NTMA,NOW,NOW,M,""PORTAGG"",""MEANR"").dates)")</f>
        <v>45531</v>
      </c>
      <c r="G11" s="4" cm="1">
        <f t="array" ref="G11">_xll.FDS(D11,"FMA_PE(LTM,0,,,""PORTAGG"",""MEANR"")")</f>
        <v>26.096128470794799</v>
      </c>
      <c r="H11" s="4" cm="1">
        <f t="array" ref="H11">_xll.FDS(D11,"FMA_PE(NTMA,0,,,""PORTAGG"",""MEANR"")")</f>
        <v>21.2102191675657</v>
      </c>
      <c r="I11" cm="1">
        <f t="array" ref="I11">_xll.FDS(D11,"FMA_DIV_YLD(NTMA,NOW,NOW,M,""PORTAGG"",""MEANR"")")</f>
        <v>1.3748632244201899</v>
      </c>
      <c r="J11" s="52" cm="1">
        <f t="array" ref="J11">IFERROR(_xll.FDS(D11,"FG_FCF_YIELD_NTM(0)"),(1/G11*100))</f>
        <v>4.09325339695339</v>
      </c>
      <c r="K11" s="3" cm="1">
        <f t="array" ref="K11">_xll.FDS(D11,"FMA_EVAL_EBITDA(NTMA,0,,,""PORTAGG"",""MEANR"")")</f>
        <v>14.460169873561</v>
      </c>
      <c r="L11" cm="1">
        <f t="array" ref="L11">_xll.FDS(D11,"FMA_EVAL_EBIT(LTMA,NOW,NOW,M,""PORTAGG"",""MEANR"")")</f>
        <v>20.9862401211732</v>
      </c>
      <c r="M11">
        <f>HLOOKUP(D11,'Index ROE'!$A$1:$N$25,25,FALSE)</f>
        <v>20.344034080875101</v>
      </c>
      <c r="N11">
        <f>VLOOKUP(A11,'LIQIDITY 2'!$A$3:$E$16,5,FALSE)</f>
        <v>3.8681999999999999</v>
      </c>
      <c r="O11" cm="1">
        <f t="array" ref="O11">IFERROR(IFERROR(IFERROR(IFERROR(_xll.FDS(B11,"IMF_IFS_RCPI_Q(0)"),_xll.FDS(B11,"IMF_IFS_RCPI_Q(-1AM)")),_xll.FDS(B11,"IMF_IFS_RCPI_Q(-2AM)")),_xll.FDS(B11,"IMF_IFS_RCPI_Q(-3AM)")),$D$31)</f>
        <v>3.19889</v>
      </c>
      <c r="P11">
        <f>VLOOKUP(E11,GDP_GROWTH!$B$10:$W$165,22,FALSE)</f>
        <v>2.0868572594445189</v>
      </c>
      <c r="Q11">
        <f t="shared" si="0"/>
        <v>-2.4933367755798099</v>
      </c>
      <c r="R11" s="52">
        <f t="shared" si="1"/>
        <v>0.22505339695339011</v>
      </c>
      <c r="S11">
        <f t="shared" si="2"/>
        <v>16.475834080875103</v>
      </c>
      <c r="T11">
        <f t="shared" si="3"/>
        <v>17.145144080875102</v>
      </c>
      <c r="U11" cm="1">
        <f t="array" ref="U11">_xlfn.PERCENTRANK.EXC(_xlfn._xlws.FILTER(Q$3:Q$15, ISNUMBER(Q$3:Q$15)),Q11)*100</f>
        <v>14.2</v>
      </c>
      <c r="V11" cm="1">
        <f t="array" ref="V11">_xlfn.PERCENTRANK.EXC(_xlfn._xlws.FILTER(R$3:R$15, ISNUMBER(R$3:R$15)),R11)*100</f>
        <v>21.4</v>
      </c>
      <c r="W11" cm="1">
        <f t="array" ref="W11">_xlfn.PERCENTRANK.EXC(_xlfn._xlws.FILTER(S$3:S$15, ISNUMBER(S$3:S$15)),S11)*100</f>
        <v>78.5</v>
      </c>
      <c r="X11" cm="1">
        <f t="array" ref="X11">(1-_xlfn.PERCENTRANK.EXC(_xlfn._xlws.FILTER(G$3:G$15, ISNUMBER(G$3:G$15)),G11))*100</f>
        <v>21.499999999999996</v>
      </c>
      <c r="Y11" cm="1">
        <f t="array" ref="Y11">(1-_xlfn.PERCENTRANK.EXC(_xlfn._xlws.FILTER(H$3:H$15, ISNUMBER(H$3:H$15)),H11))*100</f>
        <v>21.499999999999996</v>
      </c>
      <c r="Z11" cm="1">
        <f t="array" ref="Z11">_xlfn.PERCENTRANK.EXC(_xlfn._xlws.FILTER(T$3:T$15, ISNUMBER(T$3:T$15)),T11)*100</f>
        <v>78.5</v>
      </c>
      <c r="AA11" cm="1">
        <f t="array" ref="AA11">_xlfn.PERCENTRANK.EXC(_xlfn._xlws.FILTER(P$3:P$15, ISNUMBER(P$3:P$15)),P11)*100</f>
        <v>71.399999999999991</v>
      </c>
      <c r="AB11">
        <f>U11*Assumption!$E$40 + V11*Assumption!$F$40 + X11*Assumption!$G$40 + Y11*Assumption!$H$40 + W11*Assumption!$I$40 +Z11* Assumption!$K$40 + AA11* Assumption!$J$40</f>
        <v>32.51</v>
      </c>
      <c r="AC11" cm="1">
        <f t="array" ref="AC11">_xlfn.PERCENTRANK.EXC(_xlfn._xlws.FILTER(AB$3:AB$15, ISNUMBER(AB$3:AB$15)),AB11)*100</f>
        <v>28.499999999999996</v>
      </c>
    </row>
    <row r="12" spans="1:29" x14ac:dyDescent="0.35">
      <c r="A12" t="s">
        <v>865</v>
      </c>
      <c r="B12" t="s">
        <v>869</v>
      </c>
      <c r="C12" t="str" cm="1">
        <f t="array" ref="C12">_xll.FDS(A12,"FG_COMPANY_NAME")</f>
        <v>iShares MSCI France ETF</v>
      </c>
      <c r="D12" t="s">
        <v>865</v>
      </c>
      <c r="E12" t="s">
        <v>621</v>
      </c>
      <c r="F12" s="2" cm="1">
        <f t="array" ref="F12">_xll.FDS(D12,"JULIAN(FMA_DIV_YLD(NTMA,NOW,NOW,M,""PORTAGG"",""MEANR"").dates)")</f>
        <v>45530</v>
      </c>
      <c r="G12" s="4" cm="1">
        <f t="array" ref="G12">_xll.FDS(D12,"FMA_PE(LTM,0,,,""PORTAGG"",""MEANR"")")</f>
        <v>16.9785614114267</v>
      </c>
      <c r="H12" s="4" cm="1">
        <f t="array" ref="H12">_xll.FDS(D12,"FMA_PE(NTMA,0,,,""PORTAGG"",""MEANR"")")</f>
        <v>13.7573735991581</v>
      </c>
      <c r="I12" cm="1">
        <f t="array" ref="I12">_xll.FDS(D12,"FMA_DIV_YLD(NTMA,NOW,NOW,M,""PORTAGG"",""MEANR"")")</f>
        <v>3.3371756636568302</v>
      </c>
      <c r="J12" s="52" cm="1">
        <f t="array" ref="J12">IFERROR(_xll.FDS(D12,"FG_FCF_YIELD_NTM(0)"),(1/G12*100))</f>
        <v>5.8941918468809202</v>
      </c>
      <c r="K12" s="3" cm="1">
        <f t="array" ref="K12">_xll.FDS(D12,"FMA_EVAL_EBITDA(NTMA,0,,,""PORTAGG"",""MEANR"")")</f>
        <v>9.1358637916908396</v>
      </c>
      <c r="L12" cm="1">
        <f t="array" ref="L12">_xll.FDS(D12,"FMA_EVAL_EBIT(LTMA,NOW,NOW,M,""PORTAGG"",""MEANR"")")</f>
        <v>13.301807576521099</v>
      </c>
      <c r="M12">
        <f>HLOOKUP(D12,'Index ROE'!$A$1:$N$25,25,FALSE)</f>
        <v>13.221250861669199</v>
      </c>
      <c r="N12">
        <f>VLOOKUP(A12,'LIQIDITY 2'!$A$3:$E$16,5,FALSE)</f>
        <v>2.9860000000000002</v>
      </c>
      <c r="O12" cm="1">
        <f t="array" ref="O12">IFERROR(IFERROR(IFERROR(IFERROR(_xll.FDS(B12,"IMF_IFS_RCPI_Q(0)"),_xll.FDS(B12,"IMF_IFS_RCPI_Q(-1AM)")),_xll.FDS(B12,"IMF_IFS_RCPI_Q(-2AM)")),_xll.FDS(B12,"IMF_IFS_RCPI_Q(-3AM)")),$D$31)</f>
        <v>2.2093682000000001</v>
      </c>
      <c r="P12">
        <f>VLOOKUP(E12,GDP_GROWTH!$B$10:$W$165,22,FALSE)</f>
        <v>0.9426946158151317</v>
      </c>
      <c r="Q12">
        <f t="shared" ref="Q12:Q15" si="4">I12-N12</f>
        <v>0.35117566365682995</v>
      </c>
      <c r="R12" s="52">
        <f t="shared" ref="R12:R15" si="5">J12-N12</f>
        <v>2.90819184688092</v>
      </c>
      <c r="S12">
        <f t="shared" ref="S12:S15" si="6">M12-N12</f>
        <v>10.235250861669199</v>
      </c>
      <c r="T12">
        <f t="shared" ref="T12:T15" si="7">M12-O12</f>
        <v>11.011882661669199</v>
      </c>
      <c r="U12" cm="1">
        <f t="array" ref="U12">_xlfn.PERCENTRANK.EXC(_xlfn._xlws.FILTER(Q$3:Q$15, ISNUMBER(Q$3:Q$15)),Q12)*100</f>
        <v>57.099999999999994</v>
      </c>
      <c r="V12" cm="1">
        <f t="array" ref="V12">_xlfn.PERCENTRANK.EXC(_xlfn._xlws.FILTER(R$3:R$15, ISNUMBER(R$3:R$15)),R12)*100</f>
        <v>64.2</v>
      </c>
      <c r="W12" cm="1">
        <f t="array" ref="W12">_xlfn.PERCENTRANK.EXC(_xlfn._xlws.FILTER(S$3:S$15, ISNUMBER(S$3:S$15)),S12)*100</f>
        <v>57.099999999999994</v>
      </c>
      <c r="X12" cm="1">
        <f t="array" ref="X12">(1-_xlfn.PERCENTRANK.EXC(_xlfn._xlws.FILTER(G$3:G$15, ISNUMBER(G$3:G$15)),G12))*100</f>
        <v>64.3</v>
      </c>
      <c r="Y12" cm="1">
        <f t="array" ref="Y12">(1-_xlfn.PERCENTRANK.EXC(_xlfn._xlws.FILTER(H$3:H$15, ISNUMBER(H$3:H$15)),H12))*100</f>
        <v>71.500000000000014</v>
      </c>
      <c r="Z12" cm="1">
        <f t="array" ref="Z12">_xlfn.PERCENTRANK.EXC(_xlfn._xlws.FILTER(T$3:T$15, ISNUMBER(T$3:T$15)),T12)*100</f>
        <v>50</v>
      </c>
      <c r="AA12" cm="1">
        <f t="array" ref="AA12">_xlfn.PERCENTRANK.EXC(_xlfn._xlws.FILTER(P$3:P$15, ISNUMBER(P$3:P$15)),P12)*100</f>
        <v>28.499999999999996</v>
      </c>
      <c r="AB12">
        <f>U12*Assumption!$E$40 + V12*Assumption!$F$40 + X12*Assumption!$G$40 + Y12*Assumption!$H$40 + W12*Assumption!$I$40 +Z12* Assumption!$K$40 + AA12* Assumption!$J$40</f>
        <v>63.565000000000005</v>
      </c>
      <c r="AC12" cm="1">
        <f t="array" ref="AC12">_xlfn.PERCENTRANK.EXC(_xlfn._xlws.FILTER(AB$3:AB$15, ISNUMBER(AB$3:AB$15)),AB12)*100</f>
        <v>64.2</v>
      </c>
    </row>
    <row r="13" spans="1:29" x14ac:dyDescent="0.35">
      <c r="A13" t="s">
        <v>867</v>
      </c>
      <c r="B13" t="s">
        <v>870</v>
      </c>
      <c r="C13" t="str" cm="1">
        <f t="array" ref="C13">_xll.FDS(A13,"FG_COMPANY_NAME")</f>
        <v>iShares MSCI Netherlands ETF</v>
      </c>
      <c r="D13" t="s">
        <v>867</v>
      </c>
      <c r="E13" t="s">
        <v>673</v>
      </c>
      <c r="F13" s="2" cm="1">
        <f t="array" ref="F13">_xll.FDS(D13,"JULIAN(FMA_DIV_YLD(NTMA,NOW,NOW,M,""PORTAGG"",""MEANR"").dates)")</f>
        <v>45531</v>
      </c>
      <c r="G13" s="4" cm="1">
        <f t="array" ref="G13">_xll.FDS(D13,"FMA_PE(LTM,0,,,""PORTAGG"",""MEANR"")")</f>
        <v>22.111438189537299</v>
      </c>
      <c r="H13" s="4" cm="1">
        <f t="array" ref="H13">_xll.FDS(D13,"FMA_PE(NTMA,0,,,""PORTAGG"",""MEANR"")")</f>
        <v>15.1350552673232</v>
      </c>
      <c r="I13" cm="1">
        <f t="array" ref="I13">_xll.FDS(D13,"FMA_DIV_YLD(NTMA,NOW,NOW,M,""PORTAGG"",""MEANR"")")</f>
        <v>2.6087972084806901</v>
      </c>
      <c r="J13" s="52" cm="1">
        <f t="array" ref="J13">IFERROR(_xll.FDS(D13,"FG_FCF_YIELD_NTM(0)"),(1/G13*100))</f>
        <v>4.0269504894975396</v>
      </c>
      <c r="K13" s="3" cm="1">
        <f t="array" ref="K13">_xll.FDS(D13,"FMA_EVAL_EBITDA(NTMA,0,,,""PORTAGG"",""MEANR"")")</f>
        <v>12.2052651363488</v>
      </c>
      <c r="L13" cm="1">
        <f t="array" ref="L13">_xll.FDS(D13,"FMA_EVAL_EBIT(LTMA,NOW,NOW,M,""PORTAGG"",""MEANR"")")</f>
        <v>21.146423220771901</v>
      </c>
      <c r="M13">
        <f>HLOOKUP(D13,'Index ROE'!$A$1:$N$25,25,FALSE)</f>
        <v>12.745985665341101</v>
      </c>
      <c r="N13">
        <f>VLOOKUP(A13,'LIQIDITY 2'!$A$3:$E$16,5,FALSE)</f>
        <v>2.5449999999999999</v>
      </c>
      <c r="O13" cm="1">
        <f t="array" ref="O13">IFERROR(IFERROR(IFERROR(IFERROR(_xll.FDS(B13,"IMF_IFS_RCPI_Q(0)"),_xll.FDS(B13,"IMF_IFS_RCPI_Q(-1AM)")),_xll.FDS(B13,"IMF_IFS_RCPI_Q(-2AM)")),_xll.FDS(B13,"IMF_IFS_RCPI_Q(-3AM)")),$D$31)</f>
        <v>2.8881169999999998</v>
      </c>
      <c r="P13">
        <f>VLOOKUP(E13,GDP_GROWTH!$B$10:$W$165,22,FALSE)</f>
        <v>1.7793785730007783</v>
      </c>
      <c r="Q13">
        <f t="shared" si="4"/>
        <v>6.3797208480690148E-2</v>
      </c>
      <c r="R13" s="52">
        <f t="shared" si="5"/>
        <v>1.4819504894975397</v>
      </c>
      <c r="S13">
        <f t="shared" si="6"/>
        <v>10.200985665341101</v>
      </c>
      <c r="T13">
        <f t="shared" si="7"/>
        <v>9.8578686653411012</v>
      </c>
      <c r="U13" cm="1">
        <f t="array" ref="U13">_xlfn.PERCENTRANK.EXC(_xlfn._xlws.FILTER(Q$3:Q$15, ISNUMBER(Q$3:Q$15)),Q13)*100</f>
        <v>50</v>
      </c>
      <c r="V13" cm="1">
        <f t="array" ref="V13">_xlfn.PERCENTRANK.EXC(_xlfn._xlws.FILTER(R$3:R$15, ISNUMBER(R$3:R$15)),R13)*100</f>
        <v>35.699999999999996</v>
      </c>
      <c r="W13" cm="1">
        <f t="array" ref="W13">_xlfn.PERCENTRANK.EXC(_xlfn._xlws.FILTER(S$3:S$15, ISNUMBER(S$3:S$15)),S13)*100</f>
        <v>50</v>
      </c>
      <c r="X13" cm="1">
        <f t="array" ref="X13">(1-_xlfn.PERCENTRANK.EXC(_xlfn._xlws.FILTER(G$3:G$15, ISNUMBER(G$3:G$15)),G13))*100</f>
        <v>35.799999999999997</v>
      </c>
      <c r="Y13" cm="1">
        <f t="array" ref="Y13">(1-_xlfn.PERCENTRANK.EXC(_xlfn._xlws.FILTER(H$3:H$15, ISNUMBER(H$3:H$15)),H13))*100</f>
        <v>50</v>
      </c>
      <c r="Z13" cm="1">
        <f t="array" ref="Z13">_xlfn.PERCENTRANK.EXC(_xlfn._xlws.FILTER(T$3:T$15, ISNUMBER(T$3:T$15)),T13)*100</f>
        <v>35.699999999999996</v>
      </c>
      <c r="AA13" cm="1">
        <f t="array" ref="AA13">_xlfn.PERCENTRANK.EXC(_xlfn._xlws.FILTER(P$3:P$15, ISNUMBER(P$3:P$15)),P13)*100</f>
        <v>50</v>
      </c>
      <c r="AB13">
        <f>U13*Assumption!$E$40 + V13*Assumption!$F$40 + X13*Assumption!$G$40 + Y13*Assumption!$H$40 + W13*Assumption!$I$40 +Z13* Assumption!$K$40 + AA13* Assumption!$J$40</f>
        <v>41.445</v>
      </c>
      <c r="AC13" cm="1">
        <f t="array" ref="AC13">_xlfn.PERCENTRANK.EXC(_xlfn._xlws.FILTER(AB$3:AB$15, ISNUMBER(AB$3:AB$15)),AB13)*100</f>
        <v>35.699999999999996</v>
      </c>
    </row>
    <row r="14" spans="1:29" x14ac:dyDescent="0.35">
      <c r="A14" t="s">
        <v>864</v>
      </c>
      <c r="B14" t="s">
        <v>273</v>
      </c>
      <c r="C14" t="str" cm="1">
        <f t="array" ref="C14">_xll.FDS(A14,"FG_COMPANY_NAME")</f>
        <v>iShares MSCI Sweden ETF</v>
      </c>
      <c r="D14" t="s">
        <v>864</v>
      </c>
      <c r="E14" t="s">
        <v>705</v>
      </c>
      <c r="F14" s="2" cm="1">
        <f t="array" ref="F14">_xll.FDS(D14,"JULIAN(FMA_DIV_YLD(NTMA,NOW,NOW,M,""PORTAGG"",""MEANR"").dates)")</f>
        <v>45530</v>
      </c>
      <c r="G14" s="4" cm="1">
        <f t="array" ref="G14">_xll.FDS(D14,"FMA_PE(LTM,0,,,""PORTAGG"",""MEANR"")")</f>
        <v>14.458363002665999</v>
      </c>
      <c r="H14" s="4" cm="1">
        <f t="array" ref="H14">_xll.FDS(D14,"FMA_PE(NTMA,0,,,""PORTAGG"",""MEANR"")")</f>
        <v>16.1460361031552</v>
      </c>
      <c r="I14" cm="1">
        <f t="array" ref="I14">_xll.FDS(D14,"FMA_DIV_YLD(NTMA,NOW,NOW,M,""PORTAGG"",""MEANR"")")</f>
        <v>3.2265438958915098</v>
      </c>
      <c r="J14" s="52" cm="1">
        <f t="array" ref="J14">IFERROR(_xll.FDS(D14,"FG_FCF_YIELD_NTM(0)"),(1/G14*100))</f>
        <v>5.11494579425284</v>
      </c>
      <c r="K14" s="3" cm="1">
        <f t="array" ref="K14">_xll.FDS(D14,"FMA_EVAL_EBITDA(NTMA,0,,,""PORTAGG"",""MEANR"")")</f>
        <v>10.8253308477289</v>
      </c>
      <c r="L14" cm="1">
        <f t="array" ref="L14">_xll.FDS(D14,"FMA_EVAL_EBIT(LTMA,NOW,NOW,M,""PORTAGG"",""MEANR"")")</f>
        <v>16.204144877546799</v>
      </c>
      <c r="M14">
        <f>HLOOKUP(D14,'Index ROE'!$A$1:$N$25,25,FALSE)</f>
        <v>15.368050598586001</v>
      </c>
      <c r="N14">
        <f>VLOOKUP(A14,'LIQIDITY 2'!$A$3:$E$16,5,FALSE)</f>
        <v>2.073</v>
      </c>
      <c r="O14" cm="1">
        <f t="array" ref="O14">IFERROR(IFERROR(IFERROR(IFERROR(_xll.FDS(B14,"IMF_IFS_RCPI_Q(0)"),_xll.FDS(B14,"IMF_IFS_RCPI_Q(-1AM)")),_xll.FDS(B14,"IMF_IFS_RCPI_Q(-2AM)")),_xll.FDS(B14,"IMF_IFS_RCPI_Q(-3AM)")),$D$31)</f>
        <v>3.39215</v>
      </c>
      <c r="P14">
        <f>VLOOKUP(E14,GDP_GROWTH!$B$10:$W$165,22,FALSE)</f>
        <v>1.8182767577278436</v>
      </c>
      <c r="Q14">
        <f t="shared" si="4"/>
        <v>1.1535438958915099</v>
      </c>
      <c r="R14" s="52">
        <f t="shared" si="5"/>
        <v>3.0419457942528401</v>
      </c>
      <c r="S14">
        <f t="shared" si="6"/>
        <v>13.295050598586</v>
      </c>
      <c r="T14">
        <f t="shared" si="7"/>
        <v>11.975900598586001</v>
      </c>
      <c r="U14" cm="1">
        <f t="array" ref="U14">_xlfn.PERCENTRANK.EXC(_xlfn._xlws.FILTER(Q$3:Q$15, ISNUMBER(Q$3:Q$15)),Q14)*100</f>
        <v>71.399999999999991</v>
      </c>
      <c r="V14" cm="1">
        <f t="array" ref="V14">_xlfn.PERCENTRANK.EXC(_xlfn._xlws.FILTER(R$3:R$15, ISNUMBER(R$3:R$15)),R14)*100</f>
        <v>71.399999999999991</v>
      </c>
      <c r="W14" cm="1">
        <f t="array" ref="W14">_xlfn.PERCENTRANK.EXC(_xlfn._xlws.FILTER(S$3:S$15, ISNUMBER(S$3:S$15)),S14)*100</f>
        <v>71.399999999999991</v>
      </c>
      <c r="X14" cm="1">
        <f t="array" ref="X14">(1-_xlfn.PERCENTRANK.EXC(_xlfn._xlws.FILTER(G$3:G$15, ISNUMBER(G$3:G$15)),G14))*100</f>
        <v>78.600000000000009</v>
      </c>
      <c r="Y14" cm="1">
        <f t="array" ref="Y14">(1-_xlfn.PERCENTRANK.EXC(_xlfn._xlws.FILTER(H$3:H$15, ISNUMBER(H$3:H$15)),H14))*100</f>
        <v>42.900000000000006</v>
      </c>
      <c r="Z14" cm="1">
        <f t="array" ref="Z14">_xlfn.PERCENTRANK.EXC(_xlfn._xlws.FILTER(T$3:T$15, ISNUMBER(T$3:T$15)),T14)*100</f>
        <v>64.2</v>
      </c>
      <c r="AA14" cm="1">
        <f t="array" ref="AA14">_xlfn.PERCENTRANK.EXC(_xlfn._xlws.FILTER(P$3:P$15, ISNUMBER(P$3:P$15)),P14)*100</f>
        <v>57.099999999999994</v>
      </c>
      <c r="AB14">
        <f>U14*Assumption!$E$40 + V14*Assumption!$F$40 + X14*Assumption!$G$40 + Y14*Assumption!$H$40 + W14*Assumption!$I$40 +Z14* Assumption!$K$40 + AA14* Assumption!$J$40</f>
        <v>65.355000000000004</v>
      </c>
      <c r="AC14" cm="1">
        <f t="array" ref="AC14">_xlfn.PERCENTRANK.EXC(_xlfn._xlws.FILTER(AB$3:AB$15, ISNUMBER(AB$3:AB$15)),AB14)*100</f>
        <v>71.399999999999991</v>
      </c>
    </row>
    <row r="15" spans="1:29" x14ac:dyDescent="0.35">
      <c r="A15" t="s">
        <v>866</v>
      </c>
      <c r="B15" t="s">
        <v>868</v>
      </c>
      <c r="C15" t="str" cm="1">
        <f t="array" ref="C15">_xll.FDS(A15,"FG_COMPANY_NAME")</f>
        <v>iShares MSCI Italy ETF</v>
      </c>
      <c r="D15" t="s">
        <v>866</v>
      </c>
      <c r="E15" t="s">
        <v>641</v>
      </c>
      <c r="F15" s="2" cm="1">
        <f t="array" ref="F15">_xll.FDS(D15,"JULIAN(FMA_DIV_YLD(NTMA,NOW,NOW,M,""PORTAGG"",""MEANR"").dates)")</f>
        <v>45531</v>
      </c>
      <c r="G15" s="4" cm="1">
        <f t="array" ref="G15">_xll.FDS(D15,"FMA_PE(LTM,0,,,""PORTAGG"",""MEANR"")")</f>
        <v>11.346178216105599</v>
      </c>
      <c r="H15" s="4" cm="1">
        <f t="array" ref="H15">_xll.FDS(D15,"FMA_PE(NTMA,0,,,""PORTAGG"",""MEANR"")")</f>
        <v>9.7203461306872292</v>
      </c>
      <c r="I15" cm="1">
        <f t="array" ref="I15">_xll.FDS(D15,"FMA_DIV_YLD(NTMA,NOW,NOW,M,""PORTAGG"",""MEANR"")")</f>
        <v>5.3497163481290899</v>
      </c>
      <c r="J15" s="52" cm="1">
        <f t="array" ref="J15">IFERROR(_xll.FDS(D15,"FG_FCF_YIELD_NTM(0)"),(1/G15*100))</f>
        <v>5.5362918919625503</v>
      </c>
      <c r="K15" s="3" cm="1">
        <f t="array" ref="K15">_xll.FDS(D15,"FMA_EVAL_EBITDA(NTMA,0,,,""PORTAGG"",""MEANR"")")</f>
        <v>7.0067894351951603</v>
      </c>
      <c r="L15" cm="1">
        <f t="array" ref="L15">_xll.FDS(D15,"FMA_EVAL_EBIT(LTMA,NOW,NOW,M,""PORTAGG"",""MEANR"")")</f>
        <v>11.273514592503</v>
      </c>
      <c r="M15">
        <f>HLOOKUP(D15,'Index ROE'!$A$1:$N$25,25,FALSE)</f>
        <v>13.3572149047324</v>
      </c>
      <c r="N15">
        <f>VLOOKUP(A15,'LIQIDITY 2'!$A$3:$E$16,5,FALSE)</f>
        <v>3.6469999999999998</v>
      </c>
      <c r="O15" cm="1">
        <f t="array" ref="O15">IFERROR(IFERROR(IFERROR(IFERROR(_xll.FDS(B15,"IMF_IFS_RCPI_Q(0)"),_xll.FDS(B15,"IMF_IFS_RCPI_Q(-1AM)")),_xll.FDS(B15,"IMF_IFS_RCPI_Q(-2AM)")),_xll.FDS(B15,"IMF_IFS_RCPI_Q(-3AM)")),$D$31)</f>
        <v>0.80847347000000003</v>
      </c>
      <c r="P15">
        <f>VLOOKUP(E15,GDP_GROWTH!$B$10:$W$165,22,FALSE)</f>
        <v>0.32855305426654491</v>
      </c>
      <c r="Q15">
        <f t="shared" si="4"/>
        <v>1.7027163481290901</v>
      </c>
      <c r="R15" s="52">
        <f t="shared" si="5"/>
        <v>1.8892918919625505</v>
      </c>
      <c r="S15">
        <f t="shared" si="6"/>
        <v>9.7102149047323998</v>
      </c>
      <c r="T15">
        <f t="shared" si="7"/>
        <v>12.548741434732399</v>
      </c>
      <c r="U15" cm="1">
        <f t="array" ref="U15">_xlfn.PERCENTRANK.EXC(_xlfn._xlws.FILTER(Q$3:Q$15, ISNUMBER(Q$3:Q$15)),Q15)*100</f>
        <v>85.7</v>
      </c>
      <c r="V15" cm="1">
        <f t="array" ref="V15">_xlfn.PERCENTRANK.EXC(_xlfn._xlws.FILTER(R$3:R$15, ISNUMBER(R$3:R$15)),R15)*100</f>
        <v>42.8</v>
      </c>
      <c r="W15" cm="1">
        <f t="array" ref="W15">_xlfn.PERCENTRANK.EXC(_xlfn._xlws.FILTER(S$3:S$15, ISNUMBER(S$3:S$15)),S15)*100</f>
        <v>35.699999999999996</v>
      </c>
      <c r="X15" cm="1">
        <f t="array" ref="X15">(1-_xlfn.PERCENTRANK.EXC(_xlfn._xlws.FILTER(G$3:G$15, ISNUMBER(G$3:G$15)),G15))*100</f>
        <v>92.9</v>
      </c>
      <c r="Y15" cm="1">
        <f t="array" ref="Y15">(1-_xlfn.PERCENTRANK.EXC(_xlfn._xlws.FILTER(H$3:H$15, ISNUMBER(H$3:H$15)),H15))*100</f>
        <v>92.9</v>
      </c>
      <c r="Z15" cm="1">
        <f t="array" ref="Z15">_xlfn.PERCENTRANK.EXC(_xlfn._xlws.FILTER(T$3:T$15, ISNUMBER(T$3:T$15)),T15)*100</f>
        <v>71.399999999999991</v>
      </c>
      <c r="AA15" cm="1">
        <f t="array" ref="AA15">_xlfn.PERCENTRANK.EXC(_xlfn._xlws.FILTER(P$3:P$15, ISNUMBER(P$3:P$15)),P15)*100</f>
        <v>14.2</v>
      </c>
      <c r="AB15">
        <f>U15*Assumption!$E$40 + V15*Assumption!$F$40 + X15*Assumption!$G$40 + Y15*Assumption!$H$40 + W15*Assumption!$I$40 +Z15* Assumption!$K$40 + AA15* Assumption!$J$40</f>
        <v>72.144999999999996</v>
      </c>
      <c r="AC15" cm="1">
        <f t="array" ref="AC15">_xlfn.PERCENTRANK.EXC(_xlfn._xlws.FILTER(AB$3:AB$15, ISNUMBER(AB$3:AB$15)),AB15)*100</f>
        <v>92.800000000000011</v>
      </c>
    </row>
    <row r="16" spans="1:29" x14ac:dyDescent="0.35">
      <c r="F16" s="2"/>
      <c r="G16" s="4"/>
      <c r="H16" s="4"/>
      <c r="J16" s="52"/>
      <c r="K16" s="3"/>
    </row>
    <row r="17" spans="1:12" x14ac:dyDescent="0.35">
      <c r="F17" s="2"/>
      <c r="G17" s="4"/>
      <c r="H17" s="4"/>
      <c r="J17" s="52"/>
      <c r="K17" s="3"/>
    </row>
    <row r="18" spans="1:12" x14ac:dyDescent="0.35">
      <c r="A18" t="s">
        <v>535</v>
      </c>
      <c r="F18" s="2"/>
      <c r="G18" s="4"/>
      <c r="H18" s="4"/>
      <c r="J18" s="52"/>
      <c r="K18" s="3"/>
    </row>
    <row r="19" spans="1:12" x14ac:dyDescent="0.35">
      <c r="A19" t="s">
        <v>536</v>
      </c>
      <c r="B19" t="s">
        <v>161</v>
      </c>
      <c r="C19" t="s">
        <v>537</v>
      </c>
      <c r="D19" t="str">
        <f>A19</f>
        <v>VGK</v>
      </c>
      <c r="F19" s="2" cm="1">
        <f t="array" ref="F19">_xll.FDS(D19,"JULIAN(FMA_DIV_YLD(NTMA,NOW,NOW,M,""PORTAGG"",""MEANR"").dates)")</f>
        <v>45504</v>
      </c>
      <c r="G19" s="4" cm="1">
        <f t="array" ref="G19">_xll.FDS(D19,"FG_PE(0)")</f>
        <v>14.4389987249718</v>
      </c>
      <c r="H19" s="4" cm="1">
        <f t="array" ref="H19">_xll.FDS(D19,"FG_PE_NTM(0,,,90,0)")</f>
        <v>13.386163918210499</v>
      </c>
      <c r="I19" cm="1">
        <f t="array" ref="I19">_xll.FDS(D19,"FMA_DIV_YLD(NTMA,NOW,NOW,M,""PORTAGG"",""MEANR"")")</f>
        <v>3.4756956182027299</v>
      </c>
      <c r="J19" s="52" cm="1">
        <f t="array" ref="J19">_xll.FDS(D19,"FG_FCF_YIELD_NTM(0)")</f>
        <v>5.2833588861734198</v>
      </c>
      <c r="K19" s="3" cm="1">
        <f t="array" ref="K19">_xll.FDS(D19,"FMA_EVAL_EBITDA(NTMA,0,,,""PORTAGG"",""MEANR"")")</f>
        <v>8.8614620358558902</v>
      </c>
      <c r="L19" cm="1">
        <f t="array" ref="L19">_xll.FDS(D19,"FMA_EVAL_EBIT(LTMA,NOW,NOW,M,""PORTAGG"",""MEANR"")")</f>
        <v>13.3463272698328</v>
      </c>
    </row>
    <row r="20" spans="1:12" x14ac:dyDescent="0.35">
      <c r="A20" t="s">
        <v>6</v>
      </c>
      <c r="C20" t="s">
        <v>538</v>
      </c>
      <c r="D20" t="str">
        <f>A20</f>
        <v>VWO</v>
      </c>
      <c r="F20" s="2" cm="1">
        <f t="array" ref="F20">_xll.FDS(D20,"JULIAN(FMA_DIV_YLD(NTMA,NOW,NOW,M,""PORTAGG"",""MEANR"").dates)")</f>
        <v>45504</v>
      </c>
      <c r="G20" s="4" cm="1">
        <f t="array" ref="G20">_xll.FDS(D20,"FG_PE(0)")</f>
        <v>15.156283420705501</v>
      </c>
      <c r="H20" s="4" cm="1">
        <f t="array" ref="H20">_xll.FDS(D20,"FG_PE_NTM(0,,,90,0)")</f>
        <v>12.8821687467339</v>
      </c>
      <c r="I20" cm="1">
        <f t="array" ref="I20">_xll.FDS(D20,"FMA_DIV_YLD(NTMA,NOW,NOW,M,""PORTAGG"",""MEANR"")")</f>
        <v>2.9435751847481</v>
      </c>
      <c r="J20" s="52" cm="1">
        <f t="array" ref="J20">_xll.FDS(D20,"FG_FCF_YIELD_NTM(0)")</f>
        <v>5.4347852843869502</v>
      </c>
      <c r="K20" s="3" cm="1">
        <f t="array" ref="K20">_xll.FDS(D20,"FMA_EVAL_EBITDA(NTMA,0,,,""PORTAGG"",""MEANR"")")</f>
        <v>8.9777026375382292</v>
      </c>
      <c r="L20" cm="1">
        <f t="array" ref="L20">_xll.FDS(D20,"FMA_EVAL_EBIT(LTMA,NOW,NOW,M,""PORTAGG"",""MEANR"")")</f>
        <v>14.389736458339</v>
      </c>
    </row>
    <row r="21" spans="1:12" x14ac:dyDescent="0.35">
      <c r="F21" s="2"/>
      <c r="G21" s="4"/>
      <c r="H21" s="4"/>
      <c r="J21" s="52"/>
      <c r="K21" s="3"/>
    </row>
    <row r="22" spans="1:12" x14ac:dyDescent="0.35">
      <c r="B22" t="s">
        <v>776</v>
      </c>
      <c r="C22" t="s">
        <v>544</v>
      </c>
      <c r="D22" t="s">
        <v>777</v>
      </c>
      <c r="F22" s="2"/>
      <c r="G22" s="4"/>
      <c r="H22" s="4"/>
      <c r="J22" s="52"/>
      <c r="K22" s="3"/>
    </row>
    <row r="23" spans="1:12" x14ac:dyDescent="0.35">
      <c r="B23" t="s">
        <v>170</v>
      </c>
      <c r="C23" t="s">
        <v>720</v>
      </c>
      <c r="D23" cm="1">
        <f t="array" ref="D23">IFERROR(IFERROR(IFERROR(_xll.FDS(B23,"IMF_IFS_RCPI_Q(0)"),_xll.FDS(B23,"IMF_IFS_RCPI_Q(-1AM)")),_xll.FDS(B23,"IMF_IFS_RCPI_Q(-2AM)")),_xll.FDS(B23,"IMF_IFS_RCPI_Q(-3AM)"))</f>
        <v>3.19889</v>
      </c>
    </row>
    <row r="33" spans="4:5" x14ac:dyDescent="0.35">
      <c r="D33" s="1"/>
      <c r="E33" s="1"/>
    </row>
    <row r="40" spans="4:5" x14ac:dyDescent="0.35">
      <c r="D40" s="1"/>
      <c r="E40" s="1"/>
    </row>
    <row r="45" spans="4:5" x14ac:dyDescent="0.35">
      <c r="D45" s="1"/>
      <c r="E45" s="1"/>
    </row>
    <row r="50" spans="4:5" x14ac:dyDescent="0.35">
      <c r="D50" s="1"/>
      <c r="E50" s="1"/>
    </row>
    <row r="51" spans="4:5" x14ac:dyDescent="0.35">
      <c r="D51" s="1"/>
      <c r="E51" s="1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1"/>
  <sheetViews>
    <sheetView topLeftCell="A2" zoomScale="145" zoomScaleNormal="145" workbookViewId="0">
      <selection activeCell="G3" sqref="G3"/>
    </sheetView>
  </sheetViews>
  <sheetFormatPr defaultRowHeight="14.5" x14ac:dyDescent="0.35"/>
  <cols>
    <col min="2" max="2" width="12.1796875" bestFit="1" customWidth="1"/>
    <col min="3" max="3" width="15.81640625" customWidth="1"/>
    <col min="4" max="4" width="53" bestFit="1" customWidth="1"/>
    <col min="5" max="5" width="26.453125" customWidth="1"/>
    <col min="6" max="6" width="12.1796875" customWidth="1"/>
    <col min="7" max="7" width="15.1796875" customWidth="1"/>
    <col min="8" max="8" width="18.54296875" customWidth="1"/>
    <col min="9" max="9" width="17.453125" customWidth="1"/>
    <col min="10" max="10" width="17" customWidth="1"/>
    <col min="11" max="11" width="32.54296875" customWidth="1"/>
    <col min="12" max="12" width="35" customWidth="1"/>
    <col min="13" max="13" width="20.81640625" customWidth="1"/>
    <col min="14" max="14" width="9.1796875" style="37"/>
    <col min="20" max="21" width="11.453125" customWidth="1"/>
  </cols>
  <sheetData>
    <row r="1" spans="1:24" x14ac:dyDescent="0.35">
      <c r="S1" s="5">
        <f>Assumption!E43</f>
        <v>0.5</v>
      </c>
      <c r="T1" s="5">
        <f>Assumption!E44</f>
        <v>0.25</v>
      </c>
      <c r="U1" s="5">
        <f>Assumption!E45</f>
        <v>0.25</v>
      </c>
    </row>
    <row r="2" spans="1:24" x14ac:dyDescent="0.35">
      <c r="A2" t="s">
        <v>0</v>
      </c>
      <c r="B2" s="25" t="s">
        <v>96</v>
      </c>
      <c r="C2" s="25" t="s">
        <v>97</v>
      </c>
      <c r="D2" s="25" t="s">
        <v>98</v>
      </c>
      <c r="E2" s="25" t="s">
        <v>525</v>
      </c>
      <c r="G2" s="25" t="s">
        <v>907</v>
      </c>
      <c r="H2" s="25" t="s">
        <v>381</v>
      </c>
      <c r="I2" s="25" t="s">
        <v>490</v>
      </c>
      <c r="L2" s="25" t="s">
        <v>526</v>
      </c>
      <c r="S2" s="5" t="s">
        <v>459</v>
      </c>
      <c r="T2" s="5" t="s">
        <v>458</v>
      </c>
      <c r="U2" t="s">
        <v>382</v>
      </c>
      <c r="V2" s="46"/>
      <c r="X2" t="s">
        <v>552</v>
      </c>
    </row>
    <row r="3" spans="1:24" x14ac:dyDescent="0.35">
      <c r="A3" t="s">
        <v>431</v>
      </c>
      <c r="B3" t="s">
        <v>197</v>
      </c>
      <c r="C3" t="s">
        <v>449</v>
      </c>
      <c r="D3" s="26" t="str" cm="1">
        <f t="array" ref="D3">_xll.FDSB(C3,"FG_YIELD_NAME")</f>
        <v>New Zealand Benchmark Bond - 10 Year</v>
      </c>
      <c r="E3" s="26" cm="1">
        <f t="array" ref="E3">IFERROR(_xll.FDS(C3,"FG_YIELD(0,,,,""YTM"")"),$E$18)</f>
        <v>4.2854000000000001</v>
      </c>
      <c r="G3" s="26" cm="1">
        <f t="array" ref="G3">_xll.FDSB(C3,"PCTCHG(FG_YIELD(0,,,,""YTM""),FG_YIELD(-1AM,,,,""YTM""))")</f>
        <v>-1.7538214999999999</v>
      </c>
      <c r="H3" s="26" cm="1">
        <f t="array" ref="H3">_xll.FDSB(C3,"PCTCHG(FG_YIELD(0,,,,""YTM""),FG_YIELD(-3AM,,,,""YTM""))")</f>
        <v>-12.340706000000001</v>
      </c>
      <c r="I3" s="26"/>
      <c r="J3" s="26" t="str">
        <f>VLOOKUP(B3,mnemonics!$A$4:$D$78, 4, FALSE)</f>
        <v>REFNZOCR-FDS</v>
      </c>
      <c r="K3" s="26" t="str" cm="1">
        <f t="array" ref="K3">_xll.FDSB(J3,"PROPER_NAME(0,,,""SECURITY"",""NAME"")")</f>
        <v>New Zealand Official Cash Rate</v>
      </c>
      <c r="L3" s="26" cm="1">
        <f t="array" ref="L3">_xll.FDSB(J3,"FG_YIELD(NOW,,,0)")</f>
        <v>5.25</v>
      </c>
      <c r="M3" s="36" cm="1">
        <f t="array" ref="M3">_xll.FDSB(J3,"(SUBARRAY(NOT_NA(NO_REPEAT_F(FG_YIELD(now,-10AY,D))),0,1)-SUBARRAY(NOT_NA(NO_REPEAT_F(FG_YIELD(now,-10AY,D))),1,1))*100")</f>
        <v>-25</v>
      </c>
      <c r="N3" s="38">
        <f t="shared" ref="N3:N15" si="0">M3*-1</f>
        <v>25</v>
      </c>
      <c r="O3" s="26">
        <f>L3-E3</f>
        <v>0.9645999999999999</v>
      </c>
      <c r="S3">
        <f t="shared" ref="S3:S15" si="1">IF(M3&gt; 0, 0, 1)</f>
        <v>1</v>
      </c>
      <c r="T3">
        <f t="shared" ref="T3:T15" si="2">IF(G3&lt;0, 1, 0)</f>
        <v>1</v>
      </c>
      <c r="U3">
        <f t="shared" ref="U3:U15" si="3">IF(H3&lt;0, 1, 0)</f>
        <v>1</v>
      </c>
      <c r="V3" s="47">
        <f t="shared" ref="V3:V15" si="4">SUMPRODUCT($S$1:$U$1,S3:U3)</f>
        <v>1</v>
      </c>
      <c r="X3">
        <f>_xlfn.PERCENTRANK.EXC($V$3:$V$15,V3)*100</f>
        <v>42.8</v>
      </c>
    </row>
    <row r="4" spans="1:24" x14ac:dyDescent="0.35">
      <c r="A4" t="s">
        <v>44</v>
      </c>
      <c r="B4" t="s">
        <v>113</v>
      </c>
      <c r="C4" t="s">
        <v>138</v>
      </c>
      <c r="D4" s="26" t="str" cm="1">
        <f t="array" ref="D4">_xll.FDSB(C4,"FG_YIELD_NAME")</f>
        <v>Australia Benchmark Bond - 10 Year</v>
      </c>
      <c r="E4" s="26" cm="1">
        <f t="array" ref="E4">IFERROR(_xll.FDS(C4,"FG_YIELD(0,,,,""YTM"")"),$E$18)</f>
        <v>3.9540000000000002</v>
      </c>
      <c r="G4" s="26" cm="1">
        <f t="array" ref="G4">_xll.FDSB(C4,"PCTCHG(FG_YIELD(0,,,,""YTM""),FG_YIELD(-1AM,,,,""YTM""))")</f>
        <v>-7.5952276999999997</v>
      </c>
      <c r="H4" s="26" cm="1">
        <f t="array" ref="H4">_xll.FDSB(C4,"PCTCHG(FG_YIELD(0,,,,""YTM""),FG_YIELD(-3AM,,,,""YTM""))")</f>
        <v>-10.095492999999999</v>
      </c>
      <c r="I4" s="26"/>
      <c r="J4" s="26" t="str">
        <f>VLOOKUP(B4,mnemonics!$A$4:$D$78, 4, FALSE)</f>
        <v>REFAUCASH-FDS</v>
      </c>
      <c r="K4" s="26" t="str" cm="1">
        <f t="array" ref="K4">_xll.FDSB(J4,"PROPER_NAME(0,,,""SECURITY"",""NAME"")")</f>
        <v>Australia Target Cash Rate</v>
      </c>
      <c r="L4" s="26" cm="1">
        <f t="array" ref="L4">_xll.FDSB(J4,"FG_YIELD(NOW,,,0)")</f>
        <v>4.3499999999999996</v>
      </c>
      <c r="M4" s="36" cm="1">
        <f t="array" ref="M4">_xll.FDSB(J4,"(SUBARRAY(NOT_NA(NO_REPEAT_F(FG_YIELD(now,-10AY,D))),0,1)-SUBARRAY(NOT_NA(NO_REPEAT_F(FG_YIELD(now,-10AY,D))),1,1))*100")</f>
        <v>25</v>
      </c>
      <c r="N4" s="38">
        <f t="shared" si="0"/>
        <v>-25</v>
      </c>
      <c r="O4" s="26">
        <f t="shared" ref="O4:O15" si="5">L4-E4</f>
        <v>0.39599999999999946</v>
      </c>
      <c r="S4">
        <f t="shared" si="1"/>
        <v>0</v>
      </c>
      <c r="T4">
        <f t="shared" si="2"/>
        <v>1</v>
      </c>
      <c r="U4">
        <f t="shared" si="3"/>
        <v>1</v>
      </c>
      <c r="V4" s="47">
        <f t="shared" si="4"/>
        <v>0.5</v>
      </c>
      <c r="X4">
        <f t="shared" ref="X4:X15" si="6">_xlfn.PERCENTRANK.EXC($V$3:$V$15,V4)*100</f>
        <v>7.1</v>
      </c>
    </row>
    <row r="5" spans="1:24" x14ac:dyDescent="0.35">
      <c r="A5" t="s">
        <v>49</v>
      </c>
      <c r="B5" t="s">
        <v>116</v>
      </c>
      <c r="C5" t="s">
        <v>142</v>
      </c>
      <c r="D5" s="26" t="str" cm="1">
        <f t="array" ref="D5">_xll.FDSB(C5,"FG_YIELD_NAME")</f>
        <v>Canada Benchmark Bond - 10 Year</v>
      </c>
      <c r="E5" s="26" cm="1">
        <f t="array" ref="E5">IFERROR(_xll.FDS(C5,"FG_YIELD(0,,,,""YTM"")"),$E$18)</f>
        <v>3.1278999999999999</v>
      </c>
      <c r="G5" s="26" cm="1">
        <f t="array" ref="G5">_xll.FDSB(C5,"PCTCHG(FG_YIELD(0,,,,""YTM""),FG_YIELD(-1AM,,,,""YTM""))")</f>
        <v>-4.8836912999999997</v>
      </c>
      <c r="H5" s="26" cm="1">
        <f t="array" ref="H5">_xll.FDSB(C5,"PCTCHG(FG_YIELD(0,,,,""YTM""),FG_YIELD(-3AM,,,,""YTM""))")</f>
        <v>-16.746963999999998</v>
      </c>
      <c r="I5" s="26"/>
      <c r="J5" s="26" t="str">
        <f>VLOOKUP(B5,mnemonics!$A$4:$D$78, 4, FALSE)</f>
        <v>REFCATARG-FDS</v>
      </c>
      <c r="K5" s="26" t="str" cm="1">
        <f t="array" ref="K5">_xll.FDSB(J5,"PROPER_NAME(0,,,""SECURITY"",""NAME"")")</f>
        <v>Canada Target Rate</v>
      </c>
      <c r="L5" s="26" cm="1">
        <f t="array" ref="L5">_xll.FDSB(J5,"FG_YIELD(NOW,,,0)")</f>
        <v>4.5</v>
      </c>
      <c r="M5" s="36" cm="1">
        <f t="array" ref="M5">_xll.FDSB(J5,"(SUBARRAY(NOT_NA(NO_REPEAT_F(FG_YIELD(now,-10AY,D))),0,1)-SUBARRAY(NOT_NA(NO_REPEAT_F(FG_YIELD(now,-10AY,D))),1,1))*100")</f>
        <v>-25</v>
      </c>
      <c r="N5" s="38">
        <f t="shared" si="0"/>
        <v>25</v>
      </c>
      <c r="O5" s="26">
        <f t="shared" si="5"/>
        <v>1.3721000000000001</v>
      </c>
      <c r="S5">
        <f t="shared" si="1"/>
        <v>1</v>
      </c>
      <c r="T5">
        <f t="shared" si="2"/>
        <v>1</v>
      </c>
      <c r="U5">
        <f t="shared" si="3"/>
        <v>1</v>
      </c>
      <c r="V5" s="47">
        <f t="shared" si="4"/>
        <v>1</v>
      </c>
      <c r="X5">
        <f t="shared" si="6"/>
        <v>42.8</v>
      </c>
    </row>
    <row r="6" spans="1:24" x14ac:dyDescent="0.35">
      <c r="A6" t="s">
        <v>11</v>
      </c>
      <c r="B6" t="s">
        <v>102</v>
      </c>
      <c r="C6" t="s">
        <v>19</v>
      </c>
      <c r="D6" s="26" t="str" cm="1">
        <f t="array" ref="D6">_xll.FDSB(C6,"FG_YIELD_NAME")</f>
        <v>Germany Benchmark Bond - 10 Year</v>
      </c>
      <c r="E6" s="26" cm="1">
        <f t="array" ref="E6">IFERROR(_xll.FDS(C6,"FG_YIELD(0,,,,""YTM"")"),$E$18)</f>
        <v>2.262</v>
      </c>
      <c r="G6" s="26" cm="1">
        <f t="array" ref="G6">_xll.FDSB(C6,"PCTCHG(FG_YIELD(0,,,,""YTM""),FG_YIELD(-1AM,,,,""YTM""))")</f>
        <v>-4.2742205000000002</v>
      </c>
      <c r="H6" s="26" cm="1">
        <f t="array" ref="H6">_xll.FDSB(C6,"PCTCHG(FG_YIELD(0,,,,""YTM""),FG_YIELD(-3AM,,,,""YTM""))")</f>
        <v>-14.962406</v>
      </c>
      <c r="I6" s="26"/>
      <c r="J6" s="26" t="str">
        <f>VLOOKUP(B6,mnemonics!$A$4:$D$78, 4, FALSE)</f>
        <v>REFEUREFI-FDS</v>
      </c>
      <c r="K6" s="26" t="str" cm="1">
        <f t="array" ref="K6">_xll.FDSB(J6,"PROPER_NAME(0,,,""SECURITY"",""NAME"")")</f>
        <v>Eurozone Main Refinancing Operations Minimum Bid Rate</v>
      </c>
      <c r="L6" s="26" cm="1">
        <f t="array" ref="L6">_xll.FDSB(J6,"FG_YIELD(NOW,,,0)")</f>
        <v>4.25</v>
      </c>
      <c r="M6" s="36" cm="1">
        <f t="array" ref="M6">_xll.FDSB(J6,"(SUBARRAY(NOT_NA(NO_REPEAT_F(FG_YIELD(now,-10AY,D))),0,1)-SUBARRAY(NOT_NA(NO_REPEAT_F(FG_YIELD(now,-10AY,D))),1,1))*100")</f>
        <v>-25</v>
      </c>
      <c r="N6" s="38">
        <f t="shared" si="0"/>
        <v>25</v>
      </c>
      <c r="O6" s="26">
        <f t="shared" si="5"/>
        <v>1.988</v>
      </c>
      <c r="S6">
        <f t="shared" si="1"/>
        <v>1</v>
      </c>
      <c r="T6">
        <f t="shared" si="2"/>
        <v>1</v>
      </c>
      <c r="U6">
        <f t="shared" si="3"/>
        <v>1</v>
      </c>
      <c r="V6" s="47">
        <f t="shared" si="4"/>
        <v>1</v>
      </c>
      <c r="X6">
        <f t="shared" si="6"/>
        <v>42.8</v>
      </c>
    </row>
    <row r="7" spans="1:24" x14ac:dyDescent="0.35">
      <c r="A7" t="s">
        <v>46</v>
      </c>
      <c r="B7" t="s">
        <v>114</v>
      </c>
      <c r="C7" t="s">
        <v>139</v>
      </c>
      <c r="D7" s="26" t="str" cm="1">
        <f t="array" ref="D7">_xll.FDSB(C7,"FG_YIELD_NAME")</f>
        <v>Japan Benchmark Bond - 10 Year</v>
      </c>
      <c r="E7" s="26" cm="1">
        <f t="array" ref="E7">IFERROR(_xll.FDS(C7,"FG_YIELD(0,,,,""YTM"")"),$E$18)</f>
        <v>0.89300000000000002</v>
      </c>
      <c r="G7" s="26" cm="1">
        <f t="array" ref="G7">_xll.FDSB(C7,"PCTCHG(FG_YIELD(0,,,,""YTM""),FG_YIELD(-1AM,,,,""YTM""))")</f>
        <v>-13.35144</v>
      </c>
      <c r="H7" s="26" cm="1">
        <f t="array" ref="H7">_xll.FDSB(C7,"PCTCHG(FG_YIELD(0,,,,""YTM""),FG_YIELD(-3AM,,,,""YTM""))")</f>
        <v>-16.456167000000001</v>
      </c>
      <c r="I7" s="26"/>
      <c r="J7" s="26" t="str">
        <f>VLOOKUP(B7,mnemonics!$A$4:$D$78, 4, FALSE)</f>
        <v>REFJPTON-FDS</v>
      </c>
      <c r="K7" s="26" t="str" cm="1">
        <f t="array" ref="K7">_xll.FDSB(J7,"PROPER_NAME(0,,,""SECURITY"",""NAME"")")</f>
        <v>Japan Policy Rate</v>
      </c>
      <c r="L7" s="26" cm="1">
        <f t="array" ref="L7">_xll.FDSB(J7,"FG_YIELD(NOW,,,0)")</f>
        <v>0.25</v>
      </c>
      <c r="M7" s="36" cm="1">
        <f t="array" ref="M7">_xll.FDSB(J7,"(SUBARRAY(NOT_NA(NO_REPEAT_F(FG_YIELD(now,-10AY,D))),0,1)-SUBARRAY(NOT_NA(NO_REPEAT_F(FG_YIELD(now,-10AY,D))),1,1))*100")</f>
        <v>15</v>
      </c>
      <c r="N7" s="38">
        <f t="shared" si="0"/>
        <v>-15</v>
      </c>
      <c r="O7" s="26">
        <f t="shared" si="5"/>
        <v>-0.64300000000000002</v>
      </c>
      <c r="S7">
        <f t="shared" si="1"/>
        <v>0</v>
      </c>
      <c r="T7">
        <f t="shared" si="2"/>
        <v>1</v>
      </c>
      <c r="U7">
        <f t="shared" si="3"/>
        <v>1</v>
      </c>
      <c r="V7" s="47">
        <f t="shared" si="4"/>
        <v>0.5</v>
      </c>
      <c r="X7">
        <f t="shared" si="6"/>
        <v>7.1</v>
      </c>
    </row>
    <row r="8" spans="1:24" x14ac:dyDescent="0.35">
      <c r="A8" t="s">
        <v>42</v>
      </c>
      <c r="B8" t="s">
        <v>110</v>
      </c>
      <c r="C8" t="s">
        <v>135</v>
      </c>
      <c r="D8" s="26" t="str" cm="1">
        <f t="array" ref="D8">_xll.FDSB(C8,"FG_YIELD_NAME")</f>
        <v>Treasury - Switzerland Benchmark Bond 10Y</v>
      </c>
      <c r="E8" s="26" cm="1">
        <f t="array" ref="E8">IFERROR(_xll.FDS(C8,"FG_YIELD(0,,,,""YTM"")"),$E$18)</f>
        <v>0.432</v>
      </c>
      <c r="G8" s="26" cm="1">
        <f t="array" ref="G8">_xll.FDSB(C8,"PCTCHG(FG_YIELD(0,,,,""YTM""),FG_YIELD(-1AM,,,,""YTM""))")</f>
        <v>-9.9999959999999994</v>
      </c>
      <c r="H8" s="26" cm="1">
        <f t="array" ref="H8">_xll.FDSB(C8,"PCTCHG(FG_YIELD(0,,,,""YTM""),FG_YIELD(-3AM,,,,""YTM""))")</f>
        <v>-50.684930000000001</v>
      </c>
      <c r="I8" s="26"/>
      <c r="J8" s="26" t="str">
        <f>VLOOKUP(B8,mnemonics!$A$4:$D$78, 4, FALSE)</f>
        <v>REFCHMPR-FDS</v>
      </c>
      <c r="K8" s="26" t="str" cm="1">
        <f t="array" ref="K8">_xll.FDSB(J8,"PROPER_NAME(0,,,""SECURITY"",""NAME"")")</f>
        <v>Swiss Policy Rate - Sight Deposit Rate</v>
      </c>
      <c r="L8" s="26" cm="1">
        <f t="array" ref="L8">_xll.FDSB(J8,"FG_YIELD(NOW,,,0)")</f>
        <v>1.25</v>
      </c>
      <c r="M8" s="36" cm="1">
        <f t="array" ref="M8">_xll.FDSB(J8,"(SUBARRAY(NOT_NA(NO_REPEAT_F(FG_YIELD(now,-10AY,D))),0,1)-SUBARRAY(NOT_NA(NO_REPEAT_F(FG_YIELD(now,-10AY,D))),1,1))*100")</f>
        <v>-25</v>
      </c>
      <c r="N8" s="38">
        <f t="shared" si="0"/>
        <v>25</v>
      </c>
      <c r="O8" s="26">
        <f t="shared" si="5"/>
        <v>0.81800000000000006</v>
      </c>
      <c r="S8">
        <f t="shared" si="1"/>
        <v>1</v>
      </c>
      <c r="T8">
        <f t="shared" si="2"/>
        <v>1</v>
      </c>
      <c r="U8">
        <f t="shared" si="3"/>
        <v>1</v>
      </c>
      <c r="V8" s="47">
        <f t="shared" si="4"/>
        <v>1</v>
      </c>
      <c r="X8">
        <f t="shared" si="6"/>
        <v>42.8</v>
      </c>
    </row>
    <row r="9" spans="1:24" x14ac:dyDescent="0.35">
      <c r="A9" t="s">
        <v>48</v>
      </c>
      <c r="B9" t="s">
        <v>115</v>
      </c>
      <c r="C9" t="s">
        <v>141</v>
      </c>
      <c r="D9" s="26" t="str" cm="1">
        <f t="array" ref="D9">_xll.FDSB(C9,"FG_YIELD_NAME")</f>
        <v>United Kingdom Benchmark Bond - 10 Year</v>
      </c>
      <c r="E9" s="26" cm="1">
        <f t="array" ref="E9">IFERROR(_xll.FDS(C9,"FG_YIELD(0,,,,""YTM"")"),$E$18)</f>
        <v>3.988</v>
      </c>
      <c r="G9" s="26" cm="1">
        <f t="array" ref="G9">_xll.FDSB(C9,"PCTCHG(FG_YIELD(0,,,,""YTM""),FG_YIELD(-1AM,,,,""YTM""))")</f>
        <v>-1.4822120999999999</v>
      </c>
      <c r="H9" s="26" cm="1">
        <f t="array" ref="H9">_xll.FDSB(C9,"PCTCHG(FG_YIELD(0,,,,""YTM""),FG_YIELD(-3AM,,,,""YTM""))")</f>
        <v>-9.0120930000000001</v>
      </c>
      <c r="I9" s="26"/>
      <c r="J9" s="26" t="str">
        <f>VLOOKUP(B9,mnemonics!$A$4:$D$78, 4, FALSE)</f>
        <v>REFGBBANK-FDS</v>
      </c>
      <c r="K9" s="26" t="str" cm="1">
        <f t="array" ref="K9">_xll.FDSB(J9,"PROPER_NAME(0,,,""SECURITY"",""NAME"")")</f>
        <v>UK Bank Rate</v>
      </c>
      <c r="L9" s="26" cm="1">
        <f t="array" ref="L9">_xll.FDSB(J9,"FG_YIELD(NOW,,,0)")</f>
        <v>5</v>
      </c>
      <c r="M9" s="36" cm="1">
        <f t="array" ref="M9">_xll.FDSB(J9,"(SUBARRAY(NOT_NA(NO_REPEAT_F(FG_YIELD(now,-10AY,D))),0,1)-SUBARRAY(NOT_NA(NO_REPEAT_F(FG_YIELD(now,-10AY,D))),1,1))*100")</f>
        <v>-25</v>
      </c>
      <c r="N9" s="38">
        <f t="shared" si="0"/>
        <v>25</v>
      </c>
      <c r="O9" s="26">
        <f t="shared" si="5"/>
        <v>1.012</v>
      </c>
      <c r="S9">
        <f t="shared" si="1"/>
        <v>1</v>
      </c>
      <c r="T9">
        <f t="shared" si="2"/>
        <v>1</v>
      </c>
      <c r="U9">
        <f t="shared" si="3"/>
        <v>1</v>
      </c>
      <c r="V9" s="47">
        <f t="shared" si="4"/>
        <v>1</v>
      </c>
      <c r="X9">
        <f t="shared" si="6"/>
        <v>42.8</v>
      </c>
    </row>
    <row r="10" spans="1:24" x14ac:dyDescent="0.35">
      <c r="A10" t="s">
        <v>51</v>
      </c>
      <c r="B10" t="s">
        <v>119</v>
      </c>
      <c r="C10" t="s">
        <v>14</v>
      </c>
      <c r="D10" s="26" t="str" cm="1">
        <f t="array" ref="D10">_xll.FDSB(C10,"FG_YIELD_NAME")</f>
        <v>US Benchmark Bond - 10 Year</v>
      </c>
      <c r="E10" s="26" cm="1">
        <f t="array" ref="E10">IFERROR(_xll.FDS(C10,"FG_YIELD(0,,,,""YTM"")"),$E$18)</f>
        <v>3.8681999999999999</v>
      </c>
      <c r="G10" s="26" cm="1">
        <f t="array" ref="G10">_xll.FDSB(C10,"PCTCHG(FG_YIELD(0,,,,""YTM""),FG_YIELD(-1AM,,,,""YTM""))")</f>
        <v>-7.2707689999999996</v>
      </c>
      <c r="H10" s="26" cm="1">
        <f t="array" ref="H10">_xll.FDSB(C10,"PCTCHG(FG_YIELD(0,,,,""YTM""),FG_YIELD(-3AM,,,,""YTM""))")</f>
        <v>-16.140218999999998</v>
      </c>
      <c r="I10" s="26"/>
      <c r="J10" s="26" t="str">
        <f>VLOOKUP(B10,mnemonics!$A$4:$D$78, 4, FALSE)</f>
        <v>REFFFUND-FDS</v>
      </c>
      <c r="K10" s="26" t="str" cm="1">
        <f t="array" ref="K10">_xll.FDSB(J10,"PROPER_NAME(0,,,""SECURITY"",""NAME"")")</f>
        <v>US Federal Funds Target Rate</v>
      </c>
      <c r="L10" s="26" cm="1">
        <f t="array" ref="L10">_xll.FDSB(J10,"FG_YIELD(NOW,,,0)")</f>
        <v>5.5</v>
      </c>
      <c r="M10" s="36" cm="1">
        <f t="array" ref="M10">_xll.FDSB(J10,"(SUBARRAY(NOT_NA(NO_REPEAT_F(FG_YIELD(now,-10AY,D))),0,1)-SUBARRAY(NOT_NA(NO_REPEAT_F(FG_YIELD(now,-10AY,D))),1,1))*100")</f>
        <v>25</v>
      </c>
      <c r="N10" s="38">
        <f t="shared" si="0"/>
        <v>-25</v>
      </c>
      <c r="O10" s="26">
        <f t="shared" si="5"/>
        <v>1.6318000000000001</v>
      </c>
      <c r="S10">
        <f t="shared" si="1"/>
        <v>0</v>
      </c>
      <c r="T10">
        <f t="shared" si="2"/>
        <v>1</v>
      </c>
      <c r="U10">
        <f t="shared" si="3"/>
        <v>1</v>
      </c>
      <c r="V10" s="47">
        <f t="shared" si="4"/>
        <v>0.5</v>
      </c>
      <c r="X10">
        <f t="shared" si="6"/>
        <v>7.1</v>
      </c>
    </row>
    <row r="11" spans="1:24" x14ac:dyDescent="0.35">
      <c r="A11" t="s">
        <v>1</v>
      </c>
      <c r="B11" t="s">
        <v>119</v>
      </c>
      <c r="C11" t="s">
        <v>14</v>
      </c>
      <c r="D11" s="26" t="str" cm="1">
        <f t="array" ref="D11">_xll.FDSB(C11,"FG_YIELD_NAME")</f>
        <v>US Benchmark Bond - 10 Year</v>
      </c>
      <c r="E11" s="26" cm="1">
        <f t="array" ref="E11">IFERROR(_xll.FDS(C11,"FG_YIELD(0,,,,""YTM"")"),$E$18)</f>
        <v>3.8681999999999999</v>
      </c>
      <c r="G11" s="26" cm="1">
        <f t="array" ref="G11">_xll.FDSB(C11,"PCTCHG(FG_YIELD(0,,,,""YTM""),FG_YIELD(-1AM,,,,""YTM""))")</f>
        <v>-7.2707689999999996</v>
      </c>
      <c r="H11" s="26" cm="1">
        <f t="array" ref="H11">_xll.FDSB(C11,"PCTCHG(FG_YIELD(0,,,,""YTM""),FG_YIELD(-3AM,,,,""YTM""))")</f>
        <v>-16.140218999999998</v>
      </c>
      <c r="I11" s="26"/>
      <c r="J11" s="26" t="str">
        <f>VLOOKUP(B11,mnemonics!$A$4:$D$78, 4, FALSE)</f>
        <v>REFFFUND-FDS</v>
      </c>
      <c r="K11" s="26" t="str" cm="1">
        <f t="array" ref="K11">_xll.FDSB(J11,"PROPER_NAME(0,,,""SECURITY"",""NAME"")")</f>
        <v>US Federal Funds Target Rate</v>
      </c>
      <c r="L11" s="26" cm="1">
        <f t="array" ref="L11">_xll.FDSB(J11,"FG_YIELD(NOW,,,0)")</f>
        <v>5.5</v>
      </c>
      <c r="M11" s="36" cm="1">
        <f t="array" ref="M11">_xll.FDSB(J11,"(SUBARRAY(NOT_NA(NO_REPEAT_F(FG_YIELD(now,-10AY,D))),0,1)-SUBARRAY(NOT_NA(NO_REPEAT_F(FG_YIELD(now,-10AY,D))),1,1))*100")</f>
        <v>25</v>
      </c>
      <c r="N11" s="38">
        <f t="shared" si="0"/>
        <v>-25</v>
      </c>
      <c r="O11" s="26">
        <f t="shared" si="5"/>
        <v>1.6318000000000001</v>
      </c>
      <c r="S11">
        <f t="shared" si="1"/>
        <v>0</v>
      </c>
      <c r="T11">
        <f t="shared" si="2"/>
        <v>1</v>
      </c>
      <c r="U11">
        <f t="shared" si="3"/>
        <v>1</v>
      </c>
      <c r="V11" s="47">
        <f t="shared" si="4"/>
        <v>0.5</v>
      </c>
      <c r="X11">
        <f t="shared" si="6"/>
        <v>7.1</v>
      </c>
    </row>
    <row r="12" spans="1:24" x14ac:dyDescent="0.35">
      <c r="A12" t="s">
        <v>865</v>
      </c>
      <c r="B12" t="s">
        <v>106</v>
      </c>
      <c r="C12" t="s">
        <v>133</v>
      </c>
      <c r="D12" s="26" t="str" cm="1">
        <f t="array" ref="D12">_xll.FDSB(C12,"FG_YIELD_NAME")</f>
        <v>France Benchmark Bond - 10 Year</v>
      </c>
      <c r="E12" s="26" cm="1">
        <f t="array" ref="E12">IFERROR(_xll.FDS(C12,"FG_YIELD(0,,,,""YTM"")"),$E$18)</f>
        <v>2.9860000000000002</v>
      </c>
      <c r="G12" s="26" cm="1">
        <f t="array" ref="G12">_xll.FDSB(C12,"PCTCHG(FG_YIELD(0,,,,""YTM""),FG_YIELD(-1AM,,,,""YTM""))")</f>
        <v>-2.7361521999999998</v>
      </c>
      <c r="H12" s="26" cm="1">
        <f t="array" ref="H12">_xll.FDSB(C12,"PCTCHG(FG_YIELD(0,,,,""YTM""),FG_YIELD(-3AM,,,,""YTM""))")</f>
        <v>-4.7527889999999999</v>
      </c>
      <c r="I12" s="26"/>
      <c r="J12" s="26" t="str">
        <f>VLOOKUP(B12,mnemonics!$A$4:$D$78, 4, FALSE)</f>
        <v>REFEUREFI-FDS</v>
      </c>
      <c r="K12" s="26" t="str" cm="1">
        <f t="array" ref="K12">_xll.FDSB(J12,"PROPER_NAME(0,,,""SECURITY"",""NAME"")")</f>
        <v>Eurozone Main Refinancing Operations Minimum Bid Rate</v>
      </c>
      <c r="L12" s="26" cm="1">
        <f t="array" ref="L12">_xll.FDSB(J12,"FG_YIELD(NOW,,,0)")</f>
        <v>4.25</v>
      </c>
      <c r="M12" s="36" cm="1">
        <f t="array" ref="M12">_xll.FDSB(J12,"(SUBARRAY(NOT_NA(NO_REPEAT_F(FG_YIELD(now,-10AY,D))),0,1)-SUBARRAY(NOT_NA(NO_REPEAT_F(FG_YIELD(now,-10AY,D))),1,1))*100")</f>
        <v>-25</v>
      </c>
      <c r="N12" s="38">
        <f t="shared" si="0"/>
        <v>25</v>
      </c>
      <c r="O12" s="26">
        <f t="shared" si="5"/>
        <v>1.2639999999999998</v>
      </c>
      <c r="S12">
        <f t="shared" si="1"/>
        <v>1</v>
      </c>
      <c r="T12">
        <f t="shared" si="2"/>
        <v>1</v>
      </c>
      <c r="U12">
        <f t="shared" si="3"/>
        <v>1</v>
      </c>
      <c r="V12" s="47">
        <f t="shared" si="4"/>
        <v>1</v>
      </c>
      <c r="X12">
        <f t="shared" si="6"/>
        <v>42.8</v>
      </c>
    </row>
    <row r="13" spans="1:24" x14ac:dyDescent="0.35">
      <c r="A13" t="s">
        <v>867</v>
      </c>
      <c r="B13" t="s">
        <v>875</v>
      </c>
      <c r="C13" t="s">
        <v>877</v>
      </c>
      <c r="D13" s="26" t="str" cm="1">
        <f t="array" ref="D13">_xll.FDSB(C13,"FG_YIELD_NAME")</f>
        <v>Netherlands Benchmark Bond - 10 Year</v>
      </c>
      <c r="E13" s="26" cm="1">
        <f t="array" ref="E13">IFERROR(_xll.FDS(C13,"FG_YIELD(0,,,,""YTM"")"),$E$18)</f>
        <v>2.5449999999999999</v>
      </c>
      <c r="G13" s="26" cm="1">
        <f t="array" ref="G13">_xll.FDSB(C13,"PCTCHG(FG_YIELD(0,,,,""YTM""),FG_YIELD(-1AM,,,,""YTM""))")</f>
        <v>-3.8170760000000001</v>
      </c>
      <c r="H13" s="26" cm="1">
        <f t="array" ref="H13">_xll.FDSB(C13,"PCTCHG(FG_YIELD(0,,,,""YTM""),FG_YIELD(-3AM,,,,""YTM""))")</f>
        <v>-13.699553</v>
      </c>
      <c r="I13" s="26"/>
      <c r="J13" s="26" t="str">
        <f>VLOOKUP(B13,mnemonics!$A$4:$D$78, 4, FALSE)</f>
        <v>REFEUREFI-FDS</v>
      </c>
      <c r="K13" s="26" t="str" cm="1">
        <f t="array" ref="K13">_xll.FDSB(J13,"PROPER_NAME(0,,,""SECURITY"",""NAME"")")</f>
        <v>Eurozone Main Refinancing Operations Minimum Bid Rate</v>
      </c>
      <c r="L13" s="26" cm="1">
        <f t="array" ref="L13">_xll.FDSB(J13,"FG_YIELD(NOW,,,0)")</f>
        <v>4.25</v>
      </c>
      <c r="M13" s="36" cm="1">
        <f t="array" ref="M13">_xll.FDSB(J13,"(SUBARRAY(NOT_NA(NO_REPEAT_F(FG_YIELD(now,-10AY,D))),0,1)-SUBARRAY(NOT_NA(NO_REPEAT_F(FG_YIELD(now,-10AY,D))),1,1))*100")</f>
        <v>-25</v>
      </c>
      <c r="N13" s="38">
        <f t="shared" si="0"/>
        <v>25</v>
      </c>
      <c r="O13" s="26">
        <f t="shared" si="5"/>
        <v>1.7050000000000001</v>
      </c>
      <c r="S13">
        <f t="shared" si="1"/>
        <v>1</v>
      </c>
      <c r="T13">
        <f t="shared" si="2"/>
        <v>1</v>
      </c>
      <c r="U13">
        <f t="shared" si="3"/>
        <v>1</v>
      </c>
      <c r="V13" s="47">
        <f t="shared" si="4"/>
        <v>1</v>
      </c>
      <c r="X13">
        <f t="shared" si="6"/>
        <v>42.8</v>
      </c>
    </row>
    <row r="14" spans="1:24" x14ac:dyDescent="0.35">
      <c r="A14" t="s">
        <v>864</v>
      </c>
      <c r="B14" t="s">
        <v>272</v>
      </c>
      <c r="C14" t="s">
        <v>878</v>
      </c>
      <c r="D14" s="26" t="str" cm="1">
        <f t="array" ref="D14">_xll.FDSB(C14,"FG_YIELD_NAME")</f>
        <v>Sweden Benchmark Bond - 10 Year</v>
      </c>
      <c r="E14" s="26" cm="1">
        <f t="array" ref="E14">IFERROR(_xll.FDS(C14,"FG_YIELD(0,,,,""YTM"")"),$E$18)</f>
        <v>2.073</v>
      </c>
      <c r="G14" s="26" cm="1">
        <f t="array" ref="G14">_xll.FDSB(C14,"PCTCHG(FG_YIELD(0,,,,""YTM""),FG_YIELD(-1AM,,,,""YTM""))")</f>
        <v>1.2206961000000001</v>
      </c>
      <c r="H14" s="26" cm="1">
        <f t="array" ref="H14">_xll.FDSB(C14,"PCTCHG(FG_YIELD(0,,,,""YTM""),FG_YIELD(-3AM,,,,""YTM""))")</f>
        <v>-15.075789</v>
      </c>
      <c r="I14" s="26"/>
      <c r="J14" s="26" t="str">
        <f>VLOOKUP(B14,mnemonics!$A$4:$D$78, 4, FALSE)</f>
        <v>REFSEREPO-FDS</v>
      </c>
      <c r="K14" s="26" t="str" cm="1">
        <f t="array" ref="K14">_xll.FDSB(J14,"PROPER_NAME(0,,,""SECURITY"",""NAME"")")</f>
        <v>Sweden Repo Rate</v>
      </c>
      <c r="L14" s="26" cm="1">
        <f t="array" ref="L14">_xll.FDSB(J14,"FG_YIELD(NOW,,,0)")</f>
        <v>3.5</v>
      </c>
      <c r="M14" s="36" cm="1">
        <f t="array" ref="M14">_xll.FDSB(J14,"(SUBARRAY(NOT_NA(NO_REPEAT_F(FG_YIELD(now,-10AY,D))),0,1)-SUBARRAY(NOT_NA(NO_REPEAT_F(FG_YIELD(now,-10AY,D))),1,1))*100")</f>
        <v>-25</v>
      </c>
      <c r="N14" s="38">
        <f t="shared" si="0"/>
        <v>25</v>
      </c>
      <c r="O14" s="26">
        <f t="shared" si="5"/>
        <v>1.427</v>
      </c>
      <c r="S14">
        <f t="shared" si="1"/>
        <v>1</v>
      </c>
      <c r="T14">
        <f t="shared" si="2"/>
        <v>0</v>
      </c>
      <c r="U14">
        <f t="shared" si="3"/>
        <v>1</v>
      </c>
      <c r="V14" s="47">
        <f t="shared" si="4"/>
        <v>0.75</v>
      </c>
      <c r="X14">
        <f t="shared" si="6"/>
        <v>35.699999999999996</v>
      </c>
    </row>
    <row r="15" spans="1:24" x14ac:dyDescent="0.35">
      <c r="A15" t="s">
        <v>866</v>
      </c>
      <c r="B15" t="s">
        <v>876</v>
      </c>
      <c r="C15" t="s">
        <v>879</v>
      </c>
      <c r="D15" s="26" t="str" cm="1">
        <f t="array" ref="D15">_xll.FDSB(C15,"FG_YIELD_NAME")</f>
        <v>Italy Benchmark Bond - 10 Year</v>
      </c>
      <c r="E15" s="26" cm="1">
        <f t="array" ref="E15">IFERROR(_xll.FDS(C15,"FG_YIELD(0,,,,""YTM"")"),$E$18)</f>
        <v>3.6469999999999998</v>
      </c>
      <c r="G15" s="26" cm="1">
        <f t="array" ref="G15">_xll.FDSB(C15,"PCTCHG(FG_YIELD(0,,,,""YTM""),FG_YIELD(-1AM,,,,""YTM""))")</f>
        <v>-1.7245995999999999</v>
      </c>
      <c r="H15" s="26" cm="1">
        <f t="array" ref="H15">_xll.FDSB(C15,"PCTCHG(FG_YIELD(0,,,,""YTM""),FG_YIELD(-3AM,,,,""YTM""))")</f>
        <v>-8.1591500000000003</v>
      </c>
      <c r="I15" s="26"/>
      <c r="J15" s="26" t="str">
        <f>VLOOKUP(B15,mnemonics!$A$4:$D$78, 4, FALSE)</f>
        <v>REFEUREFI-FDS</v>
      </c>
      <c r="K15" s="26" t="str" cm="1">
        <f t="array" ref="K15">_xll.FDSB(J15,"PROPER_NAME(0,,,""SECURITY"",""NAME"")")</f>
        <v>Eurozone Main Refinancing Operations Minimum Bid Rate</v>
      </c>
      <c r="L15" s="26" cm="1">
        <f t="array" ref="L15">_xll.FDSB(J15,"FG_YIELD(NOW,,,0)")</f>
        <v>4.25</v>
      </c>
      <c r="M15" s="36" cm="1">
        <f t="array" ref="M15">_xll.FDSB(J15,"(SUBARRAY(NOT_NA(NO_REPEAT_F(FG_YIELD(now,-10AY,D))),0,1)-SUBARRAY(NOT_NA(NO_REPEAT_F(FG_YIELD(now,-10AY,D))),1,1))*100")</f>
        <v>-25</v>
      </c>
      <c r="N15" s="38">
        <f t="shared" si="0"/>
        <v>25</v>
      </c>
      <c r="O15" s="26">
        <f t="shared" si="5"/>
        <v>0.6030000000000002</v>
      </c>
      <c r="S15">
        <f t="shared" si="1"/>
        <v>1</v>
      </c>
      <c r="T15">
        <f t="shared" si="2"/>
        <v>1</v>
      </c>
      <c r="U15">
        <f t="shared" si="3"/>
        <v>1</v>
      </c>
      <c r="V15" s="47">
        <f t="shared" si="4"/>
        <v>1</v>
      </c>
      <c r="X15">
        <f t="shared" si="6"/>
        <v>42.8</v>
      </c>
    </row>
    <row r="16" spans="1:24" x14ac:dyDescent="0.35">
      <c r="D16" s="26"/>
      <c r="E16" s="26"/>
      <c r="G16" s="26"/>
      <c r="H16" s="26"/>
      <c r="J16" s="26"/>
      <c r="K16" s="26"/>
      <c r="L16" s="26"/>
      <c r="M16" s="36"/>
      <c r="N16" s="38"/>
      <c r="V16" s="50"/>
    </row>
    <row r="17" spans="1:22" x14ac:dyDescent="0.35">
      <c r="D17" s="26"/>
      <c r="E17" s="26"/>
      <c r="G17" s="26"/>
      <c r="H17" s="26"/>
      <c r="J17" s="26"/>
      <c r="K17" s="26"/>
      <c r="L17" s="26"/>
      <c r="M17" s="36"/>
      <c r="N17" s="38"/>
      <c r="V17" s="50"/>
    </row>
    <row r="18" spans="1:22" x14ac:dyDescent="0.35">
      <c r="A18" t="s">
        <v>1</v>
      </c>
      <c r="B18" t="s">
        <v>119</v>
      </c>
      <c r="C18" t="s">
        <v>14</v>
      </c>
      <c r="D18" s="26" t="str" cm="1">
        <f t="array" ref="D18">_xll.FDSB(C18,"FG_YIELD_NAME")</f>
        <v>US Benchmark Bond - 10 Year</v>
      </c>
      <c r="E18" s="26" cm="1">
        <f t="array" ref="E18">IFERROR(_xll.FDS(C18,"FG_YIELD(0,,,,""YTM"")"),E47)</f>
        <v>3.8681999999999999</v>
      </c>
      <c r="G18" s="26"/>
      <c r="H18" s="26"/>
      <c r="J18" s="26"/>
      <c r="K18" s="26"/>
      <c r="L18" s="26"/>
      <c r="M18" s="36"/>
      <c r="N18" s="38"/>
      <c r="V18" s="50"/>
    </row>
    <row r="19" spans="1:22" x14ac:dyDescent="0.35">
      <c r="D19" s="26"/>
      <c r="E19" s="26"/>
      <c r="G19" s="26"/>
      <c r="H19" s="26"/>
      <c r="J19" s="26"/>
      <c r="K19" s="26"/>
      <c r="L19" s="26"/>
      <c r="M19" s="36"/>
      <c r="N19" s="38"/>
      <c r="V19" s="50"/>
    </row>
    <row r="20" spans="1:22" x14ac:dyDescent="0.35">
      <c r="D20" s="26"/>
      <c r="E20" s="26"/>
      <c r="G20" s="26"/>
      <c r="H20" s="26"/>
      <c r="J20" s="26"/>
      <c r="K20" s="26"/>
      <c r="L20" s="26"/>
      <c r="M20" s="36"/>
      <c r="N20" s="38"/>
      <c r="V20" s="50"/>
    </row>
    <row r="21" spans="1:22" x14ac:dyDescent="0.35">
      <c r="D21" s="26"/>
      <c r="E21" s="26"/>
      <c r="G21" s="26"/>
      <c r="H21" s="26"/>
      <c r="J21" s="26"/>
      <c r="K21" s="26"/>
      <c r="L21" s="26"/>
      <c r="M21" s="36"/>
      <c r="N21" s="38"/>
      <c r="V21" s="50"/>
    </row>
    <row r="22" spans="1:22" x14ac:dyDescent="0.35">
      <c r="D22" s="26"/>
      <c r="E22" s="26"/>
      <c r="G22" s="26"/>
      <c r="H22" s="26"/>
      <c r="J22" s="26"/>
      <c r="K22" s="26"/>
      <c r="L22" s="26"/>
      <c r="M22" s="36"/>
      <c r="N22" s="38"/>
      <c r="V22" s="50"/>
    </row>
    <row r="27" spans="1:22" ht="18.5" x14ac:dyDescent="0.45">
      <c r="A27" s="34"/>
      <c r="B27" s="35"/>
      <c r="C27" s="35"/>
      <c r="D27" s="35"/>
      <c r="E27" s="35"/>
      <c r="F27" s="35"/>
      <c r="G27" s="35"/>
      <c r="H27" s="35"/>
    </row>
    <row r="34" spans="3:6" x14ac:dyDescent="0.35">
      <c r="C34" s="1"/>
      <c r="D34" s="1"/>
      <c r="E34" s="1"/>
      <c r="F34" s="1"/>
    </row>
    <row r="35" spans="3:6" x14ac:dyDescent="0.35">
      <c r="C35" s="1"/>
      <c r="D35" s="1"/>
      <c r="E35" s="1"/>
      <c r="F35" s="1"/>
    </row>
    <row r="36" spans="3:6" x14ac:dyDescent="0.35">
      <c r="C36" s="1"/>
      <c r="D36" s="1"/>
      <c r="E36" s="1"/>
      <c r="F36" s="1"/>
    </row>
    <row r="55" spans="3:6" x14ac:dyDescent="0.35">
      <c r="C55" s="1"/>
      <c r="D55" s="1"/>
      <c r="E55" s="1"/>
      <c r="F55" s="1"/>
    </row>
    <row r="71" spans="4:6" x14ac:dyDescent="0.35">
      <c r="D71" s="1"/>
      <c r="E71" s="1"/>
      <c r="F71" s="1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4CEC8C64-1FC2-4C2A-A24E-B32B6F8FDCDC}">
            <x14:iconSet iconSet="3Arrows" showValue="0" custom="1">
              <x14:cfvo type="percent">
                <xm:f>0</xm:f>
              </x14:cfvo>
              <x14:cfvo type="num">
                <xm:f>0</xm:f>
              </x14:cfvo>
              <x14:cfvo type="num" gte="0">
                <xm:f>25</xm:f>
              </x14:cfvo>
              <x14:cfIcon iconSet="3Arrows" iconId="0"/>
              <x14:cfIcon iconSet="3Arrows" iconId="2"/>
              <x14:cfIcon iconSet="3Arrows" iconId="2"/>
            </x14:iconSet>
          </x14:cfRule>
          <xm:sqref>N3:N22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3EC6B-6F25-4D08-A3D6-333E82FBCB4A}">
  <dimension ref="A1:S14"/>
  <sheetViews>
    <sheetView workbookViewId="0">
      <selection activeCell="A2" sqref="A2"/>
    </sheetView>
  </sheetViews>
  <sheetFormatPr defaultRowHeight="14.5" x14ac:dyDescent="0.35"/>
  <cols>
    <col min="1" max="1" width="19.81640625" customWidth="1"/>
    <col min="2" max="2" width="5.54296875" bestFit="1" customWidth="1"/>
    <col min="3" max="3" width="10.453125" customWidth="1"/>
    <col min="4" max="4" width="14.453125" customWidth="1"/>
    <col min="5" max="5" width="27.453125" bestFit="1" customWidth="1"/>
    <col min="6" max="6" width="17.453125" customWidth="1"/>
    <col min="7" max="7" width="12" bestFit="1" customWidth="1"/>
    <col min="8" max="8" width="17.54296875" customWidth="1"/>
    <col min="9" max="9" width="26.81640625" bestFit="1" customWidth="1"/>
    <col min="10" max="10" width="20.54296875" customWidth="1"/>
    <col min="11" max="11" width="17.81640625" style="74" customWidth="1"/>
    <col min="12" max="13" width="15.1796875" customWidth="1"/>
    <col min="14" max="14" width="11.453125" customWidth="1"/>
    <col min="15" max="15" width="20" customWidth="1"/>
    <col min="16" max="16" width="15.453125" customWidth="1"/>
    <col min="17" max="17" width="17.453125" customWidth="1"/>
    <col min="18" max="18" width="14.1796875" customWidth="1"/>
    <col min="19" max="19" width="11.1796875" customWidth="1"/>
  </cols>
  <sheetData>
    <row r="1" spans="1:19" ht="29" x14ac:dyDescent="0.35">
      <c r="A1" s="72" t="s">
        <v>531</v>
      </c>
      <c r="B1" s="72" t="s">
        <v>518</v>
      </c>
      <c r="C1" s="72" t="s">
        <v>519</v>
      </c>
      <c r="D1" s="72" t="s">
        <v>96</v>
      </c>
      <c r="E1" s="72" t="s">
        <v>97</v>
      </c>
      <c r="F1" s="72" t="s">
        <v>98</v>
      </c>
      <c r="G1" s="75" t="s">
        <v>380</v>
      </c>
      <c r="H1" s="75" t="s">
        <v>408</v>
      </c>
      <c r="I1" s="75" t="s">
        <v>529</v>
      </c>
      <c r="J1" s="75" t="s">
        <v>532</v>
      </c>
      <c r="K1" s="76" t="s">
        <v>735</v>
      </c>
      <c r="L1" s="75" t="s">
        <v>528</v>
      </c>
      <c r="M1" s="75" t="s">
        <v>540</v>
      </c>
      <c r="N1" s="72" t="s">
        <v>733</v>
      </c>
      <c r="O1" s="72" t="s">
        <v>734</v>
      </c>
      <c r="P1" s="72" t="s">
        <v>736</v>
      </c>
      <c r="Q1" s="72" t="s">
        <v>533</v>
      </c>
      <c r="R1" s="72" t="s">
        <v>534</v>
      </c>
      <c r="S1" s="72" t="s">
        <v>542</v>
      </c>
    </row>
    <row r="2" spans="1:19" x14ac:dyDescent="0.35">
      <c r="A2" t="s">
        <v>431</v>
      </c>
      <c r="B2" t="s">
        <v>431</v>
      </c>
      <c r="C2" t="str" cm="1">
        <f t="array" ref="C2">_xll.FDS(B2,"FG_COMPANY_NAME")</f>
        <v>iShares MSCI New Zealand ETF</v>
      </c>
      <c r="D2" t="s">
        <v>197</v>
      </c>
      <c r="E2" t="s">
        <v>449</v>
      </c>
      <c r="F2" t="str" cm="1">
        <f t="array" ref="F2">_xll.FDS(E2,"FG_YIELD_NAME")</f>
        <v>New Zealand Benchmark Bond - 10 Year</v>
      </c>
      <c r="G2">
        <f>VLOOKUP(A2,'LIQIDITY 2'!$A$3:$E$15,5,FALSE)</f>
        <v>4.2854000000000001</v>
      </c>
      <c r="H2" cm="1">
        <f t="array" ref="H2">_xll.FDS(B2,"FG_ROE(0)")</f>
        <v>3.5139162062159399</v>
      </c>
      <c r="I2">
        <f>HLOOKUP(B2,'Index ROE'!$B$1:$N$25,24,FALSE)</f>
        <v>9.8238973987983247</v>
      </c>
      <c r="J2" cm="1">
        <f t="array" ref="J2">_xll.FDS(B2, "FMA_RBICS_REV_CURRENT(30, LOC, ""PORTAGG"")")</f>
        <v>14.3368259139163</v>
      </c>
      <c r="K2" s="74">
        <f>HLOOKUP(B2,'Index earnings'!$B$1:$N$25,25,FALSE)</f>
        <v>-9.3828148339384354E-3</v>
      </c>
      <c r="L2">
        <f>HLOOKUP(A2,'Yearly returns'!$B$1:$N$128,126,FALSE)</f>
        <v>-30.397856000000001</v>
      </c>
      <c r="M2">
        <f t="shared" ref="M2:M10" si="0">I2-G2</f>
        <v>5.5384973987983246</v>
      </c>
      <c r="N2" cm="1">
        <f t="array" ref="N2">_xlfn.PERCENTRANK.EXC(_xlfn._xlws.FILTER(M$2:M$14, ISNUMBER(M$2:M$14)),M2)*100</f>
        <v>7.1</v>
      </c>
      <c r="O2" cm="1">
        <f t="array" ref="O2">(1-_xlfn.PERCENTRANK.EXC(_xlfn._xlws.FILTER(J$2:J$14, ISNUMBER(J$2:J$14)),J2))*100</f>
        <v>71.500000000000014</v>
      </c>
      <c r="P2" cm="1">
        <f t="array" ref="P2">_xlfn.PERCENTRANK.EXC(_xlfn._xlws.FILTER(K$2:K$14, ISNUMBER(K$2:K$14)),K2)*100</f>
        <v>7.1</v>
      </c>
      <c r="Q2" cm="1">
        <f t="array" ref="Q2">_xlfn.PERCENTRANK.EXC(_xlfn._xlws.FILTER(L$2:L$14, ISNUMBER(L$2:L$14)),L2)*100</f>
        <v>35.699999999999996</v>
      </c>
      <c r="R2">
        <f>N2*Assumption!$F$64 + O2*Assumption!$F$61 + P2*Assumption!$F$62 + Q2*Assumption!$F$63</f>
        <v>30.35</v>
      </c>
      <c r="S2" cm="1">
        <f t="array" ref="S2">_xlfn.PERCENTRANK.EXC(_xlfn._xlws.FILTER(R$2:R$14, ISNUMBER(R$2:R$14)),R2)*100</f>
        <v>14.2</v>
      </c>
    </row>
    <row r="3" spans="1:19" x14ac:dyDescent="0.35">
      <c r="A3" t="s">
        <v>44</v>
      </c>
      <c r="B3" t="s">
        <v>44</v>
      </c>
      <c r="C3" t="str" cm="1">
        <f t="array" ref="C3">_xll.FDS(B3,"FG_COMPANY_NAME")</f>
        <v>iShares MSCI Australia ETF</v>
      </c>
      <c r="D3" t="s">
        <v>113</v>
      </c>
      <c r="E3" t="s">
        <v>138</v>
      </c>
      <c r="F3" t="str" cm="1">
        <f t="array" ref="F3">_xll.FDS(E3,"FG_YIELD_NAME")</f>
        <v>Australia Benchmark Bond - 10 Year</v>
      </c>
      <c r="G3">
        <f>VLOOKUP(A3,'LIQIDITY 2'!$A$3:$E$15,5,FALSE)</f>
        <v>3.9540000000000002</v>
      </c>
      <c r="H3" cm="1">
        <f t="array" ref="H3">_xll.FDS(B3,"FG_ROE(0)")</f>
        <v>12.510820313360499</v>
      </c>
      <c r="I3">
        <f>HLOOKUP(B3,'Index ROE'!$B$1:$N$25,24,FALSE)</f>
        <v>13.020733299173699</v>
      </c>
      <c r="J3" cm="1">
        <f t="array" ref="J3">_xll.FDS(B3, "FMA_RBICS_REV_CURRENT(30, LOC, ""PORTAGG"")")</f>
        <v>43.329225197178197</v>
      </c>
      <c r="K3" s="74">
        <f>HLOOKUP(B3,'Index earnings'!$B$1:$N$25,25,FALSE)</f>
        <v>1.1174820218081027E-2</v>
      </c>
      <c r="L3">
        <f>HLOOKUP(A3,'Yearly returns'!$B$1:$N$128,126,FALSE)</f>
        <v>-28.844785999999999</v>
      </c>
      <c r="M3">
        <f t="shared" si="0"/>
        <v>9.0667332991736984</v>
      </c>
      <c r="N3" cm="1">
        <f t="array" ref="N3">_xlfn.PERCENTRANK.EXC(_xlfn._xlws.FILTER(M$2:M$14, ISNUMBER(M$2:M$14)),M3)*100</f>
        <v>35.699999999999996</v>
      </c>
      <c r="O3" cm="1">
        <f t="array" ref="O3">(1-_xlfn.PERCENTRANK.EXC(_xlfn._xlws.FILTER(J$2:J$14, ISNUMBER(J$2:J$14)),J3))*100</f>
        <v>7.1999999999999957</v>
      </c>
      <c r="P3" cm="1">
        <f t="array" ref="P3">_xlfn.PERCENTRANK.EXC(_xlfn._xlws.FILTER(K$2:K$14, ISNUMBER(K$2:K$14)),K3)*100</f>
        <v>28.499999999999996</v>
      </c>
      <c r="Q3" cm="1">
        <f t="array" ref="Q3">_xlfn.PERCENTRANK.EXC(_xlfn._xlws.FILTER(L$2:L$14, ISNUMBER(L$2:L$14)),L3)*100</f>
        <v>57.099999999999994</v>
      </c>
      <c r="R3">
        <f>N3*Assumption!$F$64 + O3*Assumption!$F$61 + P3*Assumption!$F$62 + Q3*Assumption!$F$63</f>
        <v>32.125</v>
      </c>
      <c r="S3" cm="1">
        <f t="array" ref="S3">_xlfn.PERCENTRANK.EXC(_xlfn._xlws.FILTER(R$2:R$14, ISNUMBER(R$2:R$14)),R3)*100</f>
        <v>21.4</v>
      </c>
    </row>
    <row r="4" spans="1:19" x14ac:dyDescent="0.35">
      <c r="A4" t="s">
        <v>49</v>
      </c>
      <c r="B4" t="s">
        <v>49</v>
      </c>
      <c r="C4" t="str" cm="1">
        <f t="array" ref="C4">_xll.FDS(B4,"FG_COMPANY_NAME")</f>
        <v>iShares MSCI Canada ETF</v>
      </c>
      <c r="D4" t="s">
        <v>116</v>
      </c>
      <c r="E4" t="s">
        <v>142</v>
      </c>
      <c r="F4" t="str" cm="1">
        <f t="array" ref="F4">_xll.FDS(E4,"FG_YIELD_NAME")</f>
        <v>Canada Benchmark Bond - 10 Year</v>
      </c>
      <c r="G4">
        <f>VLOOKUP(A4,'LIQIDITY 2'!$A$3:$E$15,5,FALSE)</f>
        <v>3.1278999999999999</v>
      </c>
      <c r="H4" cm="1">
        <f t="array" ref="H4">_xll.FDS(B4,"FG_ROE(0)")</f>
        <v>10.893287700661601</v>
      </c>
      <c r="I4">
        <f>HLOOKUP(B4,'Index ROE'!$B$1:$N$25,24,FALSE)</f>
        <v>12.7516875895064</v>
      </c>
      <c r="J4" cm="1">
        <f t="array" ref="J4">_xll.FDS(B4, "FMA_RBICS_REV_CURRENT(30, LOC, ""PORTAGG"")")</f>
        <v>39.987632295614503</v>
      </c>
      <c r="K4" s="74">
        <f>HLOOKUP(B4,'Index earnings'!$B$1:$N$25,25,FALSE)</f>
        <v>4.091721115481306E-2</v>
      </c>
      <c r="L4">
        <f>HLOOKUP(A4,'Yearly returns'!$B$1:$N$128,126,FALSE)</f>
        <v>-26.077006999999998</v>
      </c>
      <c r="M4">
        <f t="shared" si="0"/>
        <v>9.6237875895063993</v>
      </c>
      <c r="N4" cm="1">
        <f t="array" ref="N4">_xlfn.PERCENTRANK.EXC(_xlfn._xlws.FILTER(M$2:M$14, ISNUMBER(M$2:M$14)),M4)*100</f>
        <v>42.8</v>
      </c>
      <c r="O4" cm="1">
        <f t="array" ref="O4">(1-_xlfn.PERCENTRANK.EXC(_xlfn._xlws.FILTER(J$2:J$14, ISNUMBER(J$2:J$14)),J4))*100</f>
        <v>14.3</v>
      </c>
      <c r="P4" cm="1">
        <f t="array" ref="P4">_xlfn.PERCENTRANK.EXC(_xlfn._xlws.FILTER(K$2:K$14, ISNUMBER(K$2:K$14)),K4)*100</f>
        <v>71.399999999999991</v>
      </c>
      <c r="Q4" cm="1">
        <f t="array" ref="Q4">_xlfn.PERCENTRANK.EXC(_xlfn._xlws.FILTER(L$2:L$14, ISNUMBER(L$2:L$14)),L4)*100</f>
        <v>71.399999999999991</v>
      </c>
      <c r="R4">
        <f>N4*Assumption!$F$64 + O4*Assumption!$F$61 + P4*Assumption!$F$62 + Q4*Assumption!$F$63</f>
        <v>49.974999999999994</v>
      </c>
      <c r="S4" cm="1">
        <f t="array" ref="S4">_xlfn.PERCENTRANK.EXC(_xlfn._xlws.FILTER(R$2:R$14, ISNUMBER(R$2:R$14)),R4)*100</f>
        <v>64.2</v>
      </c>
    </row>
    <row r="5" spans="1:19" x14ac:dyDescent="0.35">
      <c r="A5" t="s">
        <v>11</v>
      </c>
      <c r="B5" t="s">
        <v>11</v>
      </c>
      <c r="C5" t="str" cm="1">
        <f t="array" ref="C5">_xll.FDS(B5,"FG_COMPANY_NAME")</f>
        <v>iShares MSCI Germany ETF</v>
      </c>
      <c r="D5" t="s">
        <v>102</v>
      </c>
      <c r="E5" t="s">
        <v>19</v>
      </c>
      <c r="F5" t="str" cm="1">
        <f t="array" ref="F5">_xll.FDS(E5,"FG_YIELD_NAME")</f>
        <v>Germany Benchmark Bond - 10 Year</v>
      </c>
      <c r="G5">
        <f>VLOOKUP(A5,'LIQIDITY 2'!$A$3:$E$15,5,FALSE)</f>
        <v>2.262</v>
      </c>
      <c r="H5" cm="1">
        <f t="array" ref="H5">_xll.FDS(B5,"FG_ROE(0)")</f>
        <v>10.766726725277501</v>
      </c>
      <c r="I5">
        <f>HLOOKUP(B5,'Index ROE'!$B$1:$N$25,24,FALSE)</f>
        <v>11.983677793053701</v>
      </c>
      <c r="J5" cm="1">
        <f t="array" ref="J5">_xll.FDS(B5, "FMA_RBICS_REV_CURRENT(30, LOC, ""PORTAGG"")")</f>
        <v>22.704777155090699</v>
      </c>
      <c r="K5" s="74">
        <f>HLOOKUP(B5,'Index earnings'!$B$1:$N$25,25,FALSE)</f>
        <v>2.8283515901657452E-2</v>
      </c>
      <c r="L5">
        <f>HLOOKUP(A5,'Yearly returns'!$B$1:$N$128,126,FALSE)</f>
        <v>-38.017403000000002</v>
      </c>
      <c r="M5">
        <f t="shared" si="0"/>
        <v>9.7216777930537006</v>
      </c>
      <c r="N5" cm="1">
        <f t="array" ref="N5">_xlfn.PERCENTRANK.EXC(_xlfn._xlws.FILTER(M$2:M$14, ISNUMBER(M$2:M$14)),M5)*100</f>
        <v>50</v>
      </c>
      <c r="O5" cm="1">
        <f t="array" ref="O5">(1-_xlfn.PERCENTRANK.EXC(_xlfn._xlws.FILTER(J$2:J$14, ISNUMBER(J$2:J$14)),J5))*100</f>
        <v>42.900000000000006</v>
      </c>
      <c r="P5" cm="1">
        <f t="array" ref="P5">_xlfn.PERCENTRANK.EXC(_xlfn._xlws.FILTER(K$2:K$14, ISNUMBER(K$2:K$14)),K5)*100</f>
        <v>57.099999999999994</v>
      </c>
      <c r="Q5" cm="1">
        <f t="array" ref="Q5">_xlfn.PERCENTRANK.EXC(_xlfn._xlws.FILTER(L$2:L$14, ISNUMBER(L$2:L$14)),L5)*100</f>
        <v>7.1</v>
      </c>
      <c r="R5">
        <f>N5*Assumption!$F$64 + O5*Assumption!$F$61 + P5*Assumption!$F$62 + Q5*Assumption!$F$63</f>
        <v>39.274999999999999</v>
      </c>
      <c r="S5" cm="1">
        <f t="array" ref="S5">_xlfn.PERCENTRANK.EXC(_xlfn._xlws.FILTER(R$2:R$14, ISNUMBER(R$2:R$14)),R5)*100</f>
        <v>28.499999999999996</v>
      </c>
    </row>
    <row r="6" spans="1:19" x14ac:dyDescent="0.35">
      <c r="A6" t="s">
        <v>46</v>
      </c>
      <c r="B6" t="s">
        <v>46</v>
      </c>
      <c r="C6" t="str" cm="1">
        <f t="array" ref="C6">_xll.FDS(B6,"FG_COMPANY_NAME")</f>
        <v>iShares MSCI Japan ETF</v>
      </c>
      <c r="D6" t="s">
        <v>114</v>
      </c>
      <c r="E6" t="s">
        <v>139</v>
      </c>
      <c r="F6" t="str" cm="1">
        <f t="array" ref="F6">_xll.FDS(E6,"FG_YIELD_NAME")</f>
        <v>Japan Benchmark Bond - 10 Year</v>
      </c>
      <c r="G6">
        <f>VLOOKUP(A6,'LIQIDITY 2'!$A$3:$E$15,5,FALSE)</f>
        <v>0.89300000000000002</v>
      </c>
      <c r="H6" cm="1">
        <f t="array" ref="H6">_xll.FDS(B6,"FG_ROE(0)")</f>
        <v>9.3484189092765106</v>
      </c>
      <c r="I6">
        <f>HLOOKUP(B6,'Index ROE'!$B$1:$N$25,24,FALSE)</f>
        <v>8.994618118763011</v>
      </c>
      <c r="J6" cm="1">
        <f t="array" ref="J6">_xll.FDS(B6, "FMA_RBICS_REV_CURRENT(30, LOC, ""PORTAGG"")")</f>
        <v>19.394573046078701</v>
      </c>
      <c r="K6" s="74">
        <f>HLOOKUP(B6,'Index earnings'!$B$1:$N$25,25,FALSE)</f>
        <v>2.4111181364210088E-2</v>
      </c>
      <c r="L6">
        <f>HLOOKUP(A6,'Yearly returns'!$B$1:$N$128,126,FALSE)</f>
        <v>-29.000748000000002</v>
      </c>
      <c r="M6">
        <f t="shared" si="0"/>
        <v>8.1016181187630103</v>
      </c>
      <c r="N6" cm="1">
        <f t="array" ref="N6">_xlfn.PERCENTRANK.EXC(_xlfn._xlws.FILTER(M$2:M$14, ISNUMBER(M$2:M$14)),M6)*100</f>
        <v>21.4</v>
      </c>
      <c r="O6" cm="1">
        <f t="array" ref="O6">(1-_xlfn.PERCENTRANK.EXC(_xlfn._xlws.FILTER(J$2:J$14, ISNUMBER(J$2:J$14)),J6))*100</f>
        <v>57.2</v>
      </c>
      <c r="P6" cm="1">
        <f t="array" ref="P6">_xlfn.PERCENTRANK.EXC(_xlfn._xlws.FILTER(K$2:K$14, ISNUMBER(K$2:K$14)),K6)*100</f>
        <v>42.8</v>
      </c>
      <c r="Q6" cm="1">
        <f t="array" ref="Q6">_xlfn.PERCENTRANK.EXC(_xlfn._xlws.FILTER(L$2:L$14, ISNUMBER(L$2:L$14)),L6)*100</f>
        <v>50</v>
      </c>
      <c r="R6">
        <f>N6*Assumption!$F$64 + O6*Assumption!$F$61 + P6*Assumption!$F$62 + Q6*Assumption!$F$63</f>
        <v>42.849999999999994</v>
      </c>
      <c r="S6" cm="1">
        <f t="array" ref="S6">_xlfn.PERCENTRANK.EXC(_xlfn._xlws.FILTER(R$2:R$14, ISNUMBER(R$2:R$14)),R6)*100</f>
        <v>42.8</v>
      </c>
    </row>
    <row r="7" spans="1:19" x14ac:dyDescent="0.35">
      <c r="A7" t="s">
        <v>42</v>
      </c>
      <c r="B7" t="s">
        <v>42</v>
      </c>
      <c r="C7" t="str" cm="1">
        <f t="array" ref="C7">_xll.FDS(B7,"FG_COMPANY_NAME")</f>
        <v>iShares MSCI Switzerland ETF</v>
      </c>
      <c r="D7" t="s">
        <v>110</v>
      </c>
      <c r="E7" t="s">
        <v>135</v>
      </c>
      <c r="F7" t="str" cm="1">
        <f t="array" ref="F7">_xll.FDS(E7,"FG_YIELD_NAME")</f>
        <v>Treasury - Switzerland Benchmark Bond 10Y</v>
      </c>
      <c r="G7">
        <f>VLOOKUP(A7,'LIQIDITY 2'!$A$3:$E$15,5,FALSE)</f>
        <v>0.432</v>
      </c>
      <c r="H7" cm="1">
        <f t="array" ref="H7">_xll.FDS(B7,"FG_ROE(0)")</f>
        <v>19.1996921658492</v>
      </c>
      <c r="I7">
        <f>HLOOKUP(B7,'Index ROE'!$B$1:$N$25,24,FALSE)</f>
        <v>15.55096443559315</v>
      </c>
      <c r="J7" cm="1">
        <f t="array" ref="J7">_xll.FDS(B7, "FMA_RBICS_REV_CURRENT(30, LOC, ""PORTAGG"")")</f>
        <v>17.410590274719599</v>
      </c>
      <c r="K7" s="74">
        <f>HLOOKUP(B7,'Index earnings'!$B$1:$N$25,25,FALSE)</f>
        <v>4.6616158051884682E-2</v>
      </c>
      <c r="L7">
        <f>HLOOKUP(A7,'Yearly returns'!$B$1:$N$128,126,FALSE)</f>
        <v>-19.774532000000001</v>
      </c>
      <c r="M7">
        <f t="shared" si="0"/>
        <v>15.118964435593149</v>
      </c>
      <c r="N7" cm="1">
        <f t="array" ref="N7">_xlfn.PERCENTRANK.EXC(_xlfn._xlws.FILTER(M$2:M$14, ISNUMBER(M$2:M$14)),M7)*100</f>
        <v>85.7</v>
      </c>
      <c r="O7" cm="1">
        <f t="array" ref="O7">(1-_xlfn.PERCENTRANK.EXC(_xlfn._xlws.FILTER(J$2:J$14, ISNUMBER(J$2:J$14)),J7))*100</f>
        <v>64.3</v>
      </c>
      <c r="P7" cm="1">
        <f t="array" ref="P7">_xlfn.PERCENTRANK.EXC(_xlfn._xlws.FILTER(K$2:K$14, ISNUMBER(K$2:K$14)),K7)*100</f>
        <v>78.5</v>
      </c>
      <c r="Q7" cm="1">
        <f t="array" ref="Q7">_xlfn.PERCENTRANK.EXC(_xlfn._xlws.FILTER(L$2:L$14, ISNUMBER(L$2:L$14)),L7)*100</f>
        <v>85.7</v>
      </c>
      <c r="R7">
        <f>N7*Assumption!$F$64 + O7*Assumption!$F$61 + P7*Assumption!$F$62 + Q7*Assumption!$F$63</f>
        <v>78.55</v>
      </c>
      <c r="S7" cm="1">
        <f t="array" ref="S7">_xlfn.PERCENTRANK.EXC(_xlfn._xlws.FILTER(R$2:R$14, ISNUMBER(R$2:R$14)),R7)*100</f>
        <v>85.7</v>
      </c>
    </row>
    <row r="8" spans="1:19" x14ac:dyDescent="0.35">
      <c r="A8" t="s">
        <v>48</v>
      </c>
      <c r="B8" t="s">
        <v>48</v>
      </c>
      <c r="C8" t="str" cm="1">
        <f t="array" ref="C8">_xll.FDS(B8,"FG_COMPANY_NAME")</f>
        <v>iShares MSCI United Kingdom ETF</v>
      </c>
      <c r="D8" t="s">
        <v>115</v>
      </c>
      <c r="E8" t="s">
        <v>141</v>
      </c>
      <c r="F8" t="str" cm="1">
        <f t="array" ref="F8">_xll.FDS(E8,"FG_YIELD_NAME")</f>
        <v>United Kingdom Benchmark Bond - 10 Year</v>
      </c>
      <c r="G8">
        <f>VLOOKUP(A8,'LIQIDITY 2'!$A$3:$E$15,5,FALSE)</f>
        <v>3.988</v>
      </c>
      <c r="H8" cm="1">
        <f t="array" ref="H8">_xll.FDS(B8,"FG_ROE(0)")</f>
        <v>13.8950914816627</v>
      </c>
      <c r="I8">
        <f>HLOOKUP(B8,'Index ROE'!$B$1:$N$25,24,FALSE)</f>
        <v>14.561964916400001</v>
      </c>
      <c r="J8" cm="1">
        <f t="array" ref="J8">_xll.FDS(B8, "FMA_RBICS_REV_CURRENT(30, LOC, ""PORTAGG"")")</f>
        <v>19.908691285524501</v>
      </c>
      <c r="K8" s="74">
        <f>HLOOKUP(B8,'Index earnings'!$B$1:$N$25,25,FALSE)</f>
        <v>3.7109465036002653E-3</v>
      </c>
      <c r="L8">
        <f>HLOOKUP(A8,'Yearly returns'!$B$1:$N$128,126,FALSE)</f>
        <v>-26.490122</v>
      </c>
      <c r="M8">
        <f t="shared" si="0"/>
        <v>10.573964916400001</v>
      </c>
      <c r="N8" cm="1">
        <f t="array" ref="N8">_xlfn.PERCENTRANK.EXC(_xlfn._xlws.FILTER(M$2:M$14, ISNUMBER(M$2:M$14)),M8)*100</f>
        <v>64.2</v>
      </c>
      <c r="O8" cm="1">
        <f t="array" ref="O8">(1-_xlfn.PERCENTRANK.EXC(_xlfn._xlws.FILTER(J$2:J$14, ISNUMBER(J$2:J$14)),J8))*100</f>
        <v>50</v>
      </c>
      <c r="P8" cm="1">
        <f t="array" ref="P8">_xlfn.PERCENTRANK.EXC(_xlfn._xlws.FILTER(K$2:K$14, ISNUMBER(K$2:K$14)),K8)*100</f>
        <v>14.2</v>
      </c>
      <c r="Q8" cm="1">
        <f t="array" ref="Q8">_xlfn.PERCENTRANK.EXC(_xlfn._xlws.FILTER(L$2:L$14, ISNUMBER(L$2:L$14)),L8)*100</f>
        <v>64.2</v>
      </c>
      <c r="R8">
        <f>N8*Assumption!$F$64 + O8*Assumption!$F$61 + P8*Assumption!$F$62 + Q8*Assumption!$F$63</f>
        <v>48.150000000000006</v>
      </c>
      <c r="S8" cm="1">
        <f t="array" ref="S8">_xlfn.PERCENTRANK.EXC(_xlfn._xlws.FILTER(R$2:R$14, ISNUMBER(R$2:R$14)),R8)*100</f>
        <v>57.099999999999994</v>
      </c>
    </row>
    <row r="9" spans="1:19" x14ac:dyDescent="0.35">
      <c r="A9" t="s">
        <v>51</v>
      </c>
      <c r="B9" t="s">
        <v>51</v>
      </c>
      <c r="C9" t="str" cm="1">
        <f t="array" ref="C9">_xll.FDS(B9,"FG_COMPANY_NAME")</f>
        <v>Invesco QQQ Trust Series I</v>
      </c>
      <c r="D9" t="s">
        <v>119</v>
      </c>
      <c r="E9" t="s">
        <v>14</v>
      </c>
      <c r="F9" t="str" cm="1">
        <f t="array" ref="F9">_xll.FDS(E9,"FG_YIELD_NAME")</f>
        <v>US Benchmark Bond - 10 Year</v>
      </c>
      <c r="G9">
        <f>VLOOKUP(A9,'LIQIDITY 2'!$A$3:$E$15,5,FALSE)</f>
        <v>3.8681999999999999</v>
      </c>
      <c r="H9" cm="1">
        <f t="array" ref="H9">_xll.FDS(B9,"FG_ROE(0)")</f>
        <v>22.447412142417299</v>
      </c>
      <c r="I9">
        <f>HLOOKUP(B9,'Index ROE'!$B$1:$N$25,24,FALSE)</f>
        <v>21.036882269896502</v>
      </c>
      <c r="J9" cm="1">
        <f t="array" ref="J9">_xll.FDS(B9, "FMA_RBICS_REV_CURRENT(30, LOC, ""PORTAGG"")")</f>
        <v>0.83468112289229701</v>
      </c>
      <c r="K9" s="74">
        <f>HLOOKUP(B9,'Index earnings'!$B$1:$N$25,25,FALSE)</f>
        <v>0.12988959921025178</v>
      </c>
      <c r="L9">
        <f>HLOOKUP(A9,'Yearly returns'!$B$1:$N$128,126,FALSE)</f>
        <v>-33.159660000000002</v>
      </c>
      <c r="M9">
        <f t="shared" si="0"/>
        <v>17.1686822698965</v>
      </c>
      <c r="N9" cm="1">
        <f t="array" ref="N9">_xlfn.PERCENTRANK.EXC(_xlfn._xlws.FILTER(M$2:M$14, ISNUMBER(M$2:M$14)),M9)*100</f>
        <v>92.800000000000011</v>
      </c>
      <c r="O9" cm="1">
        <f t="array" ref="O9">(1-_xlfn.PERCENTRANK.EXC(_xlfn._xlws.FILTER(J$2:J$14, ISNUMBER(J$2:J$14)),J9))*100</f>
        <v>92.9</v>
      </c>
      <c r="P9" cm="1">
        <f t="array" ref="P9">_xlfn.PERCENTRANK.EXC(_xlfn._xlws.FILTER(K$2:K$14, ISNUMBER(K$2:K$14)),K9)*100</f>
        <v>92.800000000000011</v>
      </c>
      <c r="Q9" cm="1">
        <f t="array" ref="Q9">_xlfn.PERCENTRANK.EXC(_xlfn._xlws.FILTER(L$2:L$14, ISNUMBER(L$2:L$14)),L9)*100</f>
        <v>28.499999999999996</v>
      </c>
      <c r="R9">
        <f>N9*Assumption!$F$64 + O9*Assumption!$F$61 + P9*Assumption!$F$62 + Q9*Assumption!$F$63</f>
        <v>76.75</v>
      </c>
      <c r="S9" cm="1">
        <f t="array" ref="S9">_xlfn.PERCENTRANK.EXC(_xlfn._xlws.FILTER(R$2:R$14, ISNUMBER(R$2:R$14)),R9)*100</f>
        <v>78.5</v>
      </c>
    </row>
    <row r="10" spans="1:19" x14ac:dyDescent="0.35">
      <c r="A10" t="s">
        <v>1</v>
      </c>
      <c r="B10" t="s">
        <v>1</v>
      </c>
      <c r="C10" t="str" cm="1">
        <f t="array" ref="C10">_xll.FDS(B10,"FG_COMPANY_NAME")</f>
        <v>SPDR S&amp;P 500 ETF Trust</v>
      </c>
      <c r="D10" t="s">
        <v>119</v>
      </c>
      <c r="E10" t="s">
        <v>14</v>
      </c>
      <c r="F10" t="str" cm="1">
        <f t="array" ref="F10">_xll.FDS(E10,"FG_YIELD_NAME")</f>
        <v>US Benchmark Bond - 10 Year</v>
      </c>
      <c r="G10">
        <f>VLOOKUP(A10,'LIQIDITY 2'!$A$3:$E$15,5,FALSE)</f>
        <v>3.8681999999999999</v>
      </c>
      <c r="H10" cm="1">
        <f t="array" ref="H10">_xll.FDS(B10,"FG_ROE(0)")</f>
        <v>18.6100670030457</v>
      </c>
      <c r="I10">
        <f>HLOOKUP(B10,'Index ROE'!$B$1:$N$25,24,FALSE)</f>
        <v>16.391058174766847</v>
      </c>
      <c r="J10" cm="1">
        <f t="array" ref="J10">_xll.FDS(B10, "FMA_RBICS_REV_CURRENT(30, LOC, ""PORTAGG"")")</f>
        <v>12.576513836626299</v>
      </c>
      <c r="K10" s="74">
        <f>HLOOKUP(B10,'Index earnings'!$B$1:$N$25,25,FALSE)</f>
        <v>5.9884631603759342E-2</v>
      </c>
      <c r="L10">
        <f>HLOOKUP(A10,'Yearly returns'!$B$1:$N$128,126,FALSE)</f>
        <v>-18.388580000000001</v>
      </c>
      <c r="M10">
        <f t="shared" si="0"/>
        <v>12.522858174766847</v>
      </c>
      <c r="N10" cm="1">
        <f t="array" ref="N10">_xlfn.PERCENTRANK.EXC(_xlfn._xlws.FILTER(M$2:M$14, ISNUMBER(M$2:M$14)),M10)*100</f>
        <v>78.5</v>
      </c>
      <c r="O10" cm="1">
        <f t="array" ref="O10">(1-_xlfn.PERCENTRANK.EXC(_xlfn._xlws.FILTER(J$2:J$14, ISNUMBER(J$2:J$14)),J10))*100</f>
        <v>78.600000000000009</v>
      </c>
      <c r="P10" cm="1">
        <f t="array" ref="P10">_xlfn.PERCENTRANK.EXC(_xlfn._xlws.FILTER(K$2:K$14, ISNUMBER(K$2:K$14)),K10)*100</f>
        <v>85.7</v>
      </c>
      <c r="Q10" cm="1">
        <f t="array" ref="Q10">_xlfn.PERCENTRANK.EXC(_xlfn._xlws.FILTER(L$2:L$14, ISNUMBER(L$2:L$14)),L10)*100</f>
        <v>92.800000000000011</v>
      </c>
      <c r="R10">
        <f>N10*Assumption!$F$64 + O10*Assumption!$F$61 + P10*Assumption!$F$62 + Q10*Assumption!$F$63</f>
        <v>83.9</v>
      </c>
      <c r="S10" cm="1">
        <f t="array" ref="S10">_xlfn.PERCENTRANK.EXC(_xlfn._xlws.FILTER(R$2:R$14, ISNUMBER(R$2:R$14)),R10)*100</f>
        <v>92.800000000000011</v>
      </c>
    </row>
    <row r="11" spans="1:19" x14ac:dyDescent="0.35">
      <c r="A11" t="s">
        <v>865</v>
      </c>
      <c r="B11" t="s">
        <v>865</v>
      </c>
      <c r="C11" t="str" cm="1">
        <f t="array" ref="C11">_xll.FDS(B11,"FG_COMPANY_NAME")</f>
        <v>iShares MSCI France ETF</v>
      </c>
      <c r="D11" t="s">
        <v>106</v>
      </c>
      <c r="E11" t="s">
        <v>133</v>
      </c>
      <c r="F11" t="str" cm="1">
        <f t="array" ref="F11">_xll.FDS(E11,"FG_YIELD_NAME")</f>
        <v>France Benchmark Bond - 10 Year</v>
      </c>
      <c r="G11">
        <f>VLOOKUP(A11,'LIQIDITY 2'!$A$3:$E$15,5,FALSE)</f>
        <v>2.9860000000000002</v>
      </c>
      <c r="H11" cm="1">
        <f t="array" ref="H11">_xll.FDS(B11,"FG_ROE(0)")</f>
        <v>12.191193599443199</v>
      </c>
      <c r="I11">
        <f>HLOOKUP(B11,'Index ROE'!$B$1:$N$25,24,FALSE)</f>
        <v>11.16089938202855</v>
      </c>
      <c r="J11" cm="1">
        <f t="array" ref="J11">_xll.FDS(B11, "FMA_RBICS_REV_CURRENT(30, LOC, ""PORTAGG"")")</f>
        <v>11.647888368861601</v>
      </c>
      <c r="K11" s="74">
        <f>HLOOKUP(B11,'Index earnings'!$B$1:$N$25,25,FALSE)</f>
        <v>1.8533351259146347E-2</v>
      </c>
      <c r="L11">
        <f>HLOOKUP(A11,'Yearly returns'!$B$1:$N$128,126,FALSE)</f>
        <v>-24.538929</v>
      </c>
      <c r="M11">
        <f t="shared" ref="M11:M14" si="1">I11-G11</f>
        <v>8.1748993820285492</v>
      </c>
      <c r="N11" cm="1">
        <f t="array" ref="N11">_xlfn.PERCENTRANK.EXC(_xlfn._xlws.FILTER(M$2:M$14, ISNUMBER(M$2:M$14)),M11)*100</f>
        <v>28.499999999999996</v>
      </c>
      <c r="O11" cm="1">
        <f t="array" ref="O11">(1-_xlfn.PERCENTRANK.EXC(_xlfn._xlws.FILTER(J$2:J$14, ISNUMBER(J$2:J$14)),J11))*100</f>
        <v>85.8</v>
      </c>
      <c r="P11" cm="1">
        <f t="array" ref="P11">_xlfn.PERCENTRANK.EXC(_xlfn._xlws.FILTER(K$2:K$14, ISNUMBER(K$2:K$14)),K11)*100</f>
        <v>35.699999999999996</v>
      </c>
      <c r="Q11" cm="1">
        <f t="array" ref="Q11">_xlfn.PERCENTRANK.EXC(_xlfn._xlws.FILTER(L$2:L$14, ISNUMBER(L$2:L$14)),L11)*100</f>
        <v>78.5</v>
      </c>
      <c r="R11">
        <f>N11*Assumption!$F$64 + O11*Assumption!$F$61 + P11*Assumption!$F$62 + Q11*Assumption!$F$63</f>
        <v>57.125</v>
      </c>
      <c r="S11" cm="1">
        <f t="array" ref="S11">_xlfn.PERCENTRANK.EXC(_xlfn._xlws.FILTER(R$2:R$14, ISNUMBER(R$2:R$14)),R11)*100</f>
        <v>71.399999999999991</v>
      </c>
    </row>
    <row r="12" spans="1:19" x14ac:dyDescent="0.35">
      <c r="A12" t="s">
        <v>867</v>
      </c>
      <c r="B12" t="s">
        <v>867</v>
      </c>
      <c r="C12" t="str" cm="1">
        <f t="array" ref="C12">_xll.FDS(B12,"FG_COMPANY_NAME")</f>
        <v>iShares MSCI Netherlands ETF</v>
      </c>
      <c r="D12" t="s">
        <v>875</v>
      </c>
      <c r="E12" t="s">
        <v>877</v>
      </c>
      <c r="F12" t="str" cm="1">
        <f t="array" ref="F12">_xll.FDS(E12,"FG_YIELD_NAME")</f>
        <v>Netherlands Benchmark Bond - 10 Year</v>
      </c>
      <c r="G12">
        <f>VLOOKUP(A12,'LIQIDITY 2'!$A$3:$E$15,5,FALSE)</f>
        <v>2.5449999999999999</v>
      </c>
      <c r="H12" cm="1">
        <f t="array" ref="H12">_xll.FDS(B12,"FG_ROE(0)")</f>
        <v>10.932208823569599</v>
      </c>
      <c r="I12">
        <f>HLOOKUP(B12,'Index ROE'!$B$1:$N$25,24,FALSE)</f>
        <v>13.04966082823935</v>
      </c>
      <c r="J12" cm="1">
        <f t="array" ref="J12">_xll.FDS(B12, "FMA_RBICS_REV_CURRENT(30, LOC, ""PORTAGG"")")</f>
        <v>25.4058816390781</v>
      </c>
      <c r="K12" s="74">
        <f>HLOOKUP(B12,'Index earnings'!$B$1:$N$25,25,FALSE)</f>
        <v>3.4801405293916954E-2</v>
      </c>
      <c r="L12">
        <f>HLOOKUP(A12,'Yearly returns'!$B$1:$N$128,126,FALSE)</f>
        <v>-37.458427</v>
      </c>
      <c r="M12">
        <f t="shared" si="1"/>
        <v>10.50466082823935</v>
      </c>
      <c r="N12" cm="1">
        <f t="array" ref="N12">_xlfn.PERCENTRANK.EXC(_xlfn._xlws.FILTER(M$2:M$14, ISNUMBER(M$2:M$14)),M12)*100</f>
        <v>57.099999999999994</v>
      </c>
      <c r="O12" cm="1">
        <f t="array" ref="O12">(1-_xlfn.PERCENTRANK.EXC(_xlfn._xlws.FILTER(J$2:J$14, ISNUMBER(J$2:J$14)),J12))*100</f>
        <v>35.799999999999997</v>
      </c>
      <c r="P12" cm="1">
        <f t="array" ref="P12">_xlfn.PERCENTRANK.EXC(_xlfn._xlws.FILTER(K$2:K$14, ISNUMBER(K$2:K$14)),K12)*100</f>
        <v>64.2</v>
      </c>
      <c r="Q12" cm="1">
        <f t="array" ref="Q12">_xlfn.PERCENTRANK.EXC(_xlfn._xlws.FILTER(L$2:L$14, ISNUMBER(L$2:L$14)),L12)*100</f>
        <v>14.2</v>
      </c>
      <c r="R12">
        <f>N12*Assumption!$F$64 + O12*Assumption!$F$61 + P12*Assumption!$F$62 + Q12*Assumption!$F$63</f>
        <v>42.824999999999996</v>
      </c>
      <c r="S12" cm="1">
        <f t="array" ref="S12">_xlfn.PERCENTRANK.EXC(_xlfn._xlws.FILTER(R$2:R$14, ISNUMBER(R$2:R$14)),R12)*100</f>
        <v>35.699999999999996</v>
      </c>
    </row>
    <row r="13" spans="1:19" x14ac:dyDescent="0.35">
      <c r="A13" t="s">
        <v>864</v>
      </c>
      <c r="B13" t="s">
        <v>864</v>
      </c>
      <c r="C13" t="str" cm="1">
        <f t="array" ref="C13">_xll.FDS(B13,"FG_COMPANY_NAME")</f>
        <v>iShares MSCI Sweden ETF</v>
      </c>
      <c r="D13" t="s">
        <v>272</v>
      </c>
      <c r="E13" t="s">
        <v>878</v>
      </c>
      <c r="F13" t="str" cm="1">
        <f t="array" ref="F13">_xll.FDS(E13,"FG_YIELD_NAME")</f>
        <v>Sweden Benchmark Bond - 10 Year</v>
      </c>
      <c r="G13">
        <f>VLOOKUP(A13,'LIQIDITY 2'!$A$3:$E$15,5,FALSE)</f>
        <v>2.073</v>
      </c>
      <c r="H13" cm="1">
        <f t="array" ref="H13">_xll.FDS(B13,"FG_ROE(0)")</f>
        <v>17.006013762637199</v>
      </c>
      <c r="I13">
        <f>HLOOKUP(B13,'Index ROE'!$B$1:$N$25,24,FALSE)</f>
        <v>14.442959457883351</v>
      </c>
      <c r="J13" cm="1">
        <f t="array" ref="J13">_xll.FDS(B13, "FMA_RBICS_REV_CURRENT(30, LOC, ""PORTAGG"")")</f>
        <v>27.5589453559563</v>
      </c>
      <c r="K13" s="74">
        <f>HLOOKUP(B13,'Index earnings'!$B$1:$N$25,25,FALSE)</f>
        <v>2.4305006375947347E-2</v>
      </c>
      <c r="L13">
        <f>HLOOKUP(A13,'Yearly returns'!$B$1:$N$128,126,FALSE)</f>
        <v>-36.013199999999998</v>
      </c>
      <c r="M13">
        <f t="shared" si="1"/>
        <v>12.36995945788335</v>
      </c>
      <c r="N13" cm="1">
        <f t="array" ref="N13">_xlfn.PERCENTRANK.EXC(_xlfn._xlws.FILTER(M$2:M$14, ISNUMBER(M$2:M$14)),M13)*100</f>
        <v>71.399999999999991</v>
      </c>
      <c r="O13" cm="1">
        <f t="array" ref="O13">(1-_xlfn.PERCENTRANK.EXC(_xlfn._xlws.FILTER(J$2:J$14, ISNUMBER(J$2:J$14)),J13))*100</f>
        <v>28.6</v>
      </c>
      <c r="P13" cm="1">
        <f t="array" ref="P13">_xlfn.PERCENTRANK.EXC(_xlfn._xlws.FILTER(K$2:K$14, ISNUMBER(K$2:K$14)),K13)*100</f>
        <v>50</v>
      </c>
      <c r="Q13" cm="1">
        <f t="array" ref="Q13">_xlfn.PERCENTRANK.EXC(_xlfn._xlws.FILTER(L$2:L$14, ISNUMBER(L$2:L$14)),L13)*100</f>
        <v>21.4</v>
      </c>
      <c r="R13">
        <f>N13*Assumption!$F$64 + O13*Assumption!$F$61 + P13*Assumption!$F$62 + Q13*Assumption!$F$63</f>
        <v>42.85</v>
      </c>
      <c r="S13" cm="1">
        <f t="array" ref="S13">_xlfn.PERCENTRANK.EXC(_xlfn._xlws.FILTER(R$2:R$14, ISNUMBER(R$2:R$14)),R13)*100</f>
        <v>50</v>
      </c>
    </row>
    <row r="14" spans="1:19" x14ac:dyDescent="0.35">
      <c r="A14" t="s">
        <v>866</v>
      </c>
      <c r="B14" t="s">
        <v>866</v>
      </c>
      <c r="C14" t="str" cm="1">
        <f t="array" ref="C14">_xll.FDS(B14,"FG_COMPANY_NAME")</f>
        <v>iShares MSCI Italy ETF</v>
      </c>
      <c r="D14" t="s">
        <v>876</v>
      </c>
      <c r="E14" t="s">
        <v>879</v>
      </c>
      <c r="F14" t="str" cm="1">
        <f t="array" ref="F14">_xll.FDS(E14,"FG_YIELD_NAME")</f>
        <v>Italy Benchmark Bond - 10 Year</v>
      </c>
      <c r="G14">
        <f>VLOOKUP(A14,'LIQIDITY 2'!$A$3:$E$15,5,FALSE)</f>
        <v>3.6469999999999998</v>
      </c>
      <c r="H14" cm="1">
        <f t="array" ref="H14">_xll.FDS(B14,"FG_ROE(0)")</f>
        <v>12.9252681431313</v>
      </c>
      <c r="I14">
        <f>HLOOKUP(B14,'Index ROE'!$B$1:$N$25,24,FALSE)</f>
        <v>9.6445775045501065</v>
      </c>
      <c r="J14" cm="1">
        <f t="array" ref="J14">_xll.FDS(B14, "FMA_RBICS_REV_CURRENT(30, LOC, ""PORTAGG"")")</f>
        <v>38.7145820793369</v>
      </c>
      <c r="K14" s="74">
        <f>HLOOKUP(B14,'Index earnings'!$B$1:$N$25,25,FALSE)</f>
        <v>9.2743946932130061E-3</v>
      </c>
      <c r="L14">
        <f>HLOOKUP(A14,'Yearly returns'!$B$1:$N$128,126,FALSE)</f>
        <v>-29.421885</v>
      </c>
      <c r="M14">
        <f t="shared" si="1"/>
        <v>5.9975775045501063</v>
      </c>
      <c r="N14" cm="1">
        <f t="array" ref="N14">_xlfn.PERCENTRANK.EXC(_xlfn._xlws.FILTER(M$2:M$14, ISNUMBER(M$2:M$14)),M14)*100</f>
        <v>14.2</v>
      </c>
      <c r="O14" cm="1">
        <f t="array" ref="O14">(1-_xlfn.PERCENTRANK.EXC(_xlfn._xlws.FILTER(J$2:J$14, ISNUMBER(J$2:J$14)),J14))*100</f>
        <v>21.499999999999996</v>
      </c>
      <c r="P14" cm="1">
        <f t="array" ref="P14">_xlfn.PERCENTRANK.EXC(_xlfn._xlws.FILTER(K$2:K$14, ISNUMBER(K$2:K$14)),K14)*100</f>
        <v>21.4</v>
      </c>
      <c r="Q14" cm="1">
        <f t="array" ref="Q14">_xlfn.PERCENTRANK.EXC(_xlfn._xlws.FILTER(L$2:L$14, ISNUMBER(L$2:L$14)),L14)*100</f>
        <v>42.8</v>
      </c>
      <c r="R14">
        <f>N14*Assumption!$F$64 + O14*Assumption!$F$61 + P14*Assumption!$F$62 + Q14*Assumption!$F$63</f>
        <v>24.974999999999998</v>
      </c>
      <c r="S14" cm="1">
        <f t="array" ref="S14">_xlfn.PERCENTRANK.EXC(_xlfn._xlws.FILTER(R$2:R$14, ISNUMBER(R$2:R$14)),R14)*100</f>
        <v>7.1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257"/>
  <sheetViews>
    <sheetView zoomScale="95" zoomScaleNormal="130" workbookViewId="0">
      <pane xSplit="1" topLeftCell="E1" activePane="topRight" state="frozen"/>
      <selection pane="topRight" activeCell="S15" sqref="S15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5.54296875" bestFit="1" customWidth="1"/>
    <col min="5" max="5" width="13.81640625" customWidth="1"/>
    <col min="6" max="6" width="11.453125" customWidth="1"/>
    <col min="7" max="7" width="10" customWidth="1"/>
    <col min="8" max="8" width="9.453125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12.453125" customWidth="1"/>
    <col min="15" max="15" width="15.54296875" bestFit="1" customWidth="1"/>
    <col min="16" max="16" width="15.453125" customWidth="1"/>
    <col min="17" max="17" width="18.453125" customWidth="1"/>
    <col min="18" max="18" width="18.1796875" bestFit="1" customWidth="1"/>
    <col min="19" max="19" width="17" customWidth="1"/>
    <col min="20" max="21" width="17.54296875" customWidth="1"/>
    <col min="22" max="22" width="18.81640625" customWidth="1"/>
    <col min="23" max="23" width="13.453125" customWidth="1"/>
    <col min="24" max="24" width="13" customWidth="1"/>
    <col min="25" max="25" width="14.54296875" style="199" bestFit="1" customWidth="1"/>
    <col min="26" max="26" width="13" customWidth="1"/>
    <col min="27" max="27" width="12.1796875" customWidth="1"/>
    <col min="28" max="28" width="11.453125" customWidth="1"/>
    <col min="29" max="33" width="13.54296875" customWidth="1"/>
    <col min="34" max="34" width="10.453125" customWidth="1"/>
    <col min="35" max="35" width="7" customWidth="1"/>
    <col min="36" max="36" width="9.54296875" customWidth="1"/>
  </cols>
  <sheetData>
    <row r="1" spans="1:39" ht="62.25" customHeight="1" thickBot="1" x14ac:dyDescent="0.4">
      <c r="C1" t="s">
        <v>0</v>
      </c>
      <c r="D1" s="49" t="s">
        <v>861</v>
      </c>
      <c r="E1" s="72" t="s">
        <v>862</v>
      </c>
      <c r="F1" s="72" t="s">
        <v>16</v>
      </c>
      <c r="G1" s="72" t="s">
        <v>66</v>
      </c>
      <c r="H1" s="72" t="s">
        <v>62</v>
      </c>
      <c r="I1" s="72" t="s">
        <v>69</v>
      </c>
      <c r="J1" s="72" t="s">
        <v>77</v>
      </c>
      <c r="K1" t="s">
        <v>68</v>
      </c>
      <c r="L1" t="s">
        <v>389</v>
      </c>
      <c r="M1" t="s">
        <v>390</v>
      </c>
      <c r="N1" t="s">
        <v>908</v>
      </c>
      <c r="O1" t="s">
        <v>4</v>
      </c>
      <c r="P1" t="s">
        <v>5</v>
      </c>
      <c r="Q1" t="s">
        <v>9</v>
      </c>
      <c r="R1" t="s">
        <v>501</v>
      </c>
      <c r="S1" t="s">
        <v>72</v>
      </c>
      <c r="T1" t="s">
        <v>506</v>
      </c>
      <c r="U1" t="s">
        <v>507</v>
      </c>
      <c r="V1" t="s">
        <v>502</v>
      </c>
      <c r="W1" t="s">
        <v>4</v>
      </c>
      <c r="X1" t="s">
        <v>71</v>
      </c>
      <c r="Y1" s="199" t="s">
        <v>72</v>
      </c>
      <c r="Z1" t="s">
        <v>75</v>
      </c>
      <c r="AA1" t="s">
        <v>76</v>
      </c>
      <c r="AB1" t="s">
        <v>77</v>
      </c>
      <c r="AC1" t="s">
        <v>391</v>
      </c>
      <c r="AD1" t="s">
        <v>392</v>
      </c>
      <c r="AE1" s="72" t="s">
        <v>863</v>
      </c>
      <c r="AF1" s="72" t="s">
        <v>765</v>
      </c>
      <c r="AG1" s="72" t="s">
        <v>909</v>
      </c>
      <c r="AJ1" s="1" t="s">
        <v>83</v>
      </c>
      <c r="AK1" t="s">
        <v>84</v>
      </c>
    </row>
    <row r="2" spans="1:39" s="22" customFormat="1" ht="15" thickBot="1" x14ac:dyDescent="0.4">
      <c r="A2" s="21"/>
      <c r="U2" s="23">
        <f>Assumption!E24</f>
        <v>0</v>
      </c>
      <c r="V2" s="23">
        <f>Assumption!E12</f>
        <v>0.4</v>
      </c>
      <c r="W2" s="23">
        <f>Assumption!F12</f>
        <v>0.3</v>
      </c>
      <c r="X2" s="23">
        <f>Assumption!G12</f>
        <v>0.3</v>
      </c>
      <c r="Y2" s="200">
        <f>Assumption!F24</f>
        <v>0</v>
      </c>
      <c r="Z2" s="22">
        <f>Assumption!E20</f>
        <v>0</v>
      </c>
      <c r="AA2" s="23">
        <f>Assumption!G16</f>
        <v>0</v>
      </c>
      <c r="AB2" s="23">
        <f>Assumption!H16</f>
        <v>0</v>
      </c>
      <c r="AC2" s="23">
        <f>Assumption!E16</f>
        <v>0</v>
      </c>
      <c r="AD2" s="23">
        <f>Assumption!F16</f>
        <v>0</v>
      </c>
      <c r="AE2" s="23">
        <f>Assumption!E31</f>
        <v>0</v>
      </c>
      <c r="AF2" s="23">
        <f>Assumption!E28</f>
        <v>0</v>
      </c>
      <c r="AG2" s="23">
        <f>Assumption!F28</f>
        <v>0</v>
      </c>
      <c r="AH2" s="23">
        <f>SUM(U2:AG2)</f>
        <v>1</v>
      </c>
    </row>
    <row r="3" spans="1:39" x14ac:dyDescent="0.35">
      <c r="A3" t="s">
        <v>431</v>
      </c>
      <c r="B3" t="str" cm="1">
        <f t="array" ref="B3">_xll.FDS(A3,"FG_COMPANY_NAME")</f>
        <v>iShares MSCI New Zealand ETF</v>
      </c>
      <c r="C3" t="s">
        <v>431</v>
      </c>
      <c r="D3" s="142">
        <f>VLOOKUP(C3,'Market Capitalisation'!$C$2:$G$14,5,FALSE)</f>
        <v>98401.085999999996</v>
      </c>
      <c r="E3" cm="1">
        <f t="array" ref="E3">_xll.FDS(C3,"FMA_COS_UP(""EPS"",""1M"",+1,0,,,""PORTAGG"",""MEANR"")")</f>
        <v>5</v>
      </c>
      <c r="F3" cm="1">
        <f t="array" ref="F3">_xll.FDS(C3,"FMA_COS_DOWN(""EPS"",""1M"",+1,0,,,""PORTAGG"",""MEANR"")")</f>
        <v>7</v>
      </c>
      <c r="G3" cm="1">
        <f t="array" ref="G3">_xll.FDS(A3,"SIZE(FG_CONSTITUENTS)")</f>
        <v>14</v>
      </c>
      <c r="H3" s="9">
        <f t="shared" ref="H3:H11" si="0">E3/$G3</f>
        <v>0.35714285714285715</v>
      </c>
      <c r="I3" s="9">
        <f t="shared" ref="I3:I11" si="1">F3/$G3</f>
        <v>0.5</v>
      </c>
      <c r="J3" s="9">
        <f t="shared" ref="J3:J11" si="2">H3-I3</f>
        <v>-0.14285714285714285</v>
      </c>
      <c r="K3" s="5" cm="1">
        <f t="array" ref="K3">_xll.FDS(A3,"FMA_PCT_ABOVE_MAVG(200,0,,,,""PORTAGG"")")/100</f>
        <v>0.5</v>
      </c>
      <c r="L3" s="41" cm="1">
        <f t="array" ref="L3">_xll.FDSB(A3,"PERCENT_CHANGE(FMA_EPS(+1,0,,,,""PORTAGG"",""MEAN""),FMA_EPS(+1,-1AM,,,,""PORTAGG"",""MEAN""))")</f>
        <v>1.5674898017780099</v>
      </c>
      <c r="M3" s="41" cm="1">
        <f t="array" ref="M3">_xll.FDSB(A3,"PERCENT_CHANGE(FMA_EPS(+1,0,,,,""PORTAGG"",""MEAN""),FMA_EPS(+1,-3AM,,,,""PORTAGG"",""MEAN""))")</f>
        <v>1.3653213846837</v>
      </c>
      <c r="N3" s="3" cm="1">
        <f t="array" ref="N3">_xll.FDS(C3,"FG_TOTAL_RETURNC(0,-1AM)")</f>
        <v>8.2112669999999994</v>
      </c>
      <c r="O3" s="3" cm="1">
        <f t="array" ref="O3">_xll.FDS(C3,"FG_TOTAL_RETURNC(0,-3AM)")</f>
        <v>9.3803040000000006</v>
      </c>
      <c r="P3" s="3" cm="1">
        <f t="array" ref="P3">_xll.FDS(C3,"FG_TOTAL_RETURNC(0,-6AM)")</f>
        <v>9.0888740000000006</v>
      </c>
      <c r="Q3" s="9" cm="1">
        <f t="array" ref="Q3">_xll.FDS(C3,"P_PRICE(0)/P_PRICE_HIGH_PR(0,,,,,,""PRICE"",""INTRA"",""52W"")")</f>
        <v>0.98108649999999997</v>
      </c>
      <c r="R3" s="9" cm="1">
        <f t="array" ref="R3">_xll.FDS(C3,"P_PRICE(0)/P_PRICE_low_PR(0,,,,,,""PRICE"",""INTRA"",""52W"")-1")</f>
        <v>0.18839574000000001</v>
      </c>
      <c r="S3" s="3" cm="1">
        <f t="array" ref="S3">_xll.FDS(C3,"FG_TOTAL_RETURNC(0,-12AM)")</f>
        <v>9.7748039999999996</v>
      </c>
      <c r="T3" s="4" cm="1">
        <f t="array" ref="T3">_xlfn.PERCENTRANK.EXC(_xlfn._xlws.FILTER($R$3:$R$15, ISNUMBER($R$3:$R$15)),R3)*100</f>
        <v>14.2</v>
      </c>
      <c r="U3" s="4">
        <f t="shared" ref="U3:U11" si="3">100-T3</f>
        <v>85.8</v>
      </c>
      <c r="V3" s="4" cm="1">
        <f t="array" ref="V3">_xlfn.PERCENTRANK.EXC(_xlfn._xlws.FILTER($Q$3:$Q$15, ISNUMBER($Q$3:$Q$15)),Q3)*100</f>
        <v>28.499999999999996</v>
      </c>
      <c r="W3" s="4" cm="1">
        <f t="array" ref="W3">_xlfn.PERCENTRANK.EXC(_xlfn._xlws.FILTER($O$3:$O$15, ISNUMBER($O$3:$O$15)),O3)*100</f>
        <v>78.5</v>
      </c>
      <c r="X3" s="4" cm="1">
        <f t="array" ref="X3">_xlfn.PERCENTRANK.EXC(_xlfn._xlws.FILTER($P$3:$P$15, ISNUMBER($P$3:$P$15)),P3)*100</f>
        <v>50</v>
      </c>
      <c r="Y3" s="201" cm="1">
        <f t="array" ref="Y3">_xlfn.PERCENTRANK.EXC(_xlfn._xlws.FILTER($S$3:$S$15, ISNUMBER($S$3:$S$15)),S3)*100</f>
        <v>14.2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14.2</v>
      </c>
      <c r="AB3" s="4" cm="1">
        <f t="array" ref="AB3">_xlfn.PERCENTRANK.EXC(_xlfn._xlws.FILTER($J$3:$J$15, ISNUMBER($J$3:$J$15)),J3)*100</f>
        <v>21.4</v>
      </c>
      <c r="AC3" s="4">
        <f t="shared" ref="AC3:AC15" si="4">_xlfn.PERCENTRANK.EXC($L$3:$L$15,L3)*100</f>
        <v>21.4</v>
      </c>
      <c r="AD3" s="4">
        <f t="shared" ref="AD3:AD15" si="5">_xlfn.PERCENTRANK.EXC($M$3:$M$15,M3)*100</f>
        <v>71.399999999999991</v>
      </c>
      <c r="AE3" s="4">
        <f t="shared" ref="AE3:AE15" si="6">_xlfn.PERCENTRANK.EXC($D$3:$D$15,D3)*100</f>
        <v>7.1</v>
      </c>
      <c r="AF3" s="4">
        <f>'Economic Momentum'!Q4</f>
        <v>28.499999999999996</v>
      </c>
      <c r="AG3" s="4">
        <f ca="1">'Economic Momentum'!R4</f>
        <v>14.2</v>
      </c>
      <c r="AH3" s="4">
        <f t="shared" ref="AH3:AH15" ca="1" si="7">SUMPRODUCT($U$2:$AG$2,U3:AG3)</f>
        <v>49.95</v>
      </c>
      <c r="AJ3" s="3" cm="1">
        <f t="array" aca="1" ref="AJ3" ca="1">_xlfn.PERCENTRANK.EXC(_xlfn._xlws.FILTER($AH$3:$AH$15, ISNUMBER($AH$3:$AH$15)),AH3)*100</f>
        <v>50</v>
      </c>
      <c r="AK3">
        <f t="shared" ref="AK3:AK15" si="8">COUNTIF(V3:AB3,"&gt;70")</f>
        <v>1</v>
      </c>
      <c r="AM3" s="4"/>
    </row>
    <row r="4" spans="1:39" x14ac:dyDescent="0.35">
      <c r="A4" t="s">
        <v>44</v>
      </c>
      <c r="B4" t="str" cm="1">
        <f t="array" ref="B4">_xll.FDS(A4,"FG_COMPANY_NAME")</f>
        <v>iShares MSCI Australia ETF</v>
      </c>
      <c r="C4" t="s">
        <v>44</v>
      </c>
      <c r="D4" s="142">
        <f>VLOOKUP(C4,'Market Capitalisation'!$C$2:$G$14,5,FALSE)</f>
        <v>1776285</v>
      </c>
      <c r="E4" cm="1">
        <f t="array" ref="E4">_xll.FDS(C4,"FMA_COS_UP(""EPS"",""1M"",+1,0,,,""PORTAGG"",""MEANR"")")</f>
        <v>21</v>
      </c>
      <c r="F4" cm="1">
        <f t="array" ref="F4">_xll.FDS(C4,"FMA_COS_DOWN(""EPS"",""1M"",+1,0,,,""PORTAGG"",""MEANR"")")</f>
        <v>35</v>
      </c>
      <c r="G4" cm="1">
        <f t="array" ref="G4">_xll.FDS(A4,"SIZE(FG_CONSTITUENTS)")</f>
        <v>59</v>
      </c>
      <c r="H4" s="9">
        <f t="shared" si="0"/>
        <v>0.3559322033898305</v>
      </c>
      <c r="I4" s="9">
        <f t="shared" si="1"/>
        <v>0.59322033898305082</v>
      </c>
      <c r="J4" s="9">
        <f t="shared" si="2"/>
        <v>-0.23728813559322032</v>
      </c>
      <c r="K4" s="5" cm="1">
        <f t="array" ref="K4">_xll.FDS(A4,"FMA_PCT_ABOVE_MAVG(200,0,,,,""PORTAGG"")")/100</f>
        <v>0.61016949152542399</v>
      </c>
      <c r="L4" s="41" cm="1">
        <f t="array" ref="L4">_xll.FDSB(A4,"PERCENT_CHANGE(FMA_EPS(+1,0,,,,""PORTAGG"",""MEAN""),FMA_EPS(+1,-1AM,,,,""PORTAGG"",""MEAN""))")</f>
        <v>2.6370387145127698</v>
      </c>
      <c r="M4" s="41" cm="1">
        <f t="array" ref="M4">_xll.FDSB(A4,"PERCENT_CHANGE(FMA_EPS(+1,0,,,,""PORTAGG"",""MEAN""),FMA_EPS(+1,-3AM,,,,""PORTAGG"",""MEAN""))")</f>
        <v>-1.64875384862388</v>
      </c>
      <c r="N4" s="3" cm="1">
        <f t="array" ref="N4">_xll.FDS(C4,"FG_TOTAL_RETURNC(0,-1AM)")</f>
        <v>6.2831400000000004</v>
      </c>
      <c r="O4" s="3" cm="1">
        <f t="array" ref="O4">_xll.FDS(C4,"FG_TOTAL_RETURNC(0,-3AM)")</f>
        <v>9.7421760000000006</v>
      </c>
      <c r="P4" s="3" cm="1">
        <f t="array" ref="P4">_xll.FDS(C4,"FG_TOTAL_RETURNC(0,-6AM)")</f>
        <v>11.026788</v>
      </c>
      <c r="Q4" s="9" cm="1">
        <f t="array" ref="Q4">_xll.FDS(C4,"P_PRICE(0)/P_PRICE_HIGH_PR(0,,,,,,""PRICE"",""INTRA"",""52W"")")</f>
        <v>0.9961759</v>
      </c>
      <c r="R4" s="9" cm="1">
        <f t="array" ref="R4">_xll.FDS(C4,"P_PRICE(0)/P_PRICE_low_PR(0,,,,,,""PRICE"",""INTRA"",""52W"")-1")</f>
        <v>0.27321600000000001</v>
      </c>
      <c r="S4" s="3" cm="1">
        <f t="array" ref="S4">_xll.FDS(C4,"FG_TOTAL_RETURNC(0,-12AM)")</f>
        <v>22.535181000000001</v>
      </c>
      <c r="T4" s="4" cm="1">
        <f t="array" ref="T4">_xlfn.PERCENTRANK.EXC(_xlfn._xlws.FILTER($R$3:$R$15, ISNUMBER($R$3:$R$15)),R4)*100</f>
        <v>42.8</v>
      </c>
      <c r="U4" s="4">
        <f t="shared" si="3"/>
        <v>57.2</v>
      </c>
      <c r="V4" s="4" cm="1">
        <f t="array" ref="V4">_xlfn.PERCENTRANK.EXC(_xlfn._xlws.FILTER($Q$3:$Q$15, ISNUMBER($Q$3:$Q$15)),Q4)*100</f>
        <v>85.7</v>
      </c>
      <c r="W4" s="4" cm="1">
        <f t="array" ref="W4">_xlfn.PERCENTRANK.EXC(_xlfn._xlws.FILTER($O$3:$O$15, ISNUMBER($O$3:$O$15)),O4)*100</f>
        <v>85.7</v>
      </c>
      <c r="X4" s="4" cm="1">
        <f t="array" ref="X4">_xlfn.PERCENTRANK.EXC(_xlfn._xlws.FILTER($P$3:$P$15, ISNUMBER($P$3:$P$15)),P4)*100</f>
        <v>71.399999999999991</v>
      </c>
      <c r="Y4" s="201" cm="1">
        <f t="array" ref="Y4">_xlfn.PERCENTRANK.EXC(_xlfn._xlws.FILTER($S$3:$S$15, ISNUMBER($S$3:$S$15)),S4)*100</f>
        <v>57.099999999999994</v>
      </c>
      <c r="Z4" s="4" cm="1">
        <f t="array" ref="Z4">_xlfn.PERCENTRANK.EXC(_xlfn._xlws.FILTER($K$3:$K$15, ISNUMBER($K$3:$K$15)),K4)*100</f>
        <v>50</v>
      </c>
      <c r="AA4" s="4" cm="1">
        <f t="array" ref="AA4">_xlfn.PERCENTRANK.EXC(_xlfn._xlws.FILTER($H$3:$H$15, ISNUMBER($H$3:$H$15)),H4)*100</f>
        <v>7.1</v>
      </c>
      <c r="AB4" s="4" cm="1">
        <f t="array" ref="AB4">_xlfn.PERCENTRANK.EXC(_xlfn._xlws.FILTER($J$3:$J$15, ISNUMBER($J$3:$J$15)),J4)*100</f>
        <v>7.1</v>
      </c>
      <c r="AC4" s="4">
        <f t="shared" si="4"/>
        <v>50</v>
      </c>
      <c r="AD4" s="4">
        <f t="shared" si="5"/>
        <v>35.699999999999996</v>
      </c>
      <c r="AE4" s="4">
        <f t="shared" si="6"/>
        <v>35.699999999999996</v>
      </c>
      <c r="AF4" s="4">
        <f>'Economic Momentum'!Q5</f>
        <v>42.8</v>
      </c>
      <c r="AG4" s="4">
        <f ca="1">'Economic Momentum'!R5</f>
        <v>57.099999999999994</v>
      </c>
      <c r="AH4" s="4">
        <f t="shared" ca="1" si="7"/>
        <v>81.41</v>
      </c>
      <c r="AJ4" s="3" cm="1">
        <f t="array" aca="1" ref="AJ4" ca="1">_xlfn.PERCENTRANK.EXC(_xlfn._xlws.FILTER($AH$3:$AH$15, ISNUMBER($AH$3:$AH$15)),AH4)*100</f>
        <v>78.5</v>
      </c>
      <c r="AK4">
        <f t="shared" si="8"/>
        <v>3</v>
      </c>
      <c r="AM4" s="4"/>
    </row>
    <row r="5" spans="1:39" x14ac:dyDescent="0.35">
      <c r="A5" t="s">
        <v>49</v>
      </c>
      <c r="B5" t="str" cm="1">
        <f t="array" ref="B5">_xll.FDS(A5,"FG_COMPANY_NAME")</f>
        <v>iShares MSCI Canada ETF</v>
      </c>
      <c r="C5" t="s">
        <v>49</v>
      </c>
      <c r="D5" s="142">
        <f>VLOOKUP(C5,'Market Capitalisation'!$C$2:$G$14,5,FALSE)</f>
        <v>2891931.3</v>
      </c>
      <c r="E5" cm="1">
        <f t="array" ref="E5">_xll.FDS(C5,"FMA_COS_UP(""EPS"",""1M"",+1,0,,,""PORTAGG"",""MEANR"")")</f>
        <v>44</v>
      </c>
      <c r="F5" cm="1">
        <f t="array" ref="F5">_xll.FDS(C5,"FMA_COS_DOWN(""EPS"",""1M"",+1,0,,,""PORTAGG"",""MEANR"")")</f>
        <v>37</v>
      </c>
      <c r="G5" cm="1">
        <f t="array" ref="G5">_xll.FDS(A5,"SIZE(FG_CONSTITUENTS)")</f>
        <v>88</v>
      </c>
      <c r="H5" s="9">
        <f t="shared" si="0"/>
        <v>0.5</v>
      </c>
      <c r="I5" s="9">
        <f t="shared" si="1"/>
        <v>0.42045454545454547</v>
      </c>
      <c r="J5" s="9">
        <f t="shared" si="2"/>
        <v>7.954545454545453E-2</v>
      </c>
      <c r="K5" s="5" cm="1">
        <f t="array" ref="K5">_xll.FDS(A5,"FMA_PCT_ABOVE_MAVG(200,0,,,,""PORTAGG"")")/100</f>
        <v>0.79545454545454508</v>
      </c>
      <c r="L5" s="41" cm="1">
        <f t="array" ref="L5">_xll.FDSB(A5,"PERCENT_CHANGE(FMA_EPS(+1,0,,,,""PORTAGG"",""MEAN""),FMA_EPS(+1,-1AM,,,,""PORTAGG"",""MEAN""))")</f>
        <v>3.7312698160083602</v>
      </c>
      <c r="M5" s="41" cm="1">
        <f t="array" ref="M5">_xll.FDSB(A5,"PERCENT_CHANGE(FMA_EPS(+1,0,,,,""PORTAGG"",""MEAN""),FMA_EPS(+1,-3AM,,,,""PORTAGG"",""MEAN""))")</f>
        <v>2.14284497058983</v>
      </c>
      <c r="N5" s="3" cm="1">
        <f t="array" ref="N5">_xll.FDS(C5,"FG_TOTAL_RETURNC(0,-1AM)")</f>
        <v>5.2590250000000003</v>
      </c>
      <c r="O5" s="3" cm="1">
        <f t="array" ref="O5">_xll.FDS(C5,"FG_TOTAL_RETURNC(0,-3AM)")</f>
        <v>8.8472480000000004</v>
      </c>
      <c r="P5" s="3" cm="1">
        <f t="array" ref="P5">_xll.FDS(C5,"FG_TOTAL_RETURNC(0,-6AM)")</f>
        <v>10.445774</v>
      </c>
      <c r="Q5" s="9" cm="1">
        <f t="array" ref="Q5">_xll.FDS(C5,"P_PRICE(0)/P_PRICE_HIGH_PR(0,,,,,,""PRICE"",""INTRA"",""52W"")")</f>
        <v>0.99308079999999999</v>
      </c>
      <c r="R5" s="9" cm="1">
        <f t="array" ref="R5">_xll.FDS(C5,"P_PRICE(0)/P_PRICE_low_PR(0,,,,,,""PRICE"",""INTRA"",""52W"")-1")</f>
        <v>0.28080224999999998</v>
      </c>
      <c r="S5" s="3" cm="1">
        <f t="array" ref="S5">_xll.FDS(C5,"FG_TOTAL_RETURNC(0,-12AM)")</f>
        <v>19.385850000000001</v>
      </c>
      <c r="T5" s="4" cm="1">
        <f t="array" ref="T5">_xlfn.PERCENTRANK.EXC(_xlfn._xlws.FILTER($R$3:$R$15, ISNUMBER($R$3:$R$15)),R5)*100</f>
        <v>50</v>
      </c>
      <c r="U5" s="4">
        <f t="shared" si="3"/>
        <v>50</v>
      </c>
      <c r="V5" s="4" cm="1">
        <f t="array" ref="V5">_xlfn.PERCENTRANK.EXC(_xlfn._xlws.FILTER($Q$3:$Q$15, ISNUMBER($Q$3:$Q$15)),Q5)*100</f>
        <v>71.399999999999991</v>
      </c>
      <c r="W5" s="4" cm="1">
        <f t="array" ref="W5">_xlfn.PERCENTRANK.EXC(_xlfn._xlws.FILTER($O$3:$O$15, ISNUMBER($O$3:$O$15)),O5)*100</f>
        <v>71.399999999999991</v>
      </c>
      <c r="X5" s="4" cm="1">
        <f t="array" ref="X5">_xlfn.PERCENTRANK.EXC(_xlfn._xlws.FILTER($P$3:$P$15, ISNUMBER($P$3:$P$15)),P5)*100</f>
        <v>57.099999999999994</v>
      </c>
      <c r="Y5" s="201" cm="1">
        <f t="array" ref="Y5">_xlfn.PERCENTRANK.EXC(_xlfn._xlws.FILTER($S$3:$S$15, ISNUMBER($S$3:$S$15)),S5)*100</f>
        <v>35.699999999999996</v>
      </c>
      <c r="Z5" s="4" cm="1">
        <f t="array" ref="Z5">_xlfn.PERCENTRANK.EXC(_xlfn._xlws.FILTER($K$3:$K$15, ISNUMBER($K$3:$K$15)),K5)*100</f>
        <v>92.800000000000011</v>
      </c>
      <c r="AA5" s="4" cm="1">
        <f t="array" ref="AA5">_xlfn.PERCENTRANK.EXC(_xlfn._xlws.FILTER($H$3:$H$15, ISNUMBER($H$3:$H$15)),H5)*100</f>
        <v>85.7</v>
      </c>
      <c r="AB5" s="4" cm="1">
        <f t="array" ref="AB5">_xlfn.PERCENTRANK.EXC(_xlfn._xlws.FILTER($J$3:$J$15, ISNUMBER($J$3:$J$15)),J5)*100</f>
        <v>50</v>
      </c>
      <c r="AC5" s="4">
        <f t="shared" si="4"/>
        <v>71.399999999999991</v>
      </c>
      <c r="AD5" s="4">
        <f t="shared" si="5"/>
        <v>78.5</v>
      </c>
      <c r="AE5" s="4">
        <f t="shared" si="6"/>
        <v>57.099999999999994</v>
      </c>
      <c r="AF5" s="4">
        <f>'Economic Momentum'!Q6</f>
        <v>50</v>
      </c>
      <c r="AG5" s="4">
        <f ca="1">'Economic Momentum'!R6</f>
        <v>42.8</v>
      </c>
      <c r="AH5" s="4">
        <f t="shared" ca="1" si="7"/>
        <v>67.11</v>
      </c>
      <c r="AJ5" s="3" cm="1">
        <f t="array" aca="1" ref="AJ5" ca="1">_xlfn.PERCENTRANK.EXC(_xlfn._xlws.FILTER($AH$3:$AH$15, ISNUMBER($AH$3:$AH$15)),AH5)*100</f>
        <v>71.399999999999991</v>
      </c>
      <c r="AK5">
        <f t="shared" si="8"/>
        <v>4</v>
      </c>
      <c r="AM5" s="4"/>
    </row>
    <row r="6" spans="1:39" x14ac:dyDescent="0.35">
      <c r="A6" t="s">
        <v>11</v>
      </c>
      <c r="B6" t="str" cm="1">
        <f t="array" ref="B6">_xll.FDS(A6,"FG_COMPANY_NAME")</f>
        <v>iShares MSCI Germany ETF</v>
      </c>
      <c r="C6" t="s">
        <v>11</v>
      </c>
      <c r="D6" s="142">
        <f>VLOOKUP(C6,'Market Capitalisation'!$C$2:$G$14,5,FALSE)</f>
        <v>2347794.7999999998</v>
      </c>
      <c r="E6" cm="1">
        <f t="array" ref="E6">_xll.FDS(C6,"FMA_COS_UP(""EPS"",""1M"",+1,0,,,""PORTAGG"",""MEANR"")")</f>
        <v>28</v>
      </c>
      <c r="F6" cm="1">
        <f t="array" ref="F6">_xll.FDS(C6,"FMA_COS_DOWN(""EPS"",""1M"",+1,0,,,""PORTAGG"",""MEANR"")")</f>
        <v>29</v>
      </c>
      <c r="G6" cm="1">
        <f t="array" ref="G6">_xll.FDS(A6,"SIZE(FG_CONSTITUENTS)")</f>
        <v>59</v>
      </c>
      <c r="H6" s="9">
        <f t="shared" si="0"/>
        <v>0.47457627118644069</v>
      </c>
      <c r="I6" s="9">
        <f t="shared" si="1"/>
        <v>0.49152542372881358</v>
      </c>
      <c r="J6" s="9">
        <f t="shared" si="2"/>
        <v>-1.6949152542372892E-2</v>
      </c>
      <c r="K6" s="5" cm="1">
        <f t="array" ref="K6">_xll.FDS(A6,"FMA_PCT_ABOVE_MAVG(200,0,,,,""PORTAGG"")")/100</f>
        <v>0.55172413793103403</v>
      </c>
      <c r="L6" s="41" cm="1">
        <f t="array" ref="L6">_xll.FDSB(A6,"PERCENT_CHANGE(FMA_EPS(+1,0,,,,""PORTAGG"",""MEAN""),FMA_EPS(+1,-1AM,,,,""PORTAGG"",""MEAN""))")</f>
        <v>2.3053091010418698</v>
      </c>
      <c r="M6" s="41" cm="1">
        <f t="array" ref="M6">_xll.FDSB(A6,"PERCENT_CHANGE(FMA_EPS(+1,0,,,,""PORTAGG"",""MEAN""),FMA_EPS(+1,-3AM,,,,""PORTAGG"",""MEAN""))")</f>
        <v>-1.0792296353120401</v>
      </c>
      <c r="N6" s="3" cm="1">
        <f t="array" ref="N6">_xll.FDS(C6,"FG_TOTAL_RETURNC(0,-1AM)")</f>
        <v>4.7081590000000002</v>
      </c>
      <c r="O6" s="3" cm="1">
        <f t="array" ref="O6">_xll.FDS(C6,"FG_TOTAL_RETURNC(0,-3AM)")</f>
        <v>4.8232675</v>
      </c>
      <c r="P6" s="3" cm="1">
        <f t="array" ref="P6">_xll.FDS(C6,"FG_TOTAL_RETURNC(0,-6AM)")</f>
        <v>8.5865019999999994</v>
      </c>
      <c r="Q6" s="9" cm="1">
        <f t="array" ref="Q6">_xll.FDS(C6,"P_PRICE(0)/P_PRICE_HIGH_PR(0,,,,,,""PRICE"",""INTRA"",""52W"")")</f>
        <v>0.99152607000000004</v>
      </c>
      <c r="R6" s="9" cm="1">
        <f t="array" ref="R6">_xll.FDS(C6,"P_PRICE(0)/P_PRICE_low_PR(0,,,,,,""PRICE"",""INTRA"",""52W"")-1")</f>
        <v>0.31430888000000001</v>
      </c>
      <c r="S6" s="3" cm="1">
        <f t="array" ref="S6">_xll.FDS(C6,"FG_TOTAL_RETURNC(0,-12AM)")</f>
        <v>18.450129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64.2</v>
      </c>
      <c r="W6" s="4" cm="1">
        <f t="array" ref="W6">_xlfn.PERCENTRANK.EXC(_xlfn._xlws.FILTER($O$3:$O$15, ISNUMBER($O$3:$O$15)),O6)*100</f>
        <v>42.8</v>
      </c>
      <c r="X6" s="4" cm="1">
        <f t="array" ref="X6">_xlfn.PERCENTRANK.EXC(_xlfn._xlws.FILTER($P$3:$P$15, ISNUMBER($P$3:$P$15)),P6)*100</f>
        <v>42.8</v>
      </c>
      <c r="Y6" s="201" cm="1">
        <f t="array" ref="Y6">_xlfn.PERCENTRANK.EXC(_xlfn._xlws.FILTER($S$3:$S$15, ISNUMBER($S$3:$S$15)),S6)*100</f>
        <v>28.499999999999996</v>
      </c>
      <c r="Z6" s="4" cm="1">
        <f t="array" ref="Z6">_xlfn.PERCENTRANK.EXC(_xlfn._xlws.FILTER($K$3:$K$15, ISNUMBER($K$3:$K$15)),K6)*100</f>
        <v>35.699999999999996</v>
      </c>
      <c r="AA6" s="4" cm="1">
        <f t="array" ref="AA6">_xlfn.PERCENTRANK.EXC(_xlfn._xlws.FILTER($H$3:$H$15, ISNUMBER($H$3:$H$15)),H6)*100</f>
        <v>64.2</v>
      </c>
      <c r="AB6" s="4" cm="1">
        <f t="array" ref="AB6">_xlfn.PERCENTRANK.EXC(_xlfn._xlws.FILTER($J$3:$J$15, ISNUMBER($J$3:$J$15)),J6)*100</f>
        <v>35.699999999999996</v>
      </c>
      <c r="AC6" s="4">
        <f t="shared" si="4"/>
        <v>42.8</v>
      </c>
      <c r="AD6" s="4">
        <f t="shared" si="5"/>
        <v>42.8</v>
      </c>
      <c r="AE6" s="4">
        <f t="shared" si="6"/>
        <v>42.8</v>
      </c>
      <c r="AF6" s="4">
        <f>'Economic Momentum'!Q7</f>
        <v>7.1</v>
      </c>
      <c r="AG6" s="4">
        <f ca="1">'Economic Momentum'!R7</f>
        <v>64.2</v>
      </c>
      <c r="AH6" s="4">
        <f t="shared" ca="1" si="7"/>
        <v>51.36</v>
      </c>
      <c r="AJ6" s="3" cm="1">
        <f t="array" aca="1" ref="AJ6" ca="1">_xlfn.PERCENTRANK.EXC(_xlfn._xlws.FILTER($AH$3:$AH$15, ISNUMBER($AH$3:$AH$15)),AH6)*100</f>
        <v>57.099999999999994</v>
      </c>
      <c r="AK6">
        <f t="shared" si="8"/>
        <v>0</v>
      </c>
      <c r="AM6" s="4"/>
    </row>
    <row r="7" spans="1:39" x14ac:dyDescent="0.35">
      <c r="A7" t="s">
        <v>46</v>
      </c>
      <c r="B7" t="str" cm="1">
        <f t="array" ref="B7">_xll.FDS(A7,"FG_COMPANY_NAME")</f>
        <v>iShares MSCI Japan ETF</v>
      </c>
      <c r="C7" t="s">
        <v>46</v>
      </c>
      <c r="D7" s="142">
        <f>VLOOKUP(C7,'Market Capitalisation'!$C$2:$G$14,5,FALSE)</f>
        <v>6764038.5</v>
      </c>
      <c r="E7" cm="1">
        <f t="array" ref="E7">_xll.FDS(C7,"FMA_COS_UP(""EPS"",""1M"",+1,0,,,""PORTAGG"",""MEANR"")")</f>
        <v>99</v>
      </c>
      <c r="F7" cm="1">
        <f t="array" ref="F7">_xll.FDS(C7,"FMA_COS_DOWN(""EPS"",""1M"",+1,0,,,""PORTAGG"",""MEANR"")")</f>
        <v>77</v>
      </c>
      <c r="G7" cm="1">
        <f t="array" ref="G7">_xll.FDS(A7,"SIZE(FG_CONSTITUENTS)")</f>
        <v>204</v>
      </c>
      <c r="H7" s="9">
        <f t="shared" si="0"/>
        <v>0.48529411764705882</v>
      </c>
      <c r="I7" s="9">
        <f t="shared" si="1"/>
        <v>0.37745098039215685</v>
      </c>
      <c r="J7" s="9">
        <f t="shared" si="2"/>
        <v>0.10784313725490197</v>
      </c>
      <c r="K7" s="5" cm="1">
        <f t="array" ref="K7">_xll.FDS(A7,"FMA_PCT_ABOVE_MAVG(200,0,,,,""PORTAGG"")")/100</f>
        <v>0.52450980392156898</v>
      </c>
      <c r="L7" s="41" cm="1">
        <f t="array" ref="L7">_xll.FDSB(A7,"PERCENT_CHANGE(FMA_EPS(+1,0,,,,""PORTAGG"",""MEAN""),FMA_EPS(+1,-1AM,,,,""PORTAGG"",""MEAN""))")</f>
        <v>7.3821121046458398</v>
      </c>
      <c r="M7" s="41" cm="1">
        <f t="array" ref="M7">_xll.FDSB(A7,"PERCENT_CHANGE(FMA_EPS(+1,0,,,,""PORTAGG"",""MEAN""),FMA_EPS(+1,-3AM,,,,""PORTAGG"",""MEAN""))")</f>
        <v>10.7080874988487</v>
      </c>
      <c r="N7" s="3" cm="1">
        <f t="array" ref="N7">_xll.FDS(C7,"FG_TOTAL_RETURNC(0,-1AM)")</f>
        <v>3.9070486999999998</v>
      </c>
      <c r="O7" s="3" cm="1">
        <f t="array" ref="O7">_xll.FDS(C7,"FG_TOTAL_RETURNC(0,-3AM)")</f>
        <v>6.8247437</v>
      </c>
      <c r="P7" s="3" cm="1">
        <f t="array" ref="P7">_xll.FDS(C7,"FG_TOTAL_RETURNC(0,-6AM)")</f>
        <v>4.2746662999999998</v>
      </c>
      <c r="Q7" s="9" cm="1">
        <f t="array" ref="Q7">_xll.FDS(C7,"P_PRICE(0)/P_PRICE_HIGH_PR(0,,,,,,""PRICE"",""INTRA"",""52W"")")</f>
        <v>0.99010456000000002</v>
      </c>
      <c r="R7" s="9" cm="1">
        <f t="array" ref="R7">_xll.FDS(C7,"P_PRICE(0)/P_PRICE_low_PR(0,,,,,,""PRICE"",""INTRA"",""52W"")-1")</f>
        <v>0.25069928000000002</v>
      </c>
      <c r="S7" s="3" cm="1">
        <f t="array" ref="S7">_xll.FDS(C7,"FG_TOTAL_RETURNC(0,-12AM)")</f>
        <v>19.624472000000001</v>
      </c>
      <c r="T7" s="4" cm="1">
        <f t="array" ref="T7">_xlfn.PERCENTRANK.EXC(_xlfn._xlws.FILTER($R$3:$R$15, ISNUMBER($R$3:$R$15)),R7)*100</f>
        <v>28.499999999999996</v>
      </c>
      <c r="U7" s="4">
        <f t="shared" si="3"/>
        <v>71.5</v>
      </c>
      <c r="V7" s="4" cm="1">
        <f t="array" ref="V7">_xlfn.PERCENTRANK.EXC(_xlfn._xlws.FILTER($Q$3:$Q$15, ISNUMBER($Q$3:$Q$15)),Q7)*100</f>
        <v>57.099999999999994</v>
      </c>
      <c r="W7" s="4" cm="1">
        <f t="array" ref="W7">_xlfn.PERCENTRANK.EXC(_xlfn._xlws.FILTER($O$3:$O$15, ISNUMBER($O$3:$O$15)),O7)*100</f>
        <v>57.099999999999994</v>
      </c>
      <c r="X7" s="4" cm="1">
        <f t="array" ref="X7">_xlfn.PERCENTRANK.EXC(_xlfn._xlws.FILTER($P$3:$P$15, ISNUMBER($P$3:$P$15)),P7)*100</f>
        <v>14.2</v>
      </c>
      <c r="Y7" s="201" cm="1">
        <f t="array" ref="Y7">_xlfn.PERCENTRANK.EXC(_xlfn._xlws.FILTER($S$3:$S$15, ISNUMBER($S$3:$S$15)),S7)*100</f>
        <v>42.8</v>
      </c>
      <c r="Z7" s="4" cm="1">
        <f t="array" ref="Z7">_xlfn.PERCENTRANK.EXC(_xlfn._xlws.FILTER($K$3:$K$15, ISNUMBER($K$3:$K$15)),K7)*100</f>
        <v>28.499999999999996</v>
      </c>
      <c r="AA7" s="4" cm="1">
        <f t="array" ref="AA7">_xlfn.PERCENTRANK.EXC(_xlfn._xlws.FILTER($H$3:$H$15, ISNUMBER($H$3:$H$15)),H7)*100</f>
        <v>78.5</v>
      </c>
      <c r="AB7" s="4" cm="1">
        <f t="array" ref="AB7">_xlfn.PERCENTRANK.EXC(_xlfn._xlws.FILTER($J$3:$J$15, ISNUMBER($J$3:$J$15)),J7)*100</f>
        <v>64.2</v>
      </c>
      <c r="AC7" s="4">
        <f t="shared" si="4"/>
        <v>92.800000000000011</v>
      </c>
      <c r="AD7" s="4">
        <f t="shared" si="5"/>
        <v>92.800000000000011</v>
      </c>
      <c r="AE7" s="4">
        <f t="shared" si="6"/>
        <v>78.5</v>
      </c>
      <c r="AF7" s="4">
        <f>'Economic Momentum'!Q8</f>
        <v>64.2</v>
      </c>
      <c r="AG7" s="4">
        <f ca="1">'Economic Momentum'!R8</f>
        <v>92.800000000000011</v>
      </c>
      <c r="AH7" s="4">
        <f t="shared" ca="1" si="7"/>
        <v>44.23</v>
      </c>
      <c r="AJ7" s="3" cm="1">
        <f t="array" aca="1" ref="AJ7" ca="1">_xlfn.PERCENTRANK.EXC(_xlfn._xlws.FILTER($AH$3:$AH$15, ISNUMBER($AH$3:$AH$15)),AH7)*100</f>
        <v>35.699999999999996</v>
      </c>
      <c r="AK7">
        <f t="shared" si="8"/>
        <v>1</v>
      </c>
      <c r="AM7" s="4"/>
    </row>
    <row r="8" spans="1:39" x14ac:dyDescent="0.35">
      <c r="A8" t="s">
        <v>42</v>
      </c>
      <c r="B8" t="str" cm="1">
        <f t="array" ref="B8">_xll.FDS(A8,"FG_COMPANY_NAME")</f>
        <v>iShares MSCI Switzerland ETF</v>
      </c>
      <c r="C8" t="s">
        <v>42</v>
      </c>
      <c r="D8" s="142">
        <f>VLOOKUP(C8,'Market Capitalisation'!$C$2:$G$14,5,FALSE)</f>
        <v>2370079.2999999998</v>
      </c>
      <c r="E8" cm="1">
        <f t="array" ref="E8">_xll.FDS(C8,"FMA_COS_UP(""EPS"",""1M"",+1,0,,,""PORTAGG"",""MEANR"")")</f>
        <v>20</v>
      </c>
      <c r="F8" cm="1">
        <f t="array" ref="F8">_xll.FDS(C8,"FMA_COS_DOWN(""EPS"",""1M"",+1,0,,,""PORTAGG"",""MEANR"")")</f>
        <v>23</v>
      </c>
      <c r="G8" cm="1">
        <f t="array" ref="G8">_xll.FDS(A8,"SIZE(FG_CONSTITUENTS)")</f>
        <v>46</v>
      </c>
      <c r="H8" s="9">
        <f t="shared" si="0"/>
        <v>0.43478260869565216</v>
      </c>
      <c r="I8" s="9">
        <f t="shared" si="1"/>
        <v>0.5</v>
      </c>
      <c r="J8" s="9">
        <f t="shared" si="2"/>
        <v>-6.5217391304347838E-2</v>
      </c>
      <c r="K8" s="5" cm="1">
        <f t="array" ref="K8">_xll.FDS(A8,"FMA_PCT_ABOVE_MAVG(200,0,,,,""PORTAGG"")")/100</f>
        <v>0.69565217391304301</v>
      </c>
      <c r="L8" s="41" cm="1">
        <f t="array" ref="L8">_xll.FDSB(A8,"PERCENT_CHANGE(FMA_EPS(+1,0,,,,""PORTAGG"",""MEAN""),FMA_EPS(+1,-1AM,,,,""PORTAGG"",""MEAN""))")</f>
        <v>3.7009146603372201</v>
      </c>
      <c r="M8" s="41" cm="1">
        <f t="array" ref="M8">_xll.FDSB(A8,"PERCENT_CHANGE(FMA_EPS(+1,0,,,,""PORTAGG"",""MEAN""),FMA_EPS(+1,-3AM,,,,""PORTAGG"",""MEAN""))")</f>
        <v>4.04852968092084</v>
      </c>
      <c r="N8" s="3" cm="1">
        <f t="array" ref="N8">_xll.FDS(C8,"FG_TOTAL_RETURNC(0,-1AM)")</f>
        <v>6.1544657000000003</v>
      </c>
      <c r="O8" s="3" cm="1">
        <f t="array" ref="O8">_xll.FDS(C8,"FG_TOTAL_RETURNC(0,-3AM)")</f>
        <v>12.923681</v>
      </c>
      <c r="P8" s="3" cm="1">
        <f t="array" ref="P8">_xll.FDS(C8,"FG_TOTAL_RETURNC(0,-6AM)")</f>
        <v>15.094364000000001</v>
      </c>
      <c r="Q8" s="9" cm="1">
        <f t="array" ref="Q8">_xll.FDS(C8,"P_PRICE(0)/P_PRICE_HIGH_PR(0,,,,,,""PRICE"",""INTRA"",""52W"")")</f>
        <v>0.99528570000000005</v>
      </c>
      <c r="R8" s="9" cm="1">
        <f t="array" ref="R8">_xll.FDS(C8,"P_PRICE(0)/P_PRICE_low_PR(0,,,,,,""PRICE"",""INTRA"",""52W"")-1")</f>
        <v>0.27027677999999999</v>
      </c>
      <c r="S8" s="3" cm="1">
        <f t="array" ref="S8">_xll.FDS(C8,"FG_TOTAL_RETURNC(0,-12AM)")</f>
        <v>15.836584</v>
      </c>
      <c r="T8" s="4" cm="1">
        <f t="array" ref="T8">_xlfn.PERCENTRANK.EXC(_xlfn._xlws.FILTER($R$3:$R$15, ISNUMBER($R$3:$R$15)),R8)*100</f>
        <v>35.699999999999996</v>
      </c>
      <c r="U8" s="4">
        <f t="shared" si="3"/>
        <v>64.300000000000011</v>
      </c>
      <c r="V8" s="4" cm="1">
        <f t="array" ref="V8">_xlfn.PERCENTRANK.EXC(_xlfn._xlws.FILTER($Q$3:$Q$15, ISNUMBER($Q$3:$Q$15)),Q8)*100</f>
        <v>78.5</v>
      </c>
      <c r="W8" s="4" cm="1">
        <f t="array" ref="W8">_xlfn.PERCENTRANK.EXC(_xlfn._xlws.FILTER($O$3:$O$15, ISNUMBER($O$3:$O$15)),O8)*100</f>
        <v>92.800000000000011</v>
      </c>
      <c r="X8" s="4" cm="1">
        <f t="array" ref="X8">_xlfn.PERCENTRANK.EXC(_xlfn._xlws.FILTER($P$3:$P$15, ISNUMBER($P$3:$P$15)),P8)*100</f>
        <v>85.7</v>
      </c>
      <c r="Y8" s="201" cm="1">
        <f t="array" ref="Y8">_xlfn.PERCENTRANK.EXC(_xlfn._xlws.FILTER($S$3:$S$15, ISNUMBER($S$3:$S$15)),S8)*100</f>
        <v>21.4</v>
      </c>
      <c r="Z8" s="4" cm="1">
        <f t="array" ref="Z8">_xlfn.PERCENTRANK.EXC(_xlfn._xlws.FILTER($K$3:$K$15, ISNUMBER($K$3:$K$15)),K8)*100</f>
        <v>78.5</v>
      </c>
      <c r="AA8" s="4" cm="1">
        <f t="array" ref="AA8">_xlfn.PERCENTRANK.EXC(_xlfn._xlws.FILTER($H$3:$H$15, ISNUMBER($H$3:$H$15)),H8)*100</f>
        <v>42.8</v>
      </c>
      <c r="AB8" s="4" cm="1">
        <f t="array" ref="AB8">_xlfn.PERCENTRANK.EXC(_xlfn._xlws.FILTER($J$3:$J$15, ISNUMBER($J$3:$J$15)),J8)*100</f>
        <v>28.499999999999996</v>
      </c>
      <c r="AC8" s="4">
        <f t="shared" si="4"/>
        <v>64.2</v>
      </c>
      <c r="AD8" s="4">
        <f t="shared" si="5"/>
        <v>85.7</v>
      </c>
      <c r="AE8" s="4">
        <f t="shared" si="6"/>
        <v>50</v>
      </c>
      <c r="AF8" s="4">
        <f>'Economic Momentum'!Q9</f>
        <v>14.2</v>
      </c>
      <c r="AG8" s="4">
        <f ca="1">'Economic Momentum'!R9</f>
        <v>35.699999999999996</v>
      </c>
      <c r="AH8" s="4">
        <f t="shared" ca="1" si="7"/>
        <v>84.950000000000017</v>
      </c>
      <c r="AJ8" s="3" cm="1">
        <f t="array" aca="1" ref="AJ8" ca="1">_xlfn.PERCENTRANK.EXC(_xlfn._xlws.FILTER($AH$3:$AH$15, ISNUMBER($AH$3:$AH$15)),AH8)*100</f>
        <v>92.800000000000011</v>
      </c>
      <c r="AK8">
        <f t="shared" si="8"/>
        <v>4</v>
      </c>
      <c r="AM8" s="4"/>
    </row>
    <row r="9" spans="1:39" x14ac:dyDescent="0.35">
      <c r="A9" t="s">
        <v>48</v>
      </c>
      <c r="B9" t="str" cm="1">
        <f t="array" ref="B9">_xll.FDS(A9,"FG_COMPANY_NAME")</f>
        <v>iShares MSCI United Kingdom ETF</v>
      </c>
      <c r="C9" t="s">
        <v>48</v>
      </c>
      <c r="D9" s="142">
        <f>VLOOKUP(C9,'Market Capitalisation'!$C$2:$G$14,5,FALSE)</f>
        <v>3412445</v>
      </c>
      <c r="E9" cm="1">
        <f t="array" ref="E9">_xll.FDS(C9,"FMA_COS_UP(""EPS"",""1M"",+1,0,,,""PORTAGG"",""MEANR"")")</f>
        <v>31</v>
      </c>
      <c r="F9" cm="1">
        <f t="array" ref="F9">_xll.FDS(C9,"FMA_COS_DOWN(""EPS"",""1M"",+1,0,,,""PORTAGG"",""MEANR"")")</f>
        <v>44</v>
      </c>
      <c r="G9" cm="1">
        <f t="array" ref="G9">_xll.FDS(A9,"SIZE(FG_CONSTITUENTS)")</f>
        <v>81</v>
      </c>
      <c r="H9" s="9">
        <f t="shared" si="0"/>
        <v>0.38271604938271603</v>
      </c>
      <c r="I9" s="9">
        <f t="shared" si="1"/>
        <v>0.54320987654320985</v>
      </c>
      <c r="J9" s="9">
        <f t="shared" si="2"/>
        <v>-0.16049382716049382</v>
      </c>
      <c r="K9" s="5" cm="1">
        <f t="array" ref="K9">_xll.FDS(A9,"FMA_PCT_ABOVE_MAVG(200,0,,,,""PORTAGG"")")/100</f>
        <v>0.66249999999999998</v>
      </c>
      <c r="L9" s="41" cm="1">
        <f t="array" ref="L9">_xll.FDSB(A9,"PERCENT_CHANGE(FMA_EPS(+1,0,,,,""PORTAGG"",""MEAN""),FMA_EPS(+1,-1AM,,,,""PORTAGG"",""MEAN""))")</f>
        <v>2.0839737136974099</v>
      </c>
      <c r="M9" s="41" cm="1">
        <f t="array" ref="M9">_xll.FDSB(A9,"PERCENT_CHANGE(FMA_EPS(+1,0,,,,""PORTAGG"",""MEAN""),FMA_EPS(+1,-3AM,,,,""PORTAGG"",""MEAN""))")</f>
        <v>0.76479183292983999</v>
      </c>
      <c r="N9" s="3" cm="1">
        <f t="array" ref="N9">_xll.FDS(C9,"FG_TOTAL_RETURNC(0,-1AM)")</f>
        <v>4.6809672999999998</v>
      </c>
      <c r="O9" s="3" cm="1">
        <f t="array" ref="O9">_xll.FDS(C9,"FG_TOTAL_RETURNC(0,-3AM)")</f>
        <v>7.4796557000000004</v>
      </c>
      <c r="P9" s="3" cm="1">
        <f t="array" ref="P9">_xll.FDS(C9,"FG_TOTAL_RETURNC(0,-6AM)")</f>
        <v>16.964113000000001</v>
      </c>
      <c r="Q9" s="9" cm="1">
        <f t="array" ref="Q9">_xll.FDS(C9,"P_PRICE(0)/P_PRICE_HIGH_PR(0,,,,,,""PRICE"",""INTRA"",""52W"")")</f>
        <v>0.99708070000000004</v>
      </c>
      <c r="R9" s="9" cm="1">
        <f t="array" ref="R9">_xll.FDS(C9,"P_PRICE(0)/P_PRICE_low_PR(0,,,,,,""PRICE"",""INTRA"",""52W"")-1")</f>
        <v>0.24651623</v>
      </c>
      <c r="S9" s="3" cm="1">
        <f t="array" ref="S9">_xll.FDS(C9,"FG_TOTAL_RETURNC(0,-12AM)")</f>
        <v>21.852015999999999</v>
      </c>
      <c r="T9" s="4" cm="1">
        <f t="array" ref="T9">_xlfn.PERCENTRANK.EXC(_xlfn._xlws.FILTER($R$3:$R$15, ISNUMBER($R$3:$R$15)),R9)*100</f>
        <v>21.4</v>
      </c>
      <c r="U9" s="4">
        <f t="shared" si="3"/>
        <v>78.599999999999994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64.2</v>
      </c>
      <c r="X9" s="4" cm="1">
        <f t="array" ref="X9">_xlfn.PERCENTRANK.EXC(_xlfn._xlws.FILTER($P$3:$P$15, ISNUMBER($P$3:$P$15)),P9)*100</f>
        <v>92.800000000000011</v>
      </c>
      <c r="Y9" s="201" cm="1">
        <f t="array" ref="Y9">_xlfn.PERCENTRANK.EXC(_xlfn._xlws.FILTER($S$3:$S$15, ISNUMBER($S$3:$S$15)),S9)*100</f>
        <v>50</v>
      </c>
      <c r="Z9" s="4" cm="1">
        <f t="array" ref="Z9">_xlfn.PERCENTRANK.EXC(_xlfn._xlws.FILTER($K$3:$K$15, ISNUMBER($K$3:$K$15)),K9)*100</f>
        <v>64.2</v>
      </c>
      <c r="AA9" s="4" cm="1">
        <f t="array" ref="AA9">_xlfn.PERCENTRANK.EXC(_xlfn._xlws.FILTER($H$3:$H$15, ISNUMBER($H$3:$H$15)),H9)*100</f>
        <v>28.499999999999996</v>
      </c>
      <c r="AB9" s="4" cm="1">
        <f t="array" ref="AB9">_xlfn.PERCENTRANK.EXC(_xlfn._xlws.FILTER($J$3:$J$15, ISNUMBER($J$3:$J$15)),J9)*100</f>
        <v>14.2</v>
      </c>
      <c r="AC9" s="4">
        <f t="shared" si="4"/>
        <v>28.499999999999996</v>
      </c>
      <c r="AD9" s="4">
        <f t="shared" si="5"/>
        <v>57.099999999999994</v>
      </c>
      <c r="AE9" s="4">
        <f t="shared" si="6"/>
        <v>71.399999999999991</v>
      </c>
      <c r="AF9" s="4">
        <f>'Economic Momentum'!Q10</f>
        <v>92.800000000000011</v>
      </c>
      <c r="AG9" s="4">
        <f ca="1">'Economic Momentum'!R10</f>
        <v>78.5</v>
      </c>
      <c r="AH9" s="4">
        <f t="shared" ca="1" si="7"/>
        <v>84.220000000000013</v>
      </c>
      <c r="AJ9" s="3" cm="1">
        <f t="array" aca="1" ref="AJ9" ca="1">_xlfn.PERCENTRANK.EXC(_xlfn._xlws.FILTER($AH$3:$AH$15, ISNUMBER($AH$3:$AH$15)),AH9)*100</f>
        <v>85.7</v>
      </c>
      <c r="AK9">
        <f t="shared" si="8"/>
        <v>2</v>
      </c>
      <c r="AM9" s="4"/>
    </row>
    <row r="10" spans="1:39" x14ac:dyDescent="0.35">
      <c r="A10" t="s">
        <v>51</v>
      </c>
      <c r="B10" t="str" cm="1">
        <f t="array" ref="B10">_xll.FDS(A10,"FG_COMPANY_NAME")</f>
        <v>Invesco QQQ Trust Series I</v>
      </c>
      <c r="C10" t="s">
        <v>51</v>
      </c>
      <c r="D10" s="142">
        <f>VLOOKUP(C10,'Market Capitalisation'!$C$2:$G$14,5,FALSE)</f>
        <v>58039256</v>
      </c>
      <c r="E10" cm="1">
        <f t="array" ref="E10">_xll.FDS(C10,"FMA_COS_UP(""EPS"",""1M"",+1,0,,,""PORTAGG"",""MEANR"")")</f>
        <v>48</v>
      </c>
      <c r="F10" cm="1">
        <f t="array" ref="F10">_xll.FDS(C10,"FMA_COS_DOWN(""EPS"",""1M"",+1,0,,,""PORTAGG"",""MEANR"")")</f>
        <v>36</v>
      </c>
      <c r="G10" cm="1">
        <f t="array" ref="G10">_xll.FDS(A10,"SIZE(FG_CONSTITUENTS)")</f>
        <v>102</v>
      </c>
      <c r="H10" s="9">
        <f t="shared" si="0"/>
        <v>0.47058823529411764</v>
      </c>
      <c r="I10" s="9">
        <f t="shared" si="1"/>
        <v>0.35294117647058826</v>
      </c>
      <c r="J10" s="9">
        <f t="shared" si="2"/>
        <v>0.11764705882352938</v>
      </c>
      <c r="K10" s="5" cm="1">
        <f t="array" ref="K10">_xll.FDS(A10,"FMA_PCT_ABOVE_MAVG(200,0,,,,""PORTAGG"")")/100</f>
        <v>0.60784313725490202</v>
      </c>
      <c r="L10" s="41" cm="1">
        <f t="array" ref="L10">_xll.FDSB(A10,"PERCENT_CHANGE(FMA_EPS(+1,0,,,,""PORTAGG"",""MEAN""),FMA_EPS(+1,-1AM,,,,""PORTAGG"",""MEAN""))")</f>
        <v>-1.8037117683285699</v>
      </c>
      <c r="M10" s="41" cm="1">
        <f t="array" ref="M10">_xll.FDSB(A10,"PERCENT_CHANGE(FMA_EPS(+1,0,,,,""PORTAGG"",""MEAN""),FMA_EPS(+1,-3AM,,,,""PORTAGG"",""MEAN""))")</f>
        <v>-2.8709411133320901</v>
      </c>
      <c r="N10" s="3" cm="1">
        <f t="array" ref="N10">_xll.FDS(C10,"FG_TOTAL_RETURNC(0,-1AM)")</f>
        <v>1.4572144</v>
      </c>
      <c r="O10" s="3" cm="1">
        <f t="array" ref="O10">_xll.FDS(C10,"FG_TOTAL_RETURNC(0,-3AM)")</f>
        <v>3.2810807</v>
      </c>
      <c r="P10" s="3" cm="1">
        <f t="array" ref="P10">_xll.FDS(C10,"FG_TOTAL_RETURNC(0,-6AM)")</f>
        <v>7.5248600000000003</v>
      </c>
      <c r="Q10" s="9" cm="1">
        <f t="array" ref="Q10">_xll.FDS(C10,"P_PRICE(0)/P_PRICE_HIGH_PR(0,,,,,,""PRICE"",""INTRA"",""52W"")")</f>
        <v>0.93473949999999995</v>
      </c>
      <c r="R10" s="9" cm="1">
        <f t="array" ref="R10">_xll.FDS(C10,"P_PRICE(0)/P_PRICE_low_PR(0,,,,,,""PRICE"",""INTRA"",""52W"")-1")</f>
        <v>0.37479185999999998</v>
      </c>
      <c r="S10" s="3" cm="1">
        <f t="array" ref="S10">_xll.FDS(C10,"FG_TOTAL_RETURNC(0,-12AM)")</f>
        <v>26.451741999999999</v>
      </c>
      <c r="T10" s="4" cm="1">
        <f t="array" ref="T10">_xlfn.PERCENTRANK.EXC(_xlfn._xlws.FILTER($R$3:$R$15, ISNUMBER($R$3:$R$15)),R10)*100</f>
        <v>85.7</v>
      </c>
      <c r="U10" s="4">
        <f t="shared" si="3"/>
        <v>14.299999999999997</v>
      </c>
      <c r="V10" s="4" cm="1">
        <f t="array" ref="V10">_xlfn.PERCENTRANK.EXC(_xlfn._xlws.FILTER($Q$3:$Q$15, ISNUMBER($Q$3:$Q$15)),Q10)*100</f>
        <v>7.1</v>
      </c>
      <c r="W10" s="4" cm="1">
        <f t="array" ref="W10">_xlfn.PERCENTRANK.EXC(_xlfn._xlws.FILTER($O$3:$O$15, ISNUMBER($O$3:$O$15)),O10)*100</f>
        <v>21.4</v>
      </c>
      <c r="X10" s="4" cm="1">
        <f t="array" ref="X10">_xlfn.PERCENTRANK.EXC(_xlfn._xlws.FILTER($P$3:$P$15, ISNUMBER($P$3:$P$15)),P10)*100</f>
        <v>28.499999999999996</v>
      </c>
      <c r="Y10" s="201" cm="1">
        <f t="array" ref="Y10">_xlfn.PERCENTRANK.EXC(_xlfn._xlws.FILTER($S$3:$S$15, ISNUMBER($S$3:$S$15)),S10)*100</f>
        <v>85.7</v>
      </c>
      <c r="Z10" s="4" cm="1">
        <f t="array" ref="Z10">_xlfn.PERCENTRANK.EXC(_xlfn._xlws.FILTER($K$3:$K$15, ISNUMBER($K$3:$K$15)),K10)*100</f>
        <v>42.8</v>
      </c>
      <c r="AA10" s="4" cm="1">
        <f t="array" ref="AA10">_xlfn.PERCENTRANK.EXC(_xlfn._xlws.FILTER($H$3:$H$15, ISNUMBER($H$3:$H$15)),H10)*100</f>
        <v>57.099999999999994</v>
      </c>
      <c r="AB10" s="4" cm="1">
        <f t="array" ref="AB10">_xlfn.PERCENTRANK.EXC(_xlfn._xlws.FILTER($J$3:$J$15, ISNUMBER($J$3:$J$15)),J10)*100</f>
        <v>71.399999999999991</v>
      </c>
      <c r="AC10" s="4">
        <f t="shared" si="4"/>
        <v>7.1</v>
      </c>
      <c r="AD10" s="4">
        <f t="shared" si="5"/>
        <v>7.1</v>
      </c>
      <c r="AE10" s="4">
        <f t="shared" si="6"/>
        <v>85.7</v>
      </c>
      <c r="AF10" s="4">
        <f>'Economic Momentum'!Q11</f>
        <v>78.5</v>
      </c>
      <c r="AG10" s="4">
        <f ca="1">'Economic Momentum'!R11</f>
        <v>21.4</v>
      </c>
      <c r="AH10" s="4">
        <f t="shared" ca="1" si="7"/>
        <v>17.809999999999995</v>
      </c>
      <c r="AJ10" s="3" cm="1">
        <f t="array" aca="1" ref="AJ10" ca="1">_xlfn.PERCENTRANK.EXC(_xlfn._xlws.FILTER($AH$3:$AH$15, ISNUMBER($AH$3:$AH$15)),AH10)*100</f>
        <v>14.2</v>
      </c>
      <c r="AK10">
        <f t="shared" si="8"/>
        <v>2</v>
      </c>
      <c r="AM10" s="4"/>
    </row>
    <row r="11" spans="1:39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142">
        <f>VLOOKUP(C11,'Market Capitalisation'!$C$2:$G$14,5,FALSE)</f>
        <v>58039256</v>
      </c>
      <c r="E11" cm="1">
        <f t="array" ref="E11">_xll.FDS(C11,"FMA_COS_UP(""EPS"",""1M"",+1,0,,,""PORTAGG"",""MEANR"")")</f>
        <v>242</v>
      </c>
      <c r="F11" cm="1">
        <f t="array" ref="F11">_xll.FDS(C11,"FMA_COS_DOWN(""EPS"",""1M"",+1,0,,,""PORTAGG"",""MEANR"")")</f>
        <v>157</v>
      </c>
      <c r="G11" cm="1">
        <f t="array" ref="G11">_xll.FDS(A11,"SIZE(FG_CONSTITUENTS)")</f>
        <v>503</v>
      </c>
      <c r="H11" s="9">
        <f t="shared" si="0"/>
        <v>0.48111332007952284</v>
      </c>
      <c r="I11" s="9">
        <f t="shared" si="1"/>
        <v>0.31212723658051689</v>
      </c>
      <c r="J11" s="9">
        <f t="shared" si="2"/>
        <v>0.16898608349900596</v>
      </c>
      <c r="K11" s="5" cm="1">
        <f t="array" ref="K11">_xll.FDS(A11,"FMA_PCT_ABOVE_MAVG(200,0,,,,""PORTAGG"")")/100</f>
        <v>0.75049900199600794</v>
      </c>
      <c r="L11" s="41" cm="1">
        <f t="array" ref="L11">_xll.FDSB(A11,"PERCENT_CHANGE(FMA_EPS(+1,0,,,,""PORTAGG"",""MEAN""),FMA_EPS(+1,-1AM,,,,""PORTAGG"",""MEAN""))")</f>
        <v>-6.6306719796830504E-2</v>
      </c>
      <c r="M11" s="41" cm="1">
        <f t="array" ref="M11">_xll.FDSB(A11,"PERCENT_CHANGE(FMA_EPS(+1,0,,,,""PORTAGG"",""MEAN""),FMA_EPS(+1,-3AM,,,,""PORTAGG"",""MEAN""))")</f>
        <v>-0.92741765643795104</v>
      </c>
      <c r="N11" s="3" cm="1">
        <f t="array" ref="N11">_xll.FDS(C11,"FG_TOTAL_RETURNC(0,-1AM)")</f>
        <v>2.494669</v>
      </c>
      <c r="O11" s="3" cm="1">
        <f t="array" ref="O11">_xll.FDS(C11,"FG_TOTAL_RETURNC(0,-3AM)")</f>
        <v>6.4728620000000001</v>
      </c>
      <c r="P11" s="3" cm="1">
        <f t="array" ref="P11">_xll.FDS(C11,"FG_TOTAL_RETURNC(0,-6AM)")</f>
        <v>10.594023</v>
      </c>
      <c r="Q11" s="9" cm="1">
        <f t="array" ref="Q11">_xll.FDS(C11,"P_PRICE(0)/P_PRICE_HIGH_PR(0,,,,,,""PRICE"",""INTRA"",""52W"")")</f>
        <v>0.98795029999999995</v>
      </c>
      <c r="R11" s="9" cm="1">
        <f t="array" ref="R11">_xll.FDS(C11,"P_PRICE(0)/P_PRICE_low_PR(0,,,,,,""PRICE"",""INTRA"",""52W"")-1")</f>
        <v>0.36445832</v>
      </c>
      <c r="S11" s="3" cm="1">
        <f t="array" ref="S11">_xll.FDS(C11,"FG_TOTAL_RETURNC(0,-12AM)")</f>
        <v>26.058138</v>
      </c>
      <c r="T11" s="4" cm="1">
        <f t="array" ref="T11">_xlfn.PERCENTRANK.EXC(_xlfn._xlws.FILTER($R$3:$R$15, ISNUMBER($R$3:$R$15)),R11)*100</f>
        <v>71.399999999999991</v>
      </c>
      <c r="U11" s="4">
        <f t="shared" si="3"/>
        <v>28.600000000000009</v>
      </c>
      <c r="V11" s="4" cm="1">
        <f t="array" ref="V11">_xlfn.PERCENTRANK.EXC(_xlfn._xlws.FILTER($Q$3:$Q$15, ISNUMBER($Q$3:$Q$15)),Q11)*100</f>
        <v>50</v>
      </c>
      <c r="W11" s="4" cm="1">
        <f t="array" ref="W11">_xlfn.PERCENTRANK.EXC(_xlfn._xlws.FILTER($O$3:$O$15, ISNUMBER($O$3:$O$15)),O11)*100</f>
        <v>50</v>
      </c>
      <c r="X11" s="4" cm="1">
        <f t="array" ref="X11">_xlfn.PERCENTRANK.EXC(_xlfn._xlws.FILTER($P$3:$P$15, ISNUMBER($P$3:$P$15)),P11)*100</f>
        <v>64.2</v>
      </c>
      <c r="Y11" s="201" cm="1">
        <f t="array" ref="Y11">_xlfn.PERCENTRANK.EXC(_xlfn._xlws.FILTER($S$3:$S$15, ISNUMBER($S$3:$S$15)),S11)*100</f>
        <v>78.5</v>
      </c>
      <c r="Z11" s="4" cm="1">
        <f t="array" ref="Z11">_xlfn.PERCENTRANK.EXC(_xlfn._xlws.FILTER($K$3:$K$15, ISNUMBER($K$3:$K$15)),K11)*100</f>
        <v>85.7</v>
      </c>
      <c r="AA11" s="4" cm="1">
        <f t="array" ref="AA11">_xlfn.PERCENTRANK.EXC(_xlfn._xlws.FILTER($H$3:$H$15, ISNUMBER($H$3:$H$15)),H11)*100</f>
        <v>71.399999999999991</v>
      </c>
      <c r="AB11" s="4" cm="1">
        <f t="array" ref="AB11">_xlfn.PERCENTRANK.EXC(_xlfn._xlws.FILTER($J$3:$J$15, ISNUMBER($J$3:$J$15)),J11)*100</f>
        <v>78.5</v>
      </c>
      <c r="AC11" s="4">
        <f t="shared" si="4"/>
        <v>14.2</v>
      </c>
      <c r="AD11" s="4">
        <f t="shared" si="5"/>
        <v>50</v>
      </c>
      <c r="AE11" s="4">
        <f t="shared" si="6"/>
        <v>85.7</v>
      </c>
      <c r="AF11" s="4">
        <f>'Economic Momentum'!Q12</f>
        <v>78.5</v>
      </c>
      <c r="AG11" s="4">
        <f ca="1">'Economic Momentum'!R12</f>
        <v>21.4</v>
      </c>
      <c r="AH11" s="4">
        <f t="shared" ca="1" si="7"/>
        <v>54.260000000000005</v>
      </c>
      <c r="AJ11" s="3" cm="1">
        <f t="array" aca="1" ref="AJ11" ca="1">_xlfn.PERCENTRANK.EXC(_xlfn._xlws.FILTER($AH$3:$AH$15, ISNUMBER($AH$3:$AH$15)),AH11)*100</f>
        <v>64.2</v>
      </c>
      <c r="AK11">
        <f t="shared" si="8"/>
        <v>4</v>
      </c>
      <c r="AM11" s="4"/>
    </row>
    <row r="12" spans="1:39" x14ac:dyDescent="0.35">
      <c r="A12" t="s">
        <v>865</v>
      </c>
      <c r="B12" t="str" cm="1">
        <f t="array" ref="B12">_xll.FDS(A12,"FG_COMPANY_NAME")</f>
        <v>iShares MSCI France ETF</v>
      </c>
      <c r="C12" t="s">
        <v>865</v>
      </c>
      <c r="D12" s="142">
        <f>VLOOKUP(C12,'Market Capitalisation'!$C$2:$G$14,5,FALSE)</f>
        <v>3258020.5</v>
      </c>
      <c r="E12" cm="1">
        <f t="array" ref="E12">_xll.FDS(C12,"FMA_COS_UP(""EPS"",""1M"",+1,0,,,""PORTAGG"",""MEANR"")")</f>
        <v>26</v>
      </c>
      <c r="F12" cm="1">
        <f t="array" ref="F12">_xll.FDS(C12,"FMA_COS_DOWN(""EPS"",""1M"",+1,0,,,""PORTAGG"",""MEANR"")")</f>
        <v>24</v>
      </c>
      <c r="G12" cm="1">
        <f t="array" ref="G12">_xll.FDS(A12,"SIZE(FG_CONSTITUENTS)")</f>
        <v>62</v>
      </c>
      <c r="H12" s="9">
        <f t="shared" ref="H12:H15" si="9">E12/$G12</f>
        <v>0.41935483870967744</v>
      </c>
      <c r="I12" s="9">
        <f t="shared" ref="I12:I15" si="10">F12/$G12</f>
        <v>0.38709677419354838</v>
      </c>
      <c r="J12" s="9">
        <f t="shared" ref="J12:J15" si="11">H12-I12</f>
        <v>3.2258064516129059E-2</v>
      </c>
      <c r="K12" s="5" cm="1">
        <f t="array" ref="K12">_xll.FDS(A12,"FMA_PCT_ABOVE_MAVG(200,0,,,,""PORTAGG"")")/100</f>
        <v>0.5</v>
      </c>
      <c r="L12" s="41" cm="1">
        <f t="array" ref="L12">_xll.FDSB(A12,"PERCENT_CHANGE(FMA_EPS(+1,0,,,,""PORTAGG"",""MEAN""),FMA_EPS(+1,-1AM,,,,""PORTAGG"",""MEAN""))")</f>
        <v>2.1580267793415602</v>
      </c>
      <c r="M12" s="41" cm="1">
        <f t="array" ref="M12">_xll.FDSB(A12,"PERCENT_CHANGE(FMA_EPS(+1,0,,,,""PORTAGG"",""MEAN""),FMA_EPS(+1,-3AM,,,,""PORTAGG"",""MEAN""))")</f>
        <v>-2.23496746471884</v>
      </c>
      <c r="N12" s="3" cm="1">
        <f t="array" ref="N12">_xll.FDS(C12,"FG_TOTAL_RETURNC(0,-1AM)")</f>
        <v>4.2124509999999997</v>
      </c>
      <c r="O12" s="3" cm="1">
        <f t="array" ref="O12">_xll.FDS(C12,"FG_TOTAL_RETURNC(0,-3AM)")</f>
        <v>-0.8145869</v>
      </c>
      <c r="P12" s="3" cm="1">
        <f t="array" ref="P12">_xll.FDS(C12,"FG_TOTAL_RETURNC(0,-6AM)")</f>
        <v>1.356101</v>
      </c>
      <c r="Q12" s="9" cm="1">
        <f t="array" ref="Q12">_xll.FDS(C12,"P_PRICE(0)/P_PRICE_HIGH_PR(0,,,,,,""PRICE"",""INTRA"",""52W"")")</f>
        <v>0.93497660000000005</v>
      </c>
      <c r="R12" s="9" cm="1">
        <f t="array" ref="R12">_xll.FDS(C12,"P_PRICE(0)/P_PRICE_low_PR(0,,,,,,""PRICE"",""INTRA"",""52W"")-1")</f>
        <v>0.18330371000000001</v>
      </c>
      <c r="S12" s="3" cm="1">
        <f t="array" ref="S12">_xll.FDS(C12,"FG_TOTAL_RETURNC(0,-12AM)")</f>
        <v>7.4403404999999996</v>
      </c>
      <c r="T12" s="4" cm="1">
        <f t="array" ref="T12">_xlfn.PERCENTRANK.EXC(_xlfn._xlws.FILTER($R$3:$R$15, ISNUMBER($R$3:$R$15)),R12)*100</f>
        <v>7.1</v>
      </c>
      <c r="U12" s="4">
        <f t="shared" ref="U12:U15" si="12">100-T12</f>
        <v>92.9</v>
      </c>
      <c r="V12" s="4" cm="1">
        <f t="array" ref="V12">_xlfn.PERCENTRANK.EXC(_xlfn._xlws.FILTER($Q$3:$Q$15, ISNUMBER($Q$3:$Q$15)),Q12)*100</f>
        <v>14.2</v>
      </c>
      <c r="W12" s="4" cm="1">
        <f t="array" ref="W12">_xlfn.PERCENTRANK.EXC(_xlfn._xlws.FILTER($O$3:$O$15, ISNUMBER($O$3:$O$15)),O12)*100</f>
        <v>7.1</v>
      </c>
      <c r="X12" s="4" cm="1">
        <f t="array" ref="X12">_xlfn.PERCENTRANK.EXC(_xlfn._xlws.FILTER($P$3:$P$15, ISNUMBER($P$3:$P$15)),P12)*100</f>
        <v>7.1</v>
      </c>
      <c r="Y12" s="201" cm="1">
        <f t="array" ref="Y12">_xlfn.PERCENTRANK.EXC(_xlfn._xlws.FILTER($S$3:$S$15, ISNUMBER($S$3:$S$15)),S12)*100</f>
        <v>7.1</v>
      </c>
      <c r="Z12" s="4" cm="1">
        <f t="array" ref="Z12">_xlfn.PERCENTRANK.EXC(_xlfn._xlws.FILTER($K$3:$K$15, ISNUMBER($K$3:$K$15)),K12)*100</f>
        <v>7.1</v>
      </c>
      <c r="AA12" s="4" cm="1">
        <f t="array" ref="AA12">_xlfn.PERCENTRANK.EXC(_xlfn._xlws.FILTER($H$3:$H$15, ISNUMBER($H$3:$H$15)),H12)*100</f>
        <v>35.699999999999996</v>
      </c>
      <c r="AB12" s="4" cm="1">
        <f t="array" ref="AB12">_xlfn.PERCENTRANK.EXC(_xlfn._xlws.FILTER($J$3:$J$15, ISNUMBER($J$3:$J$15)),J12)*100</f>
        <v>42.8</v>
      </c>
      <c r="AC12" s="4">
        <f t="shared" si="4"/>
        <v>35.699999999999996</v>
      </c>
      <c r="AD12" s="4">
        <f t="shared" si="5"/>
        <v>14.2</v>
      </c>
      <c r="AE12" s="4">
        <f t="shared" si="6"/>
        <v>64.2</v>
      </c>
      <c r="AF12" s="4">
        <f>'Economic Momentum'!Q13</f>
        <v>21.4</v>
      </c>
      <c r="AG12" s="4">
        <f ca="1">'Economic Momentum'!R13</f>
        <v>50</v>
      </c>
      <c r="AH12" s="4">
        <f t="shared" ca="1" si="7"/>
        <v>9.94</v>
      </c>
      <c r="AJ12" s="3" cm="1">
        <f t="array" aca="1" ref="AJ12" ca="1">_xlfn.PERCENTRANK.EXC(_xlfn._xlws.FILTER($AH$3:$AH$15, ISNUMBER($AH$3:$AH$15)),AH12)*100</f>
        <v>7.1</v>
      </c>
      <c r="AK12">
        <f t="shared" si="8"/>
        <v>0</v>
      </c>
    </row>
    <row r="13" spans="1:39" x14ac:dyDescent="0.35">
      <c r="A13" t="s">
        <v>867</v>
      </c>
      <c r="B13" t="str" cm="1">
        <f t="array" ref="B13">_xll.FDS(A13,"FG_COMPANY_NAME")</f>
        <v>iShares MSCI Netherlands ETF</v>
      </c>
      <c r="C13" t="s">
        <v>867</v>
      </c>
      <c r="D13" s="142">
        <f>VLOOKUP(C13,'Market Capitalisation'!$C$2:$G$14,5,FALSE)</f>
        <v>1145061</v>
      </c>
      <c r="E13" cm="1">
        <f t="array" ref="E13">_xll.FDS(C13,"FMA_COS_UP(""EPS"",""1M"",+1,0,,,""PORTAGG"",""MEANR"")")</f>
        <v>27</v>
      </c>
      <c r="F13" cm="1">
        <f t="array" ref="F13">_xll.FDS(C13,"FMA_COS_DOWN(""EPS"",""1M"",+1,0,,,""PORTAGG"",""MEANR"")")</f>
        <v>15</v>
      </c>
      <c r="G13" cm="1">
        <f t="array" ref="G13">_xll.FDS(A13,"SIZE(FG_CONSTITUENTS)")</f>
        <v>53</v>
      </c>
      <c r="H13" s="9">
        <f t="shared" si="9"/>
        <v>0.50943396226415094</v>
      </c>
      <c r="I13" s="9">
        <f t="shared" si="10"/>
        <v>0.28301886792452829</v>
      </c>
      <c r="J13" s="9">
        <f t="shared" si="11"/>
        <v>0.22641509433962265</v>
      </c>
      <c r="K13" s="5" cm="1">
        <f t="array" ref="K13">_xll.FDS(A13,"FMA_PCT_ABOVE_MAVG(200,0,,,,""PORTAGG"")")/100</f>
        <v>0.50943396226415105</v>
      </c>
      <c r="L13" s="41" cm="1">
        <f t="array" ref="L13">_xll.FDSB(A13,"PERCENT_CHANGE(FMA_EPS(+1,0,,,,""PORTAGG"",""MEAN""),FMA_EPS(+1,-1AM,,,,""PORTAGG"",""MEAN""))")</f>
        <v>4.8082121432934803</v>
      </c>
      <c r="M13" s="41" cm="1">
        <f t="array" ref="M13">_xll.FDSB(A13,"PERCENT_CHANGE(FMA_EPS(+1,0,,,,""PORTAGG"",""MEAN""),FMA_EPS(+1,-3AM,,,,""PORTAGG"",""MEAN""))")</f>
        <v>1.0808334426403401</v>
      </c>
      <c r="N13" s="3" cm="1">
        <f t="array" ref="N13">_xll.FDS(C13,"FG_TOTAL_RETURNC(0,-1AM)")</f>
        <v>4.8598169999999996</v>
      </c>
      <c r="O13" s="3" cm="1">
        <f t="array" ref="O13">_xll.FDS(C13,"FG_TOTAL_RETURNC(0,-3AM)")</f>
        <v>0.25444030000000001</v>
      </c>
      <c r="P13" s="3" cm="1">
        <f t="array" ref="P13">_xll.FDS(C13,"FG_TOTAL_RETURNC(0,-6AM)")</f>
        <v>6.9534659999999997</v>
      </c>
      <c r="Q13" s="9" cm="1">
        <f t="array" ref="Q13">_xll.FDS(C13,"P_PRICE(0)/P_PRICE_HIGH_PR(0,,,,,,""PRICE"",""INTRA"",""52W"")")</f>
        <v>0.95210265999999999</v>
      </c>
      <c r="R13" s="9" cm="1">
        <f t="array" ref="R13">_xll.FDS(C13,"P_PRICE(0)/P_PRICE_low_PR(0,,,,,,""PRICE"",""INTRA"",""52W"")-1")</f>
        <v>0.39129233000000002</v>
      </c>
      <c r="S13" s="3" cm="1">
        <f t="array" ref="S13">_xll.FDS(C13,"FG_TOTAL_RETURNC(0,-12AM)")</f>
        <v>23.398458000000002</v>
      </c>
      <c r="T13" s="4" cm="1">
        <f t="array" ref="T13">_xlfn.PERCENTRANK.EXC(_xlfn._xlws.FILTER($R$3:$R$15, ISNUMBER($R$3:$R$15)),R13)*100</f>
        <v>92.800000000000011</v>
      </c>
      <c r="U13" s="4">
        <f t="shared" si="12"/>
        <v>7.1999999999999886</v>
      </c>
      <c r="V13" s="4" cm="1">
        <f t="array" ref="V13">_xlfn.PERCENTRANK.EXC(_xlfn._xlws.FILTER($Q$3:$Q$15, ISNUMBER($Q$3:$Q$15)),Q13)*100</f>
        <v>21.4</v>
      </c>
      <c r="W13" s="4" cm="1">
        <f t="array" ref="W13">_xlfn.PERCENTRANK.EXC(_xlfn._xlws.FILTER($O$3:$O$15, ISNUMBER($O$3:$O$15)),O13)*100</f>
        <v>14.2</v>
      </c>
      <c r="X13" s="4" cm="1">
        <f t="array" ref="X13">_xlfn.PERCENTRANK.EXC(_xlfn._xlws.FILTER($P$3:$P$15, ISNUMBER($P$3:$P$15)),P13)*100</f>
        <v>21.4</v>
      </c>
      <c r="Y13" s="201" cm="1">
        <f t="array" ref="Y13">_xlfn.PERCENTRANK.EXC(_xlfn._xlws.FILTER($S$3:$S$15, ISNUMBER($S$3:$S$15)),S13)*100</f>
        <v>64.2</v>
      </c>
      <c r="Z13" s="4" cm="1">
        <f t="array" ref="Z13">_xlfn.PERCENTRANK.EXC(_xlfn._xlws.FILTER($K$3:$K$15, ISNUMBER($K$3:$K$15)),K13)*100</f>
        <v>21.4</v>
      </c>
      <c r="AA13" s="4" cm="1">
        <f t="array" ref="AA13">_xlfn.PERCENTRANK.EXC(_xlfn._xlws.FILTER($H$3:$H$15, ISNUMBER($H$3:$H$15)),H13)*100</f>
        <v>92.800000000000011</v>
      </c>
      <c r="AB13" s="4" cm="1">
        <f t="array" ref="AB13">_xlfn.PERCENTRANK.EXC(_xlfn._xlws.FILTER($J$3:$J$15, ISNUMBER($J$3:$J$15)),J13)*100</f>
        <v>92.800000000000011</v>
      </c>
      <c r="AC13" s="4">
        <f t="shared" si="4"/>
        <v>85.7</v>
      </c>
      <c r="AD13" s="4">
        <f t="shared" si="5"/>
        <v>64.2</v>
      </c>
      <c r="AE13" s="4">
        <f t="shared" si="6"/>
        <v>28.499999999999996</v>
      </c>
      <c r="AF13" s="4">
        <f>'Economic Momentum'!Q14</f>
        <v>71.399999999999991</v>
      </c>
      <c r="AG13" s="4">
        <f ca="1">'Economic Momentum'!R14</f>
        <v>85.7</v>
      </c>
      <c r="AH13" s="4">
        <f t="shared" ca="1" si="7"/>
        <v>19.239999999999998</v>
      </c>
      <c r="AJ13" s="3" cm="1">
        <f t="array" aca="1" ref="AJ13" ca="1">_xlfn.PERCENTRANK.EXC(_xlfn._xlws.FILTER($AH$3:$AH$15, ISNUMBER($AH$3:$AH$15)),AH13)*100</f>
        <v>21.4</v>
      </c>
      <c r="AK13">
        <f t="shared" si="8"/>
        <v>2</v>
      </c>
    </row>
    <row r="14" spans="1:39" x14ac:dyDescent="0.35">
      <c r="A14" t="s">
        <v>864</v>
      </c>
      <c r="B14" t="str" cm="1">
        <f t="array" ref="B14">_xll.FDS(A14,"FG_COMPANY_NAME")</f>
        <v>iShares MSCI Sweden ETF</v>
      </c>
      <c r="C14" t="s">
        <v>864</v>
      </c>
      <c r="D14" s="142">
        <f>VLOOKUP(C14,'Market Capitalisation'!$C$2:$G$14,5,FALSE)</f>
        <v>1069142.5</v>
      </c>
      <c r="E14" cm="1">
        <f t="array" ref="E14">_xll.FDS(C14,"FMA_COS_UP(""EPS"",""1M"",+1,0,,,""PORTAGG"",""MEANR"")")</f>
        <v>17</v>
      </c>
      <c r="F14" cm="1">
        <f t="array" ref="F14">_xll.FDS(C14,"FMA_COS_DOWN(""EPS"",""1M"",+1,0,,,""PORTAGG"",""MEANR"")")</f>
        <v>13</v>
      </c>
      <c r="G14" cm="1">
        <f t="array" ref="G14">_xll.FDS(A14,"SIZE(FG_CONSTITUENTS)")</f>
        <v>45</v>
      </c>
      <c r="H14" s="9">
        <f t="shared" si="9"/>
        <v>0.37777777777777777</v>
      </c>
      <c r="I14" s="9">
        <f t="shared" si="10"/>
        <v>0.28888888888888886</v>
      </c>
      <c r="J14" s="9">
        <f t="shared" si="11"/>
        <v>8.8888888888888906E-2</v>
      </c>
      <c r="K14" s="5" cm="1">
        <f t="array" ref="K14">_xll.FDS(A14,"FMA_PCT_ABOVE_MAVG(200,0,,,,""PORTAGG"")")/100</f>
        <v>0.68181818181818199</v>
      </c>
      <c r="L14" s="41" cm="1">
        <f t="array" ref="L14">_xll.FDSB(A14,"PERCENT_CHANGE(FMA_EPS(+1,0,,,,""PORTAGG"",""MEAN""),FMA_EPS(+1,-1AM,,,,""PORTAGG"",""MEAN""))")</f>
        <v>4.1104193477696596</v>
      </c>
      <c r="M14" s="41" cm="1">
        <f t="array" ref="M14">_xll.FDSB(A14,"PERCENT_CHANGE(FMA_EPS(+1,0,,,,""PORTAGG"",""MEAN""),FMA_EPS(+1,-3AM,,,,""PORTAGG"",""MEAN""))")</f>
        <v>-2.1589953754303099</v>
      </c>
      <c r="N14" s="3" cm="1">
        <f t="array" ref="N14">_xll.FDS(C14,"FG_TOTAL_RETURNC(0,-1AM)")</f>
        <v>6.2642097000000003</v>
      </c>
      <c r="O14" s="3" cm="1">
        <f t="array" ref="O14">_xll.FDS(C14,"FG_TOTAL_RETURNC(0,-3AM)")</f>
        <v>4.6203849999999997</v>
      </c>
      <c r="P14" s="3" cm="1">
        <f t="array" ref="P14">_xll.FDS(C14,"FG_TOTAL_RETURNC(0,-6AM)")</f>
        <v>8.1130139999999997</v>
      </c>
      <c r="Q14" s="9" cm="1">
        <f t="array" ref="Q14">_xll.FDS(C14,"P_PRICE(0)/P_PRICE_HIGH_PR(0,,,,,,""PRICE"",""INTRA"",""52W"")")</f>
        <v>0.98640090000000002</v>
      </c>
      <c r="R14" s="9" cm="1">
        <f t="array" ref="R14">_xll.FDS(C14,"P_PRICE(0)/P_PRICE_low_PR(0,,,,,,""PRICE"",""INTRA"",""52W"")-1")</f>
        <v>0.37102817999999999</v>
      </c>
      <c r="S14" s="3" cm="1">
        <f t="array" ref="S14">_xll.FDS(C14,"FG_TOTAL_RETURNC(0,-12AM)")</f>
        <v>29.481280000000002</v>
      </c>
      <c r="T14" s="4" cm="1">
        <f t="array" ref="T14">_xlfn.PERCENTRANK.EXC(_xlfn._xlws.FILTER($R$3:$R$15, ISNUMBER($R$3:$R$15)),R14)*100</f>
        <v>78.5</v>
      </c>
      <c r="U14" s="4">
        <f t="shared" si="12"/>
        <v>21.5</v>
      </c>
      <c r="V14" s="4" cm="1">
        <f t="array" ref="V14">_xlfn.PERCENTRANK.EXC(_xlfn._xlws.FILTER($Q$3:$Q$15, ISNUMBER($Q$3:$Q$15)),Q14)*100</f>
        <v>42.8</v>
      </c>
      <c r="W14" s="4" cm="1">
        <f t="array" ref="W14">_xlfn.PERCENTRANK.EXC(_xlfn._xlws.FILTER($O$3:$O$15, ISNUMBER($O$3:$O$15)),O14)*100</f>
        <v>35.699999999999996</v>
      </c>
      <c r="X14" s="4" cm="1">
        <f t="array" ref="X14">_xlfn.PERCENTRANK.EXC(_xlfn._xlws.FILTER($P$3:$P$15, ISNUMBER($P$3:$P$15)),P14)*100</f>
        <v>35.699999999999996</v>
      </c>
      <c r="Y14" s="201" cm="1">
        <f t="array" ref="Y14">_xlfn.PERCENTRANK.EXC(_xlfn._xlws.FILTER($S$3:$S$15, ISNUMBER($S$3:$S$15)),S14)*100</f>
        <v>92.800000000000011</v>
      </c>
      <c r="Z14" s="4" cm="1">
        <f t="array" ref="Z14">_xlfn.PERCENTRANK.EXC(_xlfn._xlws.FILTER($K$3:$K$15, ISNUMBER($K$3:$K$15)),K14)*100</f>
        <v>71.399999999999991</v>
      </c>
      <c r="AA14" s="4" cm="1">
        <f t="array" ref="AA14">_xlfn.PERCENTRANK.EXC(_xlfn._xlws.FILTER($H$3:$H$15, ISNUMBER($H$3:$H$15)),H14)*100</f>
        <v>21.4</v>
      </c>
      <c r="AB14" s="4" cm="1">
        <f t="array" ref="AB14">_xlfn.PERCENTRANK.EXC(_xlfn._xlws.FILTER($J$3:$J$15, ISNUMBER($J$3:$J$15)),J14)*100</f>
        <v>57.099999999999994</v>
      </c>
      <c r="AC14" s="4">
        <f t="shared" si="4"/>
        <v>78.5</v>
      </c>
      <c r="AD14" s="4">
        <f t="shared" si="5"/>
        <v>21.4</v>
      </c>
      <c r="AE14" s="4">
        <f t="shared" si="6"/>
        <v>21.4</v>
      </c>
      <c r="AF14" s="4">
        <f>'Economic Momentum'!Q15</f>
        <v>57.099999999999994</v>
      </c>
      <c r="AG14" s="4">
        <f ca="1">'Economic Momentum'!R15</f>
        <v>71.399999999999991</v>
      </c>
      <c r="AH14" s="4">
        <f t="shared" ca="1" si="7"/>
        <v>38.54</v>
      </c>
      <c r="AJ14" s="3" cm="1">
        <f t="array" aca="1" ref="AJ14" ca="1">_xlfn.PERCENTRANK.EXC(_xlfn._xlws.FILTER($AH$3:$AH$15, ISNUMBER($AH$3:$AH$15)),AH14)*100</f>
        <v>28.499999999999996</v>
      </c>
      <c r="AK14">
        <f t="shared" si="8"/>
        <v>2</v>
      </c>
    </row>
    <row r="15" spans="1:39" x14ac:dyDescent="0.35">
      <c r="A15" t="s">
        <v>866</v>
      </c>
      <c r="B15" t="str" cm="1">
        <f t="array" ref="B15">_xll.FDS(A15,"FG_COMPANY_NAME")</f>
        <v>iShares MSCI Italy ETF</v>
      </c>
      <c r="C15" t="s">
        <v>866</v>
      </c>
      <c r="D15" s="142">
        <f>VLOOKUP(C15,'Market Capitalisation'!$C$2:$G$14,5,FALSE)</f>
        <v>896323.94</v>
      </c>
      <c r="E15" cm="1">
        <f t="array" ref="E15">_xll.FDS(C15,"FMA_COS_UP(""EPS"",""1M"",+1,0,,,""PORTAGG"",""MEANR"")")</f>
        <v>12</v>
      </c>
      <c r="F15" cm="1">
        <f t="array" ref="F15">_xll.FDS(C15,"FMA_COS_DOWN(""EPS"",""1M"",+1,0,,,""PORTAGG"",""MEANR"")")</f>
        <v>7</v>
      </c>
      <c r="G15" cm="1">
        <f t="array" ref="G15">_xll.FDS(A15,"SIZE(FG_CONSTITUENTS)")</f>
        <v>26</v>
      </c>
      <c r="H15" s="9">
        <f t="shared" si="9"/>
        <v>0.46153846153846156</v>
      </c>
      <c r="I15" s="9">
        <f t="shared" si="10"/>
        <v>0.26923076923076922</v>
      </c>
      <c r="J15" s="9">
        <f t="shared" si="11"/>
        <v>0.19230769230769235</v>
      </c>
      <c r="K15" s="5" cm="1">
        <f t="array" ref="K15">_xll.FDS(A15,"FMA_PCT_ABOVE_MAVG(200,0,,,,""PORTAGG"")")/100</f>
        <v>0.64</v>
      </c>
      <c r="L15" s="41" cm="1">
        <f t="array" ref="L15">_xll.FDSB(A15,"PERCENT_CHANGE(FMA_EPS(+1,0,,,,""PORTAGG"",""MEAN""),FMA_EPS(+1,-1AM,,,,""PORTAGG"",""MEAN""))")</f>
        <v>2.7246361623774402</v>
      </c>
      <c r="M15" s="41" cm="1">
        <f t="array" ref="M15">_xll.FDSB(A15,"PERCENT_CHANGE(FMA_EPS(+1,0,,,,""PORTAGG"",""MEAN""),FMA_EPS(+1,-3AM,,,,""PORTAGG"",""MEAN""))")</f>
        <v>-1.65471292149223</v>
      </c>
      <c r="N15" s="3" cm="1">
        <f t="array" ref="N15">_xll.FDS(C15,"FG_TOTAL_RETURNC(0,-1AM)")</f>
        <v>4.0678979999999996</v>
      </c>
      <c r="O15" s="3" cm="1">
        <f t="array" ref="O15">_xll.FDS(C15,"FG_TOTAL_RETURNC(0,-3AM)")</f>
        <v>3.8475513000000001</v>
      </c>
      <c r="P15" s="3" cm="1">
        <f t="array" ref="P15">_xll.FDS(C15,"FG_TOTAL_RETURNC(0,-6AM)")</f>
        <v>11.104918</v>
      </c>
      <c r="Q15" s="9" cm="1">
        <f t="array" ref="Q15">_xll.FDS(C15,"P_PRICE(0)/P_PRICE_HIGH_PR(0,,,,,,""PRICE"",""INTRA"",""52W"")")</f>
        <v>0.98120403</v>
      </c>
      <c r="R15" s="9" cm="1">
        <f t="array" ref="R15">_xll.FDS(C15,"P_PRICE(0)/P_PRICE_low_PR(0,,,,,,""PRICE"",""INTRA"",""52W"")-1")</f>
        <v>0.33138036999999998</v>
      </c>
      <c r="S15" s="3" cm="1">
        <f t="array" ref="S15">_xll.FDS(C15,"FG_TOTAL_RETURNC(0,-12AM)")</f>
        <v>23.608111999999998</v>
      </c>
      <c r="T15" s="4" cm="1">
        <f t="array" ref="T15">_xlfn.PERCENTRANK.EXC(_xlfn._xlws.FILTER($R$3:$R$15, ISNUMBER($R$3:$R$15)),R15)*100</f>
        <v>64.2</v>
      </c>
      <c r="U15" s="4">
        <f t="shared" si="12"/>
        <v>35.799999999999997</v>
      </c>
      <c r="V15" s="4" cm="1">
        <f t="array" ref="V15">_xlfn.PERCENTRANK.EXC(_xlfn._xlws.FILTER($Q$3:$Q$15, ISNUMBER($Q$3:$Q$15)),Q15)*100</f>
        <v>35.699999999999996</v>
      </c>
      <c r="W15" s="4" cm="1">
        <f t="array" ref="W15">_xlfn.PERCENTRANK.EXC(_xlfn._xlws.FILTER($O$3:$O$15, ISNUMBER($O$3:$O$15)),O15)*100</f>
        <v>28.499999999999996</v>
      </c>
      <c r="X15" s="4" cm="1">
        <f t="array" ref="X15">_xlfn.PERCENTRANK.EXC(_xlfn._xlws.FILTER($P$3:$P$15, ISNUMBER($P$3:$P$15)),P15)*100</f>
        <v>78.5</v>
      </c>
      <c r="Y15" s="201" cm="1">
        <f t="array" ref="Y15">_xlfn.PERCENTRANK.EXC(_xlfn._xlws.FILTER($S$3:$S$15, ISNUMBER($S$3:$S$15)),S15)*100</f>
        <v>71.399999999999991</v>
      </c>
      <c r="Z15" s="4" cm="1">
        <f t="array" ref="Z15">_xlfn.PERCENTRANK.EXC(_xlfn._xlws.FILTER($K$3:$K$15, ISNUMBER($K$3:$K$15)),K15)*100</f>
        <v>57.099999999999994</v>
      </c>
      <c r="AA15" s="4" cm="1">
        <f t="array" ref="AA15">_xlfn.PERCENTRANK.EXC(_xlfn._xlws.FILTER($H$3:$H$15, ISNUMBER($H$3:$H$15)),H15)*100</f>
        <v>50</v>
      </c>
      <c r="AB15" s="4" cm="1">
        <f t="array" ref="AB15">_xlfn.PERCENTRANK.EXC(_xlfn._xlws.FILTER($J$3:$J$15, ISNUMBER($J$3:$J$15)),J15)*100</f>
        <v>85.7</v>
      </c>
      <c r="AC15" s="4">
        <f t="shared" si="4"/>
        <v>57.099999999999994</v>
      </c>
      <c r="AD15" s="4">
        <f t="shared" si="5"/>
        <v>28.499999999999996</v>
      </c>
      <c r="AE15" s="4">
        <f t="shared" si="6"/>
        <v>14.2</v>
      </c>
      <c r="AF15" s="4">
        <f>'Economic Momentum'!Q16</f>
        <v>35.699999999999996</v>
      </c>
      <c r="AG15" s="4">
        <f ca="1">'Economic Momentum'!R16</f>
        <v>7.1</v>
      </c>
      <c r="AH15" s="4">
        <f t="shared" ca="1" si="7"/>
        <v>46.379999999999995</v>
      </c>
      <c r="AJ15" s="3" cm="1">
        <f t="array" aca="1" ref="AJ15" ca="1">_xlfn.PERCENTRANK.EXC(_xlfn._xlws.FILTER($AH$3:$AH$15, ISNUMBER($AH$3:$AH$15)),AH15)*100</f>
        <v>42.8</v>
      </c>
      <c r="AK15">
        <f t="shared" si="8"/>
        <v>3</v>
      </c>
    </row>
    <row r="16" spans="1:39" x14ac:dyDescent="0.35">
      <c r="H16" s="9"/>
      <c r="I16" s="9"/>
      <c r="J16" s="9"/>
      <c r="K16" s="5"/>
      <c r="L16" s="41"/>
      <c r="M16" s="41"/>
      <c r="N16" s="3"/>
      <c r="O16" s="3"/>
      <c r="Q16" s="9"/>
      <c r="R16" s="9"/>
      <c r="S16" s="3"/>
      <c r="V16" s="4"/>
      <c r="W16" s="4"/>
      <c r="X16" s="4"/>
      <c r="Z16" s="4"/>
      <c r="AA16" s="4"/>
      <c r="AB16" s="4"/>
      <c r="AC16" s="4"/>
      <c r="AD16" s="4"/>
      <c r="AE16" s="4"/>
      <c r="AF16" s="4"/>
      <c r="AG16" s="4"/>
      <c r="AH16" s="4"/>
      <c r="AJ16" s="4"/>
    </row>
    <row r="17" spans="1:37" x14ac:dyDescent="0.35">
      <c r="A17" s="1" t="s">
        <v>779</v>
      </c>
      <c r="H17" s="9"/>
      <c r="I17" s="9"/>
      <c r="J17" s="9"/>
      <c r="K17" s="5"/>
      <c r="L17" s="41"/>
      <c r="M17" s="41"/>
      <c r="N17" s="3"/>
      <c r="O17" s="3"/>
      <c r="Q17" s="9"/>
      <c r="R17" s="9"/>
      <c r="S17" s="3"/>
      <c r="V17" s="4"/>
      <c r="W17" s="4"/>
      <c r="X17" s="4"/>
      <c r="Z17" s="4"/>
      <c r="AA17" s="4"/>
      <c r="AB17" s="4"/>
      <c r="AC17" s="4"/>
      <c r="AD17" s="4"/>
      <c r="AE17" s="4"/>
      <c r="AF17" s="4"/>
      <c r="AG17" s="4"/>
      <c r="AH17" s="4"/>
      <c r="AJ17" s="4"/>
    </row>
    <row r="18" spans="1:37" x14ac:dyDescent="0.35">
      <c r="A18" t="s">
        <v>536</v>
      </c>
      <c r="B18" t="s">
        <v>227</v>
      </c>
      <c r="C18" t="str">
        <f>A18</f>
        <v>VGK</v>
      </c>
      <c r="E18" cm="1">
        <f t="array" ref="E18">_xll.FDS(C18,"FMA_COS_UP(""EPS"",""1M"",+1,0,,,""PORTAGG"",""MEANR"")")</f>
        <v>427</v>
      </c>
      <c r="F18" cm="1">
        <f t="array" ref="F18">_xll.FDS(C18,"FMA_COS_DOWN(""EPS"",""1M"",+1,0,,,""PORTAGG"",""MEANR"")")</f>
        <v>599</v>
      </c>
      <c r="G18" cm="1">
        <f t="array" ref="G18">_xll.FDS(A18,"SIZE(FG_CONSTITUENTS)")</f>
        <v>1287</v>
      </c>
      <c r="H18" s="9">
        <f>E18/$G18</f>
        <v>0.33177933177933178</v>
      </c>
      <c r="I18" s="9">
        <f>F18/$G18</f>
        <v>0.46542346542346541</v>
      </c>
      <c r="J18" s="9">
        <f t="shared" ref="J18" si="13">H18-I18</f>
        <v>-0.13364413364413363</v>
      </c>
      <c r="K18" s="5" cm="1">
        <f t="array" ref="K18">_xll.FDS(A18,"FMA_PCT_ABOVE_MAVG(200,0,,,,""PORTAGG"")")/100</f>
        <v>0.63370253164557</v>
      </c>
      <c r="L18" s="41" cm="1">
        <f t="array" ref="L18">_xll.FDSB(A18,"PERCENT_CHANGE(FMA_EPS(+1,0,,,,""PORTAGG"",""MEAN""),FMA_EPS(+1,-1AM,,,,""PORTAGG"",""MEAN""))")</f>
        <v>-0.13957355835795901</v>
      </c>
      <c r="M18" s="41" cm="1">
        <f t="array" ref="M18">_xll.FDSB(A18,"PERCENT_CHANGE(FMA_EPS(+1,0,,,,""PORTAGG"",""MEAN""),FMA_EPS(+1,-3AM,,,,""PORTAGG"",""MEAN""))")</f>
        <v>0.92609698416986996</v>
      </c>
      <c r="N18" s="3" cm="1">
        <f t="array" ref="N18">_xll.FDS(C18,"FG_TOTAL_RETURNC(0,-1AM)")</f>
        <v>4.6738625000000003</v>
      </c>
      <c r="O18" s="3" cm="1">
        <f t="array" ref="O18">_xll.FDS(C18,"FG_TOTAL_RETURNC(0,-3AM)")</f>
        <v>4.8115133999999999</v>
      </c>
      <c r="P18" s="3" cm="1">
        <f t="array" ref="P18">_xll.FDS(C18,"FG_TOTAL_RETURNC(0,-6AM)")</f>
        <v>10.790991999999999</v>
      </c>
      <c r="Q18" s="9" cm="1">
        <f t="array" ref="Q18">_xll.FDS(C18,"P_PRICE(0)/P_PRICE_HIGH_PR(0,,,,,,""PRICE"",""INTRA"",""52W"")")</f>
        <v>0.99521862999999999</v>
      </c>
      <c r="R18" s="9" cm="1">
        <f t="array" ref="R18">_xll.FDS(C18,"P_PRICE(0)/P_PRICE_low_PR(0,,,,,,""PRICE"",""INTRA"",""52W"")-1")</f>
        <v>0.28532505000000002</v>
      </c>
      <c r="S18" s="3" cm="1">
        <f t="array" ref="S18">_xll.FDS(C18,"FG_TOTAL_RETURNC(0,-12AM)")</f>
        <v>18.860375999999999</v>
      </c>
      <c r="W18" s="4"/>
      <c r="X18" s="4"/>
      <c r="Y18" s="201"/>
      <c r="AA18" s="4"/>
      <c r="AB18" s="4"/>
      <c r="AC18" s="4"/>
      <c r="AD18" s="4"/>
      <c r="AE18" s="4"/>
      <c r="AF18" s="4"/>
      <c r="AG18" s="4"/>
      <c r="AH18" s="4"/>
      <c r="AI18" s="4"/>
      <c r="AK18" s="4"/>
    </row>
    <row r="19" spans="1:37" x14ac:dyDescent="0.35">
      <c r="A19" t="s">
        <v>6</v>
      </c>
      <c r="B19" t="s">
        <v>749</v>
      </c>
      <c r="C19" t="str">
        <f>A19</f>
        <v>VWO</v>
      </c>
      <c r="E19" cm="1">
        <f t="array" ref="E19">_xll.FDS(C19,"FMA_COS_UP(""EPS"",""1M"",+1,0,,,""PORTAGG"",""MEANR"")")</f>
        <v>965</v>
      </c>
      <c r="F19" cm="1">
        <f t="array" ref="F19">_xll.FDS(C19,"FMA_COS_DOWN(""EPS"",""1M"",+1,0,,,""PORTAGG"",""MEANR"")")</f>
        <v>1195</v>
      </c>
      <c r="G19" cm="1">
        <f t="array" ref="G19">_xll.FDS(A19,"SIZE(FG_CONSTITUENTS)")</f>
        <v>4826</v>
      </c>
      <c r="H19" s="9">
        <f>E19/$G19</f>
        <v>0.19995855781185246</v>
      </c>
      <c r="I19" s="9">
        <f>F19/$G19</f>
        <v>0.24761707418151679</v>
      </c>
      <c r="J19" s="9">
        <f t="shared" ref="J19" si="14">H19-I19</f>
        <v>-4.7658516369664339E-2</v>
      </c>
      <c r="K19" s="5" cm="1">
        <f t="array" ref="K19">_xll.FDS(A19,"FMA_PCT_ABOVE_MAVG(200,0,,,,""PORTAGG"")")/100</f>
        <v>0.40839369407754605</v>
      </c>
      <c r="L19" s="41" cm="1">
        <f t="array" ref="L19">_xll.FDSB(A19,"PERCENT_CHANGE(FMA_EPS(+1,0,,,,""PORTAGG"",""MEAN""),FMA_EPS(+1,-1AM,,,,""PORTAGG"",""MEAN""))")</f>
        <v>0.88334981025288195</v>
      </c>
      <c r="M19" s="41" cm="1">
        <f t="array" ref="M19">_xll.FDSB(A19,"PERCENT_CHANGE(FMA_EPS(+1,0,,,,""PORTAGG"",""MEAN""),FMA_EPS(+1,-3AM,,,,""PORTAGG"",""MEAN""))")</f>
        <v>0.632794803448124</v>
      </c>
      <c r="N19" s="3" cm="1">
        <f t="array" ref="N19">_xll.FDS(C19,"FG_TOTAL_RETURNC(0,-1AM)")</f>
        <v>2.3640037</v>
      </c>
      <c r="O19" s="3" cm="1">
        <f t="array" ref="O19">_xll.FDS(C19,"FG_TOTAL_RETURNC(0,-3AM)")</f>
        <v>2.8553128000000001</v>
      </c>
      <c r="P19" s="3" cm="1">
        <f t="array" ref="P19">_xll.FDS(C19,"FG_TOTAL_RETURNC(0,-6AM)")</f>
        <v>9.2500099999999996</v>
      </c>
      <c r="Q19" s="9" cm="1">
        <f t="array" ref="Q19">_xll.FDS(C19,"P_PRICE(0)/P_PRICE_HIGH_PR(0,,,,,,""PRICE"",""INTRA"",""52W"")")</f>
        <v>0.97539640000000005</v>
      </c>
      <c r="R19" s="9" cm="1">
        <f t="array" ref="R19">_xll.FDS(C19,"P_PRICE(0)/P_PRICE_low_PR(0,,,,,,""PRICE"",""INTRA"",""52W"")-1")</f>
        <v>0.19076215999999999</v>
      </c>
      <c r="S19" s="3" cm="1">
        <f t="array" ref="S19">_xll.FDS(C19,"FG_TOTAL_RETURNC(0,-12AM)")</f>
        <v>12.100899</v>
      </c>
    </row>
    <row r="20" spans="1:37" x14ac:dyDescent="0.35">
      <c r="A20" t="s">
        <v>780</v>
      </c>
      <c r="B20" t="s">
        <v>781</v>
      </c>
      <c r="C20" t="str">
        <f t="shared" ref="C20" si="15">A20</f>
        <v>URTH</v>
      </c>
      <c r="E20" cm="1">
        <f t="array" ref="E20">_xll.FDS(C20,"FMA_COS_UP(""EPS"",""1M"",+1,0,,,""PORTAGG"",""MEANR"")")</f>
        <v>658</v>
      </c>
      <c r="F20" cm="1">
        <f t="array" ref="F20">_xll.FDS(C20,"FMA_COS_DOWN(""EPS"",""1M"",+1,0,,,""PORTAGG"",""MEANR"")")</f>
        <v>539</v>
      </c>
      <c r="G20" cm="1">
        <f t="array" ref="G20">_xll.FDS(A20,"SIZE(FG_CONSTITUENTS)")</f>
        <v>1430</v>
      </c>
      <c r="H20" s="9">
        <f t="shared" ref="H20" si="16">E20/$G20</f>
        <v>0.46013986013986014</v>
      </c>
      <c r="I20" s="9">
        <f t="shared" ref="I20" si="17">F20/$G20</f>
        <v>0.37692307692307692</v>
      </c>
      <c r="J20" s="9">
        <f t="shared" ref="J20" si="18">H20-I20</f>
        <v>8.3216783216783219E-2</v>
      </c>
      <c r="K20" s="5" cm="1">
        <f t="array" ref="K20">_xll.FDS(A20,"FMA_PCT_ABOVE_MAVG(200,0,,,,""PORTAGG"")")/100</f>
        <v>0.67321178120617109</v>
      </c>
      <c r="L20" s="41" cm="1">
        <f t="array" ref="L20">_xll.FDSB(A20,"PERCENT_CHANGE(FMA_EPS(+1,0,,,,""PORTAGG"",""MEAN""),FMA_EPS(+1,-1AM,,,,""PORTAGG"",""MEAN""))")</f>
        <v>1.5640947028021499</v>
      </c>
      <c r="M20" s="41" cm="1">
        <f t="array" ref="M20">_xll.FDSB(A20,"PERCENT_CHANGE(FMA_EPS(+1,0,,,,""PORTAGG"",""MEAN""),FMA_EPS(+1,-3AM,,,,""PORTAGG"",""MEAN""))")</f>
        <v>0.46667654641467199</v>
      </c>
      <c r="N20" s="3" cm="1">
        <f t="array" ref="N20">_xll.FDS(C20,"FG_TOTAL_RETURNC(0,-1AM)")</f>
        <v>3.2955169999999998</v>
      </c>
      <c r="O20" s="3" cm="1">
        <f t="array" ref="O20">_xll.FDS(C20,"FG_TOTAL_RETURNC(0,-3AM)")</f>
        <v>6.4813375000000004</v>
      </c>
      <c r="P20" s="3" cm="1">
        <f t="array" ref="P20">_xll.FDS(C20,"FG_TOTAL_RETURNC(0,-6AM)")</f>
        <v>9.9275000000000002</v>
      </c>
      <c r="Q20" s="9" cm="1">
        <f t="array" ref="Q20">_xll.FDS(C20,"P_PRICE(0)/P_PRICE_HIGH_PR(0,,,,,,""PRICE"",""INTRA"",""52W"")")</f>
        <v>0.99138000000000004</v>
      </c>
      <c r="R20" s="9" cm="1">
        <f t="array" ref="R20">_xll.FDS(C20,"P_PRICE(0)/P_PRICE_low_PR(0,,,,,,""PRICE"",""INTRA"",""52W"")-1")</f>
        <v>0.33356595</v>
      </c>
      <c r="S20" s="3" cm="1">
        <f t="array" ref="S20">_xll.FDS(C20,"FG_TOTAL_RETURNC(0,-12AM)")</f>
        <v>23.99701</v>
      </c>
    </row>
    <row r="21" spans="1:37" x14ac:dyDescent="0.35">
      <c r="A21" t="s">
        <v>46</v>
      </c>
      <c r="B21" t="s">
        <v>816</v>
      </c>
      <c r="C21" t="str">
        <f t="shared" ref="C21:C22" si="19">A21</f>
        <v>EWJ</v>
      </c>
      <c r="E21" cm="1">
        <f t="array" ref="E21">_xll.FDS(C21,"FMA_COS_UP(""EPS"",""1M"",+1,0,,,""PORTAGG"",""MEANR"")")</f>
        <v>99</v>
      </c>
      <c r="F21" cm="1">
        <f t="array" ref="F21">_xll.FDS(C21,"FMA_COS_DOWN(""EPS"",""1M"",+1,0,,,""PORTAGG"",""MEANR"")")</f>
        <v>77</v>
      </c>
      <c r="G21" cm="1">
        <f t="array" ref="G21">_xll.FDS(A21,"SIZE(FG_CONSTITUENTS)")</f>
        <v>204</v>
      </c>
      <c r="H21" s="9">
        <f t="shared" ref="H21:H22" si="20">E21/$G21</f>
        <v>0.48529411764705882</v>
      </c>
      <c r="I21" s="9">
        <f t="shared" ref="I21:I22" si="21">F21/$G21</f>
        <v>0.37745098039215685</v>
      </c>
      <c r="J21" s="9">
        <f t="shared" ref="J21:J22" si="22">H21-I21</f>
        <v>0.10784313725490197</v>
      </c>
      <c r="K21" s="5" cm="1">
        <f t="array" ref="K21">_xll.FDS(A21,"FMA_PCT_ABOVE_MAVG(200,0,,,,""PORTAGG"")")/100</f>
        <v>0.52450980392156898</v>
      </c>
      <c r="L21" s="41" cm="1">
        <f t="array" ref="L21">_xll.FDSB(A21,"PERCENT_CHANGE(FMA_EPS(+1,0,,,,""PORTAGG"",""MEAN""),FMA_EPS(+1,-1AM,,,,""PORTAGG"",""MEAN""))")</f>
        <v>7.3821121046458398</v>
      </c>
      <c r="M21" s="41" cm="1">
        <f t="array" ref="M21">_xll.FDSB(A21,"PERCENT_CHANGE(FMA_EPS(+1,0,,,,""PORTAGG"",""MEAN""),FMA_EPS(+1,-3AM,,,,""PORTAGG"",""MEAN""))")</f>
        <v>10.7080874988487</v>
      </c>
      <c r="N21" s="3" cm="1">
        <f t="array" ref="N21">_xll.FDS(C21,"FG_TOTAL_RETURNC(0,-1AM)")</f>
        <v>3.9070486999999998</v>
      </c>
      <c r="O21" s="3" cm="1">
        <f t="array" ref="O21">_xll.FDS(C21,"FG_TOTAL_RETURNC(0,-3AM)")</f>
        <v>6.8247437</v>
      </c>
      <c r="P21" s="3" cm="1">
        <f t="array" ref="P21">_xll.FDS(C21,"FG_TOTAL_RETURNC(0,-6AM)")</f>
        <v>4.2746662999999998</v>
      </c>
      <c r="Q21" s="9" cm="1">
        <f t="array" ref="Q21">_xll.FDS(C21,"P_PRICE(0)/P_PRICE_HIGH_PR(0,,,,,,""PRICE"",""INTRA"",""52W"")")</f>
        <v>0.99010456000000002</v>
      </c>
      <c r="R21" s="9" cm="1">
        <f t="array" ref="R21">_xll.FDS(C21,"P_PRICE(0)/P_PRICE_low_PR(0,,,,,,""PRICE"",""INTRA"",""52W"")-1")</f>
        <v>0.25069928000000002</v>
      </c>
      <c r="S21" s="3" cm="1">
        <f t="array" ref="S21">_xll.FDS(C21,"FG_TOTAL_RETURNC(0,-12AM)")</f>
        <v>19.624472000000001</v>
      </c>
    </row>
    <row r="22" spans="1:37" x14ac:dyDescent="0.35">
      <c r="A22" t="s">
        <v>1</v>
      </c>
      <c r="B22" t="s">
        <v>119</v>
      </c>
      <c r="C22" t="str">
        <f t="shared" si="19"/>
        <v>SPY</v>
      </c>
      <c r="E22" cm="1">
        <f t="array" ref="E22">_xll.FDS(C22,"FMA_COS_UP(""EPS"",""1M"",+1,0,,,""PORTAGG"",""MEANR"")")</f>
        <v>242</v>
      </c>
      <c r="F22" cm="1">
        <f t="array" ref="F22">_xll.FDS(C22,"FMA_COS_DOWN(""EPS"",""1M"",+1,0,,,""PORTAGG"",""MEANR"")")</f>
        <v>157</v>
      </c>
      <c r="G22" cm="1">
        <f t="array" ref="G22">_xll.FDS(A22,"SIZE(FG_CONSTITUENTS)")</f>
        <v>503</v>
      </c>
      <c r="H22" s="9">
        <f t="shared" si="20"/>
        <v>0.48111332007952284</v>
      </c>
      <c r="I22" s="9">
        <f t="shared" si="21"/>
        <v>0.31212723658051689</v>
      </c>
      <c r="J22" s="9">
        <f t="shared" si="22"/>
        <v>0.16898608349900596</v>
      </c>
      <c r="K22" s="5" cm="1">
        <f t="array" ref="K22">_xll.FDS(A22,"FMA_PCT_ABOVE_MAVG(200,0,,,,""PORTAGG"")")/100</f>
        <v>0.75049900199600794</v>
      </c>
      <c r="L22" s="41" cm="1">
        <f t="array" ref="L22">_xll.FDSB(A22,"PERCENT_CHANGE(FMA_EPS(+1,0,,,,""PORTAGG"",""MEAN""),FMA_EPS(+1,-1AM,,,,""PORTAGG"",""MEAN""))")</f>
        <v>-6.6306719796830504E-2</v>
      </c>
      <c r="M22" s="41" cm="1">
        <f t="array" ref="M22">_xll.FDSB(A22,"PERCENT_CHANGE(FMA_EPS(+1,0,,,,""PORTAGG"",""MEAN""),FMA_EPS(+1,-3AM,,,,""PORTAGG"",""MEAN""))")</f>
        <v>-0.92741765643795104</v>
      </c>
      <c r="N22" s="3" cm="1">
        <f t="array" ref="N22">_xll.FDS(C22,"FG_TOTAL_RETURNC(0,-1AM)")</f>
        <v>2.494669</v>
      </c>
      <c r="O22" s="3" cm="1">
        <f t="array" ref="O22">_xll.FDS(C22,"FG_TOTAL_RETURNC(0,-3AM)")</f>
        <v>6.4728620000000001</v>
      </c>
      <c r="P22" s="3" cm="1">
        <f t="array" ref="P22">_xll.FDS(C22,"FG_TOTAL_RETURNC(0,-6AM)")</f>
        <v>10.594023</v>
      </c>
      <c r="Q22" s="9" cm="1">
        <f t="array" ref="Q22">_xll.FDS(C22,"P_PRICE(0)/P_PRICE_HIGH_PR(0,,,,,,""PRICE"",""INTRA"",""52W"")")</f>
        <v>0.98795029999999995</v>
      </c>
      <c r="R22" s="9" cm="1">
        <f t="array" ref="R22">_xll.FDS(C22,"P_PRICE(0)/P_PRICE_low_PR(0,,,,,,""PRICE"",""INTRA"",""52W"")-1")</f>
        <v>0.36445832</v>
      </c>
      <c r="S22" s="3" cm="1">
        <f t="array" ref="S22">_xll.FDS(C22,"FG_TOTAL_RETURNC(0,-12AM)")</f>
        <v>26.058138</v>
      </c>
    </row>
    <row r="23" spans="1:37" x14ac:dyDescent="0.35">
      <c r="A23" t="s">
        <v>895</v>
      </c>
      <c r="B23" t="s">
        <v>602</v>
      </c>
      <c r="C23" t="str">
        <f t="shared" ref="C23" si="23">A23</f>
        <v>FXI</v>
      </c>
      <c r="E23" cm="1">
        <f t="array" ref="E23">_xll.FDS(C23,"FMA_COS_UP(""EPS"",""1M"",+1,0,,,""PORTAGG"",""MEANR"")")</f>
        <v>23</v>
      </c>
      <c r="F23" cm="1">
        <f t="array" ref="F23">_xll.FDS(C23,"FMA_COS_DOWN(""EPS"",""1M"",+1,0,,,""PORTAGG"",""MEANR"")")</f>
        <v>22</v>
      </c>
      <c r="G23" cm="1">
        <f t="array" ref="G23">_xll.FDS(A23,"SIZE(FG_CONSTITUENTS)")</f>
        <v>52</v>
      </c>
      <c r="H23" s="9">
        <f t="shared" ref="H23" si="24">E23/$G23</f>
        <v>0.44230769230769229</v>
      </c>
      <c r="I23" s="9">
        <f t="shared" ref="I23" si="25">F23/$G23</f>
        <v>0.42307692307692307</v>
      </c>
      <c r="J23" s="9">
        <f t="shared" ref="J23" si="26">H23-I23</f>
        <v>1.9230769230769218E-2</v>
      </c>
      <c r="K23" s="5" cm="1">
        <f t="array" ref="K23">_xll.FDS(A23,"FMA_PCT_ABOVE_MAVG(200,0,,,,""PORTAGG"")")/100</f>
        <v>0.62745098039215697</v>
      </c>
      <c r="L23" s="41" cm="1">
        <f t="array" ref="L23">_xll.FDSB(A23,"PERCENT_CHANGE(FMA_EPS(+1,0,,,,""PORTAGG"",""MEAN""),FMA_EPS(+1,-1AM,,,,""PORTAGG"",""MEAN""))")</f>
        <v>1.51723946425667</v>
      </c>
      <c r="M23" s="41" cm="1">
        <f t="array" ref="M23">_xll.FDSB(A23,"PERCENT_CHANGE(FMA_EPS(+1,0,,,,""PORTAGG"",""MEAN""),FMA_EPS(+1,-3AM,,,,""PORTAGG"",""MEAN""))")</f>
        <v>4.5289069572634997</v>
      </c>
      <c r="N23" s="3" cm="1">
        <f t="array" ref="N23">_xll.FDS(C23,"FG_TOTAL_RETURNC(0,-1AM)")</f>
        <v>3.0125259999999998</v>
      </c>
      <c r="O23" s="3" cm="1">
        <f t="array" ref="O23">_xll.FDS(C23,"FG_TOTAL_RETURNC(0,-3AM)")</f>
        <v>-2.6019513999999999</v>
      </c>
      <c r="P23" s="3" cm="1">
        <f t="array" ref="P23">_xll.FDS(C23,"FG_TOTAL_RETURNC(0,-6AM)")</f>
        <v>12.785446</v>
      </c>
      <c r="Q23" s="9" cm="1">
        <f t="array" ref="Q23">_xll.FDS(C23,"P_PRICE(0)/P_PRICE_HIGH_PR(0,,,,,,""PRICE"",""INTRA"",""52W"")")</f>
        <v>0.89163559999999997</v>
      </c>
      <c r="R23" s="9" cm="1">
        <f t="array" ref="R23">_xll.FDS(C23,"P_PRICE(0)/P_PRICE_low_PR(0,,,,,,""PRICE"",""INTRA"",""52W"")-1")</f>
        <v>0.26222432000000001</v>
      </c>
      <c r="S23" s="3" cm="1">
        <f t="array" ref="S23">_xll.FDS(C23,"FG_TOTAL_RETURNC(0,-12AM)")</f>
        <v>-2.9885291999999999</v>
      </c>
    </row>
    <row r="24" spans="1:37" x14ac:dyDescent="0.35">
      <c r="Q24" s="9"/>
      <c r="R24" s="9"/>
    </row>
    <row r="25" spans="1:37" x14ac:dyDescent="0.35">
      <c r="Q25" s="9"/>
      <c r="R25" s="9"/>
    </row>
    <row r="26" spans="1:37" ht="15" customHeight="1" x14ac:dyDescent="0.35">
      <c r="E26" s="43"/>
      <c r="F26" s="43"/>
      <c r="Q26" s="9"/>
      <c r="R26" s="9"/>
    </row>
    <row r="27" spans="1:37" ht="15" customHeight="1" x14ac:dyDescent="0.35">
      <c r="E27" s="43"/>
      <c r="F27" s="43"/>
      <c r="Q27" s="9"/>
      <c r="R27" s="9"/>
    </row>
    <row r="28" spans="1:37" ht="15" customHeight="1" x14ac:dyDescent="0.35">
      <c r="E28" s="43"/>
      <c r="F28" s="43"/>
      <c r="Q28" s="9"/>
      <c r="R28" s="9"/>
    </row>
    <row r="29" spans="1:37" ht="15" customHeight="1" x14ac:dyDescent="0.35">
      <c r="C29" s="1"/>
      <c r="D29" s="1"/>
      <c r="E29" s="43"/>
      <c r="F29" s="43"/>
      <c r="Q29" s="9"/>
      <c r="R29" s="9"/>
    </row>
    <row r="30" spans="1:37" ht="15" customHeight="1" x14ac:dyDescent="0.35">
      <c r="E30" s="43"/>
      <c r="F30" s="43"/>
      <c r="Q30" s="9"/>
      <c r="R30" s="9"/>
    </row>
    <row r="31" spans="1:37" ht="15" customHeight="1" x14ac:dyDescent="0.35">
      <c r="E31" s="43"/>
      <c r="F31" s="43"/>
      <c r="Q31" s="9"/>
      <c r="R31" s="9"/>
    </row>
    <row r="32" spans="1:37" ht="15" customHeight="1" x14ac:dyDescent="0.35">
      <c r="E32" s="43"/>
      <c r="F32" s="43"/>
      <c r="Q32" s="9"/>
      <c r="R32" s="9"/>
    </row>
    <row r="33" spans="3:18" ht="15" customHeight="1" x14ac:dyDescent="0.35">
      <c r="E33" s="43"/>
      <c r="F33" s="43"/>
      <c r="P33" s="1"/>
      <c r="Q33" s="9"/>
      <c r="R33" s="9"/>
    </row>
    <row r="34" spans="3:18" ht="15" customHeight="1" x14ac:dyDescent="0.35">
      <c r="E34" s="43"/>
      <c r="F34" s="43"/>
      <c r="Q34" s="9"/>
      <c r="R34" s="9"/>
    </row>
    <row r="35" spans="3:18" ht="15" customHeight="1" x14ac:dyDescent="0.35">
      <c r="E35" s="43"/>
      <c r="F35" s="43"/>
      <c r="Q35" s="9"/>
      <c r="R35" s="9"/>
    </row>
    <row r="36" spans="3:18" ht="15" customHeight="1" x14ac:dyDescent="0.35">
      <c r="C36" s="1"/>
      <c r="D36" s="1"/>
      <c r="E36" s="43"/>
      <c r="F36" s="43"/>
      <c r="Q36" s="9"/>
      <c r="R36" s="9"/>
    </row>
    <row r="37" spans="3:18" ht="15" customHeight="1" x14ac:dyDescent="0.35">
      <c r="E37" s="43"/>
      <c r="F37" s="43"/>
      <c r="Q37" s="9"/>
      <c r="R37" s="9"/>
    </row>
    <row r="38" spans="3:18" ht="15" customHeight="1" x14ac:dyDescent="0.35">
      <c r="E38" s="43"/>
      <c r="F38" s="43"/>
      <c r="Q38" s="9"/>
      <c r="R38" s="9"/>
    </row>
    <row r="39" spans="3:18" ht="15" customHeight="1" x14ac:dyDescent="0.35">
      <c r="E39" s="43"/>
      <c r="F39" s="43"/>
      <c r="Q39" s="9"/>
      <c r="R39" s="9"/>
    </row>
    <row r="40" spans="3:18" ht="15" customHeight="1" x14ac:dyDescent="0.35">
      <c r="E40" s="43"/>
      <c r="F40" s="43"/>
      <c r="Q40" s="9"/>
      <c r="R40" s="9"/>
    </row>
    <row r="41" spans="3:18" ht="15" customHeight="1" x14ac:dyDescent="0.35">
      <c r="C41" s="1"/>
      <c r="D41" s="1"/>
      <c r="E41" s="43"/>
      <c r="F41" s="43"/>
      <c r="Q41" s="9"/>
      <c r="R41" s="9"/>
    </row>
    <row r="42" spans="3:18" ht="15" customHeight="1" x14ac:dyDescent="0.35">
      <c r="E42" s="43"/>
      <c r="F42" s="43"/>
      <c r="Q42" s="9"/>
      <c r="R42" s="9"/>
    </row>
    <row r="43" spans="3:18" ht="15" customHeight="1" x14ac:dyDescent="0.35">
      <c r="E43" s="43"/>
      <c r="F43" s="43"/>
      <c r="Q43" s="9"/>
      <c r="R43" s="9"/>
    </row>
    <row r="44" spans="3:18" ht="15" customHeight="1" x14ac:dyDescent="0.35">
      <c r="E44" s="43"/>
      <c r="F44" s="43"/>
      <c r="Q44" s="9"/>
      <c r="R44" s="9"/>
    </row>
    <row r="45" spans="3:18" ht="15" customHeight="1" x14ac:dyDescent="0.35">
      <c r="E45" s="43"/>
      <c r="F45" s="43"/>
      <c r="Q45" s="9"/>
      <c r="R45" s="9"/>
    </row>
    <row r="46" spans="3:18" ht="15" customHeight="1" x14ac:dyDescent="0.35">
      <c r="C46" s="1"/>
      <c r="D46" s="1"/>
      <c r="E46" s="43"/>
      <c r="F46" s="43"/>
      <c r="Q46" s="9"/>
      <c r="R46" s="9"/>
    </row>
    <row r="47" spans="3:18" ht="15" customHeight="1" x14ac:dyDescent="0.35">
      <c r="C47" s="1"/>
      <c r="D47" s="1"/>
      <c r="E47" s="43"/>
      <c r="F47" s="43"/>
    </row>
    <row r="48" spans="3:18" ht="15" customHeight="1" x14ac:dyDescent="0.35">
      <c r="E48" s="43"/>
      <c r="F48" s="43"/>
    </row>
    <row r="49" spans="5:7" ht="15" customHeight="1" x14ac:dyDescent="0.35">
      <c r="E49" s="43"/>
      <c r="F49" s="43"/>
    </row>
    <row r="50" spans="5:7" ht="15" customHeight="1" x14ac:dyDescent="0.35">
      <c r="E50" s="44"/>
      <c r="F50" s="44"/>
      <c r="G50" s="1"/>
    </row>
    <row r="51" spans="5:7" ht="15" customHeight="1" x14ac:dyDescent="0.35">
      <c r="E51" s="43"/>
      <c r="F51" s="43"/>
    </row>
    <row r="52" spans="5:7" ht="15" customHeight="1" x14ac:dyDescent="0.35">
      <c r="E52" s="43"/>
      <c r="F52" s="43"/>
    </row>
    <row r="53" spans="5:7" ht="15" customHeight="1" x14ac:dyDescent="0.35">
      <c r="E53" s="43"/>
      <c r="F53" s="43"/>
    </row>
    <row r="54" spans="5:7" ht="15" customHeight="1" x14ac:dyDescent="0.35">
      <c r="E54" s="43"/>
      <c r="F54" s="43"/>
    </row>
    <row r="55" spans="5:7" ht="15" customHeight="1" x14ac:dyDescent="0.35">
      <c r="E55" s="43"/>
      <c r="F55" s="43"/>
    </row>
    <row r="56" spans="5:7" ht="15" customHeight="1" x14ac:dyDescent="0.35">
      <c r="E56" s="43"/>
      <c r="F56" s="43"/>
    </row>
    <row r="57" spans="5:7" ht="15" customHeight="1" x14ac:dyDescent="0.35">
      <c r="E57" s="43"/>
      <c r="F57" s="43"/>
    </row>
    <row r="58" spans="5:7" ht="15" customHeight="1" x14ac:dyDescent="0.35">
      <c r="E58" s="44"/>
      <c r="F58" s="44"/>
      <c r="G58" s="1"/>
    </row>
    <row r="59" spans="5:7" ht="15" customHeight="1" x14ac:dyDescent="0.35">
      <c r="E59" s="43"/>
      <c r="F59" s="43"/>
    </row>
    <row r="60" spans="5:7" ht="15" customHeight="1" x14ac:dyDescent="0.35">
      <c r="E60" s="43"/>
      <c r="F60" s="43"/>
    </row>
    <row r="61" spans="5:7" ht="15" customHeight="1" x14ac:dyDescent="0.35">
      <c r="E61" s="43"/>
      <c r="F61" s="43"/>
    </row>
    <row r="62" spans="5:7" ht="15" customHeight="1" x14ac:dyDescent="0.35">
      <c r="E62" s="43"/>
      <c r="F62" s="43"/>
    </row>
    <row r="63" spans="5:7" ht="15" customHeight="1" x14ac:dyDescent="0.35">
      <c r="E63" s="43"/>
      <c r="F63" s="43"/>
    </row>
    <row r="64" spans="5:7" ht="15" customHeight="1" x14ac:dyDescent="0.35">
      <c r="E64" s="43"/>
      <c r="F64" s="43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honeticPr fontId="1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R20"/>
  <sheetViews>
    <sheetView zoomScale="82" zoomScaleNormal="160" workbookViewId="0">
      <selection activeCell="V16" sqref="V16"/>
    </sheetView>
  </sheetViews>
  <sheetFormatPr defaultRowHeight="14.5" x14ac:dyDescent="0.35"/>
  <cols>
    <col min="3" max="3" width="45.54296875" customWidth="1"/>
    <col min="4" max="4" width="14.54296875" customWidth="1"/>
    <col min="5" max="5" width="10.81640625" customWidth="1"/>
    <col min="6" max="7" width="8.453125" customWidth="1"/>
    <col min="8" max="8" width="24.1796875" customWidth="1"/>
    <col min="9" max="9" width="20.453125" customWidth="1"/>
    <col min="10" max="10" width="24.453125" style="183" bestFit="1" customWidth="1"/>
    <col min="11" max="11" width="13.453125" style="183" customWidth="1"/>
    <col min="12" max="12" width="14.453125" customWidth="1"/>
    <col min="13" max="13" width="15.54296875" customWidth="1"/>
    <col min="14" max="14" width="12.453125" customWidth="1"/>
    <col min="16" max="16" width="9.54296875" customWidth="1"/>
  </cols>
  <sheetData>
    <row r="1" spans="2:18" ht="58" x14ac:dyDescent="0.35">
      <c r="L1" t="s">
        <v>523</v>
      </c>
      <c r="M1" t="s">
        <v>522</v>
      </c>
      <c r="N1" s="49" t="s">
        <v>405</v>
      </c>
      <c r="P1" s="49" t="s">
        <v>404</v>
      </c>
    </row>
    <row r="2" spans="2:18" x14ac:dyDescent="0.35">
      <c r="L2" s="6">
        <f>Assumption!E53</f>
        <v>0.25</v>
      </c>
      <c r="M2" s="6">
        <f>Assumption!F53</f>
        <v>0.25</v>
      </c>
      <c r="N2" s="6">
        <f>Assumption!G53</f>
        <v>0.5</v>
      </c>
    </row>
    <row r="3" spans="2:18" x14ac:dyDescent="0.35">
      <c r="D3" t="s">
        <v>402</v>
      </c>
      <c r="E3" s="46" t="s">
        <v>89</v>
      </c>
      <c r="H3" t="s">
        <v>403</v>
      </c>
      <c r="I3" t="s">
        <v>94</v>
      </c>
      <c r="J3" s="184"/>
      <c r="P3" t="s">
        <v>910</v>
      </c>
      <c r="R3" t="s">
        <v>911</v>
      </c>
    </row>
    <row r="4" spans="2:18" x14ac:dyDescent="0.35">
      <c r="B4" t="s">
        <v>431</v>
      </c>
      <c r="C4" t="str" cm="1">
        <f t="array" ref="C4">_xll.FDS(B4,"FG_COMPANY_NAME")</f>
        <v>iShares MSCI New Zealand ETF</v>
      </c>
      <c r="D4" s="9">
        <f>HLOOKUP(B4,'Monthly Returns'!$A$1:$Q$134, 127, FALSE)</f>
        <v>-0.18142986</v>
      </c>
      <c r="E4" s="9">
        <f>HLOOKUP(B4,'Monthly Returns'!$A$1:$Q$134, 132, FALSE)</f>
        <v>0.17355371900826447</v>
      </c>
      <c r="H4" s="9">
        <f>HLOOKUP(B4,'Yearly returns'!$B$1:$N$140, 133, FALSE)</f>
        <v>0.14049586776859505</v>
      </c>
      <c r="I4" s="9">
        <f>HLOOKUP(B4,'Yearly returns'!$B$1:$N$140, 138, FALSE)</f>
        <v>0.60599999999999998</v>
      </c>
      <c r="J4" s="183">
        <f>1/E4</f>
        <v>5.7619047619047619</v>
      </c>
      <c r="K4" s="185">
        <f>PERCENTRANK($J$4:$J$16,J4)*100</f>
        <v>0</v>
      </c>
      <c r="L4" s="47">
        <f>(1-PERCENTRANK($E$4:$E$16,E4))*100</f>
        <v>33.4</v>
      </c>
      <c r="M4" s="47">
        <f>(1-PERCENTRANK($H$4:$H$16,H4))*100</f>
        <v>50</v>
      </c>
      <c r="N4" s="47">
        <f>(1-PERCENTRANK($I$4:$I$16,I4))*100</f>
        <v>83.399999999999991</v>
      </c>
      <c r="P4">
        <f>L4*Assumption!$E$53 + M4*Assumption!$F$53 + N4*Assumption!$G$53</f>
        <v>62.55</v>
      </c>
      <c r="R4" cm="1">
        <f t="array" ref="R4">_xlfn.PERCENTRANK.EXC(_xlfn._xlws.FILTER(P$4:P$16, ISNUMBER(P$4:P$16)),P4)*100</f>
        <v>64.2</v>
      </c>
    </row>
    <row r="5" spans="2:18" x14ac:dyDescent="0.35">
      <c r="B5" t="s">
        <v>44</v>
      </c>
      <c r="C5" t="str" cm="1">
        <f t="array" ref="C5">_xll.FDS(B5,"FG_COMPANY_NAME")</f>
        <v>iShares MSCI Australia ETF</v>
      </c>
      <c r="D5" s="9">
        <f>HLOOKUP(B5,'Monthly Returns'!$A$1:$Q$134, 127, FALSE)</f>
        <v>-0.27932410999999996</v>
      </c>
      <c r="E5" s="9">
        <f>HLOOKUP(B5,'Monthly Returns'!$A$1:$Q$134, 132, FALSE)</f>
        <v>0.15702479338842976</v>
      </c>
      <c r="H5" s="9">
        <f>HLOOKUP(B5,'Yearly returns'!$B$1:$N$140, 133, FALSE)</f>
        <v>0.17355371900826447</v>
      </c>
      <c r="I5" s="9">
        <f>HLOOKUP(B5,'Yearly returns'!$B$1:$N$140, 138, FALSE)</f>
        <v>0.88500000000000001</v>
      </c>
      <c r="J5" s="183">
        <f t="shared" ref="J5:J16" si="0">1/E5</f>
        <v>6.3684210526315788</v>
      </c>
      <c r="K5" s="185">
        <f t="shared" ref="K5:K16" si="1">PERCENTRANK($J$4:$J$16,J5)*100</f>
        <v>41.6</v>
      </c>
      <c r="L5" s="47">
        <f t="shared" ref="L5:L16" si="2">(1-PERCENTRANK($E$4:$E$16,E5))*100</f>
        <v>41.7</v>
      </c>
      <c r="M5" s="47">
        <f t="shared" ref="M5:M16" si="3">(1-PERCENTRANK($H$4:$H$16,H5))*100</f>
        <v>33.4</v>
      </c>
      <c r="N5" s="47">
        <f t="shared" ref="N5:N16" si="4">(1-PERCENTRANK($I$4:$I$16,I5))*100</f>
        <v>16.700000000000003</v>
      </c>
      <c r="P5">
        <f>L5*Assumption!$E$53 + M5*Assumption!$F$53 + N5*Assumption!$G$53</f>
        <v>27.125</v>
      </c>
      <c r="R5" cm="1">
        <f t="array" ref="R5">_xlfn.PERCENTRANK.EXC(_xlfn._xlws.FILTER(P$4:P$16, ISNUMBER(P$4:P$16)),P5)*100</f>
        <v>14.2</v>
      </c>
    </row>
    <row r="6" spans="2:18" x14ac:dyDescent="0.35">
      <c r="B6" t="s">
        <v>49</v>
      </c>
      <c r="C6" t="str" cm="1">
        <f t="array" ref="C6">_xll.FDS(B6,"FG_COMPANY_NAME")</f>
        <v>iShares MSCI Canada ETF</v>
      </c>
      <c r="D6" s="9">
        <f>HLOOKUP(B6,'Monthly Returns'!$A$1:$Q$134, 127, FALSE)</f>
        <v>-0.25117795999999998</v>
      </c>
      <c r="E6" s="9">
        <f>HLOOKUP(B6,'Monthly Returns'!$A$1:$Q$134, 132, FALSE)</f>
        <v>0.12396694214876033</v>
      </c>
      <c r="H6" s="9">
        <f>HLOOKUP(B6,'Yearly returns'!$B$1:$N$140, 133, FALSE)</f>
        <v>0.14049586776859505</v>
      </c>
      <c r="I6" s="9">
        <f>HLOOKUP(B6,'Yearly returns'!$B$1:$N$140, 138, FALSE)</f>
        <v>0.84399999999999997</v>
      </c>
      <c r="J6" s="183">
        <f t="shared" si="0"/>
        <v>8.0666666666666664</v>
      </c>
      <c r="K6" s="185">
        <f t="shared" si="1"/>
        <v>58.3</v>
      </c>
      <c r="L6" s="47">
        <f t="shared" si="2"/>
        <v>66.7</v>
      </c>
      <c r="M6" s="47">
        <f t="shared" si="3"/>
        <v>50</v>
      </c>
      <c r="N6" s="47">
        <f t="shared" si="4"/>
        <v>41.7</v>
      </c>
      <c r="P6">
        <f>L6*Assumption!$E$53 + M6*Assumption!$F$53 + N6*Assumption!$G$53</f>
        <v>50.025000000000006</v>
      </c>
      <c r="R6" cm="1">
        <f t="array" ref="R6">_xlfn.PERCENTRANK.EXC(_xlfn._xlws.FILTER(P$4:P$16, ISNUMBER(P$4:P$16)),P6)*100</f>
        <v>42.8</v>
      </c>
    </row>
    <row r="7" spans="2:18" x14ac:dyDescent="0.35">
      <c r="B7" t="s">
        <v>11</v>
      </c>
      <c r="C7" t="str" cm="1">
        <f t="array" ref="C7">_xll.FDS(B7,"FG_COMPANY_NAME")</f>
        <v>iShares MSCI Germany ETF</v>
      </c>
      <c r="D7" s="9">
        <f>HLOOKUP(B7,'Monthly Returns'!$A$1:$Q$134, 127, FALSE)</f>
        <v>-0.19450796000000001</v>
      </c>
      <c r="E7" s="9">
        <f>HLOOKUP(B7,'Monthly Returns'!$A$1:$Q$134, 132, FALSE)</f>
        <v>0.17355371900826447</v>
      </c>
      <c r="H7" s="9">
        <f>HLOOKUP(B7,'Yearly returns'!$B$1:$N$140, 133, FALSE)</f>
        <v>0.20661157024793389</v>
      </c>
      <c r="I7" s="9">
        <f>HLOOKUP(B7,'Yearly returns'!$B$1:$N$140, 138, FALSE)</f>
        <v>0.77800000000000002</v>
      </c>
      <c r="J7" s="183">
        <f t="shared" si="0"/>
        <v>5.7619047619047619</v>
      </c>
      <c r="K7" s="185">
        <f t="shared" si="1"/>
        <v>0</v>
      </c>
      <c r="L7" s="47">
        <f t="shared" si="2"/>
        <v>33.4</v>
      </c>
      <c r="M7" s="47">
        <f t="shared" si="3"/>
        <v>8.3999999999999968</v>
      </c>
      <c r="N7" s="47">
        <f t="shared" si="4"/>
        <v>66.7</v>
      </c>
      <c r="P7">
        <f>L7*Assumption!$E$53 + M7*Assumption!$F$53 + N7*Assumption!$G$53</f>
        <v>43.8</v>
      </c>
      <c r="R7" cm="1">
        <f t="array" ref="R7">_xlfn.PERCENTRANK.EXC(_xlfn._xlws.FILTER(P$4:P$16, ISNUMBER(P$4:P$16)),P7)*100</f>
        <v>28.499999999999996</v>
      </c>
    </row>
    <row r="8" spans="2:18" x14ac:dyDescent="0.35">
      <c r="B8" t="s">
        <v>46</v>
      </c>
      <c r="C8" t="str" cm="1">
        <f t="array" ref="C8">_xll.FDS(B8,"FG_COMPANY_NAME")</f>
        <v>iShares MSCI Japan ETF</v>
      </c>
      <c r="D8" s="9">
        <f>HLOOKUP(B8,'Monthly Returns'!$A$1:$Q$134, 127, FALSE)</f>
        <v>-0.11223639000000001</v>
      </c>
      <c r="E8" s="9">
        <f>HLOOKUP(B8,'Monthly Returns'!$A$1:$Q$134, 132, FALSE)</f>
        <v>9.9173553719008267E-2</v>
      </c>
      <c r="H8" s="9">
        <f>HLOOKUP(B8,'Yearly returns'!$B$1:$N$140, 133, FALSE)</f>
        <v>0.12396694214876033</v>
      </c>
      <c r="I8" s="9">
        <f>HLOOKUP(B8,'Yearly returns'!$B$1:$N$140, 138, FALSE)</f>
        <v>0.86</v>
      </c>
      <c r="J8" s="183">
        <f t="shared" si="0"/>
        <v>10.083333333333334</v>
      </c>
      <c r="K8" s="185">
        <f t="shared" si="1"/>
        <v>91.600000000000009</v>
      </c>
      <c r="L8" s="47">
        <f t="shared" si="2"/>
        <v>100</v>
      </c>
      <c r="M8" s="47">
        <f t="shared" si="3"/>
        <v>58.400000000000006</v>
      </c>
      <c r="N8" s="47">
        <f t="shared" si="4"/>
        <v>25</v>
      </c>
      <c r="P8">
        <f>L8*Assumption!$E$53 + M8*Assumption!$F$53 + N8*Assumption!$G$53</f>
        <v>52.1</v>
      </c>
      <c r="R8" cm="1">
        <f t="array" ref="R8">_xlfn.PERCENTRANK.EXC(_xlfn._xlws.FILTER(P$4:P$16, ISNUMBER(P$4:P$16)),P8)*100</f>
        <v>50</v>
      </c>
    </row>
    <row r="9" spans="2:18" x14ac:dyDescent="0.35">
      <c r="B9" t="s">
        <v>42</v>
      </c>
      <c r="C9" t="str" cm="1">
        <f t="array" ref="C9">_xll.FDS(B9,"FG_COMPANY_NAME")</f>
        <v>iShares MSCI Switzerland ETF</v>
      </c>
      <c r="D9" s="9">
        <f>HLOOKUP(B9,'Monthly Returns'!$A$1:$Q$134, 127, FALSE)</f>
        <v>-8.9787009999999987E-2</v>
      </c>
      <c r="E9" s="9">
        <f>HLOOKUP(B9,'Monthly Returns'!$A$1:$Q$134, 132, FALSE)</f>
        <v>0.12396694214876033</v>
      </c>
      <c r="H9" s="9">
        <f>HLOOKUP(B9,'Yearly returns'!$B$1:$N$140, 133, FALSE)</f>
        <v>7.43801652892562E-2</v>
      </c>
      <c r="I9" s="9">
        <f>HLOOKUP(B9,'Yearly returns'!$B$1:$N$140, 138, FALSE)</f>
        <v>0.78600000000000003</v>
      </c>
      <c r="J9" s="183">
        <f t="shared" si="0"/>
        <v>8.0666666666666664</v>
      </c>
      <c r="K9" s="185">
        <f t="shared" si="1"/>
        <v>58.3</v>
      </c>
      <c r="L9" s="47">
        <f t="shared" si="2"/>
        <v>66.7</v>
      </c>
      <c r="M9" s="47">
        <f t="shared" si="3"/>
        <v>91.7</v>
      </c>
      <c r="N9" s="47">
        <f t="shared" si="4"/>
        <v>58.400000000000006</v>
      </c>
      <c r="P9">
        <f>L9*Assumption!$E$53 + M9*Assumption!$F$53 + N9*Assumption!$G$53</f>
        <v>68.800000000000011</v>
      </c>
      <c r="R9" cm="1">
        <f t="array" ref="R9">_xlfn.PERCENTRANK.EXC(_xlfn._xlws.FILTER(P$4:P$16, ISNUMBER(P$4:P$16)),P9)*100</f>
        <v>78.5</v>
      </c>
    </row>
    <row r="10" spans="2:18" x14ac:dyDescent="0.35">
      <c r="B10" t="s">
        <v>48</v>
      </c>
      <c r="C10" t="str" cm="1">
        <f t="array" ref="C10">_xll.FDS(B10,"FG_COMPANY_NAME")</f>
        <v>iShares MSCI United Kingdom ETF</v>
      </c>
      <c r="D10" s="9">
        <f>HLOOKUP(B10,'Monthly Returns'!$A$1:$Q$134, 127, FALSE)</f>
        <v>-0.20307165000000002</v>
      </c>
      <c r="E10" s="9">
        <f>HLOOKUP(B10,'Monthly Returns'!$A$1:$Q$134, 132, FALSE)</f>
        <v>0.11570247933884298</v>
      </c>
      <c r="H10" s="9">
        <f>HLOOKUP(B10,'Yearly returns'!$B$1:$N$140, 133, FALSE)</f>
        <v>0.18181818181818182</v>
      </c>
      <c r="I10" s="9">
        <f>HLOOKUP(B10,'Yearly returns'!$B$1:$N$140, 138, FALSE)</f>
        <v>0.89300000000000002</v>
      </c>
      <c r="J10" s="183">
        <f t="shared" si="0"/>
        <v>8.6428571428571423</v>
      </c>
      <c r="K10" s="185">
        <f t="shared" si="1"/>
        <v>75</v>
      </c>
      <c r="L10" s="47">
        <f t="shared" si="2"/>
        <v>75</v>
      </c>
      <c r="M10" s="47">
        <f t="shared" si="3"/>
        <v>25</v>
      </c>
      <c r="N10" s="47">
        <f t="shared" si="4"/>
        <v>8.3999999999999968</v>
      </c>
      <c r="P10">
        <f>L10*Assumption!$E$53 + M10*Assumption!$F$53 + N10*Assumption!$G$53</f>
        <v>29.2</v>
      </c>
      <c r="R10" cm="1">
        <f t="array" ref="R10">_xlfn.PERCENTRANK.EXC(_xlfn._xlws.FILTER(P$4:P$16, ISNUMBER(P$4:P$16)),P10)*100</f>
        <v>21.4</v>
      </c>
    </row>
    <row r="11" spans="2:18" x14ac:dyDescent="0.35">
      <c r="B11" t="s">
        <v>51</v>
      </c>
      <c r="C11" t="str" cm="1">
        <f t="array" ref="C11">_xll.FDS(B11,"FG_COMPANY_NAME")</f>
        <v>Invesco QQQ Trust Series I</v>
      </c>
      <c r="D11" s="9">
        <f>HLOOKUP(B11,'Monthly Returns'!$A$1:$Q$134, 127, FALSE)</f>
        <v>-0.15609259</v>
      </c>
      <c r="E11" s="9">
        <f>HLOOKUP(B11,'Monthly Returns'!$A$1:$Q$134, 132, FALSE)</f>
        <v>0.10743801652892562</v>
      </c>
      <c r="H11" s="9">
        <f>HLOOKUP(B11,'Yearly returns'!$B$1:$N$140, 133, FALSE)</f>
        <v>8.2644628099173556E-2</v>
      </c>
      <c r="I11" s="9">
        <f>HLOOKUP(B11,'Yearly returns'!$B$1:$N$140, 138, FALSE)</f>
        <v>0.59799999999999998</v>
      </c>
      <c r="J11" s="183">
        <f t="shared" si="0"/>
        <v>9.3076923076923066</v>
      </c>
      <c r="K11" s="185">
        <f t="shared" si="1"/>
        <v>83.3</v>
      </c>
      <c r="L11" s="47">
        <f t="shared" si="2"/>
        <v>83.399999999999991</v>
      </c>
      <c r="M11" s="47">
        <f t="shared" si="3"/>
        <v>83.399999999999991</v>
      </c>
      <c r="N11" s="47">
        <f t="shared" si="4"/>
        <v>91.7</v>
      </c>
      <c r="P11">
        <f>L11*Assumption!$E$53 + M11*Assumption!$F$53 + N11*Assumption!$G$53</f>
        <v>87.55</v>
      </c>
      <c r="R11" cm="1">
        <f t="array" ref="R11">_xlfn.PERCENTRANK.EXC(_xlfn._xlws.FILTER(P$4:P$16, ISNUMBER(P$4:P$16)),P11)*100</f>
        <v>92.800000000000011</v>
      </c>
    </row>
    <row r="12" spans="2:18" x14ac:dyDescent="0.35">
      <c r="B12" t="s">
        <v>1</v>
      </c>
      <c r="C12" t="str" cm="1">
        <f t="array" ref="C12">_xll.FDS(B12,"FG_COMPANY_NAME")</f>
        <v>SPDR S&amp;P 500 ETF Trust</v>
      </c>
      <c r="D12" s="9">
        <f>HLOOKUP(B12,'Monthly Returns'!$A$1:$Q$134, 127, FALSE)</f>
        <v>-0.13934791999999999</v>
      </c>
      <c r="E12" s="9">
        <f>HLOOKUP(B12,'Monthly Returns'!$A$1:$Q$134, 132, FALSE)</f>
        <v>9.9173553719008267E-2</v>
      </c>
      <c r="H12" s="9">
        <f>HLOOKUP(B12,'Yearly returns'!$B$1:$N$140, 133, FALSE)</f>
        <v>4.1322314049586778E-2</v>
      </c>
      <c r="I12" s="9">
        <f>HLOOKUP(B12,'Yearly returns'!$B$1:$N$140, 138, FALSE)</f>
        <v>0.85199999999999998</v>
      </c>
      <c r="J12" s="183">
        <f t="shared" si="0"/>
        <v>10.083333333333334</v>
      </c>
      <c r="K12" s="185">
        <f t="shared" si="1"/>
        <v>91.600000000000009</v>
      </c>
      <c r="L12" s="47">
        <f t="shared" si="2"/>
        <v>100</v>
      </c>
      <c r="M12" s="47">
        <f t="shared" si="3"/>
        <v>100</v>
      </c>
      <c r="N12" s="47">
        <f t="shared" si="4"/>
        <v>33.4</v>
      </c>
      <c r="P12">
        <f>L12*Assumption!$E$53 + M12*Assumption!$F$53 + N12*Assumption!$G$53</f>
        <v>66.7</v>
      </c>
      <c r="R12" cm="1">
        <f t="array" ref="R12">_xlfn.PERCENTRANK.EXC(_xlfn._xlws.FILTER(P$4:P$16, ISNUMBER(P$4:P$16)),P12)*100</f>
        <v>71.399999999999991</v>
      </c>
    </row>
    <row r="13" spans="2:18" x14ac:dyDescent="0.35">
      <c r="B13" t="s">
        <v>865</v>
      </c>
      <c r="C13" t="str" cm="1">
        <f t="array" ref="C13">_xll.FDS(B13,"FG_COMPANY_NAME")</f>
        <v>iShares MSCI France ETF</v>
      </c>
      <c r="D13" s="9">
        <f>HLOOKUP(B13,'Monthly Returns'!$A$1:$Q$134, 127, FALSE)</f>
        <v>-0.18285519</v>
      </c>
      <c r="E13" s="9">
        <f>HLOOKUP(B13,'Monthly Returns'!$A$1:$Q$134, 132, FALSE)</f>
        <v>0.17355371900826447</v>
      </c>
      <c r="H13" s="9">
        <f>HLOOKUP(B13,'Yearly returns'!$B$1:$N$140, 133, FALSE)</f>
        <v>0.10743801652892562</v>
      </c>
      <c r="I13" s="9">
        <f>HLOOKUP(B13,'Yearly returns'!$B$1:$N$140, 138, FALSE)</f>
        <v>0.56499999999999995</v>
      </c>
      <c r="J13" s="183">
        <f t="shared" si="0"/>
        <v>5.7619047619047619</v>
      </c>
      <c r="K13" s="185">
        <f t="shared" si="1"/>
        <v>0</v>
      </c>
      <c r="L13" s="47">
        <f t="shared" si="2"/>
        <v>33.4</v>
      </c>
      <c r="M13" s="47">
        <f t="shared" si="3"/>
        <v>75</v>
      </c>
      <c r="N13" s="47">
        <f t="shared" si="4"/>
        <v>100</v>
      </c>
      <c r="P13">
        <f>L13*Assumption!$E$53 + M13*Assumption!$F$53 + N13*Assumption!$G$53</f>
        <v>77.099999999999994</v>
      </c>
      <c r="R13" cm="1">
        <f t="array" ref="R13">_xlfn.PERCENTRANK.EXC(_xlfn._xlws.FILTER(P$4:P$16, ISNUMBER(P$4:P$16)),P13)*100</f>
        <v>85.7</v>
      </c>
    </row>
    <row r="14" spans="2:18" x14ac:dyDescent="0.35">
      <c r="B14" t="s">
        <v>867</v>
      </c>
      <c r="C14" t="str" cm="1">
        <f t="array" ref="C14">_xll.FDS(B14,"FG_COMPANY_NAME")</f>
        <v>iShares MSCI Netherlands ETF</v>
      </c>
      <c r="D14" s="9">
        <f>HLOOKUP(B14,'Monthly Returns'!$A$1:$Q$134, 127, FALSE)</f>
        <v>-0.1576873</v>
      </c>
      <c r="E14" s="9">
        <f>HLOOKUP(B14,'Monthly Returns'!$A$1:$Q$134, 132, FALSE)</f>
        <v>0.13223140495867769</v>
      </c>
      <c r="H14" s="9">
        <f>HLOOKUP(B14,'Yearly returns'!$B$1:$N$140, 133, FALSE)</f>
        <v>0.11570247933884298</v>
      </c>
      <c r="I14" s="9">
        <f>HLOOKUP(B14,'Yearly returns'!$B$1:$N$140, 138, FALSE)</f>
        <v>0.78600000000000003</v>
      </c>
      <c r="J14" s="183">
        <f t="shared" si="0"/>
        <v>7.5625</v>
      </c>
      <c r="K14" s="185">
        <f t="shared" si="1"/>
        <v>50</v>
      </c>
      <c r="L14" s="47">
        <f t="shared" si="2"/>
        <v>50</v>
      </c>
      <c r="M14" s="47">
        <f t="shared" si="3"/>
        <v>66.7</v>
      </c>
      <c r="N14" s="47">
        <f t="shared" si="4"/>
        <v>58.400000000000006</v>
      </c>
      <c r="P14">
        <f>L14*Assumption!$E$53 + M14*Assumption!$F$53 + N14*Assumption!$G$53</f>
        <v>58.375</v>
      </c>
      <c r="R14" cm="1">
        <f t="array" ref="R14">_xlfn.PERCENTRANK.EXC(_xlfn._xlws.FILTER(P$4:P$16, ISNUMBER(P$4:P$16)),P14)*100</f>
        <v>57.099999999999994</v>
      </c>
    </row>
    <row r="15" spans="2:18" x14ac:dyDescent="0.35">
      <c r="B15" t="s">
        <v>864</v>
      </c>
      <c r="C15" t="str" cm="1">
        <f t="array" ref="C15">_xll.FDS(B15,"FG_COMPANY_NAME")</f>
        <v>iShares MSCI Sweden ETF</v>
      </c>
      <c r="D15" s="9">
        <f>HLOOKUP(B15,'Monthly Returns'!$A$1:$Q$134, 127, FALSE)</f>
        <v>-0.18926924000000001</v>
      </c>
      <c r="E15" s="9">
        <f>HLOOKUP(B15,'Monthly Returns'!$A$1:$Q$134, 132, FALSE)</f>
        <v>0.17355371900826447</v>
      </c>
      <c r="H15" s="9">
        <f>HLOOKUP(B15,'Yearly returns'!$B$1:$N$140, 133, FALSE)</f>
        <v>0.18181818181818182</v>
      </c>
      <c r="I15" s="9">
        <f>HLOOKUP(B15,'Yearly returns'!$B$1:$N$140, 138, FALSE)</f>
        <v>0.90100000000000002</v>
      </c>
      <c r="J15" s="183">
        <f t="shared" si="0"/>
        <v>5.7619047619047619</v>
      </c>
      <c r="K15" s="185">
        <f t="shared" si="1"/>
        <v>0</v>
      </c>
      <c r="L15" s="47">
        <f t="shared" si="2"/>
        <v>33.4</v>
      </c>
      <c r="M15" s="47">
        <f t="shared" si="3"/>
        <v>25</v>
      </c>
      <c r="N15" s="47">
        <f t="shared" si="4"/>
        <v>0</v>
      </c>
      <c r="P15">
        <f>L15*Assumption!$E$53 + M15*Assumption!$F$53 + N15*Assumption!$G$53</f>
        <v>14.6</v>
      </c>
      <c r="R15" cm="1">
        <f t="array" ref="R15">_xlfn.PERCENTRANK.EXC(_xlfn._xlws.FILTER(P$4:P$16, ISNUMBER(P$4:P$16)),P15)*100</f>
        <v>7.1</v>
      </c>
    </row>
    <row r="16" spans="2:18" x14ac:dyDescent="0.35">
      <c r="B16" t="s">
        <v>866</v>
      </c>
      <c r="C16" t="str" cm="1">
        <f t="array" ref="C16">_xll.FDS(B16,"FG_COMPANY_NAME")</f>
        <v>iShares MSCI Italy ETF</v>
      </c>
      <c r="D16" s="9">
        <f>HLOOKUP(B16,'Monthly Returns'!$A$1:$Q$134, 127, FALSE)</f>
        <v>-0.23861969</v>
      </c>
      <c r="E16" s="9">
        <f>HLOOKUP(B16,'Monthly Returns'!$A$1:$Q$134, 132, FALSE)</f>
        <v>0.17355371900826447</v>
      </c>
      <c r="H16" s="9">
        <f>HLOOKUP(B16,'Yearly returns'!$B$1:$N$140, 133, FALSE)</f>
        <v>0.28925619834710742</v>
      </c>
      <c r="I16" s="9">
        <f>HLOOKUP(B16,'Yearly returns'!$B$1:$N$140, 138, FALSE)</f>
        <v>0.754</v>
      </c>
      <c r="J16" s="183">
        <f t="shared" si="0"/>
        <v>5.7619047619047619</v>
      </c>
      <c r="K16" s="185">
        <f t="shared" si="1"/>
        <v>0</v>
      </c>
      <c r="L16" s="47">
        <f t="shared" si="2"/>
        <v>33.4</v>
      </c>
      <c r="M16" s="47">
        <f t="shared" si="3"/>
        <v>0</v>
      </c>
      <c r="N16" s="47">
        <f t="shared" si="4"/>
        <v>75</v>
      </c>
      <c r="P16">
        <f>L16*Assumption!$E$53 + M16*Assumption!$F$53 + N16*Assumption!$G$53</f>
        <v>45.85</v>
      </c>
      <c r="R16" cm="1">
        <f t="array" ref="R16">_xlfn.PERCENTRANK.EXC(_xlfn._xlws.FILTER(P$4:P$16, ISNUMBER(P$4:P$16)),P16)*100</f>
        <v>35.699999999999996</v>
      </c>
    </row>
    <row r="17" spans="4:4" x14ac:dyDescent="0.35">
      <c r="D17" s="9"/>
    </row>
    <row r="18" spans="4:4" x14ac:dyDescent="0.35">
      <c r="D18" s="9"/>
    </row>
    <row r="19" spans="4:4" x14ac:dyDescent="0.35">
      <c r="D19" s="9"/>
    </row>
    <row r="20" spans="4:4" x14ac:dyDescent="0.35">
      <c r="D2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DA328-5514-40FF-B3A2-CDAE989FE53A}">
  <dimension ref="A1:V26"/>
  <sheetViews>
    <sheetView topLeftCell="I13" zoomScaleNormal="100" workbookViewId="0">
      <selection activeCell="N22" sqref="N22"/>
    </sheetView>
  </sheetViews>
  <sheetFormatPr defaultRowHeight="14.5" x14ac:dyDescent="0.35"/>
  <cols>
    <col min="1" max="1" width="15.1796875" bestFit="1" customWidth="1"/>
    <col min="2" max="2" width="34.453125" customWidth="1"/>
    <col min="3" max="3" width="10" bestFit="1" customWidth="1"/>
    <col min="4" max="4" width="18.1796875" bestFit="1" customWidth="1"/>
    <col min="5" max="5" width="11.54296875" customWidth="1"/>
    <col min="6" max="6" width="21" customWidth="1"/>
    <col min="7" max="7" width="11.1796875" bestFit="1" customWidth="1"/>
    <col min="8" max="9" width="31.453125" style="40" customWidth="1"/>
    <col min="10" max="10" width="36.1796875" style="40" customWidth="1"/>
    <col min="12" max="12" width="10.453125" customWidth="1"/>
    <col min="18" max="18" width="14.81640625" bestFit="1" customWidth="1"/>
    <col min="19" max="19" width="11.1796875" customWidth="1"/>
    <col min="20" max="20" width="14.1796875" bestFit="1" customWidth="1"/>
    <col min="21" max="21" width="13.453125" bestFit="1" customWidth="1"/>
    <col min="22" max="22" width="14.54296875" bestFit="1" customWidth="1"/>
  </cols>
  <sheetData>
    <row r="1" spans="1:22" x14ac:dyDescent="0.35">
      <c r="H1"/>
      <c r="I1"/>
      <c r="J1"/>
    </row>
    <row r="2" spans="1:22" x14ac:dyDescent="0.35">
      <c r="H2"/>
      <c r="I2"/>
      <c r="J2"/>
      <c r="L2" s="5"/>
    </row>
    <row r="3" spans="1:22" x14ac:dyDescent="0.35">
      <c r="H3"/>
      <c r="I3"/>
      <c r="J3"/>
      <c r="L3" s="5"/>
    </row>
    <row r="4" spans="1:22" x14ac:dyDescent="0.35">
      <c r="A4" t="s">
        <v>821</v>
      </c>
      <c r="B4" t="s">
        <v>519</v>
      </c>
      <c r="C4" t="s">
        <v>820</v>
      </c>
      <c r="D4" t="s">
        <v>544</v>
      </c>
      <c r="F4" t="s">
        <v>783</v>
      </c>
      <c r="G4" s="110" t="s">
        <v>818</v>
      </c>
      <c r="H4" s="110" t="s">
        <v>817</v>
      </c>
      <c r="I4" s="110" t="s">
        <v>837</v>
      </c>
      <c r="J4" s="110" t="s">
        <v>819</v>
      </c>
      <c r="S4" s="110" t="s">
        <v>818</v>
      </c>
      <c r="T4" s="110" t="s">
        <v>817</v>
      </c>
      <c r="U4" s="110" t="s">
        <v>837</v>
      </c>
      <c r="V4" s="110" t="s">
        <v>819</v>
      </c>
    </row>
    <row r="5" spans="1:22" x14ac:dyDescent="0.35">
      <c r="A5" t="s">
        <v>198</v>
      </c>
      <c r="B5" t="str" cm="1">
        <f t="array" ref="B5">_xll.FDS(C5,"FG_COMPANY_NAME")</f>
        <v>iShares MSCI New Zealand ETF</v>
      </c>
      <c r="C5" t="s">
        <v>431</v>
      </c>
      <c r="D5" t="s">
        <v>674</v>
      </c>
      <c r="E5" s="3" t="s">
        <v>431</v>
      </c>
      <c r="F5" s="9">
        <f>HLOOKUP(E5,'Monthly Returns'!$A$1:$AE$136,134,FALSE)</f>
        <v>0.90900000000000003</v>
      </c>
      <c r="G5" s="141" cm="1">
        <f t="array" ref="G5">_xll.FDSZ(C5,"FG_PRICE(0)")</f>
        <v>48.76</v>
      </c>
      <c r="H5" s="141" cm="1">
        <f t="array" ref="H5">_xll.FDSZ(C5,"FG_PRICE_MAVG(0,,,,30)")</f>
        <v>47.078899999999997</v>
      </c>
      <c r="I5" s="141" cm="1">
        <f t="array" ref="I5">_xll.FDSZ(C5,"FG_PRICE_MAVG(0,,,,60)")</f>
        <v>46.493664000000003</v>
      </c>
      <c r="J5" s="141" cm="1">
        <f t="array" ref="J5">_xll.FDSZ(C5,"FG_PRICE_MAVG(0,,,,200)")</f>
        <v>46.037790000000001</v>
      </c>
      <c r="L5">
        <f>IF($G5&gt;H5, 1, 0)</f>
        <v>1</v>
      </c>
      <c r="M5">
        <f>IF($G5&gt;I5, 1, 0)</f>
        <v>1</v>
      </c>
      <c r="N5">
        <f>IF($G5&gt;J5, 1, 0)</f>
        <v>1</v>
      </c>
      <c r="P5">
        <f>SUM(L5:N5)</f>
        <v>3</v>
      </c>
      <c r="R5" t="s">
        <v>839</v>
      </c>
      <c r="S5" s="7" cm="1">
        <f t="array" ref="S5">_xll.FDSZ($R5,"FG_PRICE(0)")</f>
        <v>414.31754000000001</v>
      </c>
      <c r="T5" s="7" cm="1">
        <f t="array" ref="T5">_xll.FDSZ($R5,"FG_PRICE(0)")</f>
        <v>414.31754000000001</v>
      </c>
      <c r="U5" s="7" cm="1">
        <f t="array" ref="U5">_xll.FDSZ($R5,"FG_PRICE(0)")</f>
        <v>414.31754000000001</v>
      </c>
      <c r="V5" s="7" cm="1">
        <f t="array" ref="V5">_xll.FDSZ($R5,"FG_PRICE(0)")</f>
        <v>414.31754000000001</v>
      </c>
    </row>
    <row r="6" spans="1:22" x14ac:dyDescent="0.35">
      <c r="A6" t="s">
        <v>174</v>
      </c>
      <c r="B6" t="str" cm="1">
        <f t="array" ref="B6">_xll.FDS(C6,"FG_COMPANY_NAME")</f>
        <v>iShares MSCI Australia ETF</v>
      </c>
      <c r="C6" t="s">
        <v>44</v>
      </c>
      <c r="D6" t="s">
        <v>576</v>
      </c>
      <c r="E6" s="3" t="s">
        <v>44</v>
      </c>
      <c r="F6" s="9">
        <f>HLOOKUP(E6,'Monthly Returns'!$A$1:$AE$136,134,FALSE)</f>
        <v>0.86799999999999999</v>
      </c>
      <c r="G6" s="141" cm="1">
        <f t="array" ref="G6">_xll.FDSZ(C6,"FG_PRICE(0)")</f>
        <v>26.05</v>
      </c>
      <c r="H6" s="141" cm="1">
        <f t="array" ref="H6">_xll.FDSZ(C6,"FG_PRICE_MAVG(0,,,,30)")</f>
        <v>24.788665999999999</v>
      </c>
      <c r="I6" s="141" cm="1">
        <f t="array" ref="I6">_xll.FDSZ(C6,"FG_PRICE_MAVG(0,,,,60)")</f>
        <v>24.753834000000001</v>
      </c>
      <c r="J6" s="141" cm="1">
        <f t="array" ref="J6">_xll.FDSZ(C6,"FG_PRICE_MAVG(0,,,,200)")</f>
        <v>24.094650000000001</v>
      </c>
      <c r="L6">
        <f t="shared" ref="L6:L17" si="0">IF($G6&gt;H6, 1, 0)</f>
        <v>1</v>
      </c>
      <c r="M6">
        <f t="shared" ref="M6:M17" si="1">IF($G6&gt;I6, 1, 0)</f>
        <v>1</v>
      </c>
      <c r="N6">
        <f t="shared" ref="N6:N17" si="2">IF($G6&gt;J6, 1, 0)</f>
        <v>1</v>
      </c>
      <c r="P6">
        <f t="shared" ref="P6:P17" si="3">SUM(L6:N6)</f>
        <v>3</v>
      </c>
      <c r="R6" t="s">
        <v>840</v>
      </c>
      <c r="S6" s="7" cm="1">
        <f t="array" ref="S6">_xll.FDSZ($R6,"FG_PRICE(0)")</f>
        <v>380.06387000000001</v>
      </c>
      <c r="T6" s="7" cm="1">
        <f t="array" ref="T6">_xll.FDSZ($R6,"FG_PRICE(0)")</f>
        <v>380.06387000000001</v>
      </c>
      <c r="U6" s="7" cm="1">
        <f t="array" ref="U6">_xll.FDSZ($R6,"FG_PRICE(0)")</f>
        <v>380.06387000000001</v>
      </c>
      <c r="V6" s="7" cm="1">
        <f t="array" ref="V6">_xll.FDSZ($R6,"FG_PRICE(0)")</f>
        <v>380.06387000000001</v>
      </c>
    </row>
    <row r="7" spans="1:22" x14ac:dyDescent="0.35">
      <c r="A7" t="s">
        <v>157</v>
      </c>
      <c r="B7" t="str" cm="1">
        <f t="array" ref="B7">_xll.FDS(C7,"FG_COMPANY_NAME")</f>
        <v>iShares MSCI Canada ETF</v>
      </c>
      <c r="C7" t="s">
        <v>49</v>
      </c>
      <c r="D7" t="s">
        <v>598</v>
      </c>
      <c r="E7" s="3" t="s">
        <v>49</v>
      </c>
      <c r="F7" s="9">
        <f>HLOOKUP(E7,'Monthly Returns'!$A$1:$AE$136,134,FALSE)</f>
        <v>0.85199999999999998</v>
      </c>
      <c r="G7" s="141" cm="1">
        <f t="array" ref="G7">_xll.FDSZ(C7,"FG_PRICE(0)")</f>
        <v>40.229999999999997</v>
      </c>
      <c r="H7" s="141" cm="1">
        <f t="array" ref="H7">_xll.FDSZ(C7,"FG_PRICE_MAVG(0,,,,30)")</f>
        <v>38.642665999999998</v>
      </c>
      <c r="I7" s="141" cm="1">
        <f t="array" ref="I7">_xll.FDSZ(C7,"FG_PRICE_MAVG(0,,,,60)")</f>
        <v>38.057499999999997</v>
      </c>
      <c r="J7" s="141" cm="1">
        <f t="array" ref="J7">_xll.FDSZ(C7,"FG_PRICE_MAVG(0,,,,200)")</f>
        <v>37.154449999999997</v>
      </c>
      <c r="L7">
        <f t="shared" si="0"/>
        <v>1</v>
      </c>
      <c r="M7">
        <f t="shared" si="1"/>
        <v>1</v>
      </c>
      <c r="N7">
        <f t="shared" si="2"/>
        <v>1</v>
      </c>
      <c r="P7">
        <f t="shared" si="3"/>
        <v>3</v>
      </c>
      <c r="R7" t="s">
        <v>841</v>
      </c>
      <c r="S7" s="7" cm="1">
        <f t="array" ref="S7">_xll.FDSZ($R7,"FG_PRICE(0)")</f>
        <v>309.22390000000001</v>
      </c>
      <c r="T7" s="7" cm="1">
        <f t="array" ref="T7">_xll.FDSZ($R7,"FG_PRICE(0)")</f>
        <v>309.22390000000001</v>
      </c>
      <c r="U7" s="7" cm="1">
        <f t="array" ref="U7">_xll.FDSZ($R7,"FG_PRICE(0)")</f>
        <v>309.22390000000001</v>
      </c>
      <c r="V7" s="7" cm="1">
        <f t="array" ref="V7">_xll.FDSZ($R7,"FG_PRICE(0)")</f>
        <v>309.22390000000001</v>
      </c>
    </row>
    <row r="8" spans="1:22" x14ac:dyDescent="0.35">
      <c r="A8" t="s">
        <v>555</v>
      </c>
      <c r="B8" t="str" cm="1">
        <f t="array" ref="B8">_xll.FDS(C8,"FG_COMPANY_NAME")</f>
        <v>iShares MSCI Germany ETF</v>
      </c>
      <c r="C8" t="s">
        <v>11</v>
      </c>
      <c r="D8" t="s">
        <v>625</v>
      </c>
      <c r="E8" s="3" t="s">
        <v>11</v>
      </c>
      <c r="F8" s="9">
        <f>HLOOKUP(E8,'Monthly Returns'!$A$1:$AE$136,134,FALSE)</f>
        <v>0.77800000000000002</v>
      </c>
      <c r="G8" s="141" cm="1">
        <f t="array" ref="G8">_xll.FDSZ(C8,"FG_PRICE(0)")</f>
        <v>32.47</v>
      </c>
      <c r="H8" s="141" cm="1">
        <f t="array" ref="H8">_xll.FDSZ(C8,"FG_PRICE_MAVG(0,,,,30)")</f>
        <v>31.090665999999999</v>
      </c>
      <c r="I8" s="141" cm="1">
        <f t="array" ref="I8">_xll.FDSZ(C8,"FG_PRICE_MAVG(0,,,,60)")</f>
        <v>31.056000000000001</v>
      </c>
      <c r="J8" s="141" cm="1">
        <f t="array" ref="J8">_xll.FDSZ(C8,"FG_PRICE_MAVG(0,,,,200)")</f>
        <v>30.4147</v>
      </c>
      <c r="L8">
        <f t="shared" si="0"/>
        <v>1</v>
      </c>
      <c r="M8">
        <f t="shared" si="1"/>
        <v>1</v>
      </c>
      <c r="N8">
        <f t="shared" si="2"/>
        <v>1</v>
      </c>
      <c r="P8">
        <f t="shared" si="3"/>
        <v>3</v>
      </c>
      <c r="R8" t="s">
        <v>838</v>
      </c>
      <c r="S8" s="7" cm="1">
        <f t="array" ref="S8">_xll.FDSZ($R8,"FG_PRICE(0)")</f>
        <v>9.7871369999999995</v>
      </c>
      <c r="T8" s="7" cm="1">
        <f t="array" ref="T8">_xll.FDSZ($R8,"FG_PRICE(0)")</f>
        <v>9.7871369999999995</v>
      </c>
      <c r="U8" s="7" cm="1">
        <f t="array" ref="U8">_xll.FDSZ($R8,"FG_PRICE(0)")</f>
        <v>9.7871369999999995</v>
      </c>
      <c r="V8" s="7" cm="1">
        <f t="array" ref="V8">_xll.FDSZ($R8,"FG_PRICE(0)")</f>
        <v>9.7871369999999995</v>
      </c>
    </row>
    <row r="9" spans="1:22" x14ac:dyDescent="0.35">
      <c r="A9" t="s">
        <v>164</v>
      </c>
      <c r="B9" t="str" cm="1">
        <f t="array" ref="B9">_xll.FDS(C9,"FG_COMPANY_NAME")</f>
        <v>iShares MSCI Japan ETF</v>
      </c>
      <c r="C9" t="s">
        <v>46</v>
      </c>
      <c r="D9" t="s">
        <v>643</v>
      </c>
      <c r="E9" s="3" t="s">
        <v>46</v>
      </c>
      <c r="F9" s="9">
        <f>HLOOKUP(E9,'Monthly Returns'!$A$1:$AE$136,134,FALSE)</f>
        <v>0.83599999999999997</v>
      </c>
      <c r="G9" s="141" cm="1">
        <f t="array" ref="G9">_xll.FDSZ(C9,"FG_PRICE(0)")</f>
        <v>71.540000000000006</v>
      </c>
      <c r="H9" s="141" cm="1">
        <f t="array" ref="H9">_xll.FDSZ(C9,"FG_PRICE_MAVG(0,,,,30)")</f>
        <v>68.566999999999993</v>
      </c>
      <c r="I9" s="141" cm="1">
        <f t="array" ref="I9">_xll.FDSZ(C9,"FG_PRICE_MAVG(0,,,,60)")</f>
        <v>68.6935</v>
      </c>
      <c r="J9" s="141" cm="1">
        <f t="array" ref="J9">_xll.FDSZ(C9,"FG_PRICE_MAVG(0,,,,200)")</f>
        <v>67.391050000000007</v>
      </c>
      <c r="L9">
        <f t="shared" si="0"/>
        <v>1</v>
      </c>
      <c r="M9">
        <f t="shared" si="1"/>
        <v>1</v>
      </c>
      <c r="N9">
        <f t="shared" si="2"/>
        <v>1</v>
      </c>
      <c r="P9">
        <f t="shared" si="3"/>
        <v>3</v>
      </c>
      <c r="R9" t="s">
        <v>842</v>
      </c>
      <c r="S9" s="7" cm="1">
        <f t="array" ref="S9">_xll.FDSZ($R9,"FG_PRICE(0)")</f>
        <v>182.80957000000001</v>
      </c>
      <c r="T9" s="7" cm="1">
        <f t="array" ref="T9">_xll.FDSZ($R9,"FG_PRICE(0)")</f>
        <v>182.80957000000001</v>
      </c>
      <c r="U9" s="7" cm="1">
        <f t="array" ref="U9">_xll.FDSZ($R9,"FG_PRICE(0)")</f>
        <v>182.80957000000001</v>
      </c>
      <c r="V9" s="7" cm="1">
        <f t="array" ref="V9">_xll.FDSZ($R9,"FG_PRICE(0)")</f>
        <v>182.80957000000001</v>
      </c>
    </row>
    <row r="10" spans="1:22" x14ac:dyDescent="0.35">
      <c r="A10" t="s">
        <v>276</v>
      </c>
      <c r="B10" t="str" cm="1">
        <f t="array" ref="B10">_xll.FDS(C10,"FG_COMPANY_NAME")</f>
        <v>iShares MSCI Switzerland ETF</v>
      </c>
      <c r="C10" t="s">
        <v>42</v>
      </c>
      <c r="D10" t="s">
        <v>706</v>
      </c>
      <c r="E10" s="3" t="s">
        <v>42</v>
      </c>
      <c r="F10" s="9">
        <f>HLOOKUP(E10,'Monthly Returns'!$A$1:$AE$136,134,FALSE)</f>
        <v>0.90100000000000002</v>
      </c>
      <c r="G10" s="141" cm="1">
        <f t="array" ref="G10">_xll.FDSZ(C10,"FG_PRICE(0)")</f>
        <v>52.78</v>
      </c>
      <c r="H10" s="141" cm="1">
        <f t="array" ref="H10">_xll.FDSZ(C10,"FG_PRICE_MAVG(0,,,,30)")</f>
        <v>50.510666000000001</v>
      </c>
      <c r="I10" s="141" cm="1">
        <f t="array" ref="I10">_xll.FDSZ(C10,"FG_PRICE_MAVG(0,,,,60)")</f>
        <v>49.787334000000001</v>
      </c>
      <c r="J10" s="141" cm="1">
        <f t="array" ref="J10">_xll.FDSZ(C10,"FG_PRICE_MAVG(0,,,,200)")</f>
        <v>47.795450000000002</v>
      </c>
      <c r="L10">
        <f t="shared" si="0"/>
        <v>1</v>
      </c>
      <c r="M10">
        <f t="shared" si="1"/>
        <v>1</v>
      </c>
      <c r="N10">
        <f t="shared" si="2"/>
        <v>1</v>
      </c>
      <c r="P10">
        <f t="shared" si="3"/>
        <v>3</v>
      </c>
      <c r="R10" t="s">
        <v>843</v>
      </c>
      <c r="S10" s="7" cm="1">
        <f t="array" ref="S10">_xll.FDSZ($R10,"FG_PRICE(0)")</f>
        <v>359.43457000000001</v>
      </c>
      <c r="T10" s="7" cm="1">
        <f t="array" ref="T10">_xll.FDSZ($R10,"FG_PRICE(0)")</f>
        <v>359.43457000000001</v>
      </c>
      <c r="U10" s="7" cm="1">
        <f t="array" ref="U10">_xll.FDSZ($R10,"FG_PRICE(0)")</f>
        <v>359.43457000000001</v>
      </c>
      <c r="V10" s="7" cm="1">
        <f t="array" ref="V10">_xll.FDSZ($R10,"FG_PRICE(0)")</f>
        <v>359.43457000000001</v>
      </c>
    </row>
    <row r="11" spans="1:22" x14ac:dyDescent="0.35">
      <c r="A11" t="s">
        <v>167</v>
      </c>
      <c r="B11" t="str" cm="1">
        <f t="array" ref="B11">_xll.FDS(C11,"FG_COMPANY_NAME")</f>
        <v>iShares MSCI United Kingdom ETF</v>
      </c>
      <c r="C11" t="s">
        <v>48</v>
      </c>
      <c r="D11" t="s">
        <v>719</v>
      </c>
      <c r="E11" s="3" t="s">
        <v>48</v>
      </c>
      <c r="F11" s="9">
        <f>HLOOKUP(E11,'Monthly Returns'!$A$1:$AE$136,134,FALSE)</f>
        <v>0.877</v>
      </c>
      <c r="G11" s="141" cm="1">
        <f t="array" ref="G11">_xll.FDSZ(C11,"FG_PRICE(0)")</f>
        <v>37.57</v>
      </c>
      <c r="H11" s="141" cm="1">
        <f t="array" ref="H11">_xll.FDSZ(C11,"FG_PRICE_MAVG(0,,,,30)")</f>
        <v>36.063667000000002</v>
      </c>
      <c r="I11" s="141" cm="1">
        <f t="array" ref="I11">_xll.FDSZ(C11,"FG_PRICE_MAVG(0,,,,60)")</f>
        <v>35.736331999999997</v>
      </c>
      <c r="J11" s="141" cm="1">
        <f t="array" ref="J11">_xll.FDSZ(C11,"FG_PRICE_MAVG(0,,,,200)")</f>
        <v>34.180700000000002</v>
      </c>
      <c r="L11">
        <f t="shared" si="0"/>
        <v>1</v>
      </c>
      <c r="M11">
        <f t="shared" si="1"/>
        <v>1</v>
      </c>
      <c r="N11">
        <f t="shared" si="2"/>
        <v>1</v>
      </c>
      <c r="P11">
        <f t="shared" si="3"/>
        <v>3</v>
      </c>
      <c r="R11" t="s">
        <v>844</v>
      </c>
      <c r="S11" s="7" cm="1">
        <f t="array" ref="S11">_xll.FDSZ($R11,"FG_PRICE(0)")</f>
        <v>135.01218</v>
      </c>
      <c r="T11" s="7" cm="1">
        <f t="array" ref="T11">_xll.FDSZ($R11,"FG_PRICE(0)")</f>
        <v>135.01218</v>
      </c>
      <c r="U11" s="7" cm="1">
        <f t="array" ref="U11">_xll.FDSZ($R11,"FG_PRICE(0)")</f>
        <v>135.01218</v>
      </c>
      <c r="V11" s="7" cm="1">
        <f t="array" ref="V11">_xll.FDSZ($R11,"FG_PRICE(0)")</f>
        <v>135.01218</v>
      </c>
    </row>
    <row r="12" spans="1:22" x14ac:dyDescent="0.35">
      <c r="A12" t="s">
        <v>170</v>
      </c>
      <c r="B12" t="str" cm="1">
        <f t="array" ref="B12">_xll.FDS(C12,"FG_COMPANY_NAME")</f>
        <v>Invesco QQQ Trust Series I</v>
      </c>
      <c r="C12" t="s">
        <v>51</v>
      </c>
      <c r="D12" t="s">
        <v>720</v>
      </c>
      <c r="E12" s="3" t="s">
        <v>51</v>
      </c>
      <c r="F12" s="9">
        <f>HLOOKUP(E12,'Monthly Returns'!$A$1:$AE$136,134,FALSE)</f>
        <v>0.46700000000000003</v>
      </c>
      <c r="G12" s="141" cm="1">
        <f t="array" ref="G12">_xll.FDSZ(C12,"FG_PRICE(0)")</f>
        <v>470.66</v>
      </c>
      <c r="H12" s="141" cm="1">
        <f t="array" ref="H12">_xll.FDSZ(C12,"FG_PRICE_MAVG(0,,,,30)")</f>
        <v>465.03300000000002</v>
      </c>
      <c r="I12" s="141" cm="1">
        <f t="array" ref="I12">_xll.FDSZ(C12,"FG_PRICE_MAVG(0,,,,60)")</f>
        <v>473.74633999999998</v>
      </c>
      <c r="J12" s="141" cm="1">
        <f t="array" ref="J12">_xll.FDSZ(C12,"FG_PRICE_MAVG(0,,,,200)")</f>
        <v>439.43743999999998</v>
      </c>
      <c r="L12">
        <f t="shared" si="0"/>
        <v>1</v>
      </c>
      <c r="M12">
        <f t="shared" si="1"/>
        <v>0</v>
      </c>
      <c r="N12">
        <f t="shared" si="2"/>
        <v>1</v>
      </c>
      <c r="P12">
        <f t="shared" si="3"/>
        <v>2</v>
      </c>
      <c r="R12" t="s">
        <v>845</v>
      </c>
      <c r="S12" s="7" cm="1">
        <f t="array" ref="S12">_xll.FDSZ($R12,"FG_PRICE(0)")</f>
        <v>418.86908</v>
      </c>
      <c r="T12" s="7" cm="1">
        <f t="array" ref="T12">_xll.FDSZ($R12,"FG_PRICE(0)")</f>
        <v>418.86908</v>
      </c>
      <c r="U12" s="7" cm="1">
        <f t="array" ref="U12">_xll.FDSZ($R12,"FG_PRICE(0)")</f>
        <v>418.86908</v>
      </c>
      <c r="V12" s="7" cm="1">
        <f t="array" ref="V12">_xll.FDSZ($R12,"FG_PRICE(0)")</f>
        <v>418.86908</v>
      </c>
    </row>
    <row r="13" spans="1:22" x14ac:dyDescent="0.35">
      <c r="A13" t="s">
        <v>170</v>
      </c>
      <c r="B13" t="str" cm="1">
        <f t="array" ref="B13">_xll.FDS(C13,"FG_COMPANY_NAME")</f>
        <v>SPDR S&amp;P 500 ETF Trust</v>
      </c>
      <c r="C13" t="s">
        <v>1</v>
      </c>
      <c r="D13" t="s">
        <v>720</v>
      </c>
      <c r="E13" s="3" t="s">
        <v>1</v>
      </c>
      <c r="F13" s="9">
        <f>HLOOKUP(E13,'Monthly Returns'!$A$1:$AE$136,134,FALSE)</f>
        <v>0.59799999999999998</v>
      </c>
      <c r="G13" s="141" cm="1">
        <f t="array" ref="G13">_xll.FDSZ(C13,"FG_PRICE(0)")</f>
        <v>558.35</v>
      </c>
      <c r="H13" s="141" cm="1">
        <f t="array" ref="H13">_xll.FDSZ(C13,"FG_PRICE_MAVG(0,,,,30)")</f>
        <v>545.98429999999996</v>
      </c>
      <c r="I13" s="141" cm="1">
        <f t="array" ref="I13">_xll.FDSZ(C13,"FG_PRICE_MAVG(0,,,,60)")</f>
        <v>546.96950000000004</v>
      </c>
      <c r="J13" s="141" cm="1">
        <f t="array" ref="J13">_xll.FDSZ(C13,"FG_PRICE_MAVG(0,,,,200)")</f>
        <v>510.87225000000001</v>
      </c>
      <c r="L13">
        <f t="shared" si="0"/>
        <v>1</v>
      </c>
      <c r="M13">
        <f t="shared" si="1"/>
        <v>1</v>
      </c>
      <c r="N13">
        <f t="shared" si="2"/>
        <v>1</v>
      </c>
      <c r="P13">
        <f t="shared" si="3"/>
        <v>3</v>
      </c>
      <c r="R13" t="s">
        <v>845</v>
      </c>
      <c r="S13" s="7" cm="1">
        <f t="array" ref="S13">_xll.FDSZ($R13,"FG_PRICE(0)")</f>
        <v>418.86908</v>
      </c>
      <c r="T13" s="7" cm="1">
        <f t="array" ref="T13">_xll.FDSZ($R13,"FG_PRICE(0)")</f>
        <v>418.86908</v>
      </c>
      <c r="U13" s="7" cm="1">
        <f t="array" ref="U13">_xll.FDSZ($R13,"FG_PRICE(0)")</f>
        <v>418.86908</v>
      </c>
      <c r="V13" s="7" cm="1">
        <f t="array" ref="V13">_xll.FDSZ($R13,"FG_PRICE(0)")</f>
        <v>418.86908</v>
      </c>
    </row>
    <row r="14" spans="1:22" x14ac:dyDescent="0.35">
      <c r="A14" t="s">
        <v>869</v>
      </c>
      <c r="B14" t="str" cm="1">
        <f t="array" ref="B14">_xll.FDS(C14,"FG_COMPANY_NAME")</f>
        <v>iShares MSCI France ETF</v>
      </c>
      <c r="C14" t="s">
        <v>865</v>
      </c>
      <c r="D14" t="s">
        <v>621</v>
      </c>
      <c r="E14" t="s">
        <v>865</v>
      </c>
      <c r="F14" s="9">
        <f>HLOOKUP(E14,'Monthly Returns'!$A$1:$AE$136,134,FALSE)</f>
        <v>0.73699999999999999</v>
      </c>
      <c r="G14" s="141" cm="1">
        <f t="array" ref="G14">_xll.FDSZ(C14,"FG_PRICE(0)")</f>
        <v>39.83</v>
      </c>
      <c r="H14" s="141" cm="1">
        <f t="array" ref="H14">_xll.FDSZ(C14,"FG_PRICE_MAVG(0,,,,30)")</f>
        <v>38.518000000000001</v>
      </c>
      <c r="I14" s="141" cm="1">
        <f t="array" ref="I14">_xll.FDSZ(C14,"FG_PRICE_MAVG(0,,,,60)")</f>
        <v>38.802</v>
      </c>
      <c r="J14" s="141" cm="1">
        <f t="array" ref="J14">_xll.FDSZ(C14,"FG_PRICE_MAVG(0,,,,200)")</f>
        <v>39.426124999999999</v>
      </c>
      <c r="L14">
        <f t="shared" si="0"/>
        <v>1</v>
      </c>
      <c r="M14">
        <f t="shared" si="1"/>
        <v>1</v>
      </c>
      <c r="N14">
        <f t="shared" si="2"/>
        <v>1</v>
      </c>
      <c r="P14">
        <f t="shared" si="3"/>
        <v>3</v>
      </c>
      <c r="R14" t="s">
        <v>845</v>
      </c>
      <c r="S14" s="7" cm="1">
        <f t="array" ref="S14">_xll.FDSZ($R14,"FG_PRICE(0)")</f>
        <v>418.86908</v>
      </c>
      <c r="T14" s="7" cm="1">
        <f t="array" ref="T14">_xll.FDSZ($R14,"FG_PRICE(0)")</f>
        <v>418.86908</v>
      </c>
      <c r="U14" s="7" cm="1">
        <f t="array" ref="U14">_xll.FDSZ($R14,"FG_PRICE(0)")</f>
        <v>418.86908</v>
      </c>
      <c r="V14" s="7" cm="1">
        <f t="array" ref="V14">_xll.FDSZ($R14,"FG_PRICE(0)")</f>
        <v>418.86908</v>
      </c>
    </row>
    <row r="15" spans="1:22" x14ac:dyDescent="0.35">
      <c r="A15" t="s">
        <v>870</v>
      </c>
      <c r="B15" t="str" cm="1">
        <f t="array" ref="B15">_xll.FDS(C15,"FG_COMPANY_NAME")</f>
        <v>iShares MSCI Netherlands ETF</v>
      </c>
      <c r="C15" t="s">
        <v>867</v>
      </c>
      <c r="D15" t="s">
        <v>673</v>
      </c>
      <c r="E15" t="s">
        <v>867</v>
      </c>
      <c r="F15" s="9">
        <f>HLOOKUP(E15,'Monthly Returns'!$A$1:$AE$136,134,FALSE)</f>
        <v>0.77800000000000002</v>
      </c>
      <c r="G15" s="141" cm="1">
        <f t="array" ref="G15">_xll.FDSZ(C15,"FG_PRICE(0)")</f>
        <v>50.49</v>
      </c>
      <c r="H15" s="141" cm="1">
        <f t="array" ref="H15">_xll.FDSZ(C15,"FG_PRICE_MAVG(0,,,,30)")</f>
        <v>48.986331999999997</v>
      </c>
      <c r="I15" s="141" cm="1">
        <f t="array" ref="I15">_xll.FDSZ(C15,"FG_PRICE_MAVG(0,,,,60)")</f>
        <v>50.145000000000003</v>
      </c>
      <c r="J15" s="141" cm="1">
        <f t="array" ref="J15">_xll.FDSZ(C15,"FG_PRICE_MAVG(0,,,,200)")</f>
        <v>47.783436000000002</v>
      </c>
      <c r="L15">
        <f t="shared" si="0"/>
        <v>1</v>
      </c>
      <c r="M15">
        <f t="shared" si="1"/>
        <v>1</v>
      </c>
      <c r="N15">
        <f t="shared" si="2"/>
        <v>1</v>
      </c>
      <c r="P15">
        <f t="shared" si="3"/>
        <v>3</v>
      </c>
      <c r="R15" t="s">
        <v>845</v>
      </c>
      <c r="S15" s="7" cm="1">
        <f t="array" ref="S15">_xll.FDSZ($R15,"FG_PRICE(0)")</f>
        <v>418.86908</v>
      </c>
      <c r="T15" s="7" cm="1">
        <f t="array" ref="T15">_xll.FDSZ($R15,"FG_PRICE(0)")</f>
        <v>418.86908</v>
      </c>
      <c r="U15" s="7" cm="1">
        <f t="array" ref="U15">_xll.FDSZ($R15,"FG_PRICE(0)")</f>
        <v>418.86908</v>
      </c>
      <c r="V15" s="7" cm="1">
        <f t="array" ref="V15">_xll.FDSZ($R15,"FG_PRICE(0)")</f>
        <v>418.86908</v>
      </c>
    </row>
    <row r="16" spans="1:22" x14ac:dyDescent="0.35">
      <c r="A16" t="s">
        <v>273</v>
      </c>
      <c r="B16" t="str" cm="1">
        <f t="array" ref="B16">_xll.FDS(C16,"FG_COMPANY_NAME")</f>
        <v>iShares MSCI Sweden ETF</v>
      </c>
      <c r="C16" t="s">
        <v>864</v>
      </c>
      <c r="D16" t="s">
        <v>705</v>
      </c>
      <c r="E16" t="s">
        <v>864</v>
      </c>
      <c r="F16" s="9">
        <f>HLOOKUP(E16,'Monthly Returns'!$A$1:$AE$136,134,FALSE)</f>
        <v>0.82699999999999996</v>
      </c>
      <c r="G16" s="141" cm="1">
        <f t="array" ref="G16">_xll.FDSZ(C16,"FG_PRICE(0)")</f>
        <v>42.07</v>
      </c>
      <c r="H16" s="141" cm="1">
        <f t="array" ref="H16">_xll.FDSZ(C16,"FG_PRICE_MAVG(0,,,,30)")</f>
        <v>40.025333000000003</v>
      </c>
      <c r="I16" s="141" cm="1">
        <f t="array" ref="I16">_xll.FDSZ(C16,"FG_PRICE_MAVG(0,,,,60)")</f>
        <v>40.432667000000002</v>
      </c>
      <c r="J16" s="141" cm="1">
        <f t="array" ref="J16">_xll.FDSZ(C16,"FG_PRICE_MAVG(0,,,,200)")</f>
        <v>39.309325999999999</v>
      </c>
      <c r="L16">
        <f t="shared" si="0"/>
        <v>1</v>
      </c>
      <c r="M16">
        <f t="shared" si="1"/>
        <v>1</v>
      </c>
      <c r="N16">
        <f t="shared" si="2"/>
        <v>1</v>
      </c>
      <c r="P16">
        <f t="shared" si="3"/>
        <v>3</v>
      </c>
      <c r="R16" t="s">
        <v>845</v>
      </c>
      <c r="S16" s="7" cm="1">
        <f t="array" ref="S16">_xll.FDSZ($R16,"FG_PRICE(0)")</f>
        <v>418.86908</v>
      </c>
      <c r="T16" s="7" cm="1">
        <f t="array" ref="T16">_xll.FDSZ($R16,"FG_PRICE(0)")</f>
        <v>418.86908</v>
      </c>
      <c r="U16" s="7" cm="1">
        <f t="array" ref="U16">_xll.FDSZ($R16,"FG_PRICE(0)")</f>
        <v>418.86908</v>
      </c>
      <c r="V16" s="7" cm="1">
        <f t="array" ref="V16">_xll.FDSZ($R16,"FG_PRICE(0)")</f>
        <v>418.86908</v>
      </c>
    </row>
    <row r="17" spans="1:22" x14ac:dyDescent="0.35">
      <c r="A17" t="s">
        <v>868</v>
      </c>
      <c r="B17" t="str" cm="1">
        <f t="array" ref="B17">_xll.FDS(C17,"FG_COMPANY_NAME")</f>
        <v>iShares MSCI Italy ETF</v>
      </c>
      <c r="C17" t="s">
        <v>866</v>
      </c>
      <c r="D17" t="s">
        <v>641</v>
      </c>
      <c r="E17" t="s">
        <v>866</v>
      </c>
      <c r="F17" s="9">
        <f>HLOOKUP(E17,'Monthly Returns'!$A$1:$AE$136,134,FALSE)</f>
        <v>0.71299999999999997</v>
      </c>
      <c r="G17" s="141" cm="1">
        <f t="array" ref="G17">_xll.FDSZ(C17,"FG_PRICE(0)")</f>
        <v>38.630000000000003</v>
      </c>
      <c r="H17" s="141" cm="1">
        <f t="array" ref="H17">_xll.FDSZ(C17,"FG_PRICE_MAVG(0,,,,30)")</f>
        <v>37.022666999999998</v>
      </c>
      <c r="I17" s="141" cm="1">
        <f t="array" ref="I17">_xll.FDSZ(C17,"FG_PRICE_MAVG(0,,,,60)")</f>
        <v>36.985500000000002</v>
      </c>
      <c r="J17" s="141" cm="1">
        <f t="array" ref="J17">_xll.FDSZ(C17,"FG_PRICE_MAVG(0,,,,200)")</f>
        <v>35.890650000000001</v>
      </c>
      <c r="L17">
        <f t="shared" si="0"/>
        <v>1</v>
      </c>
      <c r="M17">
        <f t="shared" si="1"/>
        <v>1</v>
      </c>
      <c r="N17">
        <f t="shared" si="2"/>
        <v>1</v>
      </c>
      <c r="P17">
        <f t="shared" si="3"/>
        <v>3</v>
      </c>
      <c r="R17" t="s">
        <v>845</v>
      </c>
      <c r="S17" s="7" cm="1">
        <f t="array" ref="S17">_xll.FDSZ($R17,"FG_PRICE(0)")</f>
        <v>418.86908</v>
      </c>
      <c r="T17" s="7" cm="1">
        <f t="array" ref="T17">_xll.FDSZ($R17,"FG_PRICE(0)")</f>
        <v>418.86908</v>
      </c>
      <c r="U17" s="7" cm="1">
        <f t="array" ref="U17">_xll.FDSZ($R17,"FG_PRICE(0)")</f>
        <v>418.86908</v>
      </c>
      <c r="V17" s="7" cm="1">
        <f t="array" ref="V17">_xll.FDSZ($R17,"FG_PRICE(0)")</f>
        <v>418.86908</v>
      </c>
    </row>
    <row r="19" spans="1:22" x14ac:dyDescent="0.35">
      <c r="K19" s="1" t="s">
        <v>906</v>
      </c>
      <c r="L19" s="1">
        <f>SUM(L5:L17)</f>
        <v>13</v>
      </c>
      <c r="M19" s="1">
        <f t="shared" ref="M19:N19" si="4">SUM(M5:M17)</f>
        <v>12</v>
      </c>
      <c r="N19" s="1">
        <f t="shared" si="4"/>
        <v>13</v>
      </c>
    </row>
    <row r="20" spans="1:22" x14ac:dyDescent="0.35">
      <c r="K20" s="1" t="s">
        <v>86</v>
      </c>
      <c r="L20" s="1">
        <f>COUNT(L5:L17)</f>
        <v>13</v>
      </c>
      <c r="M20" s="1">
        <f t="shared" ref="M20:N20" si="5">COUNT(M5:M17)</f>
        <v>13</v>
      </c>
      <c r="N20" s="1">
        <f t="shared" si="5"/>
        <v>13</v>
      </c>
    </row>
    <row r="21" spans="1:22" x14ac:dyDescent="0.35">
      <c r="K21" s="1"/>
      <c r="L21" s="1"/>
      <c r="M21" s="1"/>
      <c r="N21" s="1"/>
    </row>
    <row r="22" spans="1:22" x14ac:dyDescent="0.35">
      <c r="K22" s="1" t="s">
        <v>88</v>
      </c>
      <c r="L22" s="182">
        <f>L19/L20</f>
        <v>1</v>
      </c>
      <c r="M22" s="182">
        <f t="shared" ref="M22:N22" si="6">M19/M20</f>
        <v>0.92307692307692313</v>
      </c>
      <c r="N22" s="182">
        <f t="shared" si="6"/>
        <v>1</v>
      </c>
    </row>
    <row r="23" spans="1:22" x14ac:dyDescent="0.35">
      <c r="A23" t="s">
        <v>865</v>
      </c>
      <c r="B23" t="s">
        <v>869</v>
      </c>
      <c r="C23" t="str" cm="1">
        <f t="array" ref="C23">_xll.FDS(A23,"FG_COMPANY_NAME")</f>
        <v>iShares MSCI France ETF</v>
      </c>
      <c r="D23" t="s">
        <v>865</v>
      </c>
    </row>
    <row r="24" spans="1:22" x14ac:dyDescent="0.35">
      <c r="A24" t="s">
        <v>867</v>
      </c>
      <c r="B24" t="s">
        <v>870</v>
      </c>
      <c r="C24" t="str" cm="1">
        <f t="array" ref="C24">_xll.FDS(A24,"FG_COMPANY_NAME")</f>
        <v>iShares MSCI Netherlands ETF</v>
      </c>
      <c r="D24" t="s">
        <v>867</v>
      </c>
    </row>
    <row r="25" spans="1:22" x14ac:dyDescent="0.35">
      <c r="A25" t="s">
        <v>864</v>
      </c>
      <c r="B25" t="s">
        <v>273</v>
      </c>
      <c r="C25" t="str" cm="1">
        <f t="array" ref="C25">_xll.FDS(A25,"FG_COMPANY_NAME")</f>
        <v>iShares MSCI Sweden ETF</v>
      </c>
      <c r="D25" t="s">
        <v>864</v>
      </c>
    </row>
    <row r="26" spans="1:22" x14ac:dyDescent="0.35">
      <c r="A26" t="s">
        <v>866</v>
      </c>
      <c r="B26" t="s">
        <v>868</v>
      </c>
      <c r="C26" t="str" cm="1">
        <f t="array" ref="C26">_xll.FDS(A26,"FG_COMPANY_NAME")</f>
        <v>iShares MSCI Italy ETF</v>
      </c>
      <c r="D26" t="s">
        <v>866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5AB5-57C2-41E5-A6C3-F039F33CB971}">
  <dimension ref="A2:T32"/>
  <sheetViews>
    <sheetView topLeftCell="H1" workbookViewId="0">
      <selection activeCell="R5" sqref="R5"/>
    </sheetView>
  </sheetViews>
  <sheetFormatPr defaultRowHeight="14.5" x14ac:dyDescent="0.35"/>
  <cols>
    <col min="1" max="2" width="17" customWidth="1"/>
    <col min="3" max="3" width="11.453125" customWidth="1"/>
    <col min="4" max="4" width="14.54296875" customWidth="1"/>
    <col min="5" max="5" width="12.54296875" customWidth="1"/>
    <col min="6" max="6" width="10" customWidth="1"/>
    <col min="7" max="7" width="15.54296875" bestFit="1" customWidth="1"/>
    <col min="8" max="8" width="11.453125" customWidth="1"/>
    <col min="9" max="9" width="19.54296875" bestFit="1" customWidth="1"/>
    <col min="10" max="10" width="15.453125" customWidth="1"/>
    <col min="16" max="16" width="22.81640625" customWidth="1"/>
    <col min="17" max="17" width="32.54296875" customWidth="1"/>
    <col min="18" max="20" width="12.453125" customWidth="1"/>
  </cols>
  <sheetData>
    <row r="2" spans="1:20" x14ac:dyDescent="0.35">
      <c r="B2" t="s">
        <v>784</v>
      </c>
      <c r="C2" t="s">
        <v>785</v>
      </c>
      <c r="D2" t="s">
        <v>786</v>
      </c>
      <c r="E2" t="s">
        <v>787</v>
      </c>
      <c r="F2" t="s">
        <v>788</v>
      </c>
      <c r="G2" t="s">
        <v>789</v>
      </c>
      <c r="H2" t="s">
        <v>790</v>
      </c>
      <c r="I2" t="s">
        <v>791</v>
      </c>
      <c r="J2" t="s">
        <v>792</v>
      </c>
      <c r="S2" t="s">
        <v>793</v>
      </c>
    </row>
    <row r="3" spans="1:20" x14ac:dyDescent="0.35">
      <c r="A3" t="s">
        <v>794</v>
      </c>
      <c r="B3" t="s">
        <v>795</v>
      </c>
      <c r="C3" cm="1">
        <f t="array" ref="C3">_xll.FDS($A3,"FG_PRICE(0)")</f>
        <v>98.63</v>
      </c>
      <c r="D3" cm="1">
        <f t="array" ref="D3">_xll.FDS($A3,"FG_PRICE_MAVG(0,,,,30)")</f>
        <v>102.117</v>
      </c>
      <c r="E3" s="47" cm="1">
        <f t="array" ref="E3">_xll.FDS($A3,"FG_PRICE_CHANGE(0,-1AM)")</f>
        <v>-7.46786752978704</v>
      </c>
      <c r="F3" s="47" cm="1">
        <f t="array" ref="F3">_xll.FDS($A3,"FG_PRICE_CHANGE(0,-3AM)")</f>
        <v>-16.230677764566</v>
      </c>
      <c r="G3" s="47" cm="1">
        <f t="array" ref="G3">_xll.FDS($A3,"FG_PRICE_CHANGE(0,-6AM)")</f>
        <v>-21.007528431843699</v>
      </c>
      <c r="H3" s="47" cm="1">
        <f t="array" ref="H3">_xll.FDS($A3,"FG_PRICE_CHANGE(0,-1AY)")</f>
        <v>-9.2222733548090297</v>
      </c>
      <c r="I3" s="47" cm="1">
        <f t="array" ref="I3">_xll.FDS($A3,"FG_PRICE(0)/MAX(FG_PRICE(0,-1AY))")</f>
        <v>0.68417036625971095</v>
      </c>
      <c r="J3" cm="1">
        <f t="array" ref="J3">_xll.FDS($A3,"MAX(FG_PRICE(0,-5AY))")</f>
        <v>219.77</v>
      </c>
      <c r="P3" t="s">
        <v>430</v>
      </c>
      <c r="Q3" t="s">
        <v>432</v>
      </c>
      <c r="R3" t="s">
        <v>430</v>
      </c>
      <c r="S3">
        <f>IF(E3&lt;$C$19, 1, IF(E3&gt;$C$20,-1,0))</f>
        <v>1</v>
      </c>
      <c r="T3">
        <f>S3</f>
        <v>1</v>
      </c>
    </row>
    <row r="4" spans="1:20" x14ac:dyDescent="0.35">
      <c r="A4" t="s">
        <v>796</v>
      </c>
      <c r="B4" t="s">
        <v>797</v>
      </c>
      <c r="C4" cm="1">
        <f t="array" ref="C4">_xll.FDS($A4,"FG_PRICE(0)")</f>
        <v>4.1475</v>
      </c>
      <c r="D4" cm="1">
        <f t="array" ref="D4">_xll.FDS($A4,"FG_PRICE_MAVG(0,,,,30)")</f>
        <v>4.1035000000000004</v>
      </c>
      <c r="E4" s="47" cm="1">
        <f t="array" ref="E4">_xll.FDS($A4,"FG_PRICE_CHANGE(0,-1AM)")</f>
        <v>2.1048744460856699</v>
      </c>
      <c r="F4" s="47" cm="1">
        <f t="array" ref="F4">_xll.FDS($A4,"FG_PRICE_CHANGE(0,-3AM)")</f>
        <v>-13.692643845593601</v>
      </c>
      <c r="G4" s="47" cm="1">
        <f t="array" ref="G4">_xll.FDS($A4,"FG_PRICE_CHANGE(0,-6AM)")</f>
        <v>8.1627330812361407</v>
      </c>
      <c r="H4" s="47" cm="1">
        <f t="array" ref="H4">_xll.FDS($A4,"FG_PRICE_CHANGE(0,-1AY)")</f>
        <v>9.3461639862905308</v>
      </c>
      <c r="I4" s="47" cm="1">
        <f t="array" ref="I4">_xll.FDS($A4,"FG_PRICE(0)/MAX(FG_PRICE(0,-1AY))")</f>
        <v>0.81021683922641097</v>
      </c>
      <c r="J4" cm="1">
        <f t="array" ref="J4">_xll.FDS($A4,"MAX(FG_PRICE(0,-5AY))")</f>
        <v>5.1189999999999998</v>
      </c>
      <c r="P4" t="s">
        <v>27</v>
      </c>
      <c r="Q4" t="s">
        <v>433</v>
      </c>
      <c r="R4" t="s">
        <v>27</v>
      </c>
      <c r="S4">
        <f>IF(E4&lt;$C$19, 1, IF(E4&gt;$C$20,-1,0))</f>
        <v>0</v>
      </c>
      <c r="T4">
        <f t="shared" ref="T4:T5" si="0">S4</f>
        <v>0</v>
      </c>
    </row>
    <row r="5" spans="1:20" x14ac:dyDescent="0.35">
      <c r="A5" t="s">
        <v>798</v>
      </c>
      <c r="B5" t="s">
        <v>457</v>
      </c>
      <c r="C5" cm="1">
        <f t="array" ref="C5">_xll.FDS($A5,"FG_PRICE(0)")</f>
        <v>85.86</v>
      </c>
      <c r="D5" cm="1">
        <f t="array" ref="D5">_xll.FDS($A5,"FG_PRICE_MAVG(0,,,,30)")</f>
        <v>85.86</v>
      </c>
      <c r="E5" s="47" cm="1">
        <f t="array" ref="E5">_xll.FDS($A5,"FG_PRICE_CHANGE(0,-1AM)")</f>
        <v>0</v>
      </c>
      <c r="F5" s="47" cm="1">
        <f t="array" ref="F5">_xll.FDS($A5,"FG_PRICE_CHANGE(0,-3AM)")</f>
        <v>0</v>
      </c>
      <c r="G5" s="47" cm="1">
        <f t="array" ref="G5">_xll.FDS($A5,"FG_PRICE_CHANGE(0,-6AM)")</f>
        <v>0</v>
      </c>
      <c r="H5" s="47" cm="1">
        <f t="array" ref="H5">_xll.FDS($A5,"FG_PRICE_CHANGE(0,-1AY)")</f>
        <v>-0.77429793135328495</v>
      </c>
      <c r="I5" s="47" cm="1">
        <f t="array" ref="I5">_xll.FDS($A5,"FG_PRICE(0)/MAX(FG_PRICE(0,-1AY))")</f>
        <v>0.87061447982153695</v>
      </c>
      <c r="J5" cm="1">
        <f t="array" ref="J5">_xll.FDS($A5,"MAX(FG_PRICE(0,-5AY))")</f>
        <v>140.85</v>
      </c>
      <c r="P5" t="s">
        <v>35</v>
      </c>
      <c r="Q5" t="s">
        <v>434</v>
      </c>
      <c r="R5" t="s">
        <v>35</v>
      </c>
      <c r="S5">
        <f>IF(E9&lt;$C$19, 1, IF(E9&gt;$C$20,-1,0))</f>
        <v>0</v>
      </c>
      <c r="T5">
        <f t="shared" si="0"/>
        <v>0</v>
      </c>
    </row>
    <row r="6" spans="1:20" x14ac:dyDescent="0.35">
      <c r="A6" t="s">
        <v>799</v>
      </c>
      <c r="B6" t="s">
        <v>800</v>
      </c>
      <c r="C6" cm="1">
        <f t="array" ref="C6">_xll.FDS($A6,"FG_PRICE(0)")</f>
        <v>5.25</v>
      </c>
      <c r="D6" cm="1">
        <f t="array" ref="D6">_xll.FDS($A6,"FG_PRICE_MAVG(0,,,,30)")</f>
        <v>5.2980833000000001</v>
      </c>
      <c r="E6" s="47" cm="1">
        <f t="array" ref="E6">_xll.FDS($A6,"FG_PRICE_CHANGE(0,-1AM)")</f>
        <v>-1.1299435028248499</v>
      </c>
      <c r="F6" s="47" cm="1">
        <f t="array" ref="F6">_xll.FDS($A6,"FG_PRICE_CHANGE(0,-3AM)")</f>
        <v>-24.2150848069289</v>
      </c>
      <c r="G6" s="47" cm="1">
        <f t="array" ref="G6">_xll.FDS($A6,"FG_PRICE_CHANGE(0,-6AM)")</f>
        <v>-9.0909090909090899</v>
      </c>
      <c r="H6" s="47" cm="1">
        <f t="array" ref="H6">_xll.FDS($A6,"FG_PRICE_CHANGE(0,-1AY)")</f>
        <v>-7.8543220710838098</v>
      </c>
      <c r="I6" s="47" cm="1">
        <f t="array" ref="I6">_xll.FDS($A6,"FG_PRICE(0)/MAX(FG_PRICE(0,-1AY))")</f>
        <v>0.74973223848625503</v>
      </c>
      <c r="J6" cm="1">
        <f t="array" ref="J6">_xll.FDS($A6,"MAX(FG_PRICE(0,-5AY))")</f>
        <v>14.2525</v>
      </c>
      <c r="P6" t="s">
        <v>30</v>
      </c>
      <c r="Q6" t="s">
        <v>435</v>
      </c>
      <c r="R6" t="s">
        <v>30</v>
      </c>
    </row>
    <row r="7" spans="1:20" x14ac:dyDescent="0.35">
      <c r="A7" t="s">
        <v>801</v>
      </c>
      <c r="B7" t="s">
        <v>802</v>
      </c>
      <c r="C7" cm="1">
        <f t="array" ref="C7">_xll.FDS($A7,"FG_PRICE(0)")</f>
        <v>4047</v>
      </c>
      <c r="D7" cm="1">
        <f t="array" ref="D7">_xll.FDS($A7,"FG_PRICE_MAVG(0,,,,30)")</f>
        <v>3946.8332999999998</v>
      </c>
      <c r="E7" s="47" cm="1">
        <f t="array" ref="E7">_xll.FDS($A7,"FG_PRICE_CHANGE(0,-1AM)")</f>
        <v>0.64660532205917898</v>
      </c>
      <c r="F7" s="47" cm="1">
        <f t="array" ref="F7">_xll.FDS($A7,"FG_PRICE_CHANGE(0,-3AM)")</f>
        <v>0.471698113207553</v>
      </c>
      <c r="G7" s="47" cm="1">
        <f t="array" ref="G7">_xll.FDS($A7,"FG_PRICE_CHANGE(0,-6AM)")</f>
        <v>0.54658385093166995</v>
      </c>
      <c r="H7" s="47" cm="1">
        <f t="array" ref="H7">_xll.FDS($A7,"FG_PRICE_CHANGE(0,-1AY)")</f>
        <v>6.4719810576164196</v>
      </c>
      <c r="I7" s="47" cm="1">
        <f t="array" ref="I7">_xll.FDS($A7,"FG_PRICE(0)/MAX(FG_PRICE(0,-1AY))")</f>
        <v>0.88381742738589197</v>
      </c>
      <c r="J7" cm="1">
        <f t="array" ref="J7">_xll.FDS($A7,"MAX(FG_PRICE(0,-5AY))")</f>
        <v>8163</v>
      </c>
      <c r="P7" t="s">
        <v>23</v>
      </c>
      <c r="Q7" t="s">
        <v>436</v>
      </c>
      <c r="R7" t="s">
        <v>23</v>
      </c>
    </row>
    <row r="8" spans="1:20" x14ac:dyDescent="0.35">
      <c r="A8" t="s">
        <v>803</v>
      </c>
      <c r="B8" t="s">
        <v>804</v>
      </c>
      <c r="C8" cm="1">
        <f t="array" ref="C8">_xll.FDS($A8,"FG_PRICE(0)")</f>
        <v>945</v>
      </c>
      <c r="D8" cm="1">
        <f t="array" ref="D8">_xll.FDS($A8,"FG_PRICE_MAVG(0,,,,30)")</f>
        <v>952.03330000000005</v>
      </c>
      <c r="E8" s="47" cm="1">
        <f t="array" ref="E8">_xll.FDS($A8,"FG_PRICE_CHANGE(0,-1AM)")</f>
        <v>0</v>
      </c>
      <c r="F8" s="47" cm="1">
        <f t="array" ref="F8">_xll.FDS($A8,"FG_PRICE_CHANGE(0,-3AM)")</f>
        <v>-9.3090211132437695</v>
      </c>
      <c r="G8" s="47" cm="1">
        <f t="array" ref="G8">_xll.FDS($A8,"FG_PRICE_CHANGE(0,-6AM)")</f>
        <v>5.5865921787709496</v>
      </c>
      <c r="H8" s="47" cm="1">
        <f t="array" ref="H8">_xll.FDS($A8,"FG_PRICE_CHANGE(0,-1AY)")</f>
        <v>-4.0609137055837596</v>
      </c>
      <c r="I8" s="47" cm="1">
        <f t="array" ref="I8">_xll.FDS($A8,"FG_PRICE(0)/MAX(FG_PRICE(0,-1AY))")</f>
        <v>0.88400374181478003</v>
      </c>
      <c r="J8" cm="1">
        <f t="array" ref="J8">_xll.FDS($A8,"MAX(FG_PRICE(0,-5AY))")</f>
        <v>1272.5899999999999</v>
      </c>
      <c r="P8" t="s">
        <v>29</v>
      </c>
      <c r="Q8" t="s">
        <v>437</v>
      </c>
      <c r="R8" t="s">
        <v>29</v>
      </c>
    </row>
    <row r="9" spans="1:20" x14ac:dyDescent="0.35">
      <c r="A9" t="s">
        <v>805</v>
      </c>
      <c r="B9" t="s">
        <v>806</v>
      </c>
      <c r="C9" cm="1">
        <f t="array" ref="C9">_xll.FDS($A9,"FG_PRICE(0)")</f>
        <v>16735</v>
      </c>
      <c r="D9" cm="1">
        <f t="array" ref="D9">_xll.FDS($A9,"FG_PRICE_MAVG(0,,,,30)")</f>
        <v>16092.166999999999</v>
      </c>
      <c r="E9" s="47" cm="1">
        <f t="array" ref="E9">_xll.FDS($A9,"FG_PRICE_CHANGE(0,-1AM)")</f>
        <v>7.3788899582932297</v>
      </c>
      <c r="F9" s="47" cm="1">
        <f t="array" ref="F9">_xll.FDS($A9,"FG_PRICE_CHANGE(0,-3AM)")</f>
        <v>-17.3784250802271</v>
      </c>
      <c r="G9" s="47" cm="1">
        <f t="array" ref="G9">_xll.FDS($A9,"FG_PRICE_CHANGE(0,-6AM)")</f>
        <v>-4.0149125322626897</v>
      </c>
      <c r="H9" s="47" cm="1">
        <f t="array" ref="H9">_xll.FDS($A9,"FG_PRICE_CHANGE(0,-1AY)")</f>
        <v>-17.784328174895599</v>
      </c>
      <c r="I9" s="47" cm="1">
        <f t="array" ref="I9">_xll.FDS($A9,"FG_PRICE(0)/MAX(FG_PRICE(0,-1AY))")</f>
        <v>0.78660399529964697</v>
      </c>
      <c r="J9" cm="1">
        <f t="array" ref="J9">_xll.FDS($A9,"MAX(FG_PRICE(0,-5AY))")</f>
        <v>48241</v>
      </c>
      <c r="P9" t="s">
        <v>33</v>
      </c>
      <c r="Q9" t="s">
        <v>438</v>
      </c>
      <c r="R9" t="s">
        <v>33</v>
      </c>
      <c r="S9">
        <f>IF(E7&lt;$C$19, 1, IF(E7&gt;$C$20,-1,0))</f>
        <v>0</v>
      </c>
      <c r="T9">
        <f t="shared" ref="T9" si="1">S9</f>
        <v>0</v>
      </c>
    </row>
    <row r="10" spans="1:20" x14ac:dyDescent="0.35">
      <c r="A10" t="s">
        <v>807</v>
      </c>
      <c r="B10" t="s">
        <v>808</v>
      </c>
      <c r="C10" cm="1">
        <f t="array" ref="C10">_xll.FDS($A10,"FG_PRICE(0)")</f>
        <v>965</v>
      </c>
      <c r="D10" cm="1">
        <f t="array" ref="D10">_xll.FDS($A10,"FG_PRICE_MAVG(0,,,,30)")</f>
        <v>937</v>
      </c>
      <c r="E10" s="47" cm="1">
        <f t="array" ref="E10">_xll.FDS($A10,"FG_PRICE_CHANGE(0,-1AM)")</f>
        <v>4.3243243243243201</v>
      </c>
      <c r="F10" s="47" cm="1">
        <f t="array" ref="F10">_xll.FDS($A10,"FG_PRICE_CHANGE(0,-3AM)")</f>
        <v>-0.20682523267838701</v>
      </c>
      <c r="G10" s="47" cm="1">
        <f t="array" ref="G10">_xll.FDS($A10,"FG_PRICE_CHANGE(0,-6AM)")</f>
        <v>0</v>
      </c>
      <c r="H10" s="47" cm="1">
        <f t="array" ref="H10">_xll.FDS($A10,"FG_PRICE_CHANGE(0,-1AY)")</f>
        <v>-22.177419354838701</v>
      </c>
      <c r="I10" s="47" cm="1">
        <f t="array" ref="I10">_xll.FDS($A10,"FG_PRICE(0)/MAX(FG_PRICE(0,-1AY))")</f>
        <v>0.73946360153256696</v>
      </c>
      <c r="J10" cm="1">
        <f t="array" ref="J10">_xll.FDS($A10,"MAX(FG_PRICE(0,-5AY))")</f>
        <v>3158.12</v>
      </c>
      <c r="P10" t="s">
        <v>24</v>
      </c>
      <c r="Q10" t="s">
        <v>40</v>
      </c>
      <c r="R10" t="s">
        <v>24</v>
      </c>
    </row>
    <row r="11" spans="1:20" x14ac:dyDescent="0.35">
      <c r="A11" t="s">
        <v>809</v>
      </c>
      <c r="C11" cm="1">
        <f t="array" ref="C11">_xll.FDS($A11,"FG_PRICE(0)")</f>
        <v>557.20000000000005</v>
      </c>
      <c r="D11" cm="1">
        <f t="array" ref="D11">_xll.FDS($A11,"FG_PRICE_MAVG(0,,,,30)")</f>
        <v>524.77670000000001</v>
      </c>
      <c r="E11" s="47" cm="1">
        <f t="array" ref="E11">_xll.FDS($A11,"FG_PRICE_CHANGE(0,-1AM)")</f>
        <v>3.8196385317682102</v>
      </c>
      <c r="F11" s="47" cm="1">
        <f t="array" ref="F11">_xll.FDS($A11,"FG_PRICE_CHANGE(0,-3AM)")</f>
        <v>2.5395656974604601</v>
      </c>
      <c r="G11" s="47" cm="1">
        <f t="array" ref="G11">_xll.FDS($A11,"FG_PRICE_CHANGE(0,-6AM)")</f>
        <v>-9.4131035603966708</v>
      </c>
      <c r="H11" s="47" cm="1">
        <f t="array" ref="H11">_xll.FDS($A11,"FG_PRICE_CHANGE(0,-1AY)")</f>
        <v>-23.134225410401399</v>
      </c>
      <c r="I11" s="47" cm="1">
        <f t="array" ref="I11">_xll.FDS($A11,"FG_PRICE(0)/MAX(FG_PRICE(0,-1AY))")</f>
        <v>0.72989258580036698</v>
      </c>
      <c r="J11" cm="1">
        <f t="array" ref="J11">_xll.FDS($A11,"MAX(FG_PRICE(0,-5AY))")</f>
        <v>763.4</v>
      </c>
      <c r="P11" t="s">
        <v>7</v>
      </c>
      <c r="Q11" t="s">
        <v>53</v>
      </c>
      <c r="R11" t="s">
        <v>7</v>
      </c>
    </row>
    <row r="12" spans="1:20" x14ac:dyDescent="0.35">
      <c r="A12" t="s">
        <v>810</v>
      </c>
      <c r="B12" t="s">
        <v>811</v>
      </c>
      <c r="C12" cm="1">
        <f t="array" ref="C12">_xll.FDS($A12,"FG_PRICE(0)")</f>
        <v>0.89</v>
      </c>
      <c r="D12" cm="1">
        <f t="array" ref="D12">_xll.FDS($A12,"FG_PRICE_MAVG(0,,,,30)")</f>
        <v>0.89803849999999996</v>
      </c>
      <c r="E12" s="47" cm="1">
        <f t="array" ref="E12">_xll.FDS($A12,"FG_PRICE_CHANGE(0,-1AM)")</f>
        <v>-2.34646093150723</v>
      </c>
      <c r="F12" s="47" cm="1">
        <f t="array" ref="F12">_xll.FDS($A12,"FG_PRICE_CHANGE(0,-3AM)")</f>
        <v>-7.4640207115900203</v>
      </c>
      <c r="G12" s="47" cm="1">
        <f t="array" ref="G12">_xll.FDS($A12,"FG_PRICE_CHANGE(0,-6AM)")</f>
        <v>-8.1659118798887693</v>
      </c>
      <c r="H12" s="47" cm="1">
        <f t="array" ref="H12">_xll.FDS($A12,"FG_PRICE_CHANGE(0,-1AY)")</f>
        <v>-6.8065657182821102</v>
      </c>
      <c r="I12" s="47" cm="1">
        <f t="array" ref="I12">_xll.FDS($A12,"FG_PRICE(0)/MAX(FG_PRICE(0,-1AY))")</f>
        <v>0.85576923076923095</v>
      </c>
      <c r="J12" cm="1">
        <f t="array" ref="J12">_xll.FDS($A12,"MAX(FG_PRICE(0,-5AY))")</f>
        <v>3.3053631999999999</v>
      </c>
      <c r="P12" t="s">
        <v>21</v>
      </c>
      <c r="Q12" t="s">
        <v>38</v>
      </c>
      <c r="R12" t="s">
        <v>21</v>
      </c>
    </row>
    <row r="13" spans="1:20" x14ac:dyDescent="0.35">
      <c r="P13" t="s">
        <v>12</v>
      </c>
      <c r="Q13" t="s">
        <v>54</v>
      </c>
      <c r="R13" t="s">
        <v>12</v>
      </c>
      <c r="S13">
        <f>IF(E3&lt;$C$19, 1, IF(E3&gt;$C$20,-1,0))</f>
        <v>1</v>
      </c>
      <c r="T13">
        <f t="shared" ref="T13:T23" si="2">S13</f>
        <v>1</v>
      </c>
    </row>
    <row r="14" spans="1:20" x14ac:dyDescent="0.35">
      <c r="P14" t="s">
        <v>22</v>
      </c>
      <c r="Q14" t="s">
        <v>439</v>
      </c>
      <c r="R14" t="s">
        <v>22</v>
      </c>
    </row>
    <row r="15" spans="1:20" x14ac:dyDescent="0.35">
      <c r="P15" t="s">
        <v>28</v>
      </c>
      <c r="Q15" t="s">
        <v>440</v>
      </c>
      <c r="R15" t="s">
        <v>28</v>
      </c>
    </row>
    <row r="16" spans="1:20" x14ac:dyDescent="0.35">
      <c r="P16" t="s">
        <v>32</v>
      </c>
      <c r="Q16" t="s">
        <v>52</v>
      </c>
      <c r="R16" t="s">
        <v>32</v>
      </c>
      <c r="S16" s="1">
        <f>IF(E5&lt;$C$19, 1, IF(E5&gt;$C$20,-1,0))</f>
        <v>0</v>
      </c>
      <c r="T16">
        <f t="shared" si="2"/>
        <v>0</v>
      </c>
    </row>
    <row r="17" spans="2:20" x14ac:dyDescent="0.35">
      <c r="P17" t="s">
        <v>26</v>
      </c>
      <c r="Q17" t="s">
        <v>41</v>
      </c>
      <c r="R17" t="s">
        <v>26</v>
      </c>
    </row>
    <row r="18" spans="2:20" x14ac:dyDescent="0.35">
      <c r="P18" t="s">
        <v>31</v>
      </c>
      <c r="Q18" t="s">
        <v>441</v>
      </c>
      <c r="R18" t="s">
        <v>31</v>
      </c>
    </row>
    <row r="19" spans="2:20" x14ac:dyDescent="0.35">
      <c r="B19" t="s">
        <v>813</v>
      </c>
      <c r="C19" s="53">
        <v>-5</v>
      </c>
      <c r="P19" s="1" t="s">
        <v>744</v>
      </c>
      <c r="Q19" s="1" t="s">
        <v>745</v>
      </c>
      <c r="R19" s="1" t="s">
        <v>744</v>
      </c>
    </row>
    <row r="20" spans="2:20" x14ac:dyDescent="0.35">
      <c r="B20" t="s">
        <v>814</v>
      </c>
      <c r="C20" s="53">
        <v>10</v>
      </c>
      <c r="P20" t="s">
        <v>25</v>
      </c>
      <c r="Q20" t="s">
        <v>442</v>
      </c>
      <c r="R20" t="s">
        <v>25</v>
      </c>
    </row>
    <row r="21" spans="2:20" x14ac:dyDescent="0.35">
      <c r="P21" t="s">
        <v>34</v>
      </c>
      <c r="Q21" t="s">
        <v>443</v>
      </c>
      <c r="R21" t="s">
        <v>34</v>
      </c>
      <c r="S21" s="1"/>
    </row>
    <row r="22" spans="2:20" x14ac:dyDescent="0.35">
      <c r="P22" t="s">
        <v>37</v>
      </c>
      <c r="Q22" t="s">
        <v>444</v>
      </c>
      <c r="R22" t="s">
        <v>37</v>
      </c>
    </row>
    <row r="23" spans="2:20" x14ac:dyDescent="0.35">
      <c r="P23" t="s">
        <v>36</v>
      </c>
      <c r="Q23" t="s">
        <v>445</v>
      </c>
      <c r="R23" t="s">
        <v>36</v>
      </c>
      <c r="S23" s="1">
        <f>IF(E5&lt;$C$19, -1, IF(E12&gt;$C$20,1,0))</f>
        <v>0</v>
      </c>
      <c r="T23">
        <f t="shared" si="2"/>
        <v>0</v>
      </c>
    </row>
    <row r="24" spans="2:20" x14ac:dyDescent="0.35">
      <c r="P24" t="s">
        <v>431</v>
      </c>
      <c r="Q24" t="s">
        <v>446</v>
      </c>
      <c r="R24" t="s">
        <v>431</v>
      </c>
    </row>
    <row r="25" spans="2:20" x14ac:dyDescent="0.35">
      <c r="P25" t="s">
        <v>44</v>
      </c>
      <c r="Q25" t="s">
        <v>45</v>
      </c>
      <c r="R25" t="s">
        <v>44</v>
      </c>
    </row>
    <row r="26" spans="2:20" x14ac:dyDescent="0.35">
      <c r="P26" t="s">
        <v>49</v>
      </c>
      <c r="Q26" t="s">
        <v>50</v>
      </c>
      <c r="R26" t="s">
        <v>49</v>
      </c>
    </row>
    <row r="27" spans="2:20" x14ac:dyDescent="0.35">
      <c r="P27" t="s">
        <v>11</v>
      </c>
      <c r="Q27" t="s">
        <v>39</v>
      </c>
      <c r="R27" t="s">
        <v>11</v>
      </c>
    </row>
    <row r="28" spans="2:20" x14ac:dyDescent="0.35">
      <c r="P28" t="s">
        <v>46</v>
      </c>
      <c r="Q28" t="s">
        <v>47</v>
      </c>
      <c r="R28" t="s">
        <v>46</v>
      </c>
    </row>
    <row r="29" spans="2:20" x14ac:dyDescent="0.35">
      <c r="P29" t="s">
        <v>42</v>
      </c>
      <c r="Q29" t="s">
        <v>43</v>
      </c>
      <c r="R29" t="s">
        <v>42</v>
      </c>
    </row>
    <row r="30" spans="2:20" x14ac:dyDescent="0.35">
      <c r="P30" t="s">
        <v>48</v>
      </c>
      <c r="Q30" t="s">
        <v>447</v>
      </c>
      <c r="R30" t="s">
        <v>48</v>
      </c>
    </row>
    <row r="31" spans="2:20" x14ac:dyDescent="0.35">
      <c r="P31" t="s">
        <v>51</v>
      </c>
      <c r="Q31" t="s">
        <v>448</v>
      </c>
      <c r="R31" t="s">
        <v>51</v>
      </c>
    </row>
    <row r="32" spans="2:20" x14ac:dyDescent="0.35">
      <c r="P32" t="s">
        <v>1</v>
      </c>
      <c r="Q32" t="s">
        <v>1</v>
      </c>
      <c r="R32" t="s">
        <v>1</v>
      </c>
    </row>
  </sheetData>
  <conditionalFormatting sqref="T3:T32">
    <cfRule type="iconSet" priority="1">
      <iconSet iconSet="3Arrows" showValue="0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8EF2-E064-42F1-B93C-9765F64DD753}">
  <dimension ref="A1:Y127"/>
  <sheetViews>
    <sheetView topLeftCell="A121" workbookViewId="0">
      <selection activeCell="N127" sqref="N127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_xll.FDS(B1,"JULIAN(FMA_DIV_YLD(LTMA,-10AY,0,AM,""PORTAGG"",""MEANR"").dates)")</f>
        <v>41880</v>
      </c>
      <c r="B2" s="3" cm="1">
        <f t="array" ref="B2:B122">_xll.FDS(B1,"FMA_PE(LTMA,-10AY,0,AM,""PORTAGG"",""MEANR"")")</f>
        <v>18.0499421595283</v>
      </c>
      <c r="C2" s="3" cm="1">
        <f t="array" ref="C2:C122">_xll.FDS(C1,"FMA_PE(LTMA,-10AY,0,AM,""PORTAGG"",""MEANR"")")</f>
        <v>15.4733873600374</v>
      </c>
      <c r="D2" s="3" cm="1">
        <f t="array" ref="D2:D122">_xll.FDS(D1,"FMA_PE(LTMA,-10AY,0,AM,""PORTAGG"",""MEANR"")")</f>
        <v>16.489660025273199</v>
      </c>
      <c r="E2" s="3" cm="1">
        <f t="array" ref="E2:E122">_xll.FDS(E1,"FMA_PE(LTMA,-10AY,0,AM,""PORTAGG"",""MEANR"")")</f>
        <v>14.1541128765517</v>
      </c>
      <c r="F2" s="3" cm="1">
        <f t="array" ref="F2:F122">_xll.FDS(F1,"FMA_PE(LTMA,-10AY,0,AM,""PORTAGG"",""MEANR"")")</f>
        <v>15.014920188009199</v>
      </c>
      <c r="G2" s="3" cm="1">
        <f t="array" ref="G2:G122">_xll.FDS(G1,"FMA_PE(LTMA,-10AY,0,AM,""PORTAGG"",""MEANR"")")</f>
        <v>17.353992857281298</v>
      </c>
      <c r="H2" s="3" cm="1">
        <f t="array" ref="H2:H122">_xll.FDS(H1,"FMA_PE(LTMA,-10AY,0,AM,""PORTAGG"",""MEANR"")")</f>
        <v>14.292592514971901</v>
      </c>
      <c r="I2" s="3" cm="1">
        <f t="array" ref="I2:I122">_xll.FDS(I1,"FMA_PE(LTMA,-10AY,0,AM,""PORTAGG"",""MEANR"")")</f>
        <v>19.4608535100563</v>
      </c>
      <c r="J2" s="3" cm="1">
        <f t="array" ref="J2:J122">_xll.FDS(J1,"FMA_PE(LTMA,-10AY,0,AM,""PORTAGG"",""MEANR"")")</f>
        <v>16.5165946550167</v>
      </c>
      <c r="K2" s="3" cm="1">
        <f t="array" ref="K2:K122">_xll.FDS(K1,"FMA_PE(LTMA,-10AY,0,AM,""PORTAGG"",""MEANR"")")</f>
        <v>15.425521995630101</v>
      </c>
      <c r="L2" s="3" cm="1">
        <f t="array" ref="L2:L122">_xll.FDS(L1,"FMA_PE(LTMA,-10AY,0,AM,""PORTAGG"",""MEANR"")")</f>
        <v>16.624717302080001</v>
      </c>
      <c r="M2" s="3" cm="1">
        <f t="array" ref="M2:M122">_xll.FDS(M1,"FMA_PE(LTMA,-10AY,0,AM,""PORTAGG"",""MEANR"")")</f>
        <v>15.8372840366843</v>
      </c>
      <c r="N2" s="3" cm="1">
        <f t="array" ref="N2:N122">_xll.FDS(N1,"FMA_PE(LTMA,-10AY,0,AM,""PORTAGG"",""MEANR"")")</f>
        <v>17.567520702868599</v>
      </c>
    </row>
    <row r="3" spans="1:14" x14ac:dyDescent="0.35">
      <c r="A3" s="2">
        <v>41911</v>
      </c>
      <c r="B3" s="3">
        <v>17.912671436218901</v>
      </c>
      <c r="C3" s="3">
        <v>14.596130124101499</v>
      </c>
      <c r="D3" s="3">
        <v>15.924991418636001</v>
      </c>
      <c r="E3" s="3">
        <v>13.979919303968799</v>
      </c>
      <c r="F3" s="3">
        <v>15.566943702358</v>
      </c>
      <c r="G3" s="3">
        <v>17.2390486678371</v>
      </c>
      <c r="H3" s="3">
        <v>13.9671725591053</v>
      </c>
      <c r="I3" s="3">
        <v>19.304581671206201</v>
      </c>
      <c r="J3" s="3">
        <v>16.409612885015498</v>
      </c>
      <c r="K3" s="3">
        <v>15.267629080232201</v>
      </c>
      <c r="L3" s="3">
        <v>16.718368940529899</v>
      </c>
      <c r="M3" s="3">
        <v>15.9691624183514</v>
      </c>
      <c r="N3" s="3">
        <v>17.7168681134793</v>
      </c>
    </row>
    <row r="4" spans="1:14" x14ac:dyDescent="0.35">
      <c r="A4" s="2">
        <v>41941</v>
      </c>
      <c r="B4" s="3">
        <v>18.3045959452555</v>
      </c>
      <c r="C4" s="3">
        <v>15.214121991231099</v>
      </c>
      <c r="D4" s="3">
        <v>15.6194617362458</v>
      </c>
      <c r="E4" s="3">
        <v>13.5688544660239</v>
      </c>
      <c r="F4" s="3">
        <v>14.749047096751999</v>
      </c>
      <c r="G4" s="3">
        <v>17.1092423619627</v>
      </c>
      <c r="H4" s="3">
        <v>13.7097858501141</v>
      </c>
      <c r="I4" s="3">
        <v>19.414971027018002</v>
      </c>
      <c r="J4" s="3">
        <v>16.496916149449401</v>
      </c>
      <c r="K4" s="3">
        <v>14.647844579112601</v>
      </c>
      <c r="L4" s="3">
        <v>16.163210675590602</v>
      </c>
      <c r="M4" s="3">
        <v>16.100092534517501</v>
      </c>
      <c r="N4" s="3">
        <v>16.806588900706998</v>
      </c>
    </row>
    <row r="5" spans="1:14" x14ac:dyDescent="0.35">
      <c r="A5" s="2">
        <v>41971</v>
      </c>
      <c r="B5" s="3">
        <v>18.477094103880201</v>
      </c>
      <c r="C5" s="3">
        <v>14.615939965479599</v>
      </c>
      <c r="D5" s="3">
        <v>15.7189486163917</v>
      </c>
      <c r="E5" s="3">
        <v>14.504061143369499</v>
      </c>
      <c r="F5" s="3">
        <v>15.858901001157699</v>
      </c>
      <c r="G5" s="3">
        <v>17.862116831129999</v>
      </c>
      <c r="H5" s="3">
        <v>14.0070217222602</v>
      </c>
      <c r="I5" s="3">
        <v>20.533290580680401</v>
      </c>
      <c r="J5" s="3">
        <v>17.1148636188273</v>
      </c>
      <c r="K5" s="3">
        <v>15.4478417961018</v>
      </c>
      <c r="L5" s="3">
        <v>18.026546406532599</v>
      </c>
      <c r="M5" s="3">
        <v>17.320846920387702</v>
      </c>
      <c r="N5" s="3">
        <v>18.1616559059125</v>
      </c>
    </row>
    <row r="6" spans="1:14" x14ac:dyDescent="0.35">
      <c r="A6" s="2">
        <v>42002</v>
      </c>
      <c r="B6" s="3">
        <v>19.251794483008599</v>
      </c>
      <c r="C6" s="3">
        <v>14.7635267168464</v>
      </c>
      <c r="D6" s="3">
        <v>15.6551400912254</v>
      </c>
      <c r="E6" s="3">
        <v>14.4725752664206</v>
      </c>
      <c r="F6" s="3">
        <v>16.144701161081301</v>
      </c>
      <c r="G6" s="3">
        <v>17.3711032964226</v>
      </c>
      <c r="H6" s="3">
        <v>13.900961552256399</v>
      </c>
      <c r="I6" s="3">
        <v>20.474890483584598</v>
      </c>
      <c r="J6" s="3">
        <v>17.5468381992888</v>
      </c>
      <c r="K6" s="3">
        <v>15.183374624297899</v>
      </c>
      <c r="L6" s="3">
        <v>17.6890531447334</v>
      </c>
      <c r="M6" s="3">
        <v>17.7434912110587</v>
      </c>
      <c r="N6" s="3">
        <v>18.363386591743701</v>
      </c>
    </row>
    <row r="7" spans="1:14" x14ac:dyDescent="0.35">
      <c r="A7" s="2">
        <v>42033</v>
      </c>
      <c r="B7" s="3">
        <v>19.9099548347242</v>
      </c>
      <c r="C7" s="3">
        <v>15.1357973539842</v>
      </c>
      <c r="D7" s="3">
        <v>15.7348971903101</v>
      </c>
      <c r="E7" s="3">
        <v>15.5170900420646</v>
      </c>
      <c r="F7" s="3">
        <v>15.520186878619199</v>
      </c>
      <c r="G7" s="3">
        <v>16.7440319208932</v>
      </c>
      <c r="H7" s="3">
        <v>14.3085531006864</v>
      </c>
      <c r="I7" s="3">
        <v>19.596015308297801</v>
      </c>
      <c r="J7" s="3">
        <v>16.953768592253201</v>
      </c>
      <c r="K7" s="3">
        <v>16.258539953097301</v>
      </c>
      <c r="L7" s="3">
        <v>18.8459227112881</v>
      </c>
      <c r="M7" s="3">
        <v>18.6644946609124</v>
      </c>
      <c r="N7" s="3">
        <v>23.657428717126599</v>
      </c>
    </row>
    <row r="8" spans="1:14" x14ac:dyDescent="0.35">
      <c r="A8" s="2">
        <v>42062</v>
      </c>
      <c r="B8" s="3">
        <v>20.533732203332399</v>
      </c>
      <c r="C8" s="3">
        <v>16.215341310102101</v>
      </c>
      <c r="D8" s="3">
        <v>17.032916962246901</v>
      </c>
      <c r="E8" s="3">
        <v>16.487684505982099</v>
      </c>
      <c r="F8" s="3">
        <v>16.932120306701499</v>
      </c>
      <c r="G8" s="3">
        <v>17.992704968647601</v>
      </c>
      <c r="H8" s="3">
        <v>15.183116674161599</v>
      </c>
      <c r="I8" s="3">
        <v>20.792752309655299</v>
      </c>
      <c r="J8" s="3">
        <v>17.591037300020002</v>
      </c>
      <c r="K8" s="3">
        <v>17.559098843139299</v>
      </c>
      <c r="L8" s="3">
        <v>20.1223054586507</v>
      </c>
      <c r="M8" s="3">
        <v>20.302825439712102</v>
      </c>
      <c r="N8" s="3">
        <v>45.366068148585697</v>
      </c>
    </row>
    <row r="9" spans="1:14" x14ac:dyDescent="0.35">
      <c r="A9" s="2">
        <v>42090</v>
      </c>
      <c r="B9" s="3">
        <v>20.200670756020902</v>
      </c>
      <c r="C9" s="3">
        <v>16.270496002211601</v>
      </c>
      <c r="D9" s="3">
        <v>17.0235714352198</v>
      </c>
      <c r="E9" s="3">
        <v>16.507154637431501</v>
      </c>
      <c r="F9" s="3">
        <v>16.872566343318599</v>
      </c>
      <c r="G9" s="3">
        <v>18.005705759152399</v>
      </c>
      <c r="H9" s="3">
        <v>15.2523439769646</v>
      </c>
      <c r="I9" s="3">
        <v>20.4998593963006</v>
      </c>
      <c r="J9" s="3">
        <v>17.494488374599001</v>
      </c>
      <c r="K9" s="3">
        <v>17.539941174134299</v>
      </c>
      <c r="L9" s="3">
        <v>19.9157582397055</v>
      </c>
      <c r="M9" s="3">
        <v>19.9884372154015</v>
      </c>
      <c r="N9" s="3">
        <v>42.768775951939404</v>
      </c>
    </row>
    <row r="10" spans="1:14" x14ac:dyDescent="0.35">
      <c r="A10" s="2">
        <v>42123</v>
      </c>
      <c r="B10" s="3">
        <v>20.0268930910607</v>
      </c>
      <c r="C10" s="3">
        <v>16.376981166907299</v>
      </c>
      <c r="D10" s="3">
        <v>17.3451494840462</v>
      </c>
      <c r="E10" s="3">
        <v>16.207147114833599</v>
      </c>
      <c r="F10" s="3">
        <v>17.001736418192301</v>
      </c>
      <c r="G10" s="3">
        <v>18.109915878079399</v>
      </c>
      <c r="H10" s="3">
        <v>15.5935806366388</v>
      </c>
      <c r="I10" s="3">
        <v>20.456105678473399</v>
      </c>
      <c r="J10" s="3">
        <v>17.5680610301991</v>
      </c>
      <c r="K10" s="3">
        <v>17.448438291307198</v>
      </c>
      <c r="L10" s="3">
        <v>19.653602084926298</v>
      </c>
      <c r="M10" s="3">
        <v>19.317489061257199</v>
      </c>
      <c r="N10" s="3">
        <v>39.706010818241701</v>
      </c>
    </row>
    <row r="11" spans="1:14" x14ac:dyDescent="0.35">
      <c r="A11" s="2">
        <v>42153</v>
      </c>
      <c r="B11" s="3">
        <v>20.057647776440302</v>
      </c>
      <c r="C11" s="3">
        <v>16.2684044607572</v>
      </c>
      <c r="D11" s="3">
        <v>17.1912616787092</v>
      </c>
      <c r="E11" s="3">
        <v>15.9189706267038</v>
      </c>
      <c r="F11" s="3">
        <v>17.2168527003656</v>
      </c>
      <c r="G11" s="3">
        <v>18.0693604212683</v>
      </c>
      <c r="H11" s="3">
        <v>15.731722719819</v>
      </c>
      <c r="I11" s="3">
        <v>20.2708026242024</v>
      </c>
      <c r="J11" s="3">
        <v>17.514741998297499</v>
      </c>
      <c r="K11" s="3">
        <v>17.392551771849298</v>
      </c>
      <c r="L11" s="3">
        <v>19.479738369481701</v>
      </c>
      <c r="M11" s="3">
        <v>19.314344601660601</v>
      </c>
      <c r="N11" s="3">
        <v>37.035601665255903</v>
      </c>
    </row>
    <row r="12" spans="1:14" x14ac:dyDescent="0.35">
      <c r="A12" s="2">
        <v>42184</v>
      </c>
      <c r="B12" s="3">
        <v>19.5513642099931</v>
      </c>
      <c r="C12" s="3">
        <v>15.815583090218301</v>
      </c>
      <c r="D12" s="3">
        <v>16.996389984843901</v>
      </c>
      <c r="E12" s="3">
        <v>15.507191478313301</v>
      </c>
      <c r="F12" s="3">
        <v>16.736511172775799</v>
      </c>
      <c r="G12" s="3">
        <v>17.781728967604899</v>
      </c>
      <c r="H12" s="3">
        <v>15.553484434685799</v>
      </c>
      <c r="I12" s="3">
        <v>19.843794353128899</v>
      </c>
      <c r="J12" s="3">
        <v>17.300832228592601</v>
      </c>
      <c r="K12" s="3">
        <v>17.092886416581599</v>
      </c>
      <c r="L12" s="3">
        <v>18.930603149139699</v>
      </c>
      <c r="M12" s="3">
        <v>18.5696114920095</v>
      </c>
      <c r="N12" s="3">
        <v>33.630075705594997</v>
      </c>
    </row>
    <row r="13" spans="1:14" x14ac:dyDescent="0.35">
      <c r="A13" s="2">
        <v>42214</v>
      </c>
      <c r="B13" s="3">
        <v>19.7639402537867</v>
      </c>
      <c r="C13" s="3">
        <v>16.053031364078201</v>
      </c>
      <c r="D13" s="3">
        <v>16.874520099688802</v>
      </c>
      <c r="E13" s="3">
        <v>15.3559619315227</v>
      </c>
      <c r="F13" s="3">
        <v>16.6950939021377</v>
      </c>
      <c r="G13" s="3">
        <v>18.270724323019401</v>
      </c>
      <c r="H13" s="3">
        <v>15.674917218998299</v>
      </c>
      <c r="I13" s="3">
        <v>20.280791969445399</v>
      </c>
      <c r="J13" s="3">
        <v>17.5341496877117</v>
      </c>
      <c r="K13" s="3">
        <v>17.213410657404602</v>
      </c>
      <c r="L13" s="3">
        <v>18.929865556804</v>
      </c>
      <c r="M13" s="3">
        <v>18.421604106319201</v>
      </c>
      <c r="N13" s="3">
        <v>31.218779264466001</v>
      </c>
    </row>
    <row r="14" spans="1:14" x14ac:dyDescent="0.35">
      <c r="A14" s="2">
        <v>42244</v>
      </c>
      <c r="B14" s="3">
        <v>19.2539410452504</v>
      </c>
      <c r="C14" s="3">
        <v>15.614702105569499</v>
      </c>
      <c r="D14" s="3">
        <v>16.6395060560288</v>
      </c>
      <c r="E14" s="3">
        <v>14.4727773031348</v>
      </c>
      <c r="F14" s="3">
        <v>16.022688123939702</v>
      </c>
      <c r="G14" s="3">
        <v>17.371847139995001</v>
      </c>
      <c r="H14" s="3">
        <v>15.1453950613454</v>
      </c>
      <c r="I14" s="3">
        <v>19.6136027137307</v>
      </c>
      <c r="J14" s="3">
        <v>16.914317804327698</v>
      </c>
      <c r="K14" s="3">
        <v>16.201884990392301</v>
      </c>
      <c r="L14" s="3">
        <v>17.585487873507901</v>
      </c>
      <c r="M14" s="3">
        <v>17.585668459674601</v>
      </c>
      <c r="N14" s="3">
        <v>28.1855295965427</v>
      </c>
    </row>
    <row r="15" spans="1:14" x14ac:dyDescent="0.35">
      <c r="A15" s="2">
        <v>42276</v>
      </c>
      <c r="B15" s="3">
        <v>18.704549644950699</v>
      </c>
      <c r="C15" s="3">
        <v>14.824291678301799</v>
      </c>
      <c r="D15" s="3">
        <v>16.0687087312842</v>
      </c>
      <c r="E15" s="3">
        <v>13.454206220469</v>
      </c>
      <c r="F15" s="3">
        <v>14.523335426108</v>
      </c>
      <c r="G15" s="3">
        <v>16.691410917136999</v>
      </c>
      <c r="H15" s="3">
        <v>14.6469727105309</v>
      </c>
      <c r="I15" s="3">
        <v>18.6464721540063</v>
      </c>
      <c r="J15" s="3">
        <v>16.238294772380399</v>
      </c>
      <c r="K15" s="3">
        <v>15.2661802810499</v>
      </c>
      <c r="L15" s="3">
        <v>16.4143702455479</v>
      </c>
      <c r="M15" s="3">
        <v>16.305976513915699</v>
      </c>
      <c r="N15" s="3">
        <v>24.573027639182001</v>
      </c>
    </row>
    <row r="16" spans="1:14" x14ac:dyDescent="0.35">
      <c r="A16" s="2">
        <v>42306</v>
      </c>
      <c r="B16" s="3">
        <v>19.534562437105301</v>
      </c>
      <c r="C16" s="3">
        <v>15.717170552366699</v>
      </c>
      <c r="D16" s="3">
        <v>16.906596659219598</v>
      </c>
      <c r="E16" s="3">
        <v>14.5079666048689</v>
      </c>
      <c r="F16" s="3">
        <v>15.789560395541701</v>
      </c>
      <c r="G16" s="3">
        <v>17.745353368652101</v>
      </c>
      <c r="H16" s="3">
        <v>15.816509935996899</v>
      </c>
      <c r="I16" s="3">
        <v>20.379452264078299</v>
      </c>
      <c r="J16" s="3">
        <v>17.489837477722801</v>
      </c>
      <c r="K16" s="3">
        <v>16.377470848604698</v>
      </c>
      <c r="L16" s="3">
        <v>17.613439771255599</v>
      </c>
      <c r="M16" s="3">
        <v>17.1606950306039</v>
      </c>
      <c r="N16" s="3">
        <v>23.358648260379599</v>
      </c>
    </row>
    <row r="17" spans="1:14" x14ac:dyDescent="0.35">
      <c r="A17" s="2">
        <v>42335</v>
      </c>
      <c r="B17" s="3">
        <v>19.5938339966836</v>
      </c>
      <c r="C17" s="3">
        <v>15.5527377319771</v>
      </c>
      <c r="D17" s="3">
        <v>16.627963915991899</v>
      </c>
      <c r="E17" s="3">
        <v>14.9352418338507</v>
      </c>
      <c r="F17" s="3">
        <v>16.2670470739019</v>
      </c>
      <c r="G17" s="3">
        <v>17.613757822283901</v>
      </c>
      <c r="H17" s="3">
        <v>15.9742211220741</v>
      </c>
      <c r="I17" s="3">
        <v>20.4328732407483</v>
      </c>
      <c r="J17" s="3">
        <v>17.496254850499401</v>
      </c>
      <c r="K17" s="3">
        <v>16.3796450807112</v>
      </c>
      <c r="L17" s="3">
        <v>18.251771665007599</v>
      </c>
      <c r="M17" s="3">
        <v>16.906220085457001</v>
      </c>
      <c r="N17" s="3">
        <v>21.698499375556199</v>
      </c>
    </row>
    <row r="18" spans="1:14" x14ac:dyDescent="0.35">
      <c r="A18" s="2">
        <v>42367</v>
      </c>
      <c r="B18" s="3">
        <v>19.931376480163699</v>
      </c>
      <c r="C18" s="3">
        <v>15.9081351855028</v>
      </c>
      <c r="D18" s="3">
        <v>16.468944508956</v>
      </c>
      <c r="E18" s="3">
        <v>14.1578032571999</v>
      </c>
      <c r="F18" s="3">
        <v>15.773298362858799</v>
      </c>
      <c r="G18" s="3">
        <v>17.631482966832198</v>
      </c>
      <c r="H18" s="3">
        <v>15.850099789736699</v>
      </c>
      <c r="I18" s="3">
        <v>20.522831154746601</v>
      </c>
      <c r="J18" s="3">
        <v>17.3971259074637</v>
      </c>
      <c r="K18" s="3">
        <v>15.6099587657909</v>
      </c>
      <c r="L18" s="3">
        <v>17.379030868037699</v>
      </c>
      <c r="M18" s="3">
        <v>16.107587506543702</v>
      </c>
      <c r="N18" s="3">
        <v>18.3026807585256</v>
      </c>
    </row>
    <row r="19" spans="1:14" x14ac:dyDescent="0.35">
      <c r="A19" s="2">
        <v>42398</v>
      </c>
      <c r="B19" s="3">
        <v>19.150583889928502</v>
      </c>
      <c r="C19" s="3">
        <v>15.211011243152599</v>
      </c>
      <c r="D19" s="3">
        <v>15.5883753476423</v>
      </c>
      <c r="E19" s="3">
        <v>12.920312179746301</v>
      </c>
      <c r="F19" s="3">
        <v>14.633936165990701</v>
      </c>
      <c r="G19" s="3">
        <v>16.8363858727615</v>
      </c>
      <c r="H19" s="3">
        <v>15.2564397368487</v>
      </c>
      <c r="I19" s="3">
        <v>18.8271811631151</v>
      </c>
      <c r="J19" s="3">
        <v>16.2966838906097</v>
      </c>
      <c r="K19" s="3">
        <v>14.709053300554899</v>
      </c>
      <c r="L19" s="3">
        <v>16.430188052086699</v>
      </c>
      <c r="M19" s="3">
        <v>14.8347806892059</v>
      </c>
      <c r="N19" s="3">
        <v>15.2240940767902</v>
      </c>
    </row>
    <row r="20" spans="1:14" x14ac:dyDescent="0.35">
      <c r="A20" s="2">
        <v>42429</v>
      </c>
      <c r="B20" s="3">
        <v>19.260845871222301</v>
      </c>
      <c r="C20" s="3">
        <v>14.9240656400827</v>
      </c>
      <c r="D20" s="3">
        <v>15.7408114629064</v>
      </c>
      <c r="E20" s="3">
        <v>12.645594063662299</v>
      </c>
      <c r="F20" s="3">
        <v>13.805158220348799</v>
      </c>
      <c r="G20" s="3">
        <v>16.5783891912488</v>
      </c>
      <c r="H20" s="3">
        <v>15.513498568526201</v>
      </c>
      <c r="I20" s="3">
        <v>18.171940910564</v>
      </c>
      <c r="J20" s="3">
        <v>16.188193427520002</v>
      </c>
      <c r="K20" s="3">
        <v>15.141625647381501</v>
      </c>
      <c r="L20" s="3">
        <v>16.3733958088173</v>
      </c>
      <c r="M20" s="3">
        <v>15.5788877722231</v>
      </c>
      <c r="N20" s="3">
        <v>15.3964541226054</v>
      </c>
    </row>
    <row r="21" spans="1:14" x14ac:dyDescent="0.35">
      <c r="A21" s="2">
        <v>42458</v>
      </c>
      <c r="B21" s="3">
        <v>19.325896815244999</v>
      </c>
      <c r="C21" s="3">
        <v>15.0880233678482</v>
      </c>
      <c r="D21" s="3">
        <v>15.994335335286999</v>
      </c>
      <c r="E21" s="3">
        <v>12.750551098617001</v>
      </c>
      <c r="F21" s="3">
        <v>13.906687540865001</v>
      </c>
      <c r="G21" s="3">
        <v>16.611715882139301</v>
      </c>
      <c r="H21" s="3">
        <v>15.6963411574086</v>
      </c>
      <c r="I21" s="3">
        <v>18.372724145886799</v>
      </c>
      <c r="J21" s="3">
        <v>16.188193427520002</v>
      </c>
      <c r="K21" s="3">
        <v>15.124850892204</v>
      </c>
      <c r="L21" s="3">
        <v>16.403611667164199</v>
      </c>
      <c r="M21" s="3">
        <v>15.513189362425599</v>
      </c>
      <c r="N21" s="3">
        <v>15.3175156511975</v>
      </c>
    </row>
    <row r="22" spans="1:14" x14ac:dyDescent="0.35">
      <c r="A22" s="2">
        <v>42489</v>
      </c>
      <c r="B22" s="3">
        <v>19.424535406082899</v>
      </c>
      <c r="C22" s="3">
        <v>15.438568717403101</v>
      </c>
      <c r="D22" s="3">
        <v>16.4169682941824</v>
      </c>
      <c r="E22" s="3">
        <v>12.877495689962601</v>
      </c>
      <c r="F22" s="3">
        <v>13.7931562937423</v>
      </c>
      <c r="G22" s="3">
        <v>16.824160045368998</v>
      </c>
      <c r="H22" s="3">
        <v>15.950677924985699</v>
      </c>
      <c r="I22" s="3">
        <v>18.315723427199501</v>
      </c>
      <c r="J22" s="3">
        <v>16.565182572190999</v>
      </c>
      <c r="K22" s="3">
        <v>15.176512719832299</v>
      </c>
      <c r="L22" s="3">
        <v>16.2415206382368</v>
      </c>
      <c r="M22" s="3">
        <v>15.654626448610999</v>
      </c>
      <c r="N22" s="3">
        <v>15.2931220355081</v>
      </c>
    </row>
    <row r="23" spans="1:14" x14ac:dyDescent="0.35">
      <c r="A23" s="2">
        <v>42517</v>
      </c>
      <c r="B23" s="3">
        <v>19.711368730456801</v>
      </c>
      <c r="C23" s="3">
        <v>15.7921363274939</v>
      </c>
      <c r="D23" s="3">
        <v>16.650831562832199</v>
      </c>
      <c r="E23" s="3">
        <v>12.958123375089301</v>
      </c>
      <c r="F23" s="3">
        <v>14.006767703962399</v>
      </c>
      <c r="G23" s="3">
        <v>17.177554430754402</v>
      </c>
      <c r="H23" s="3">
        <v>16.058774723559399</v>
      </c>
      <c r="I23" s="3">
        <v>18.610943273468902</v>
      </c>
      <c r="J23" s="3">
        <v>16.750527525768302</v>
      </c>
      <c r="K23" s="3">
        <v>15.2619188509632</v>
      </c>
      <c r="L23" s="3">
        <v>16.3849644431134</v>
      </c>
      <c r="M23" s="3">
        <v>15.6146234712481</v>
      </c>
      <c r="N23" s="3">
        <v>15.5467365638152</v>
      </c>
    </row>
    <row r="24" spans="1:14" x14ac:dyDescent="0.35">
      <c r="A24" s="2">
        <v>42550</v>
      </c>
      <c r="B24" s="3">
        <v>19.538277413435502</v>
      </c>
      <c r="C24" s="3">
        <v>15.5954972679473</v>
      </c>
      <c r="D24" s="3">
        <v>16.775208035702398</v>
      </c>
      <c r="E24" s="3">
        <v>12.6032339725898</v>
      </c>
      <c r="F24" s="3">
        <v>13.666986158364701</v>
      </c>
      <c r="G24" s="3">
        <v>17.037855050988199</v>
      </c>
      <c r="H24" s="3">
        <v>16.1270996655342</v>
      </c>
      <c r="I24" s="3">
        <v>18.476580425189798</v>
      </c>
      <c r="J24" s="3">
        <v>16.774015831048299</v>
      </c>
      <c r="K24" s="3">
        <v>14.739541517286501</v>
      </c>
      <c r="L24" s="3">
        <v>15.672300356963101</v>
      </c>
      <c r="M24" s="3">
        <v>15.277440765638101</v>
      </c>
      <c r="N24" s="3">
        <v>14.319994478517399</v>
      </c>
    </row>
    <row r="25" spans="1:14" x14ac:dyDescent="0.35">
      <c r="A25" s="2">
        <v>42580</v>
      </c>
      <c r="B25" s="3">
        <v>20.568026652181299</v>
      </c>
      <c r="C25" s="3">
        <v>16.4563314824928</v>
      </c>
      <c r="D25" s="3">
        <v>17.207450880551701</v>
      </c>
      <c r="E25" s="3">
        <v>13.1261045937001</v>
      </c>
      <c r="F25" s="3">
        <v>14.0810064402976</v>
      </c>
      <c r="G25" s="3">
        <v>17.509514301805901</v>
      </c>
      <c r="H25" s="3">
        <v>16.692697383547902</v>
      </c>
      <c r="I25" s="3">
        <v>19.347184827802899</v>
      </c>
      <c r="J25" s="3">
        <v>17.3852036643489</v>
      </c>
      <c r="K25" s="3">
        <v>15.093070600551</v>
      </c>
      <c r="L25" s="3">
        <v>16.122764350219999</v>
      </c>
      <c r="M25" s="3">
        <v>15.842507443152201</v>
      </c>
      <c r="N25" s="3">
        <v>14.7343350315856</v>
      </c>
    </row>
    <row r="26" spans="1:14" x14ac:dyDescent="0.35">
      <c r="A26" s="2">
        <v>42611</v>
      </c>
      <c r="B26" s="3">
        <v>20.846464971082199</v>
      </c>
      <c r="C26" s="3">
        <v>16.583723757556999</v>
      </c>
      <c r="D26" s="3">
        <v>17.5418761829945</v>
      </c>
      <c r="E26" s="3">
        <v>13.3600459210731</v>
      </c>
      <c r="F26" s="3">
        <v>14.175530197420199</v>
      </c>
      <c r="G26" s="3">
        <v>17.8300975184506</v>
      </c>
      <c r="H26" s="3">
        <v>16.946615341489899</v>
      </c>
      <c r="I26" s="3">
        <v>19.5698721785276</v>
      </c>
      <c r="J26" s="3">
        <v>17.595120973721301</v>
      </c>
      <c r="K26" s="3">
        <v>14.881239213488399</v>
      </c>
      <c r="L26" s="3">
        <v>16.110043982124498</v>
      </c>
      <c r="M26" s="3">
        <v>16.036672634206401</v>
      </c>
      <c r="N26" s="3">
        <v>14.9356455971554</v>
      </c>
    </row>
    <row r="27" spans="1:14" x14ac:dyDescent="0.35">
      <c r="A27" s="2">
        <v>42642</v>
      </c>
      <c r="B27" s="3">
        <v>20.906312039025401</v>
      </c>
      <c r="C27" s="3">
        <v>16.794728818460499</v>
      </c>
      <c r="D27" s="3">
        <v>17.891752778575601</v>
      </c>
      <c r="E27" s="3">
        <v>13.500644073819499</v>
      </c>
      <c r="F27" s="3">
        <v>14.353445816100001</v>
      </c>
      <c r="G27" s="3">
        <v>18.0433584306362</v>
      </c>
      <c r="H27" s="3">
        <v>17.090996375294001</v>
      </c>
      <c r="I27" s="3">
        <v>19.852748455485099</v>
      </c>
      <c r="J27" s="3">
        <v>17.637479307485901</v>
      </c>
      <c r="K27" s="3">
        <v>14.863751287033599</v>
      </c>
      <c r="L27" s="3">
        <v>16.074421766347601</v>
      </c>
      <c r="M27" s="3">
        <v>16.451580152728798</v>
      </c>
      <c r="N27" s="3">
        <v>14.653623505194201</v>
      </c>
    </row>
    <row r="28" spans="1:14" x14ac:dyDescent="0.35">
      <c r="A28" s="2">
        <v>42671</v>
      </c>
      <c r="B28" s="3">
        <v>20.074968448573401</v>
      </c>
      <c r="C28" s="3">
        <v>16.6421835543836</v>
      </c>
      <c r="D28" s="3">
        <v>18.1845228225861</v>
      </c>
      <c r="E28" s="3">
        <v>13.806691506845601</v>
      </c>
      <c r="F28" s="3">
        <v>14.7716916195493</v>
      </c>
      <c r="G28" s="3">
        <v>17.694370168878699</v>
      </c>
      <c r="H28" s="3">
        <v>16.818454106194601</v>
      </c>
      <c r="I28" s="3">
        <v>19.7606111521239</v>
      </c>
      <c r="J28" s="3">
        <v>17.536680551118501</v>
      </c>
      <c r="K28" s="3">
        <v>15.0584470495502</v>
      </c>
      <c r="L28" s="3">
        <v>15.87174931831</v>
      </c>
      <c r="M28" s="3">
        <v>17.430161745743501</v>
      </c>
      <c r="N28" s="3">
        <v>15.172722251874299</v>
      </c>
    </row>
    <row r="29" spans="1:14" x14ac:dyDescent="0.35">
      <c r="A29" s="2">
        <v>42703</v>
      </c>
      <c r="B29" s="3">
        <v>20.055640416562799</v>
      </c>
      <c r="C29" s="3">
        <v>17.218586527787199</v>
      </c>
      <c r="D29" s="3">
        <v>18.720193472806301</v>
      </c>
      <c r="E29" s="3">
        <v>13.690685633856599</v>
      </c>
      <c r="F29" s="3">
        <v>15.6551924501315</v>
      </c>
      <c r="G29" s="3">
        <v>17.4763960214786</v>
      </c>
      <c r="H29" s="3">
        <v>16.3860873840379</v>
      </c>
      <c r="I29" s="3">
        <v>20.125189614489901</v>
      </c>
      <c r="J29" s="3">
        <v>18.296669653151699</v>
      </c>
      <c r="K29" s="3">
        <v>14.916889638779599</v>
      </c>
      <c r="L29" s="3">
        <v>15.5465407193769</v>
      </c>
      <c r="M29" s="3">
        <v>17.2096276272975</v>
      </c>
      <c r="N29" s="3">
        <v>14.675864943787801</v>
      </c>
    </row>
    <row r="30" spans="1:14" x14ac:dyDescent="0.35">
      <c r="A30" s="2">
        <v>42733</v>
      </c>
      <c r="B30" s="3">
        <v>20.0370985414004</v>
      </c>
      <c r="C30" s="3">
        <v>17.8138595435939</v>
      </c>
      <c r="D30" s="3">
        <v>19.4573423664621</v>
      </c>
      <c r="E30" s="3">
        <v>14.754321453391601</v>
      </c>
      <c r="F30" s="3">
        <v>16.290643498656301</v>
      </c>
      <c r="G30" s="3">
        <v>18.237407875118201</v>
      </c>
      <c r="H30" s="3">
        <v>17.130120767702898</v>
      </c>
      <c r="I30" s="3">
        <v>20.518459006952298</v>
      </c>
      <c r="J30" s="3">
        <v>18.870348749404599</v>
      </c>
      <c r="K30" s="3">
        <v>15.6986158983787</v>
      </c>
      <c r="L30" s="3">
        <v>16.272919665677801</v>
      </c>
      <c r="M30" s="3">
        <v>18.197897702390801</v>
      </c>
      <c r="N30" s="3">
        <v>27.5909278530279</v>
      </c>
    </row>
    <row r="31" spans="1:14" x14ac:dyDescent="0.35">
      <c r="A31" s="2">
        <v>42762</v>
      </c>
      <c r="B31" s="3">
        <v>20.6890630841297</v>
      </c>
      <c r="C31" s="3">
        <v>17.760105024807501</v>
      </c>
      <c r="D31" s="3">
        <v>19.8875178302108</v>
      </c>
      <c r="E31" s="3">
        <v>15.1569157937766</v>
      </c>
      <c r="F31" s="3">
        <v>16.680787568282799</v>
      </c>
      <c r="G31" s="3">
        <v>18.5772824353765</v>
      </c>
      <c r="H31" s="3">
        <v>17.132392470544598</v>
      </c>
      <c r="I31" s="3">
        <v>21.3319746049565</v>
      </c>
      <c r="J31" s="3">
        <v>19.092349035553799</v>
      </c>
      <c r="K31" s="3">
        <v>15.6889412314576</v>
      </c>
      <c r="L31" s="3">
        <v>16.343632951166398</v>
      </c>
      <c r="M31" s="3">
        <v>18.230600077397099</v>
      </c>
      <c r="N31" s="3">
        <v>27.348865556719598</v>
      </c>
    </row>
    <row r="32" spans="1:14" x14ac:dyDescent="0.35">
      <c r="A32" s="2">
        <v>42794</v>
      </c>
      <c r="B32" s="3">
        <v>19.702135868045701</v>
      </c>
      <c r="C32" s="3">
        <v>17.525706890154002</v>
      </c>
      <c r="D32" s="3">
        <v>19.393517621704099</v>
      </c>
      <c r="E32" s="3">
        <v>14.9651402877224</v>
      </c>
      <c r="F32" s="3">
        <v>15.947556963740899</v>
      </c>
      <c r="G32" s="3">
        <v>19.6747100975888</v>
      </c>
      <c r="H32" s="3">
        <v>17.373121319835398</v>
      </c>
      <c r="I32" s="3">
        <v>21.714130688017899</v>
      </c>
      <c r="J32" s="3">
        <v>19.4949236055791</v>
      </c>
      <c r="K32" s="3">
        <v>15.5832062176459</v>
      </c>
      <c r="L32" s="3">
        <v>16.402686545474001</v>
      </c>
      <c r="M32" s="3">
        <v>17.441194835249402</v>
      </c>
      <c r="N32" s="3">
        <v>85.968927292375596</v>
      </c>
    </row>
    <row r="33" spans="1:14" x14ac:dyDescent="0.35">
      <c r="A33" s="2">
        <v>42823</v>
      </c>
      <c r="B33" s="3">
        <v>19.759660497624001</v>
      </c>
      <c r="C33" s="3">
        <v>17.407304290326401</v>
      </c>
      <c r="D33" s="3">
        <v>19.163892581504498</v>
      </c>
      <c r="E33" s="3">
        <v>14.9553294848312</v>
      </c>
      <c r="F33" s="3">
        <v>15.790375239555001</v>
      </c>
      <c r="G33" s="3">
        <v>19.4975827109566</v>
      </c>
      <c r="H33" s="3">
        <v>17.147495828278402</v>
      </c>
      <c r="I33" s="3">
        <v>21.6649216124631</v>
      </c>
      <c r="J33" s="3">
        <v>19.349998735381099</v>
      </c>
      <c r="K33" s="3">
        <v>15.643877394967101</v>
      </c>
      <c r="L33" s="3">
        <v>16.484795518258299</v>
      </c>
      <c r="M33" s="3">
        <v>17.6001252534946</v>
      </c>
      <c r="N33" s="3">
        <v>79.289755187724893</v>
      </c>
    </row>
    <row r="34" spans="1:14" x14ac:dyDescent="0.35">
      <c r="A34" s="2">
        <v>42853</v>
      </c>
      <c r="B34" s="3">
        <v>19.949183352916499</v>
      </c>
      <c r="C34" s="3">
        <v>17.303101606005601</v>
      </c>
      <c r="D34" s="3">
        <v>18.806202010281599</v>
      </c>
      <c r="E34" s="3">
        <v>14.9052500055754</v>
      </c>
      <c r="F34" s="3">
        <v>15.5963855462278</v>
      </c>
      <c r="G34" s="3">
        <v>19.497331714533399</v>
      </c>
      <c r="H34" s="3">
        <v>16.867587027069899</v>
      </c>
      <c r="I34" s="3">
        <v>21.7013956552269</v>
      </c>
      <c r="J34" s="3">
        <v>19.2294920728576</v>
      </c>
      <c r="K34" s="3">
        <v>15.7677768365969</v>
      </c>
      <c r="L34" s="3">
        <v>16.653630195624402</v>
      </c>
      <c r="M34" s="3">
        <v>17.6333708179951</v>
      </c>
      <c r="N34" s="3">
        <v>72.232071774623407</v>
      </c>
    </row>
    <row r="35" spans="1:14" x14ac:dyDescent="0.35">
      <c r="A35" s="2">
        <v>42881</v>
      </c>
      <c r="B35" s="3">
        <v>20.018662549414</v>
      </c>
      <c r="C35" s="3">
        <v>16.9521872566133</v>
      </c>
      <c r="D35" s="3">
        <v>18.582898109176799</v>
      </c>
      <c r="E35" s="3">
        <v>14.781198421535199</v>
      </c>
      <c r="F35" s="3">
        <v>15.643490033175</v>
      </c>
      <c r="G35" s="3">
        <v>19.538625454505599</v>
      </c>
      <c r="H35" s="3">
        <v>16.813623085605101</v>
      </c>
      <c r="I35" s="3">
        <v>21.968066775267499</v>
      </c>
      <c r="J35" s="3">
        <v>19.1914525240663</v>
      </c>
      <c r="K35" s="3">
        <v>15.805845667153999</v>
      </c>
      <c r="L35" s="3">
        <v>16.727256760788901</v>
      </c>
      <c r="M35" s="3">
        <v>18.090570105625101</v>
      </c>
      <c r="N35" s="3">
        <v>65.791575678426398</v>
      </c>
    </row>
    <row r="36" spans="1:14" x14ac:dyDescent="0.35">
      <c r="A36" s="2">
        <v>42915</v>
      </c>
      <c r="B36" s="3">
        <v>20.250582086394299</v>
      </c>
      <c r="C36" s="3">
        <v>16.928487700256301</v>
      </c>
      <c r="D36" s="3">
        <v>18.0729866663529</v>
      </c>
      <c r="E36" s="3">
        <v>14.5323861553863</v>
      </c>
      <c r="F36" s="3">
        <v>15.6176848621052</v>
      </c>
      <c r="G36" s="3">
        <v>19.3702711095981</v>
      </c>
      <c r="H36" s="3">
        <v>16.464574603236102</v>
      </c>
      <c r="I36" s="3">
        <v>21.667226881942799</v>
      </c>
      <c r="J36" s="3">
        <v>19.0763408400651</v>
      </c>
      <c r="K36" s="3">
        <v>15.5566984302347</v>
      </c>
      <c r="L36" s="3">
        <v>16.4779655145867</v>
      </c>
      <c r="M36" s="3">
        <v>17.522990056901701</v>
      </c>
      <c r="N36" s="3">
        <v>57.601247901217903</v>
      </c>
    </row>
    <row r="37" spans="1:14" x14ac:dyDescent="0.35">
      <c r="A37" s="2">
        <v>42944</v>
      </c>
      <c r="B37" s="3">
        <v>20.2788784152449</v>
      </c>
      <c r="C37" s="3">
        <v>16.787572453852501</v>
      </c>
      <c r="D37" s="3">
        <v>17.9837102668751</v>
      </c>
      <c r="E37" s="3">
        <v>14.3072250456737</v>
      </c>
      <c r="F37" s="3">
        <v>15.42324775254</v>
      </c>
      <c r="G37" s="3">
        <v>19.2997632097881</v>
      </c>
      <c r="H37" s="3">
        <v>16.399312272327599</v>
      </c>
      <c r="I37" s="3">
        <v>22.1489490097429</v>
      </c>
      <c r="J37" s="3">
        <v>19.1828759477783</v>
      </c>
      <c r="K37" s="3">
        <v>15.543249406636701</v>
      </c>
      <c r="L37" s="3">
        <v>16.709613940805301</v>
      </c>
      <c r="M37" s="3">
        <v>17.324067000065501</v>
      </c>
      <c r="N37" s="3">
        <v>51.1501572746172</v>
      </c>
    </row>
    <row r="38" spans="1:14" x14ac:dyDescent="0.35">
      <c r="A38" s="2">
        <v>42976</v>
      </c>
      <c r="B38" s="3">
        <v>20.539214048397699</v>
      </c>
      <c r="C38" s="3">
        <v>16.583179010575201</v>
      </c>
      <c r="D38" s="3">
        <v>17.598399215110401</v>
      </c>
      <c r="E38" s="3">
        <v>14.00534830264</v>
      </c>
      <c r="F38" s="3">
        <v>14.881210040360701</v>
      </c>
      <c r="G38" s="3">
        <v>19.038774166798099</v>
      </c>
      <c r="H38" s="3">
        <v>16.007034336331099</v>
      </c>
      <c r="I38" s="3">
        <v>21.990270878508799</v>
      </c>
      <c r="J38" s="3">
        <v>18.9549776375272</v>
      </c>
      <c r="K38" s="3">
        <v>15.3446972030055</v>
      </c>
      <c r="L38" s="3">
        <v>16.4179791547975</v>
      </c>
      <c r="M38" s="3">
        <v>16.665164764207098</v>
      </c>
      <c r="N38" s="3">
        <v>43.4460588613506</v>
      </c>
    </row>
    <row r="39" spans="1:14" x14ac:dyDescent="0.35">
      <c r="A39" s="2">
        <v>43007</v>
      </c>
      <c r="B39" s="3">
        <v>20.6402295727802</v>
      </c>
      <c r="C39" s="3">
        <v>16.318319198928499</v>
      </c>
      <c r="D39" s="3">
        <v>17.654069951605699</v>
      </c>
      <c r="E39" s="3">
        <v>14.620290824259</v>
      </c>
      <c r="F39" s="3">
        <v>15.0466824256912</v>
      </c>
      <c r="G39" s="3">
        <v>19.459998833742201</v>
      </c>
      <c r="H39" s="3">
        <v>15.8458154642555</v>
      </c>
      <c r="I39" s="3">
        <v>22.304278594671199</v>
      </c>
      <c r="J39" s="3">
        <v>19.3338918115731</v>
      </c>
      <c r="K39" s="3">
        <v>15.944684967910201</v>
      </c>
      <c r="L39" s="3">
        <v>17.014056491360499</v>
      </c>
      <c r="M39" s="3">
        <v>17.714698700122099</v>
      </c>
      <c r="N39" s="3">
        <v>36.646634701999297</v>
      </c>
    </row>
    <row r="40" spans="1:14" x14ac:dyDescent="0.35">
      <c r="A40" s="2">
        <v>43035</v>
      </c>
      <c r="B40" s="3">
        <v>21.273881692024599</v>
      </c>
      <c r="C40" s="3">
        <v>16.629462206132001</v>
      </c>
      <c r="D40" s="3">
        <v>17.573076258281901</v>
      </c>
      <c r="E40" s="3">
        <v>15.159184375997899</v>
      </c>
      <c r="F40" s="3">
        <v>15.521122583380601</v>
      </c>
      <c r="G40" s="3">
        <v>20.136078103029998</v>
      </c>
      <c r="H40" s="3">
        <v>15.635141326990601</v>
      </c>
      <c r="I40" s="3">
        <v>22.776154264742502</v>
      </c>
      <c r="J40" s="3">
        <v>19.651942196867299</v>
      </c>
      <c r="K40" s="3">
        <v>16.279360565361699</v>
      </c>
      <c r="L40" s="3">
        <v>17.269601362452399</v>
      </c>
      <c r="M40" s="3">
        <v>18.563745983751101</v>
      </c>
      <c r="N40" s="3">
        <v>30.270561998868001</v>
      </c>
    </row>
    <row r="41" spans="1:14" x14ac:dyDescent="0.35">
      <c r="A41" s="2">
        <v>43068</v>
      </c>
      <c r="B41" s="3">
        <v>21.386670840620699</v>
      </c>
      <c r="C41" s="3">
        <v>16.696600482164701</v>
      </c>
      <c r="D41" s="3">
        <v>17.1944836866206</v>
      </c>
      <c r="E41" s="3">
        <v>15.295857467836599</v>
      </c>
      <c r="F41" s="3">
        <v>15.984202733711699</v>
      </c>
      <c r="G41" s="3">
        <v>20.409104453157799</v>
      </c>
      <c r="H41" s="3">
        <v>15.231462160449899</v>
      </c>
      <c r="I41" s="3">
        <v>22.986384445345202</v>
      </c>
      <c r="J41" s="3">
        <v>19.880694429648599</v>
      </c>
      <c r="K41" s="3">
        <v>16.091336811298</v>
      </c>
      <c r="L41" s="3">
        <v>17.197670872722501</v>
      </c>
      <c r="M41" s="3">
        <v>18.0209705224099</v>
      </c>
      <c r="N41" s="3">
        <v>22.608459203013201</v>
      </c>
    </row>
    <row r="42" spans="1:14" x14ac:dyDescent="0.35">
      <c r="A42" s="2">
        <v>43098</v>
      </c>
      <c r="B42" s="3">
        <v>22.388925154765701</v>
      </c>
      <c r="C42" s="3">
        <v>16.827891133157099</v>
      </c>
      <c r="D42" s="3">
        <v>17.206915172904601</v>
      </c>
      <c r="E42" s="3">
        <v>15.2737781513871</v>
      </c>
      <c r="F42" s="3">
        <v>16.356655473142698</v>
      </c>
      <c r="G42" s="3">
        <v>20.734019633567801</v>
      </c>
      <c r="H42" s="3">
        <v>15.5492985215324</v>
      </c>
      <c r="I42" s="3">
        <v>23.527116252332601</v>
      </c>
      <c r="J42" s="3">
        <v>20.234723313277101</v>
      </c>
      <c r="K42" s="3">
        <v>15.968403181827799</v>
      </c>
      <c r="L42" s="3">
        <v>17.237747078145301</v>
      </c>
      <c r="M42" s="3">
        <v>17.8917428432806</v>
      </c>
      <c r="N42" s="3">
        <v>15.5073974754213</v>
      </c>
    </row>
    <row r="43" spans="1:14" x14ac:dyDescent="0.35">
      <c r="A43" s="2">
        <v>43129</v>
      </c>
      <c r="B43" s="3">
        <v>22.1156094890306</v>
      </c>
      <c r="C43" s="3">
        <v>16.8707031856989</v>
      </c>
      <c r="D43" s="3">
        <v>16.959451054267198</v>
      </c>
      <c r="E43" s="3">
        <v>15.5180203963069</v>
      </c>
      <c r="F43" s="3">
        <v>16.771213316251799</v>
      </c>
      <c r="G43" s="3">
        <v>22.067639457681</v>
      </c>
      <c r="H43" s="3">
        <v>15.582585091364001</v>
      </c>
      <c r="I43" s="3">
        <v>25.320736038564501</v>
      </c>
      <c r="J43" s="3">
        <v>21.2764575982761</v>
      </c>
      <c r="K43" s="3">
        <v>16.553096947029399</v>
      </c>
      <c r="L43" s="3">
        <v>17.478197777534302</v>
      </c>
      <c r="M43" s="3">
        <v>18.411048989209799</v>
      </c>
      <c r="N43" s="3">
        <v>15.8236403691236</v>
      </c>
    </row>
    <row r="44" spans="1:14" x14ac:dyDescent="0.35">
      <c r="A44" s="2">
        <v>43159</v>
      </c>
      <c r="B44" s="3">
        <v>22.6915007290246</v>
      </c>
      <c r="C44" s="3">
        <v>16.5525904197488</v>
      </c>
      <c r="D44" s="3">
        <v>15.8440303406712</v>
      </c>
      <c r="E44" s="3">
        <v>14.256136240863601</v>
      </c>
      <c r="F44" s="3">
        <v>14.493257454053801</v>
      </c>
      <c r="G44" s="3">
        <v>21.230279326180401</v>
      </c>
      <c r="H44" s="3">
        <v>13.910784195916699</v>
      </c>
      <c r="I44" s="3">
        <v>24.1192849747836</v>
      </c>
      <c r="J44" s="3">
        <v>19.796141513328202</v>
      </c>
      <c r="K44" s="3">
        <v>15.621428269554601</v>
      </c>
      <c r="L44" s="3">
        <v>16.665918448253802</v>
      </c>
      <c r="M44" s="3">
        <v>16.991315291522799</v>
      </c>
      <c r="N44" s="3">
        <v>14.2133860010366</v>
      </c>
    </row>
    <row r="45" spans="1:14" x14ac:dyDescent="0.35">
      <c r="A45" s="2">
        <v>43188</v>
      </c>
      <c r="B45" s="3">
        <v>22.395471668322902</v>
      </c>
      <c r="C45" s="3">
        <v>16.2815090514869</v>
      </c>
      <c r="D45" s="3">
        <v>15.694294246763301</v>
      </c>
      <c r="E45" s="3">
        <v>14.096813167756901</v>
      </c>
      <c r="F45" s="3">
        <v>14.2542395217387</v>
      </c>
      <c r="G45" s="3">
        <v>20.720101104033901</v>
      </c>
      <c r="H45" s="3">
        <v>13.889865731274501</v>
      </c>
      <c r="I45" s="3">
        <v>23.6415291626979</v>
      </c>
      <c r="J45" s="3">
        <v>19.442240691761</v>
      </c>
      <c r="K45" s="3">
        <v>15.467357815326499</v>
      </c>
      <c r="L45" s="3">
        <v>16.559995888604899</v>
      </c>
      <c r="M45" s="3">
        <v>16.8339577519838</v>
      </c>
      <c r="N45" s="3">
        <v>14.083699160272401</v>
      </c>
    </row>
    <row r="46" spans="1:14" x14ac:dyDescent="0.35">
      <c r="A46" s="2">
        <v>43217</v>
      </c>
      <c r="B46" s="3">
        <v>22.266475355018098</v>
      </c>
      <c r="C46" s="3">
        <v>16.277084815913</v>
      </c>
      <c r="D46" s="3">
        <v>15.630743940345701</v>
      </c>
      <c r="E46" s="3">
        <v>14.1565295055017</v>
      </c>
      <c r="F46" s="3">
        <v>14.3063805276655</v>
      </c>
      <c r="G46" s="3">
        <v>20.337062096157101</v>
      </c>
      <c r="H46" s="3">
        <v>14.049700333515901</v>
      </c>
      <c r="I46" s="3">
        <v>23.243382750010799</v>
      </c>
      <c r="J46" s="3">
        <v>19.152642205807499</v>
      </c>
      <c r="K46" s="3">
        <v>15.594338334906601</v>
      </c>
      <c r="L46" s="3">
        <v>16.590227529807201</v>
      </c>
      <c r="M46" s="3">
        <v>16.830024806450499</v>
      </c>
      <c r="N46" s="3">
        <v>14.1811937174317</v>
      </c>
    </row>
    <row r="47" spans="1:14" x14ac:dyDescent="0.35">
      <c r="A47" s="2">
        <v>43249</v>
      </c>
      <c r="B47" s="3">
        <v>22.368119106219101</v>
      </c>
      <c r="C47" s="3">
        <v>16.194594193915499</v>
      </c>
      <c r="D47" s="3">
        <v>15.4324112241232</v>
      </c>
      <c r="E47" s="3">
        <v>14.0150096773454</v>
      </c>
      <c r="F47" s="3">
        <v>14.126325354962299</v>
      </c>
      <c r="G47" s="3">
        <v>19.769086728321899</v>
      </c>
      <c r="H47" s="3">
        <v>13.953363602128499</v>
      </c>
      <c r="I47" s="3">
        <v>23.132141914076101</v>
      </c>
      <c r="J47" s="3">
        <v>18.8327101658661</v>
      </c>
      <c r="K47" s="3">
        <v>15.425514633905101</v>
      </c>
      <c r="L47" s="3">
        <v>16.6204932085618</v>
      </c>
      <c r="M47" s="3">
        <v>16.637327148296599</v>
      </c>
      <c r="N47" s="3">
        <v>13.362293632360201</v>
      </c>
    </row>
    <row r="48" spans="1:14" x14ac:dyDescent="0.35">
      <c r="A48" s="2">
        <v>43280</v>
      </c>
      <c r="B48" s="3">
        <v>22.847590549453798</v>
      </c>
      <c r="C48" s="3">
        <v>16.2800875614586</v>
      </c>
      <c r="D48" s="3">
        <v>15.4956522413703</v>
      </c>
      <c r="E48" s="3">
        <v>13.8875658519637</v>
      </c>
      <c r="F48" s="3">
        <v>13.910441782047499</v>
      </c>
      <c r="G48" s="3">
        <v>19.276078670819</v>
      </c>
      <c r="H48" s="3">
        <v>13.848330194822999</v>
      </c>
      <c r="I48" s="3">
        <v>22.976028130568199</v>
      </c>
      <c r="J48" s="3">
        <v>18.6134370089549</v>
      </c>
      <c r="K48" s="3">
        <v>15.1696652076955</v>
      </c>
      <c r="L48" s="3">
        <v>16.517634765485699</v>
      </c>
      <c r="M48" s="3">
        <v>16.476991229032699</v>
      </c>
      <c r="N48" s="3">
        <v>13.289562623464599</v>
      </c>
    </row>
    <row r="49" spans="1:14" x14ac:dyDescent="0.35">
      <c r="A49" s="2">
        <v>43308</v>
      </c>
      <c r="B49" s="3">
        <v>22.962122380079101</v>
      </c>
      <c r="C49" s="3">
        <v>16.3664375721876</v>
      </c>
      <c r="D49" s="3">
        <v>15.5014086612429</v>
      </c>
      <c r="E49" s="3">
        <v>14.223454063265001</v>
      </c>
      <c r="F49" s="3">
        <v>13.9870392098219</v>
      </c>
      <c r="G49" s="3">
        <v>19.357277205761701</v>
      </c>
      <c r="H49" s="3">
        <v>13.895111326733501</v>
      </c>
      <c r="I49" s="3">
        <v>23.079857056324901</v>
      </c>
      <c r="J49" s="3">
        <v>18.6682207451327</v>
      </c>
      <c r="K49" s="3">
        <v>15.3473106547823</v>
      </c>
      <c r="L49" s="3">
        <v>16.868121240514899</v>
      </c>
      <c r="M49" s="3">
        <v>16.624381962799301</v>
      </c>
      <c r="N49" s="3">
        <v>13.280805771565801</v>
      </c>
    </row>
    <row r="50" spans="1:14" x14ac:dyDescent="0.35">
      <c r="A50" s="2">
        <v>43341</v>
      </c>
      <c r="B50" s="3">
        <v>23.866206491404601</v>
      </c>
      <c r="C50" s="3">
        <v>16.429954421542298</v>
      </c>
      <c r="D50" s="3">
        <v>15.337032025205801</v>
      </c>
      <c r="E50" s="3">
        <v>14.153849013032699</v>
      </c>
      <c r="F50" s="3">
        <v>13.692865931087301</v>
      </c>
      <c r="G50" s="3">
        <v>18.906675673128898</v>
      </c>
      <c r="H50" s="3">
        <v>13.667712323206</v>
      </c>
      <c r="I50" s="3">
        <v>23.479862030663199</v>
      </c>
      <c r="J50" s="3">
        <v>18.765530971867999</v>
      </c>
      <c r="K50" s="3">
        <v>15.200158081268</v>
      </c>
      <c r="L50" s="3">
        <v>16.705365102812799</v>
      </c>
      <c r="M50" s="3">
        <v>16.915950921663001</v>
      </c>
      <c r="N50" s="3">
        <v>12.6608499150742</v>
      </c>
    </row>
    <row r="51" spans="1:14" x14ac:dyDescent="0.35">
      <c r="A51" s="2">
        <v>43371</v>
      </c>
      <c r="B51" s="3">
        <v>23.554413501985898</v>
      </c>
      <c r="C51" s="3">
        <v>16.077010528992499</v>
      </c>
      <c r="D51" s="3">
        <v>15.038116760119999</v>
      </c>
      <c r="E51" s="3">
        <v>13.90480165962</v>
      </c>
      <c r="F51" s="3">
        <v>13.980353886776101</v>
      </c>
      <c r="G51" s="3">
        <v>18.587269952306698</v>
      </c>
      <c r="H51" s="3">
        <v>13.625078866389501</v>
      </c>
      <c r="I51" s="3">
        <v>23.2714903030339</v>
      </c>
      <c r="J51" s="3">
        <v>18.596762697053499</v>
      </c>
      <c r="K51" s="3">
        <v>15.103440315128299</v>
      </c>
      <c r="L51" s="3">
        <v>16.292242665657799</v>
      </c>
      <c r="M51" s="3">
        <v>16.930242746771</v>
      </c>
      <c r="N51" s="3">
        <v>12.333076822305999</v>
      </c>
    </row>
    <row r="52" spans="1:14" x14ac:dyDescent="0.35">
      <c r="A52" s="2">
        <v>43402</v>
      </c>
      <c r="B52" s="3">
        <v>22.285896300943602</v>
      </c>
      <c r="C52" s="3">
        <v>15.048440167459001</v>
      </c>
      <c r="D52" s="3">
        <v>13.918381513344301</v>
      </c>
      <c r="E52" s="3">
        <v>12.9240150540877</v>
      </c>
      <c r="F52" s="3">
        <v>12.510508068765301</v>
      </c>
      <c r="G52" s="3">
        <v>17.5664867812438</v>
      </c>
      <c r="H52" s="3">
        <v>12.7613493245165</v>
      </c>
      <c r="I52" s="3">
        <v>20.6017551600291</v>
      </c>
      <c r="J52" s="3">
        <v>16.956168738118802</v>
      </c>
      <c r="K52" s="3">
        <v>13.9369930986529</v>
      </c>
      <c r="L52" s="3">
        <v>15.256862605620199</v>
      </c>
      <c r="M52" s="3">
        <v>15.013050138539199</v>
      </c>
      <c r="N52" s="3">
        <v>11.437093175503501</v>
      </c>
    </row>
    <row r="53" spans="1:14" x14ac:dyDescent="0.35">
      <c r="A53" s="2">
        <v>43433</v>
      </c>
      <c r="B53" s="3">
        <v>22.629419151301001</v>
      </c>
      <c r="C53" s="3">
        <v>15.110930076755601</v>
      </c>
      <c r="D53" s="3">
        <v>14.058425348095801</v>
      </c>
      <c r="E53" s="3">
        <v>12.9507195561361</v>
      </c>
      <c r="F53" s="3">
        <v>12.78260160934</v>
      </c>
      <c r="G53" s="3">
        <v>17.742928349254999</v>
      </c>
      <c r="H53" s="3">
        <v>12.652958266944299</v>
      </c>
      <c r="I53" s="3">
        <v>20.615539878946901</v>
      </c>
      <c r="J53" s="3">
        <v>17.135498672357201</v>
      </c>
      <c r="K53" s="3">
        <v>13.786372488237999</v>
      </c>
      <c r="L53" s="3">
        <v>15.4390651412967</v>
      </c>
      <c r="M53" s="3">
        <v>14.9522686594712</v>
      </c>
      <c r="N53" s="3">
        <v>11.1889792538667</v>
      </c>
    </row>
    <row r="54" spans="1:14" x14ac:dyDescent="0.35">
      <c r="A54" s="2">
        <v>43462</v>
      </c>
      <c r="B54" s="3">
        <v>22.924821706547501</v>
      </c>
      <c r="C54" s="3">
        <v>14.661089371458299</v>
      </c>
      <c r="D54" s="3">
        <v>13.1506051245164</v>
      </c>
      <c r="E54" s="3">
        <v>12.031992284151601</v>
      </c>
      <c r="F54" s="3">
        <v>11.505685463203401</v>
      </c>
      <c r="G54" s="3">
        <v>16.249928615144398</v>
      </c>
      <c r="H54" s="3">
        <v>11.978381731003701</v>
      </c>
      <c r="I54" s="3">
        <v>18.639662312282699</v>
      </c>
      <c r="J54" s="3">
        <v>15.3994994148198</v>
      </c>
      <c r="K54" s="3">
        <v>12.8117959428372</v>
      </c>
      <c r="L54" s="3">
        <v>14.134725994966599</v>
      </c>
      <c r="M54" s="3">
        <v>13.801462512548801</v>
      </c>
      <c r="N54" s="3">
        <v>10.420962917875499</v>
      </c>
    </row>
    <row r="55" spans="1:14" x14ac:dyDescent="0.35">
      <c r="A55" s="2">
        <v>43494</v>
      </c>
      <c r="B55" s="3">
        <v>23.238557328606699</v>
      </c>
      <c r="C55" s="3">
        <v>15.2374801884914</v>
      </c>
      <c r="D55" s="3">
        <v>14.4850562718873</v>
      </c>
      <c r="E55" s="3">
        <v>12.9114390280699</v>
      </c>
      <c r="F55" s="3">
        <v>12.0416162871618</v>
      </c>
      <c r="G55" s="3">
        <v>17.516045601099499</v>
      </c>
      <c r="H55" s="3">
        <v>12.3526139186566</v>
      </c>
      <c r="I55" s="3">
        <v>19.593662458466302</v>
      </c>
      <c r="J55" s="3">
        <v>16.3121261717659</v>
      </c>
      <c r="K55" s="3">
        <v>13.5801061736455</v>
      </c>
      <c r="L55" s="3">
        <v>15.112589341453599</v>
      </c>
      <c r="M55" s="3">
        <v>16.041285925152</v>
      </c>
      <c r="N55" s="3">
        <v>11.1069665460259</v>
      </c>
    </row>
    <row r="56" spans="1:14" x14ac:dyDescent="0.35">
      <c r="A56" s="2">
        <v>43524</v>
      </c>
      <c r="B56" s="3">
        <v>24.181576055078398</v>
      </c>
      <c r="C56" s="3">
        <v>15.9106076548454</v>
      </c>
      <c r="D56" s="3">
        <v>14.725206183424801</v>
      </c>
      <c r="E56" s="3">
        <v>13.2194048887983</v>
      </c>
      <c r="F56" s="3">
        <v>12.683518082045699</v>
      </c>
      <c r="G56" s="3">
        <v>18.353632933802398</v>
      </c>
      <c r="H56" s="3">
        <v>12.9344829141285</v>
      </c>
      <c r="I56" s="3">
        <v>20.8978946598702</v>
      </c>
      <c r="J56" s="3">
        <v>17.110139692055501</v>
      </c>
      <c r="K56" s="3">
        <v>14.5731947255995</v>
      </c>
      <c r="L56" s="3">
        <v>16.1413693740359</v>
      </c>
      <c r="M56" s="3">
        <v>18.159541093615498</v>
      </c>
      <c r="N56" s="3">
        <v>11.3132451904946</v>
      </c>
    </row>
    <row r="57" spans="1:14" x14ac:dyDescent="0.35">
      <c r="A57" s="2">
        <v>43553</v>
      </c>
      <c r="B57" s="3">
        <v>24.175166501223401</v>
      </c>
      <c r="C57" s="3">
        <v>15.8666437464871</v>
      </c>
      <c r="D57" s="3">
        <v>14.7083814108673</v>
      </c>
      <c r="E57" s="3">
        <v>13.1627985387774</v>
      </c>
      <c r="F57" s="3">
        <v>12.687555236804</v>
      </c>
      <c r="G57" s="3">
        <v>18.2760040041127</v>
      </c>
      <c r="H57" s="3">
        <v>12.947707118204599</v>
      </c>
      <c r="I57" s="3">
        <v>21.030754940942401</v>
      </c>
      <c r="J57" s="3">
        <v>17.136536634805001</v>
      </c>
      <c r="K57" s="3">
        <v>14.543172368441599</v>
      </c>
      <c r="L57" s="3">
        <v>16.150036104812301</v>
      </c>
      <c r="M57" s="3">
        <v>17.839680052769602</v>
      </c>
      <c r="N57" s="3">
        <v>11.324216150149001</v>
      </c>
    </row>
    <row r="58" spans="1:14" x14ac:dyDescent="0.35">
      <c r="A58" s="2">
        <v>43584</v>
      </c>
      <c r="B58" s="3">
        <v>24.206287502630499</v>
      </c>
      <c r="C58" s="3">
        <v>15.891415100285</v>
      </c>
      <c r="D58" s="3">
        <v>14.6523541362338</v>
      </c>
      <c r="E58" s="3">
        <v>13.402403716954799</v>
      </c>
      <c r="F58" s="3">
        <v>12.786152469305801</v>
      </c>
      <c r="G58" s="3">
        <v>18.286410192384299</v>
      </c>
      <c r="H58" s="3">
        <v>13.0022709853524</v>
      </c>
      <c r="I58" s="3">
        <v>21.482896246885399</v>
      </c>
      <c r="J58" s="3">
        <v>17.312748955231498</v>
      </c>
      <c r="K58" s="3">
        <v>14.686285120600701</v>
      </c>
      <c r="L58" s="3">
        <v>16.329451506514701</v>
      </c>
      <c r="M58" s="3">
        <v>17.9546772654055</v>
      </c>
      <c r="N58" s="3">
        <v>11.341703111743</v>
      </c>
    </row>
    <row r="59" spans="1:14" x14ac:dyDescent="0.35">
      <c r="A59" s="2">
        <v>43614</v>
      </c>
      <c r="B59" s="3">
        <v>24.265450743917398</v>
      </c>
      <c r="C59" s="3">
        <v>15.9667925139671</v>
      </c>
      <c r="D59" s="3">
        <v>14.416291957171399</v>
      </c>
      <c r="E59" s="3">
        <v>13.1361696809323</v>
      </c>
      <c r="F59" s="3">
        <v>12.6661563783869</v>
      </c>
      <c r="G59" s="3">
        <v>18.052804106507999</v>
      </c>
      <c r="H59" s="3">
        <v>12.839829514853299</v>
      </c>
      <c r="I59" s="3">
        <v>20.897557735495301</v>
      </c>
      <c r="J59" s="3">
        <v>16.9484130001522</v>
      </c>
      <c r="K59" s="3">
        <v>14.3366696903221</v>
      </c>
      <c r="L59" s="3">
        <v>16.066321280700301</v>
      </c>
      <c r="M59" s="3">
        <v>17.111343056419202</v>
      </c>
      <c r="N59" s="3">
        <v>10.891621310499501</v>
      </c>
    </row>
    <row r="60" spans="1:14" x14ac:dyDescent="0.35">
      <c r="A60" s="2">
        <v>43644</v>
      </c>
      <c r="B60" s="3">
        <v>24.684811192637401</v>
      </c>
      <c r="C60" s="3">
        <v>16.258609830816301</v>
      </c>
      <c r="D60" s="3">
        <v>14.4933225115679</v>
      </c>
      <c r="E60" s="3">
        <v>13.433027933572699</v>
      </c>
      <c r="F60" s="3">
        <v>12.8569130440768</v>
      </c>
      <c r="G60" s="3">
        <v>18.3689302500905</v>
      </c>
      <c r="H60" s="3">
        <v>13.051374320423999</v>
      </c>
      <c r="I60" s="3">
        <v>21.605389697149999</v>
      </c>
      <c r="J60" s="3">
        <v>17.403973650432398</v>
      </c>
      <c r="K60" s="3">
        <v>14.6838894979361</v>
      </c>
      <c r="L60" s="3">
        <v>16.3913612047219</v>
      </c>
      <c r="M60" s="3">
        <v>17.149501751945198</v>
      </c>
      <c r="N60" s="3">
        <v>11.109141201789599</v>
      </c>
    </row>
    <row r="61" spans="1:14" x14ac:dyDescent="0.35">
      <c r="A61" s="2">
        <v>43675</v>
      </c>
      <c r="B61" s="3">
        <v>25.3011340521027</v>
      </c>
      <c r="C61" s="3">
        <v>16.527308302570201</v>
      </c>
      <c r="D61" s="3">
        <v>14.5144473317687</v>
      </c>
      <c r="E61" s="3">
        <v>13.683560846717301</v>
      </c>
      <c r="F61" s="3">
        <v>13.0092835396401</v>
      </c>
      <c r="G61" s="3">
        <v>18.367336713642199</v>
      </c>
      <c r="H61" s="3">
        <v>13.2260837356331</v>
      </c>
      <c r="I61" s="3">
        <v>22.225435465167202</v>
      </c>
      <c r="J61" s="3">
        <v>17.792261353608399</v>
      </c>
      <c r="K61" s="3">
        <v>14.9412919975648</v>
      </c>
      <c r="L61" s="3">
        <v>16.7508368568779</v>
      </c>
      <c r="M61" s="3">
        <v>16.928913202139</v>
      </c>
      <c r="N61" s="3">
        <v>11.265721335080899</v>
      </c>
    </row>
    <row r="62" spans="1:14" x14ac:dyDescent="0.35">
      <c r="A62" s="2">
        <v>43706</v>
      </c>
      <c r="B62" s="3">
        <v>27.6180524236735</v>
      </c>
      <c r="C62" s="3">
        <v>16.249530543814299</v>
      </c>
      <c r="D62" s="3">
        <v>14.421813003017499</v>
      </c>
      <c r="E62" s="3">
        <v>13.518890503231299</v>
      </c>
      <c r="F62" s="3">
        <v>12.7294125330792</v>
      </c>
      <c r="G62" s="3">
        <v>18.2372817421703</v>
      </c>
      <c r="H62" s="3">
        <v>12.7891325764254</v>
      </c>
      <c r="I62" s="3">
        <v>21.8533186493455</v>
      </c>
      <c r="J62" s="3">
        <v>17.521408279488</v>
      </c>
      <c r="K62" s="3">
        <v>14.713465541195401</v>
      </c>
      <c r="L62" s="3">
        <v>16.526079527875702</v>
      </c>
      <c r="M62" s="3">
        <v>15.7954335523062</v>
      </c>
      <c r="N62" s="3">
        <v>11.1152851854124</v>
      </c>
    </row>
    <row r="63" spans="1:14" x14ac:dyDescent="0.35">
      <c r="A63" s="2">
        <v>43735</v>
      </c>
      <c r="B63" s="3">
        <v>28.3667682013023</v>
      </c>
      <c r="C63" s="3">
        <v>16.861405226974199</v>
      </c>
      <c r="D63" s="3">
        <v>14.6756535592106</v>
      </c>
      <c r="E63" s="3">
        <v>14.0483642067835</v>
      </c>
      <c r="F63" s="3">
        <v>13.5013232023661</v>
      </c>
      <c r="G63" s="3">
        <v>18.417292738605699</v>
      </c>
      <c r="H63" s="3">
        <v>13.1976653017587</v>
      </c>
      <c r="I63" s="3">
        <v>21.950209187608699</v>
      </c>
      <c r="J63" s="3">
        <v>17.794849770959001</v>
      </c>
      <c r="K63" s="3">
        <v>15.122583486672101</v>
      </c>
      <c r="L63" s="3">
        <v>17.043682883513998</v>
      </c>
      <c r="M63" s="3">
        <v>16.519287087289701</v>
      </c>
      <c r="N63" s="3">
        <v>11.311892064974099</v>
      </c>
    </row>
    <row r="64" spans="1:14" x14ac:dyDescent="0.35">
      <c r="A64" s="2">
        <v>43767</v>
      </c>
      <c r="B64" s="3">
        <v>28.6950554485386</v>
      </c>
      <c r="C64" s="3">
        <v>17.373249401332099</v>
      </c>
      <c r="D64" s="3">
        <v>14.703038200676099</v>
      </c>
      <c r="E64" s="3">
        <v>14.765497956724801</v>
      </c>
      <c r="F64" s="3">
        <v>14.0585815282535</v>
      </c>
      <c r="G64" s="3">
        <v>18.692996902878001</v>
      </c>
      <c r="H64" s="3">
        <v>13.280664476202</v>
      </c>
      <c r="I64" s="3">
        <v>22.916538640408799</v>
      </c>
      <c r="J64" s="3">
        <v>18.340101104870399</v>
      </c>
      <c r="K64" s="3">
        <v>15.635835915011601</v>
      </c>
      <c r="L64" s="3">
        <v>17.392712640935901</v>
      </c>
      <c r="M64" s="3">
        <v>16.876310970280699</v>
      </c>
      <c r="N64" s="3">
        <v>11.639454372984201</v>
      </c>
    </row>
    <row r="65" spans="1:14" x14ac:dyDescent="0.35">
      <c r="A65" s="2">
        <v>43798</v>
      </c>
      <c r="B65" s="3">
        <v>31.253720314748499</v>
      </c>
      <c r="C65" s="3">
        <v>17.742054422586701</v>
      </c>
      <c r="D65" s="3">
        <v>15.101999632458099</v>
      </c>
      <c r="E65" s="3">
        <v>15.237152155503001</v>
      </c>
      <c r="F65" s="3">
        <v>14.7328737245686</v>
      </c>
      <c r="G65" s="3">
        <v>19.048754682049601</v>
      </c>
      <c r="H65" s="3">
        <v>13.537079612263</v>
      </c>
      <c r="I65" s="3">
        <v>24.162228206776</v>
      </c>
      <c r="J65" s="3">
        <v>19.0907003478438</v>
      </c>
      <c r="K65" s="3">
        <v>16.093314198081899</v>
      </c>
      <c r="L65" s="3">
        <v>18.074696824567301</v>
      </c>
      <c r="M65" s="3">
        <v>15.8831275318796</v>
      </c>
      <c r="N65" s="3">
        <v>11.9159892515684</v>
      </c>
    </row>
    <row r="66" spans="1:14" x14ac:dyDescent="0.35">
      <c r="A66" s="2">
        <v>43826</v>
      </c>
      <c r="B66" s="3">
        <v>32.649818047243301</v>
      </c>
      <c r="C66" s="3">
        <v>18.0649174893238</v>
      </c>
      <c r="D66" s="3">
        <v>15.3465759618884</v>
      </c>
      <c r="E66" s="3">
        <v>15.5547283472162</v>
      </c>
      <c r="F66" s="3">
        <v>15.371724451247299</v>
      </c>
      <c r="G66" s="3">
        <v>19.7716261654978</v>
      </c>
      <c r="H66" s="3">
        <v>14.2298431119256</v>
      </c>
      <c r="I66" s="3">
        <v>25.5340956105812</v>
      </c>
      <c r="J66" s="3">
        <v>19.904822471926501</v>
      </c>
      <c r="K66" s="3">
        <v>16.622265830343999</v>
      </c>
      <c r="L66" s="3">
        <v>18.788398176672398</v>
      </c>
      <c r="M66" s="3">
        <v>16.449545740573299</v>
      </c>
      <c r="N66" s="3">
        <v>12.236921607506901</v>
      </c>
    </row>
    <row r="67" spans="1:14" x14ac:dyDescent="0.35">
      <c r="A67" s="2">
        <v>43859</v>
      </c>
      <c r="B67" s="3">
        <v>32.548646971773799</v>
      </c>
      <c r="C67" s="3">
        <v>18.522988237959002</v>
      </c>
      <c r="D67" s="3">
        <v>15.581070809827599</v>
      </c>
      <c r="E67" s="3">
        <v>15.4653816691164</v>
      </c>
      <c r="F67" s="3">
        <v>15.1531769933045</v>
      </c>
      <c r="G67" s="3">
        <v>20.045845142396399</v>
      </c>
      <c r="H67" s="3">
        <v>14.002424978426101</v>
      </c>
      <c r="I67" s="3">
        <v>26.1091436622057</v>
      </c>
      <c r="J67" s="3">
        <v>20.010629504920701</v>
      </c>
      <c r="K67" s="3">
        <v>16.438887398827099</v>
      </c>
      <c r="L67" s="3">
        <v>18.673072493431501</v>
      </c>
      <c r="M67" s="3">
        <v>14.1297722719964</v>
      </c>
      <c r="N67" s="3">
        <v>12.4302592681293</v>
      </c>
    </row>
    <row r="68" spans="1:14" x14ac:dyDescent="0.35">
      <c r="A68" s="2">
        <v>43889</v>
      </c>
      <c r="B68" s="3">
        <v>31.1164202842496</v>
      </c>
      <c r="C68" s="3">
        <v>16.946384516144999</v>
      </c>
      <c r="D68" s="3">
        <v>14.3479619341519</v>
      </c>
      <c r="E68" s="3">
        <v>14.037558798980401</v>
      </c>
      <c r="F68" s="3">
        <v>13.977459497513101</v>
      </c>
      <c r="G68" s="3">
        <v>18.010310827640598</v>
      </c>
      <c r="H68" s="3">
        <v>12.3306364448541</v>
      </c>
      <c r="I68" s="3">
        <v>23.8036531420065</v>
      </c>
      <c r="J68" s="3">
        <v>17.904501158772099</v>
      </c>
      <c r="K68" s="3">
        <v>14.6441363459583</v>
      </c>
      <c r="L68" s="3">
        <v>17.336755859298499</v>
      </c>
      <c r="M68" s="3">
        <v>12.8819296635769</v>
      </c>
      <c r="N68" s="3">
        <v>11.3567081312941</v>
      </c>
    </row>
    <row r="69" spans="1:14" x14ac:dyDescent="0.35">
      <c r="A69" s="2">
        <v>43917</v>
      </c>
      <c r="B69" s="3">
        <v>30.330586266632601</v>
      </c>
      <c r="C69" s="3">
        <v>16.1583348406845</v>
      </c>
      <c r="D69" s="3">
        <v>14.0306383280526</v>
      </c>
      <c r="E69" s="3">
        <v>13.738110960962899</v>
      </c>
      <c r="F69" s="3">
        <v>13.8489007002888</v>
      </c>
      <c r="G69" s="3">
        <v>17.656942754025899</v>
      </c>
      <c r="H69" s="3">
        <v>12.2224300662222</v>
      </c>
      <c r="I69" s="3">
        <v>23.360727767483201</v>
      </c>
      <c r="J69" s="3">
        <v>17.517803544055699</v>
      </c>
      <c r="K69" s="3">
        <v>14.3441610195966</v>
      </c>
      <c r="L69" s="3">
        <v>16.7781881219891</v>
      </c>
      <c r="M69" s="3">
        <v>12.759855699120999</v>
      </c>
      <c r="N69" s="3">
        <v>11.073265252706699</v>
      </c>
    </row>
    <row r="70" spans="1:14" x14ac:dyDescent="0.35">
      <c r="A70" s="2">
        <v>43950</v>
      </c>
      <c r="B70" s="3">
        <v>31.708147555774001</v>
      </c>
      <c r="C70" s="3">
        <v>17.188573928989001</v>
      </c>
      <c r="D70" s="3">
        <v>15.7410780810271</v>
      </c>
      <c r="E70" s="3">
        <v>15.1193969274634</v>
      </c>
      <c r="F70" s="3">
        <v>14.272287211626701</v>
      </c>
      <c r="G70" s="3">
        <v>18.6529191202244</v>
      </c>
      <c r="H70" s="3">
        <v>13.7181919968241</v>
      </c>
      <c r="I70" s="3">
        <v>25.002955057452599</v>
      </c>
      <c r="J70" s="3">
        <v>19.362231424370002</v>
      </c>
      <c r="K70" s="3">
        <v>15.9010967800056</v>
      </c>
      <c r="L70" s="3">
        <v>17.927965604917802</v>
      </c>
      <c r="M70" s="3">
        <v>14.596573858574599</v>
      </c>
      <c r="N70" s="3">
        <v>12.5449908813885</v>
      </c>
    </row>
    <row r="71" spans="1:14" x14ac:dyDescent="0.35">
      <c r="A71" s="2">
        <v>43980</v>
      </c>
      <c r="B71" s="3">
        <v>32.540046315497399</v>
      </c>
      <c r="C71" s="3">
        <v>17.937792407827001</v>
      </c>
      <c r="D71" s="3">
        <v>17.204524579097001</v>
      </c>
      <c r="E71" s="3">
        <v>16.187456219889601</v>
      </c>
      <c r="F71" s="3">
        <v>15.526214187246801</v>
      </c>
      <c r="G71" s="3">
        <v>19.114820521993401</v>
      </c>
      <c r="H71" s="3">
        <v>14.530672147833201</v>
      </c>
      <c r="I71" s="3">
        <v>26.4841290531288</v>
      </c>
      <c r="J71" s="3">
        <v>20.447382584308301</v>
      </c>
      <c r="K71" s="3">
        <v>16.8652930335017</v>
      </c>
      <c r="L71" s="3">
        <v>18.542995335538599</v>
      </c>
      <c r="M71" s="3">
        <v>15.7768100275779</v>
      </c>
      <c r="N71" s="3">
        <v>14.404691354362701</v>
      </c>
    </row>
    <row r="72" spans="1:14" x14ac:dyDescent="0.35">
      <c r="A72" s="2">
        <v>44011</v>
      </c>
      <c r="B72" s="3">
        <v>32.5329458902903</v>
      </c>
      <c r="C72" s="3">
        <v>18.251138983775</v>
      </c>
      <c r="D72" s="3">
        <v>17.2879474690113</v>
      </c>
      <c r="E72" s="3">
        <v>17.544707162789798</v>
      </c>
      <c r="F72" s="3">
        <v>16.844661250873202</v>
      </c>
      <c r="G72" s="3">
        <v>19.522855621074399</v>
      </c>
      <c r="H72" s="3">
        <v>15.163994775312</v>
      </c>
      <c r="I72" s="3">
        <v>27.369484171079201</v>
      </c>
      <c r="J72" s="3">
        <v>21.031290621684398</v>
      </c>
      <c r="K72" s="3">
        <v>18.4902961534161</v>
      </c>
      <c r="L72" s="3">
        <v>19.464097586985801</v>
      </c>
      <c r="M72" s="3">
        <v>17.253884489636199</v>
      </c>
      <c r="N72" s="3">
        <v>16.327280475584299</v>
      </c>
    </row>
    <row r="73" spans="1:14" x14ac:dyDescent="0.35">
      <c r="A73" s="2">
        <v>44041</v>
      </c>
      <c r="B73" s="3">
        <v>33.550782167330901</v>
      </c>
      <c r="C73" s="3">
        <v>19.094502079276001</v>
      </c>
      <c r="D73" s="3">
        <v>17.946011454910899</v>
      </c>
      <c r="E73" s="3">
        <v>19.000230366562199</v>
      </c>
      <c r="F73" s="3">
        <v>17.686848687759301</v>
      </c>
      <c r="G73" s="3">
        <v>20.2090900483269</v>
      </c>
      <c r="H73" s="3">
        <v>15.717921806635699</v>
      </c>
      <c r="I73" s="3">
        <v>28.8968423917037</v>
      </c>
      <c r="J73" s="3">
        <v>22.2460277136366</v>
      </c>
      <c r="K73" s="3">
        <v>20.459468160074799</v>
      </c>
      <c r="L73" s="3">
        <v>20.352861981327798</v>
      </c>
      <c r="M73" s="3">
        <v>17.2166254318239</v>
      </c>
      <c r="N73" s="3">
        <v>17.699397857151101</v>
      </c>
    </row>
    <row r="74" spans="1:14" x14ac:dyDescent="0.35">
      <c r="A74" s="2">
        <v>44071</v>
      </c>
      <c r="B74" s="3">
        <v>34.506560286679402</v>
      </c>
      <c r="C74" s="3">
        <v>19.8242357548298</v>
      </c>
      <c r="D74" s="3">
        <v>18.395789437747801</v>
      </c>
      <c r="E74" s="3">
        <v>19.977484048461001</v>
      </c>
      <c r="F74" s="3">
        <v>18.693205454629801</v>
      </c>
      <c r="G74" s="3">
        <v>20.618525742278699</v>
      </c>
      <c r="H74" s="3">
        <v>16.5604330774636</v>
      </c>
      <c r="I74" s="3">
        <v>31.223250661675099</v>
      </c>
      <c r="J74" s="3">
        <v>23.6538679236928</v>
      </c>
      <c r="K74" s="3">
        <v>22.6072366656098</v>
      </c>
      <c r="L74" s="3">
        <v>21.27776599445</v>
      </c>
      <c r="M74" s="3">
        <v>17.224569526386201</v>
      </c>
      <c r="N74" s="3">
        <v>17.8040005475175</v>
      </c>
    </row>
    <row r="75" spans="1:14" x14ac:dyDescent="0.35">
      <c r="A75" s="2">
        <v>44103</v>
      </c>
      <c r="B75" s="3">
        <v>33.6679366748454</v>
      </c>
      <c r="C75" s="3">
        <v>19.4229613966267</v>
      </c>
      <c r="D75" s="3">
        <v>18.354516773248001</v>
      </c>
      <c r="E75" s="3">
        <v>20.368676591877399</v>
      </c>
      <c r="F75" s="3">
        <v>20.275710791259101</v>
      </c>
      <c r="G75" s="3">
        <v>20.726785328340998</v>
      </c>
      <c r="H75" s="3">
        <v>16.744876102309501</v>
      </c>
      <c r="I75" s="3">
        <v>30.6166285997889</v>
      </c>
      <c r="J75" s="3">
        <v>23.376313742766499</v>
      </c>
      <c r="K75" s="3">
        <v>23.080306855063899</v>
      </c>
      <c r="L75" s="3">
        <v>21.7863795432275</v>
      </c>
      <c r="M75" s="3">
        <v>18.187949767602799</v>
      </c>
      <c r="N75" s="3">
        <v>18.1124181519946</v>
      </c>
    </row>
    <row r="76" spans="1:14" x14ac:dyDescent="0.35">
      <c r="A76" s="2">
        <v>44133</v>
      </c>
      <c r="B76" s="3">
        <v>35.187822523203998</v>
      </c>
      <c r="C76" s="3">
        <v>19.583760756228799</v>
      </c>
      <c r="D76" s="3">
        <v>18.0598721058882</v>
      </c>
      <c r="E76" s="3">
        <v>18.454888146161998</v>
      </c>
      <c r="F76" s="3">
        <v>20.522865833228099</v>
      </c>
      <c r="G76" s="3">
        <v>19.668745061542101</v>
      </c>
      <c r="H76" s="3">
        <v>15.7338639301187</v>
      </c>
      <c r="I76" s="3">
        <v>31.044364700199999</v>
      </c>
      <c r="J76" s="3">
        <v>23.277794917509699</v>
      </c>
      <c r="K76" s="3">
        <v>22.911359017418</v>
      </c>
      <c r="L76" s="3">
        <v>21.6496242181322</v>
      </c>
      <c r="M76" s="3">
        <v>14.9791604107906</v>
      </c>
      <c r="N76" s="3">
        <v>17.798676641972602</v>
      </c>
    </row>
    <row r="77" spans="1:14" x14ac:dyDescent="0.35">
      <c r="A77" s="2">
        <v>44162</v>
      </c>
      <c r="B77" s="3">
        <v>35.317192153772403</v>
      </c>
      <c r="C77" s="3">
        <v>22.2236447314244</v>
      </c>
      <c r="D77" s="3">
        <v>19.968334639063801</v>
      </c>
      <c r="E77" s="3">
        <v>21.779267319593401</v>
      </c>
      <c r="F77" s="3">
        <v>22.786798433702199</v>
      </c>
      <c r="G77" s="3">
        <v>21.3947244321635</v>
      </c>
      <c r="H77" s="3">
        <v>18.644259925054801</v>
      </c>
      <c r="I77" s="3">
        <v>33.047506609111998</v>
      </c>
      <c r="J77" s="3">
        <v>25.377006459160999</v>
      </c>
      <c r="K77" s="3">
        <v>28.156052576449401</v>
      </c>
      <c r="L77" s="3">
        <v>25.2124997430295</v>
      </c>
      <c r="M77" s="3">
        <v>16.9423526935777</v>
      </c>
      <c r="N77" s="3">
        <v>22.070954228170201</v>
      </c>
    </row>
    <row r="78" spans="1:14" x14ac:dyDescent="0.35">
      <c r="A78" s="2">
        <v>44194</v>
      </c>
      <c r="B78" s="3">
        <v>38.476766100321598</v>
      </c>
      <c r="C78" s="3">
        <v>23.2287991643691</v>
      </c>
      <c r="D78" s="3">
        <v>20.484392587320301</v>
      </c>
      <c r="E78" s="3">
        <v>22.1024897534218</v>
      </c>
      <c r="F78" s="3">
        <v>23.715639197806301</v>
      </c>
      <c r="G78" s="3">
        <v>21.981946986139999</v>
      </c>
      <c r="H78" s="3">
        <v>19.993542480216501</v>
      </c>
      <c r="I78" s="3">
        <v>35.067154550864601</v>
      </c>
      <c r="J78" s="3">
        <v>27.169969513381201</v>
      </c>
      <c r="K78" s="3">
        <v>29.1094623702569</v>
      </c>
      <c r="L78" s="3">
        <v>27.408999612530099</v>
      </c>
      <c r="M78" s="3">
        <v>17.4140597345515</v>
      </c>
      <c r="N78" s="3">
        <v>23.379416038047498</v>
      </c>
    </row>
    <row r="79" spans="1:14" x14ac:dyDescent="0.35">
      <c r="A79" s="2">
        <v>44225</v>
      </c>
      <c r="B79" s="3">
        <v>37.134625951164701</v>
      </c>
      <c r="C79" s="3">
        <v>22.412023804422901</v>
      </c>
      <c r="D79" s="3">
        <v>20.1128469764759</v>
      </c>
      <c r="E79" s="3">
        <v>20.743972369763402</v>
      </c>
      <c r="F79" s="3">
        <v>22.9628108870217</v>
      </c>
      <c r="G79" s="3">
        <v>21.057969770761598</v>
      </c>
      <c r="H79" s="3">
        <v>19.039072175626998</v>
      </c>
      <c r="I79" s="3">
        <v>34.116379370241297</v>
      </c>
      <c r="J79" s="3">
        <v>26.2991881714123</v>
      </c>
      <c r="K79" s="3">
        <v>27.281685214283399</v>
      </c>
      <c r="L79" s="3">
        <v>27.2024334193557</v>
      </c>
      <c r="M79" s="3">
        <v>17.880078616284301</v>
      </c>
      <c r="N79" s="3">
        <v>20.223415982666101</v>
      </c>
    </row>
    <row r="80" spans="1:14" x14ac:dyDescent="0.35">
      <c r="A80" s="2">
        <v>44253</v>
      </c>
      <c r="B80" s="3">
        <v>34.343740925786598</v>
      </c>
      <c r="C80" s="3">
        <v>21.803472996914799</v>
      </c>
      <c r="D80" s="3">
        <v>19.9904739717302</v>
      </c>
      <c r="E80" s="3">
        <v>20.295086301686101</v>
      </c>
      <c r="F80" s="3">
        <v>21.6770992801852</v>
      </c>
      <c r="G80" s="3">
        <v>20.482314389170899</v>
      </c>
      <c r="H80" s="3">
        <v>18.808343681970999</v>
      </c>
      <c r="I80" s="3">
        <v>32.945700761879102</v>
      </c>
      <c r="J80" s="3">
        <v>26.293169397588699</v>
      </c>
      <c r="K80" s="3">
        <v>27.0710572154549</v>
      </c>
      <c r="L80" s="3">
        <v>28.983305238102801</v>
      </c>
      <c r="M80" s="3">
        <v>17.560412932187599</v>
      </c>
      <c r="N80" s="3">
        <v>20.352573516655301</v>
      </c>
    </row>
    <row r="81" spans="1:14" x14ac:dyDescent="0.35">
      <c r="A81" s="2">
        <v>44284</v>
      </c>
      <c r="B81" s="3">
        <v>34.421789353411597</v>
      </c>
      <c r="C81" s="3">
        <v>21.348769353400701</v>
      </c>
      <c r="D81" s="3">
        <v>19.5972303493167</v>
      </c>
      <c r="E81" s="3">
        <v>20.029132102479799</v>
      </c>
      <c r="F81" s="3">
        <v>21.418174100038598</v>
      </c>
      <c r="G81" s="3">
        <v>20.4534914808584</v>
      </c>
      <c r="H81" s="3">
        <v>18.3159250147562</v>
      </c>
      <c r="I81" s="3">
        <v>32.525700278639398</v>
      </c>
      <c r="J81" s="3">
        <v>26.031626105763301</v>
      </c>
      <c r="K81" s="3">
        <v>26.344324747340199</v>
      </c>
      <c r="L81" s="3">
        <v>28.560470415872999</v>
      </c>
      <c r="M81" s="3">
        <v>18.090901469546498</v>
      </c>
      <c r="N81" s="3">
        <v>19.8113155156551</v>
      </c>
    </row>
    <row r="82" spans="1:14" x14ac:dyDescent="0.35">
      <c r="A82" s="2">
        <v>44315</v>
      </c>
      <c r="B82" s="3">
        <v>34.602072178585601</v>
      </c>
      <c r="C82" s="3">
        <v>21.080955130092399</v>
      </c>
      <c r="D82" s="3">
        <v>19.286884008232899</v>
      </c>
      <c r="E82" s="3">
        <v>19.430232058696699</v>
      </c>
      <c r="F82" s="3">
        <v>20.7751518729489</v>
      </c>
      <c r="G82" s="3">
        <v>20.162169737436699</v>
      </c>
      <c r="H82" s="3">
        <v>17.706449981012199</v>
      </c>
      <c r="I82" s="3">
        <v>32.294303739080199</v>
      </c>
      <c r="J82" s="3">
        <v>25.681283548762099</v>
      </c>
      <c r="K82" s="3">
        <v>25.533729057435199</v>
      </c>
      <c r="L82" s="3">
        <v>27.976813581961402</v>
      </c>
      <c r="M82" s="3">
        <v>17.904753061284101</v>
      </c>
      <c r="N82" s="3">
        <v>19.140761011461802</v>
      </c>
    </row>
    <row r="83" spans="1:14" x14ac:dyDescent="0.35">
      <c r="A83" s="2">
        <v>44344</v>
      </c>
      <c r="B83" s="3">
        <v>34.852357173854898</v>
      </c>
      <c r="C83" s="3">
        <v>20.740873165551701</v>
      </c>
      <c r="D83" s="3">
        <v>18.835578146848</v>
      </c>
      <c r="E83" s="3">
        <v>18.879386113349302</v>
      </c>
      <c r="F83" s="3">
        <v>20.359431774132101</v>
      </c>
      <c r="G83" s="3">
        <v>20.622709259313599</v>
      </c>
      <c r="H83" s="3">
        <v>17.1742917334659</v>
      </c>
      <c r="I83" s="3">
        <v>31.5157305699435</v>
      </c>
      <c r="J83" s="3">
        <v>25.1175797905106</v>
      </c>
      <c r="K83" s="3">
        <v>24.709766162256098</v>
      </c>
      <c r="L83" s="3">
        <v>27.118992173099201</v>
      </c>
      <c r="M83" s="3">
        <v>17.760991863714501</v>
      </c>
      <c r="N83" s="3">
        <v>18.636459448785001</v>
      </c>
    </row>
    <row r="84" spans="1:14" x14ac:dyDescent="0.35">
      <c r="A84" s="2">
        <v>44376</v>
      </c>
      <c r="B84" s="3">
        <v>36.076716865281497</v>
      </c>
      <c r="C84" s="3">
        <v>20.004135693388498</v>
      </c>
      <c r="D84" s="3">
        <v>18.473422676665201</v>
      </c>
      <c r="E84" s="3">
        <v>18.4249803462471</v>
      </c>
      <c r="F84" s="3">
        <v>19.819055728357</v>
      </c>
      <c r="G84" s="3">
        <v>20.958434264745101</v>
      </c>
      <c r="H84" s="3">
        <v>16.4353800063626</v>
      </c>
      <c r="I84" s="3">
        <v>31.9057690717074</v>
      </c>
      <c r="J84" s="3">
        <v>24.830376448598301</v>
      </c>
      <c r="K84" s="3">
        <v>23.726490813119899</v>
      </c>
      <c r="L84" s="3">
        <v>26.701725510215098</v>
      </c>
      <c r="M84" s="3">
        <v>17.999593510351701</v>
      </c>
      <c r="N84" s="3">
        <v>18.074472278977499</v>
      </c>
    </row>
    <row r="85" spans="1:14" x14ac:dyDescent="0.35">
      <c r="A85" s="2">
        <v>44406</v>
      </c>
      <c r="B85" s="3">
        <v>36.5669282873246</v>
      </c>
      <c r="C85" s="3">
        <v>19.2911895708631</v>
      </c>
      <c r="D85" s="3">
        <v>17.850786542494301</v>
      </c>
      <c r="E85" s="3">
        <v>17.638510912279301</v>
      </c>
      <c r="F85" s="3">
        <v>19.1609402776708</v>
      </c>
      <c r="G85" s="3">
        <v>20.896003940034099</v>
      </c>
      <c r="H85" s="3">
        <v>15.5722666716362</v>
      </c>
      <c r="I85" s="3">
        <v>31.549052829686602</v>
      </c>
      <c r="J85" s="3">
        <v>24.280696710370599</v>
      </c>
      <c r="K85" s="3">
        <v>22.457372444149801</v>
      </c>
      <c r="L85" s="3">
        <v>26.337545495828198</v>
      </c>
      <c r="M85" s="3">
        <v>17.570310918602399</v>
      </c>
      <c r="N85" s="3">
        <v>17.3983841935048</v>
      </c>
    </row>
    <row r="86" spans="1:14" x14ac:dyDescent="0.35">
      <c r="A86" s="2">
        <v>44435</v>
      </c>
      <c r="B86" s="3">
        <v>37.922882961744698</v>
      </c>
      <c r="C86" s="3">
        <v>19.109966525423101</v>
      </c>
      <c r="D86" s="3">
        <v>17.269850977919699</v>
      </c>
      <c r="E86" s="3">
        <v>16.9936260460474</v>
      </c>
      <c r="F86" s="3">
        <v>18.300711447691</v>
      </c>
      <c r="G86" s="3">
        <v>21.230427356721201</v>
      </c>
      <c r="H86" s="3">
        <v>14.8130755698662</v>
      </c>
      <c r="I86" s="3">
        <v>31.593722149460099</v>
      </c>
      <c r="J86" s="3">
        <v>24.012984989618801</v>
      </c>
      <c r="K86" s="3">
        <v>21.1628647537208</v>
      </c>
      <c r="L86" s="3">
        <v>26.0662196061201</v>
      </c>
      <c r="M86" s="3">
        <v>17.540125372341102</v>
      </c>
      <c r="N86" s="3">
        <v>15.788278203871201</v>
      </c>
    </row>
    <row r="87" spans="1:14" x14ac:dyDescent="0.35">
      <c r="A87" s="2">
        <v>44468</v>
      </c>
      <c r="B87" s="3">
        <v>38.5296768639937</v>
      </c>
      <c r="C87" s="3">
        <v>18.240993610483301</v>
      </c>
      <c r="D87" s="3">
        <v>16.435122015860099</v>
      </c>
      <c r="E87" s="3">
        <v>16.004775289976799</v>
      </c>
      <c r="F87" s="3">
        <v>18.185953749688402</v>
      </c>
      <c r="G87" s="3">
        <v>20.0601012799142</v>
      </c>
      <c r="H87" s="3">
        <v>13.976431761418301</v>
      </c>
      <c r="I87" s="3">
        <v>30.345794946695602</v>
      </c>
      <c r="J87" s="3">
        <v>23.111851343953798</v>
      </c>
      <c r="K87" s="3">
        <v>19.686815008665899</v>
      </c>
      <c r="L87" s="3">
        <v>24.4678075502536</v>
      </c>
      <c r="M87" s="3">
        <v>16.9402892981383</v>
      </c>
      <c r="N87" s="3">
        <v>14.7482677299391</v>
      </c>
    </row>
    <row r="88" spans="1:14" x14ac:dyDescent="0.35">
      <c r="A88" s="2">
        <v>44498</v>
      </c>
      <c r="B88" s="3">
        <v>39.2928678220484</v>
      </c>
      <c r="C88" s="3">
        <v>18.5560764677824</v>
      </c>
      <c r="D88" s="3">
        <v>16.6269099007365</v>
      </c>
      <c r="E88" s="3">
        <v>15.614608061315099</v>
      </c>
      <c r="F88" s="3">
        <v>17.4988758558058</v>
      </c>
      <c r="G88" s="3">
        <v>20.650589431283201</v>
      </c>
      <c r="H88" s="3">
        <v>13.621667442962901</v>
      </c>
      <c r="I88" s="3">
        <v>31.459124980852401</v>
      </c>
      <c r="J88" s="3">
        <v>23.3454320268327</v>
      </c>
      <c r="K88" s="3">
        <v>18.835001867085101</v>
      </c>
      <c r="L88" s="3">
        <v>24.664451162831998</v>
      </c>
      <c r="M88" s="3">
        <v>16.425730212588999</v>
      </c>
      <c r="N88" s="3">
        <v>14.2235277460482</v>
      </c>
    </row>
    <row r="89" spans="1:14" x14ac:dyDescent="0.35">
      <c r="A89" s="2">
        <v>44529</v>
      </c>
      <c r="B89" s="3">
        <v>37.678465058529198</v>
      </c>
      <c r="C89" s="3">
        <v>17.511318602561801</v>
      </c>
      <c r="D89" s="3">
        <v>15.898398612511899</v>
      </c>
      <c r="E89" s="3">
        <v>14.278988295446</v>
      </c>
      <c r="F89" s="3">
        <v>16.543720761855301</v>
      </c>
      <c r="G89" s="3">
        <v>20.422833522673201</v>
      </c>
      <c r="H89" s="3">
        <v>12.559552171716501</v>
      </c>
      <c r="I89" s="3">
        <v>32.107497896271198</v>
      </c>
      <c r="J89" s="3">
        <v>23.055970075032398</v>
      </c>
      <c r="K89" s="3">
        <v>17.357798364988302</v>
      </c>
      <c r="L89" s="3">
        <v>23.017945987024401</v>
      </c>
      <c r="M89" s="3">
        <v>16.509361382477</v>
      </c>
      <c r="N89" s="3">
        <v>12.715405308538701</v>
      </c>
    </row>
    <row r="90" spans="1:14" x14ac:dyDescent="0.35">
      <c r="A90" s="2">
        <v>44559</v>
      </c>
      <c r="B90" s="3">
        <v>39.184513569774097</v>
      </c>
      <c r="C90" s="3">
        <v>17.984988231511998</v>
      </c>
      <c r="D90" s="3">
        <v>15.510907073618499</v>
      </c>
      <c r="E90" s="3">
        <v>14.164792146425</v>
      </c>
      <c r="F90" s="3">
        <v>16.205243829504699</v>
      </c>
      <c r="G90" s="3">
        <v>21.732955787581599</v>
      </c>
      <c r="H90" s="3">
        <v>12.467455936839</v>
      </c>
      <c r="I90" s="3">
        <v>32.238211193214397</v>
      </c>
      <c r="J90" s="3">
        <v>23.3890702013022</v>
      </c>
      <c r="K90" s="3">
        <v>17.295343860726501</v>
      </c>
      <c r="L90" s="3">
        <v>22.7615484583716</v>
      </c>
      <c r="M90" s="3">
        <v>16.894264279808102</v>
      </c>
      <c r="N90" s="3">
        <v>12.118858862798801</v>
      </c>
    </row>
    <row r="91" spans="1:14" x14ac:dyDescent="0.35">
      <c r="A91" s="2">
        <v>44589</v>
      </c>
      <c r="B91" s="3">
        <v>35.9252840202751</v>
      </c>
      <c r="C91" s="3">
        <v>16.5087695489396</v>
      </c>
      <c r="D91" s="3">
        <v>15.016336140133101</v>
      </c>
      <c r="E91" s="3">
        <v>13.4795741608987</v>
      </c>
      <c r="F91" s="3">
        <v>14.972903520758001</v>
      </c>
      <c r="G91" s="3">
        <v>19.837087521728801</v>
      </c>
      <c r="H91" s="3">
        <v>12.517728778985299</v>
      </c>
      <c r="I91" s="3">
        <v>27.800887711800701</v>
      </c>
      <c r="J91" s="3">
        <v>21.397482607320601</v>
      </c>
      <c r="K91" s="3">
        <v>16.207050618984798</v>
      </c>
      <c r="L91" s="3">
        <v>20.1757932498599</v>
      </c>
      <c r="M91" s="3">
        <v>11.9905119710736</v>
      </c>
      <c r="N91" s="3">
        <v>11.7300894184922</v>
      </c>
    </row>
    <row r="92" spans="1:14" x14ac:dyDescent="0.35">
      <c r="A92" s="2">
        <v>44620</v>
      </c>
      <c r="B92" s="3">
        <v>35.2856899235504</v>
      </c>
      <c r="C92" s="3">
        <v>15.6714131906656</v>
      </c>
      <c r="D92" s="3">
        <v>15.248970840991699</v>
      </c>
      <c r="E92" s="3">
        <v>12.5328882361799</v>
      </c>
      <c r="F92" s="3">
        <v>14.7535764117931</v>
      </c>
      <c r="G92" s="3">
        <v>18.497536832784998</v>
      </c>
      <c r="H92" s="3">
        <v>12.549792914583399</v>
      </c>
      <c r="I92" s="3">
        <v>26.702801829923398</v>
      </c>
      <c r="J92" s="3">
        <v>20.718447863119898</v>
      </c>
      <c r="K92" s="3">
        <v>15.4793464797258</v>
      </c>
      <c r="L92" s="3">
        <v>18.3316789033893</v>
      </c>
      <c r="M92" s="3">
        <v>11.655236619682601</v>
      </c>
      <c r="N92" s="3">
        <v>10.6475829192046</v>
      </c>
    </row>
    <row r="93" spans="1:14" x14ac:dyDescent="0.35">
      <c r="A93" s="2">
        <v>44649</v>
      </c>
      <c r="B93" s="3">
        <v>35.050546800638102</v>
      </c>
      <c r="C93" s="3">
        <v>15.8160773664</v>
      </c>
      <c r="D93" s="3">
        <v>15.0925888368124</v>
      </c>
      <c r="E93" s="3">
        <v>12.540044718313901</v>
      </c>
      <c r="F93" s="3">
        <v>14.709742462324201</v>
      </c>
      <c r="G93" s="3">
        <v>18.635226208317</v>
      </c>
      <c r="H93" s="3">
        <v>12.3330628527293</v>
      </c>
      <c r="I93" s="3">
        <v>27.009758174017101</v>
      </c>
      <c r="J93" s="3">
        <v>20.820640593786599</v>
      </c>
      <c r="K93" s="3">
        <v>15.3320251488491</v>
      </c>
      <c r="L93" s="3">
        <v>18.665542490969599</v>
      </c>
      <c r="M93" s="3">
        <v>12.103476714853899</v>
      </c>
      <c r="N93" s="3">
        <v>10.578645980567</v>
      </c>
    </row>
    <row r="94" spans="1:14" x14ac:dyDescent="0.35">
      <c r="A94" s="2">
        <v>44680</v>
      </c>
      <c r="B94" s="3">
        <v>34.610089000813502</v>
      </c>
      <c r="C94" s="3">
        <v>15.4451641663444</v>
      </c>
      <c r="D94" s="3">
        <v>14.6000199213932</v>
      </c>
      <c r="E94" s="3">
        <v>12.266386529839499</v>
      </c>
      <c r="F94" s="3">
        <v>14.357138552426299</v>
      </c>
      <c r="G94" s="3">
        <v>18.525233793317302</v>
      </c>
      <c r="H94" s="3">
        <v>12.0619436134442</v>
      </c>
      <c r="I94" s="3">
        <v>25.824998975186801</v>
      </c>
      <c r="J94" s="3">
        <v>20.0247566197936</v>
      </c>
      <c r="K94" s="3">
        <v>14.867888338855501</v>
      </c>
      <c r="L94" s="3">
        <v>18.3036541239359</v>
      </c>
      <c r="M94" s="3">
        <v>12.2495902206745</v>
      </c>
      <c r="N94" s="3">
        <v>10.4148019498813</v>
      </c>
    </row>
    <row r="95" spans="1:14" x14ac:dyDescent="0.35">
      <c r="A95" s="2">
        <v>44708</v>
      </c>
      <c r="B95" s="3">
        <v>33.673016809890797</v>
      </c>
      <c r="C95" s="3">
        <v>15.064743470367601</v>
      </c>
      <c r="D95" s="3">
        <v>14.3362577197463</v>
      </c>
      <c r="E95" s="3">
        <v>12.131858299762399</v>
      </c>
      <c r="F95" s="3">
        <v>14.1735912290766</v>
      </c>
      <c r="G95" s="3">
        <v>18.252104237485501</v>
      </c>
      <c r="H95" s="3">
        <v>11.7889356226987</v>
      </c>
      <c r="I95" s="3">
        <v>25.411366301093</v>
      </c>
      <c r="J95" s="3">
        <v>19.821781196693401</v>
      </c>
      <c r="K95" s="3">
        <v>14.441173356958799</v>
      </c>
      <c r="L95" s="3">
        <v>18.509684899321599</v>
      </c>
      <c r="M95" s="3">
        <v>13.676547167951201</v>
      </c>
      <c r="N95" s="3">
        <v>10.131362727942101</v>
      </c>
    </row>
    <row r="96" spans="1:14" x14ac:dyDescent="0.35">
      <c r="A96" s="2">
        <v>44741</v>
      </c>
      <c r="B96" s="3">
        <v>33.026014321905002</v>
      </c>
      <c r="C96" s="3">
        <v>14.229459156002701</v>
      </c>
      <c r="D96" s="3">
        <v>13.507910950746901</v>
      </c>
      <c r="E96" s="3">
        <v>11.4863075331315</v>
      </c>
      <c r="F96" s="3">
        <v>13.934402562493901</v>
      </c>
      <c r="G96" s="3">
        <v>17.644937791986901</v>
      </c>
      <c r="H96" s="3">
        <v>11.303799103435299</v>
      </c>
      <c r="I96" s="3">
        <v>24.208012756865902</v>
      </c>
      <c r="J96" s="3">
        <v>18.828272838191701</v>
      </c>
      <c r="K96" s="3">
        <v>13.663340005840601</v>
      </c>
      <c r="L96" s="3">
        <v>18.1613835959553</v>
      </c>
      <c r="M96" s="3">
        <v>13.3867029210081</v>
      </c>
      <c r="N96" s="3">
        <v>9.4345352887076803</v>
      </c>
    </row>
    <row r="97" spans="1:14" x14ac:dyDescent="0.35">
      <c r="A97" s="2">
        <v>44771</v>
      </c>
      <c r="B97" s="3">
        <v>33.151736890498803</v>
      </c>
      <c r="C97" s="3">
        <v>14.5092909327015</v>
      </c>
      <c r="D97" s="3">
        <v>13.359082815033</v>
      </c>
      <c r="E97" s="3">
        <v>11.495285103017499</v>
      </c>
      <c r="F97" s="3">
        <v>13.9346950190429</v>
      </c>
      <c r="G97" s="3">
        <v>18.3072357900102</v>
      </c>
      <c r="H97" s="3">
        <v>11.028218984531399</v>
      </c>
      <c r="I97" s="3">
        <v>25.661844939708001</v>
      </c>
      <c r="J97" s="3">
        <v>19.3722304086352</v>
      </c>
      <c r="K97" s="3">
        <v>13.4084060006308</v>
      </c>
      <c r="L97" s="3">
        <v>19.6804755326635</v>
      </c>
      <c r="M97" s="3">
        <v>14.734059264034</v>
      </c>
      <c r="N97" s="3">
        <v>8.9997182757172993</v>
      </c>
    </row>
    <row r="98" spans="1:14" x14ac:dyDescent="0.35">
      <c r="A98" s="2">
        <v>44802</v>
      </c>
      <c r="B98" s="3">
        <v>34.207658276063</v>
      </c>
      <c r="C98" s="3">
        <v>14.3954358429505</v>
      </c>
      <c r="D98" s="3">
        <v>13.0411276007626</v>
      </c>
      <c r="E98" s="3">
        <v>10.7206151879967</v>
      </c>
      <c r="F98" s="3">
        <v>13.7759908727508</v>
      </c>
      <c r="G98" s="3">
        <v>17.921954897691599</v>
      </c>
      <c r="H98" s="3">
        <v>10.4693095206229</v>
      </c>
      <c r="I98" s="3">
        <v>25.0478814255614</v>
      </c>
      <c r="J98" s="3">
        <v>18.8942899266669</v>
      </c>
      <c r="K98" s="3">
        <v>12.631572016692299</v>
      </c>
      <c r="L98" s="3">
        <v>18.831898901323601</v>
      </c>
      <c r="M98" s="3">
        <v>14.480638593051699</v>
      </c>
      <c r="N98" s="3">
        <v>8.3913347026396004</v>
      </c>
    </row>
    <row r="99" spans="1:14" x14ac:dyDescent="0.35">
      <c r="A99" s="2">
        <v>44833</v>
      </c>
      <c r="B99" s="3">
        <v>32.0475885492217</v>
      </c>
      <c r="C99" s="3">
        <v>13.364599240547401</v>
      </c>
      <c r="D99" s="3">
        <v>12.1836645984848</v>
      </c>
      <c r="E99" s="3">
        <v>10.041050088435799</v>
      </c>
      <c r="F99" s="3">
        <v>13.1199383640511</v>
      </c>
      <c r="G99" s="3">
        <v>16.803866551712598</v>
      </c>
      <c r="H99" s="3">
        <v>9.4305769826745909</v>
      </c>
      <c r="I99" s="3">
        <v>22.9442364501996</v>
      </c>
      <c r="J99" s="3">
        <v>17.442091289629001</v>
      </c>
      <c r="K99" s="3">
        <v>11.3675648377145</v>
      </c>
      <c r="L99" s="3">
        <v>17.035283751939701</v>
      </c>
      <c r="M99" s="3">
        <v>14.0445348004802</v>
      </c>
      <c r="N99" s="3">
        <v>7.9217786890925304</v>
      </c>
    </row>
    <row r="100" spans="1:14" x14ac:dyDescent="0.35">
      <c r="A100" s="2">
        <v>44862</v>
      </c>
      <c r="B100" s="3">
        <v>31.160339972881101</v>
      </c>
      <c r="C100" s="3">
        <v>13.446978581985601</v>
      </c>
      <c r="D100" s="3">
        <v>12.5532228767837</v>
      </c>
      <c r="E100" s="3">
        <v>10.509548552705001</v>
      </c>
      <c r="F100" s="3">
        <v>13.1162985309241</v>
      </c>
      <c r="G100" s="3">
        <v>17.823564031827601</v>
      </c>
      <c r="H100" s="3">
        <v>9.5592018457337993</v>
      </c>
      <c r="I100" s="3">
        <v>23.541200838910001</v>
      </c>
      <c r="J100" s="3">
        <v>18.202967309313401</v>
      </c>
      <c r="K100" s="3">
        <v>11.8384112510001</v>
      </c>
      <c r="L100" s="3">
        <v>18.108690077509799</v>
      </c>
      <c r="M100" s="3">
        <v>13.436156087155601</v>
      </c>
      <c r="N100" s="3">
        <v>8.1181221994557902</v>
      </c>
    </row>
    <row r="101" spans="1:14" x14ac:dyDescent="0.35">
      <c r="A101" s="2">
        <v>44894</v>
      </c>
      <c r="B101" s="3">
        <v>30.0396210906062</v>
      </c>
      <c r="C101" s="3">
        <v>14.394918746294399</v>
      </c>
      <c r="D101" s="3">
        <v>12.6796852476804</v>
      </c>
      <c r="E101" s="3">
        <v>11.046576949960601</v>
      </c>
      <c r="F101" s="3">
        <v>13.536709004391801</v>
      </c>
      <c r="G101" s="3">
        <v>19.509302154145299</v>
      </c>
      <c r="H101" s="3">
        <v>9.8316917050767696</v>
      </c>
      <c r="I101" s="3">
        <v>23.170831915378901</v>
      </c>
      <c r="J101" s="3">
        <v>18.163373401493299</v>
      </c>
      <c r="K101" s="3">
        <v>12.0930440628262</v>
      </c>
      <c r="L101" s="3">
        <v>18.571931464825202</v>
      </c>
      <c r="M101" s="3">
        <v>14.2042674119078</v>
      </c>
      <c r="N101" s="3">
        <v>8.0303180047095903</v>
      </c>
    </row>
    <row r="102" spans="1:14" x14ac:dyDescent="0.35">
      <c r="A102" s="2">
        <v>44924</v>
      </c>
      <c r="B102" s="3">
        <v>29.2983499603626</v>
      </c>
      <c r="C102" s="3">
        <v>14.0093594396004</v>
      </c>
      <c r="D102" s="3">
        <v>12.1232651471646</v>
      </c>
      <c r="E102" s="3">
        <v>10.562854665938699</v>
      </c>
      <c r="F102" s="3">
        <v>12.7940411131398</v>
      </c>
      <c r="G102" s="3">
        <v>20.312729929072098</v>
      </c>
      <c r="H102" s="3">
        <v>9.6527726791989998</v>
      </c>
      <c r="I102" s="3">
        <v>22.761796285457901</v>
      </c>
      <c r="J102" s="3">
        <v>17.463210664175101</v>
      </c>
      <c r="K102" s="3">
        <v>11.701269914468099</v>
      </c>
      <c r="L102" s="3">
        <v>17.943897130632902</v>
      </c>
      <c r="M102" s="3">
        <v>15.6850845640333</v>
      </c>
      <c r="N102" s="3">
        <v>7.49673666392136</v>
      </c>
    </row>
    <row r="103" spans="1:14" x14ac:dyDescent="0.35">
      <c r="A103" s="2">
        <v>44953</v>
      </c>
      <c r="B103" s="3">
        <v>29.913517302316901</v>
      </c>
      <c r="C103" s="3">
        <v>14.9598157496564</v>
      </c>
      <c r="D103" s="3">
        <v>12.886890557934301</v>
      </c>
      <c r="E103" s="3">
        <v>11.4600910640014</v>
      </c>
      <c r="F103" s="3">
        <v>13.495202026473899</v>
      </c>
      <c r="G103" s="3">
        <v>21.145645125801298</v>
      </c>
      <c r="H103" s="3">
        <v>10.149659536767199</v>
      </c>
      <c r="I103" s="3">
        <v>25.234562918474101</v>
      </c>
      <c r="J103" s="3">
        <v>18.499890729142098</v>
      </c>
      <c r="K103" s="3">
        <v>12.878282808689301</v>
      </c>
      <c r="L103" s="3">
        <v>19.580126769127499</v>
      </c>
      <c r="M103" s="3">
        <v>24.813332195673301</v>
      </c>
      <c r="N103" s="3">
        <v>8.1357125415070293</v>
      </c>
    </row>
    <row r="104" spans="1:14" x14ac:dyDescent="0.35">
      <c r="A104" s="2">
        <v>44985</v>
      </c>
      <c r="B104" s="3">
        <v>29.610772854311499</v>
      </c>
      <c r="C104" s="3">
        <v>14.2663938470017</v>
      </c>
      <c r="D104" s="3">
        <v>12.5722768144174</v>
      </c>
      <c r="E104" s="3">
        <v>11.346329334536801</v>
      </c>
      <c r="F104" s="3">
        <v>13.6544225344261</v>
      </c>
      <c r="G104" s="3">
        <v>20.699820024403699</v>
      </c>
      <c r="H104" s="3">
        <v>10.254245353330401</v>
      </c>
      <c r="I104" s="3">
        <v>25.242663218089501</v>
      </c>
      <c r="J104" s="3">
        <v>18.0557703029734</v>
      </c>
      <c r="K104" s="3">
        <v>12.9007030112978</v>
      </c>
      <c r="L104" s="3">
        <v>20.653168537949501</v>
      </c>
      <c r="M104" s="3">
        <v>25.6790377823522</v>
      </c>
      <c r="N104" s="3">
        <v>8.2291258731889592</v>
      </c>
    </row>
    <row r="105" spans="1:14" x14ac:dyDescent="0.35">
      <c r="A105" s="2">
        <v>45014</v>
      </c>
      <c r="B105" s="3">
        <v>28.914915625352702</v>
      </c>
      <c r="C105" s="3">
        <v>14.167726723739801</v>
      </c>
      <c r="D105" s="3">
        <v>12.5942592166376</v>
      </c>
      <c r="E105" s="3">
        <v>11.3264560851669</v>
      </c>
      <c r="F105" s="3">
        <v>13.634661836436701</v>
      </c>
      <c r="G105" s="3">
        <v>20.387327555812501</v>
      </c>
      <c r="H105" s="3">
        <v>10.2254692930894</v>
      </c>
      <c r="I105" s="3">
        <v>25.514665007926801</v>
      </c>
      <c r="J105" s="3">
        <v>18.120840993173299</v>
      </c>
      <c r="K105" s="3">
        <v>12.9244305014328</v>
      </c>
      <c r="L105" s="3">
        <v>20.295873358430399</v>
      </c>
      <c r="M105" s="3">
        <v>24.4215121745004</v>
      </c>
      <c r="N105" s="3">
        <v>8.2755818097244802</v>
      </c>
    </row>
    <row r="106" spans="1:14" x14ac:dyDescent="0.35">
      <c r="A106" s="2">
        <v>45044</v>
      </c>
      <c r="B106" s="3">
        <v>28.5523055121322</v>
      </c>
      <c r="C106" s="3">
        <v>14.3273091999696</v>
      </c>
      <c r="D106" s="3">
        <v>12.8217551200811</v>
      </c>
      <c r="E106" s="3">
        <v>11.4300404391818</v>
      </c>
      <c r="F106" s="3">
        <v>13.756685314617201</v>
      </c>
      <c r="G106" s="3">
        <v>20.3020936492928</v>
      </c>
      <c r="H106" s="3">
        <v>10.4410670842686</v>
      </c>
      <c r="I106" s="3">
        <v>25.668829946362699</v>
      </c>
      <c r="J106" s="3">
        <v>18.331645338095001</v>
      </c>
      <c r="K106" s="3">
        <v>13.230801469363801</v>
      </c>
      <c r="L106" s="3">
        <v>19.862134105143198</v>
      </c>
      <c r="M106" s="3">
        <v>23.3628183517047</v>
      </c>
      <c r="N106" s="3">
        <v>8.3778542953427309</v>
      </c>
    </row>
    <row r="107" spans="1:14" x14ac:dyDescent="0.35">
      <c r="A107" s="2">
        <v>45072</v>
      </c>
      <c r="B107" s="3">
        <v>28.015046681685</v>
      </c>
      <c r="C107" s="3">
        <v>14.2076625511532</v>
      </c>
      <c r="D107" s="3">
        <v>12.8251301945017</v>
      </c>
      <c r="E107" s="3">
        <v>11.2915354973394</v>
      </c>
      <c r="F107" s="3">
        <v>14.047185483287199</v>
      </c>
      <c r="G107" s="3">
        <v>19.934896206884101</v>
      </c>
      <c r="H107" s="3">
        <v>10.266998333644</v>
      </c>
      <c r="I107" s="3">
        <v>26.3395697213078</v>
      </c>
      <c r="J107" s="3">
        <v>18.439323207791901</v>
      </c>
      <c r="K107" s="3">
        <v>13.106316547344701</v>
      </c>
      <c r="L107" s="3">
        <v>19.621247380049201</v>
      </c>
      <c r="M107" s="3">
        <v>22.231183099723001</v>
      </c>
      <c r="N107" s="3">
        <v>8.2071572421250991</v>
      </c>
    </row>
    <row r="108" spans="1:14" x14ac:dyDescent="0.35">
      <c r="A108" s="2">
        <v>45106</v>
      </c>
      <c r="B108" s="3">
        <v>26.051774127828999</v>
      </c>
      <c r="C108" s="3">
        <v>14.565162776175899</v>
      </c>
      <c r="D108" s="3">
        <v>12.9557909809665</v>
      </c>
      <c r="E108" s="3">
        <v>11.230024383256399</v>
      </c>
      <c r="F108" s="3">
        <v>14.6050873590669</v>
      </c>
      <c r="G108" s="3">
        <v>19.2110939489651</v>
      </c>
      <c r="H108" s="3">
        <v>10.2738922685141</v>
      </c>
      <c r="I108" s="3">
        <v>27.0501162091991</v>
      </c>
      <c r="J108" s="3">
        <v>19.010231286812701</v>
      </c>
      <c r="K108" s="3">
        <v>13.225544336516499</v>
      </c>
      <c r="L108" s="3">
        <v>19.178339697918599</v>
      </c>
      <c r="M108" s="3">
        <v>20.8775337081474</v>
      </c>
      <c r="N108" s="3">
        <v>8.5489377216265492</v>
      </c>
    </row>
    <row r="109" spans="1:14" x14ac:dyDescent="0.35">
      <c r="A109" s="2">
        <v>45135</v>
      </c>
      <c r="B109" s="3">
        <v>25.392214711417299</v>
      </c>
      <c r="C109" s="3">
        <v>15.1005216213547</v>
      </c>
      <c r="D109" s="3">
        <v>13.519238728193001</v>
      </c>
      <c r="E109" s="3">
        <v>11.446204624663601</v>
      </c>
      <c r="F109" s="3">
        <v>14.6592530358832</v>
      </c>
      <c r="G109" s="3">
        <v>19.299522860366299</v>
      </c>
      <c r="H109" s="3">
        <v>10.656409487839399</v>
      </c>
      <c r="I109" s="3">
        <v>27.128582224721999</v>
      </c>
      <c r="J109" s="3">
        <v>19.677868461819301</v>
      </c>
      <c r="K109" s="3">
        <v>13.450559935524399</v>
      </c>
      <c r="L109" s="3">
        <v>19.307807359437898</v>
      </c>
      <c r="M109" s="3">
        <v>19.688143669826601</v>
      </c>
      <c r="N109" s="3">
        <v>8.5317956199533302</v>
      </c>
    </row>
    <row r="110" spans="1:14" x14ac:dyDescent="0.35">
      <c r="A110" s="2">
        <v>45167</v>
      </c>
      <c r="B110" s="3">
        <v>24.3961927734974</v>
      </c>
      <c r="C110" s="3">
        <v>14.993300385619101</v>
      </c>
      <c r="D110" s="3">
        <v>13.485859470927499</v>
      </c>
      <c r="E110" s="3">
        <v>11.244315799096199</v>
      </c>
      <c r="F110" s="3">
        <v>14.6531630279939</v>
      </c>
      <c r="G110" s="3">
        <v>18.853942694775</v>
      </c>
      <c r="H110" s="3">
        <v>10.466780782028501</v>
      </c>
      <c r="I110" s="3">
        <v>26.643397311409601</v>
      </c>
      <c r="J110" s="3">
        <v>19.503203587370301</v>
      </c>
      <c r="K110" s="3">
        <v>13.3311935097913</v>
      </c>
      <c r="L110" s="3">
        <v>17.870681948510299</v>
      </c>
      <c r="M110" s="3">
        <v>17.937375213917001</v>
      </c>
      <c r="N110" s="3">
        <v>8.3541451734068506</v>
      </c>
    </row>
    <row r="111" spans="1:14" x14ac:dyDescent="0.35">
      <c r="A111" s="2">
        <v>45198</v>
      </c>
      <c r="B111" s="3">
        <v>23.823059962187301</v>
      </c>
      <c r="C111" s="3">
        <v>14.8131305964158</v>
      </c>
      <c r="D111" s="3">
        <v>13.3014635846757</v>
      </c>
      <c r="E111" s="3">
        <v>11.054502495152899</v>
      </c>
      <c r="F111" s="3">
        <v>14.773752094760701</v>
      </c>
      <c r="G111" s="3">
        <v>18.417364703650101</v>
      </c>
      <c r="H111" s="3">
        <v>10.6042420070963</v>
      </c>
      <c r="I111" s="3">
        <v>25.948301756344598</v>
      </c>
      <c r="J111" s="3">
        <v>19.049665193248099</v>
      </c>
      <c r="K111" s="3">
        <v>12.9825633647097</v>
      </c>
      <c r="L111" s="3">
        <v>16.742769676593799</v>
      </c>
      <c r="M111" s="3">
        <v>16.759529082695501</v>
      </c>
      <c r="N111" s="3">
        <v>8.2523887503898496</v>
      </c>
    </row>
    <row r="112" spans="1:14" x14ac:dyDescent="0.35">
      <c r="A112" s="2">
        <v>45226</v>
      </c>
      <c r="B112" s="3">
        <v>22.327443799857299</v>
      </c>
      <c r="C112" s="3">
        <v>14.453775921194801</v>
      </c>
      <c r="D112" s="3">
        <v>12.9051369837269</v>
      </c>
      <c r="E112" s="3">
        <v>10.6118195575951</v>
      </c>
      <c r="F112" s="3">
        <v>14.504327790270199</v>
      </c>
      <c r="G112" s="3">
        <v>17.470799882705901</v>
      </c>
      <c r="H112" s="3">
        <v>10.2373598319067</v>
      </c>
      <c r="I112" s="3">
        <v>24.9770167043527</v>
      </c>
      <c r="J112" s="3">
        <v>18.560928434487</v>
      </c>
      <c r="K112" s="3">
        <v>12.493802496267801</v>
      </c>
      <c r="L112" s="3">
        <v>15.7191842540295</v>
      </c>
      <c r="M112" s="3">
        <v>15.746182546979099</v>
      </c>
      <c r="N112" s="3">
        <v>7.9001782094870796</v>
      </c>
    </row>
    <row r="113" spans="1:25" x14ac:dyDescent="0.35">
      <c r="A113" s="2">
        <v>45259</v>
      </c>
      <c r="B113" s="3">
        <v>22.118178409291801</v>
      </c>
      <c r="C113" s="3">
        <v>15.1246224803107</v>
      </c>
      <c r="D113" s="3">
        <v>13.7910864903529</v>
      </c>
      <c r="E113" s="3">
        <v>11.5683607161323</v>
      </c>
      <c r="F113" s="3">
        <v>15.1756533579671</v>
      </c>
      <c r="G113" s="3">
        <v>17.9689667110713</v>
      </c>
      <c r="H113" s="3">
        <v>10.761194673134</v>
      </c>
      <c r="I113" s="3">
        <v>27.689261523935802</v>
      </c>
      <c r="J113" s="3">
        <v>20.3771053463371</v>
      </c>
      <c r="K113" s="3">
        <v>13.3354417372214</v>
      </c>
      <c r="L113" s="3">
        <v>16.4242784375969</v>
      </c>
      <c r="M113" s="3">
        <v>16.0992800751376</v>
      </c>
      <c r="N113" s="3">
        <v>8.33742818487287</v>
      </c>
    </row>
    <row r="114" spans="1:25" x14ac:dyDescent="0.35">
      <c r="A114" s="2">
        <v>45289</v>
      </c>
      <c r="B114" s="3">
        <v>24.079906584360501</v>
      </c>
      <c r="C114" s="3">
        <v>16.569290048988599</v>
      </c>
      <c r="D114" s="3">
        <v>14.610752394395901</v>
      </c>
      <c r="E114" s="3">
        <v>11.9669463071893</v>
      </c>
      <c r="F114" s="3">
        <v>15.291576307860399</v>
      </c>
      <c r="G114" s="3">
        <v>18.426130748494199</v>
      </c>
      <c r="H114" s="3">
        <v>11.3205885332922</v>
      </c>
      <c r="I114" s="3">
        <v>29.163751637895299</v>
      </c>
      <c r="J114" s="3">
        <v>21.7256395465349</v>
      </c>
      <c r="K114" s="3">
        <v>14.0873839351291</v>
      </c>
      <c r="L114" s="3">
        <v>16.6271224975658</v>
      </c>
      <c r="M114" s="3">
        <v>17.9664134766413</v>
      </c>
      <c r="N114" s="3">
        <v>8.8544083316603093</v>
      </c>
    </row>
    <row r="115" spans="1:25" x14ac:dyDescent="0.35">
      <c r="A115" s="2">
        <v>45320</v>
      </c>
      <c r="B115" s="3">
        <v>23.4971445876958</v>
      </c>
      <c r="C115" s="3">
        <v>16.4605107920572</v>
      </c>
      <c r="D115" s="3">
        <v>14.7647654328629</v>
      </c>
      <c r="E115" s="3">
        <v>12.0943752029651</v>
      </c>
      <c r="F115" s="3">
        <v>16.373540036211001</v>
      </c>
      <c r="G115" s="3">
        <v>18.737105640174999</v>
      </c>
      <c r="H115" s="3">
        <v>11.3495022854326</v>
      </c>
      <c r="I115" s="3">
        <v>30.141405733924302</v>
      </c>
      <c r="J115" s="3">
        <v>22.4272031581724</v>
      </c>
      <c r="K115" s="3">
        <v>14.4825154608427</v>
      </c>
      <c r="L115" s="3">
        <v>17.501041573931499</v>
      </c>
      <c r="M115" s="3">
        <v>15.3500929707044</v>
      </c>
      <c r="N115" s="3">
        <v>8.9580067949300997</v>
      </c>
    </row>
    <row r="116" spans="1:25" x14ac:dyDescent="0.35">
      <c r="A116" s="2">
        <v>45351</v>
      </c>
      <c r="B116" s="3">
        <v>23.3289896193867</v>
      </c>
      <c r="C116" s="3">
        <v>16.606239432478102</v>
      </c>
      <c r="D116" s="3">
        <v>14.862954620322499</v>
      </c>
      <c r="E116" s="3">
        <v>12.512116920973</v>
      </c>
      <c r="F116" s="3">
        <v>17.044059310009398</v>
      </c>
      <c r="G116" s="3">
        <v>19.196016000036298</v>
      </c>
      <c r="H116" s="3">
        <v>11.435458181084501</v>
      </c>
      <c r="I116" s="3">
        <v>30.321033646996</v>
      </c>
      <c r="J116" s="3">
        <v>22.776994545127501</v>
      </c>
      <c r="K116" s="3">
        <v>15.4853083350774</v>
      </c>
      <c r="L116" s="3">
        <v>18.563168841988301</v>
      </c>
      <c r="M116" s="3">
        <v>15.7867160603531</v>
      </c>
      <c r="N116" s="3">
        <v>9.3464759770989403</v>
      </c>
    </row>
    <row r="117" spans="1:25" x14ac:dyDescent="0.35">
      <c r="A117" s="2">
        <v>45379</v>
      </c>
      <c r="B117" s="3">
        <v>24.046323792606199</v>
      </c>
      <c r="C117" s="3">
        <v>16.674841958028001</v>
      </c>
      <c r="D117" s="3">
        <v>14.967501351046501</v>
      </c>
      <c r="E117" s="3">
        <v>12.6077604778037</v>
      </c>
      <c r="F117" s="3">
        <v>17.007637775322699</v>
      </c>
      <c r="G117" s="3">
        <v>19.166949815308701</v>
      </c>
      <c r="H117" s="3">
        <v>11.5363195312408</v>
      </c>
      <c r="I117" s="3">
        <v>30.074441091513801</v>
      </c>
      <c r="J117" s="3">
        <v>22.767430780907901</v>
      </c>
      <c r="K117" s="3">
        <v>15.530991800375901</v>
      </c>
      <c r="L117" s="3">
        <v>18.459171561346999</v>
      </c>
      <c r="M117" s="3">
        <v>15.9085794415529</v>
      </c>
      <c r="N117" s="3">
        <v>9.4826573902557207</v>
      </c>
    </row>
    <row r="118" spans="1:25" x14ac:dyDescent="0.35">
      <c r="A118" s="2">
        <v>45411</v>
      </c>
      <c r="B118" s="3">
        <v>24.375928437094601</v>
      </c>
      <c r="C118" s="3">
        <v>16.5771359977151</v>
      </c>
      <c r="D118" s="3">
        <v>14.9068101070035</v>
      </c>
      <c r="E118" s="3">
        <v>12.527182767262699</v>
      </c>
      <c r="F118" s="3">
        <v>16.735403204426699</v>
      </c>
      <c r="G118" s="3">
        <v>18.806142389834299</v>
      </c>
      <c r="H118" s="3">
        <v>11.6273700052891</v>
      </c>
      <c r="I118" s="3">
        <v>29.544317485905299</v>
      </c>
      <c r="J118" s="3">
        <v>22.437060916526399</v>
      </c>
      <c r="K118" s="3">
        <v>15.438766629135101</v>
      </c>
      <c r="L118" s="3">
        <v>18.195072385008501</v>
      </c>
      <c r="M118" s="3">
        <v>15.935050532922901</v>
      </c>
      <c r="N118" s="3">
        <v>9.4639496194217898</v>
      </c>
    </row>
    <row r="119" spans="1:25" x14ac:dyDescent="0.35">
      <c r="A119" s="2">
        <v>45441</v>
      </c>
      <c r="B119" s="3">
        <v>24.486890587418898</v>
      </c>
      <c r="C119" s="3">
        <v>16.624577938111301</v>
      </c>
      <c r="D119" s="3">
        <v>14.862008758773401</v>
      </c>
      <c r="E119" s="3">
        <v>12.4960292981614</v>
      </c>
      <c r="F119" s="3">
        <v>16.743498075686599</v>
      </c>
      <c r="G119" s="3">
        <v>18.7478935807349</v>
      </c>
      <c r="H119" s="3">
        <v>11.663338061556599</v>
      </c>
      <c r="I119" s="3">
        <v>29.691312364753301</v>
      </c>
      <c r="J119" s="3">
        <v>22.551657882385602</v>
      </c>
      <c r="K119" s="3">
        <v>15.2931888856059</v>
      </c>
      <c r="L119" s="3">
        <v>18.240422782291699</v>
      </c>
      <c r="M119" s="3">
        <v>15.991382935799701</v>
      </c>
      <c r="N119" s="3">
        <v>9.5309315036018596</v>
      </c>
    </row>
    <row r="120" spans="1:25" x14ac:dyDescent="0.35">
      <c r="A120" s="2">
        <v>45471</v>
      </c>
      <c r="B120" s="3">
        <v>24.237292493492301</v>
      </c>
      <c r="C120" s="3">
        <v>16.853381261170298</v>
      </c>
      <c r="D120" s="3">
        <v>14.818499552943299</v>
      </c>
      <c r="E120" s="3">
        <v>12.459738672593801</v>
      </c>
      <c r="F120" s="3">
        <v>16.7892788763365</v>
      </c>
      <c r="G120" s="3">
        <v>18.754849309159301</v>
      </c>
      <c r="H120" s="3">
        <v>11.6217930082331</v>
      </c>
      <c r="I120" s="3">
        <v>30.134411154284201</v>
      </c>
      <c r="J120" s="3">
        <v>22.7756128862945</v>
      </c>
      <c r="K120" s="3">
        <v>14.8739325001717</v>
      </c>
      <c r="L120" s="3">
        <v>18.269004006071501</v>
      </c>
      <c r="M120" s="3">
        <v>16.062455680487499</v>
      </c>
      <c r="N120" s="3">
        <v>9.4203397486827694</v>
      </c>
    </row>
    <row r="121" spans="1:25" x14ac:dyDescent="0.35">
      <c r="A121" s="2">
        <v>45502</v>
      </c>
      <c r="B121" s="3">
        <v>25.004758951996099</v>
      </c>
      <c r="C121" s="3">
        <v>17.1766958123496</v>
      </c>
      <c r="D121" s="3">
        <v>15.1690529986033</v>
      </c>
      <c r="E121" s="3">
        <v>12.540896129161499</v>
      </c>
      <c r="F121" s="3">
        <v>16.422285419948999</v>
      </c>
      <c r="G121" s="3">
        <v>18.842945925667699</v>
      </c>
      <c r="H121" s="3">
        <v>11.8837047418445</v>
      </c>
      <c r="I121" s="3">
        <v>29.6005901239945</v>
      </c>
      <c r="J121" s="3">
        <v>22.768486184280199</v>
      </c>
      <c r="K121" s="3">
        <v>14.896741334349599</v>
      </c>
      <c r="L121" s="3">
        <v>17.769016294676</v>
      </c>
      <c r="M121" s="3">
        <v>16.4273065144878</v>
      </c>
      <c r="N121" s="3">
        <v>9.7010288657363706</v>
      </c>
    </row>
    <row r="122" spans="1:25" x14ac:dyDescent="0.35">
      <c r="A122" s="2">
        <v>45530</v>
      </c>
      <c r="B122" s="3">
        <v>26.6047124811587</v>
      </c>
      <c r="C122" s="3">
        <v>17.558843221461199</v>
      </c>
      <c r="D122" s="3">
        <v>15.3777406136285</v>
      </c>
      <c r="E122" s="3">
        <v>12.6931288501435</v>
      </c>
      <c r="F122" s="3">
        <v>15.901003434989599</v>
      </c>
      <c r="G122" s="3">
        <v>18.989025775145599</v>
      </c>
      <c r="H122" s="3">
        <v>12.1007009421019</v>
      </c>
      <c r="I122" s="3">
        <v>30.055073298883901</v>
      </c>
      <c r="J122" s="3">
        <v>23.181387857376901</v>
      </c>
      <c r="K122" s="3">
        <v>15.028458536986999</v>
      </c>
      <c r="L122" s="3">
        <v>17.6057221577219</v>
      </c>
      <c r="M122" s="3">
        <v>16.690868625853501</v>
      </c>
      <c r="N122" s="3">
        <v>9.8226209954666199</v>
      </c>
    </row>
    <row r="124" spans="1:25" x14ac:dyDescent="0.35">
      <c r="A124" s="2" t="s">
        <v>91</v>
      </c>
      <c r="B124" s="3" cm="1">
        <f t="array" ref="B124">MIN(_xlfn._xlws.FILTER(B1:B122, ISNUMBER(B1:B122)))</f>
        <v>17.912671436218901</v>
      </c>
      <c r="C124" s="3" cm="1">
        <f t="array" ref="C124">MIN(_xlfn._xlws.FILTER(C1:C122, ISNUMBER(C1:C122)))</f>
        <v>13.364599240547401</v>
      </c>
      <c r="D124" s="3" cm="1">
        <f t="array" ref="D124">MIN(_xlfn._xlws.FILTER(D1:D122, ISNUMBER(D1:D122)))</f>
        <v>12.1232651471646</v>
      </c>
      <c r="E124" s="3" cm="1">
        <f t="array" ref="E124">MIN(_xlfn._xlws.FILTER(E1:E122, ISNUMBER(E1:E122)))</f>
        <v>10.041050088435799</v>
      </c>
      <c r="F124" s="3" cm="1">
        <f t="array" ref="F124">MIN(_xlfn._xlws.FILTER(F1:F122, ISNUMBER(F1:F122)))</f>
        <v>11.505685463203401</v>
      </c>
      <c r="G124" s="3" cm="1">
        <f t="array" ref="G124">MIN(_xlfn._xlws.FILTER(G1:G122, ISNUMBER(G1:G122)))</f>
        <v>16.249928615144398</v>
      </c>
      <c r="H124" s="3" cm="1">
        <f t="array" ref="H124">MIN(_xlfn._xlws.FILTER(H1:H122, ISNUMBER(H1:H122)))</f>
        <v>9.4305769826745909</v>
      </c>
      <c r="I124" s="3" cm="1">
        <f t="array" ref="I124">MIN(_xlfn._xlws.FILTER(I1:I122, ISNUMBER(I1:I122)))</f>
        <v>18.171940910564</v>
      </c>
      <c r="J124" s="3" cm="1">
        <f t="array" ref="J124">MIN(_xlfn._xlws.FILTER(J1:J122, ISNUMBER(J1:J122)))</f>
        <v>15.3994994148198</v>
      </c>
      <c r="K124" s="3" cm="1">
        <f t="array" ref="K124">MIN(_xlfn._xlws.FILTER(K1:K122, ISNUMBER(K1:K122)))</f>
        <v>11.3675648377145</v>
      </c>
      <c r="L124" s="3" cm="1">
        <f t="array" ref="L124">MIN(_xlfn._xlws.FILTER(L1:L122, ISNUMBER(L1:L122)))</f>
        <v>14.134725994966599</v>
      </c>
      <c r="M124" s="3" cm="1">
        <f t="array" ref="M124">MIN(_xlfn._xlws.FILTER(M1:M122, ISNUMBER(M1:M122)))</f>
        <v>11.655236619682601</v>
      </c>
      <c r="N124" s="3" cm="1">
        <f t="array" ref="N124">MIN(_xlfn._xlws.FILTER(N1:N122, ISNUMBER(N1:N122)))</f>
        <v>7.49673666392136</v>
      </c>
    </row>
    <row r="125" spans="1:25" x14ac:dyDescent="0.35">
      <c r="A125" s="2" t="s">
        <v>92</v>
      </c>
      <c r="B125" s="3" cm="1">
        <f t="array" ref="B125">MAX(_xlfn._xlws.FILTER(B1:B122, ISNUMBER(B1:B122)))</f>
        <v>39.2928678220484</v>
      </c>
      <c r="C125" s="3" cm="1">
        <f t="array" ref="C125">MAX(_xlfn._xlws.FILTER(C1:C122, ISNUMBER(C1:C122)))</f>
        <v>23.2287991643691</v>
      </c>
      <c r="D125" s="3" cm="1">
        <f t="array" ref="D125">MAX(_xlfn._xlws.FILTER(D1:D122, ISNUMBER(D1:D122)))</f>
        <v>20.484392587320301</v>
      </c>
      <c r="E125" s="3" cm="1">
        <f t="array" ref="E125">MAX(_xlfn._xlws.FILTER(E1:E122, ISNUMBER(E1:E122)))</f>
        <v>22.1024897534218</v>
      </c>
      <c r="F125" s="3" cm="1">
        <f t="array" ref="F125">MAX(_xlfn._xlws.FILTER(F1:F122, ISNUMBER(F1:F122)))</f>
        <v>23.715639197806301</v>
      </c>
      <c r="G125" s="3" cm="1">
        <f t="array" ref="G125">MAX(_xlfn._xlws.FILTER(G1:G122, ISNUMBER(G1:G122)))</f>
        <v>22.067639457681</v>
      </c>
      <c r="H125" s="3" cm="1">
        <f t="array" ref="H125">MAX(_xlfn._xlws.FILTER(H1:H122, ISNUMBER(H1:H122)))</f>
        <v>19.993542480216501</v>
      </c>
      <c r="I125" s="3" cm="1">
        <f t="array" ref="I125">MAX(_xlfn._xlws.FILTER(I1:I122, ISNUMBER(I1:I122)))</f>
        <v>35.067154550864601</v>
      </c>
      <c r="J125" s="3" cm="1">
        <f t="array" ref="J125">MAX(_xlfn._xlws.FILTER(J1:J122, ISNUMBER(J1:J122)))</f>
        <v>27.169969513381201</v>
      </c>
      <c r="K125" s="3" cm="1">
        <f t="array" ref="K125">MAX(_xlfn._xlws.FILTER(K1:K122, ISNUMBER(K1:K122)))</f>
        <v>29.1094623702569</v>
      </c>
      <c r="L125" s="3" cm="1">
        <f t="array" ref="L125">MAX(_xlfn._xlws.FILTER(L1:L122, ISNUMBER(L1:L122)))</f>
        <v>28.983305238102801</v>
      </c>
      <c r="M125" s="3" cm="1">
        <f t="array" ref="M125">MAX(_xlfn._xlws.FILTER(M1:M122, ISNUMBER(M1:M122)))</f>
        <v>25.6790377823522</v>
      </c>
      <c r="N125" s="3" cm="1">
        <f t="array" ref="N125">MAX(_xlfn._xlws.FILTER(N1:N122, ISNUMBER(N1:N122)))</f>
        <v>85.968927292375596</v>
      </c>
    </row>
    <row r="127" spans="1:25" x14ac:dyDescent="0.35">
      <c r="A127" s="2" t="s">
        <v>93</v>
      </c>
      <c r="B127" s="9" cm="1">
        <f t="array" ref="B127">_xlfn.PERCENTRANK.EXC(_xlfn._xlws.FILTER(B1:B122, ISNUMBER(B1:B122)),B121)</f>
        <v>0.58099999999999996</v>
      </c>
      <c r="C127" s="9" cm="1">
        <f t="array" ref="C127">_xlfn.PERCENTRANK.EXC(_xlfn._xlws.FILTER(C1:C122, ISNUMBER(C1:C122)),C121)</f>
        <v>0.72899999999999998</v>
      </c>
      <c r="D127" s="9" cm="1">
        <f t="array" ref="D127">_xlfn.PERCENTRANK.EXC(_xlfn._xlws.FILTER(D1:D122, ISNUMBER(D1:D122)),D121)</f>
        <v>0.38500000000000001</v>
      </c>
      <c r="E127" s="9" cm="1">
        <f t="array" ref="E127">_xlfn.PERCENTRANK.EXC(_xlfn._xlws.FILTER(E1:E122, ISNUMBER(E1:E122)),E121)</f>
        <v>0.245</v>
      </c>
      <c r="F127" s="9" cm="1">
        <f t="array" ref="F127">_xlfn.PERCENTRANK.EXC(_xlfn._xlws.FILTER(F1:F122, ISNUMBER(F1:F122)),F121)</f>
        <v>0.73699999999999999</v>
      </c>
      <c r="G127" s="9" cm="1">
        <f t="array" ref="G127">_xlfn.PERCENTRANK.EXC(_xlfn._xlws.FILTER(G1:G122, ISNUMBER(G1:G122)),G121)</f>
        <v>0.53200000000000003</v>
      </c>
      <c r="H127" s="9" cm="1">
        <f t="array" ref="H127">_xlfn.PERCENTRANK.EXC(_xlfn._xlws.FILTER(H1:H122, ISNUMBER(H1:H122)),H121)</f>
        <v>0.221</v>
      </c>
      <c r="I127" s="9" cm="1">
        <f t="array" ref="I127">_xlfn.PERCENTRANK.EXC(_xlfn._xlws.FILTER(I1:I122, ISNUMBER(I1:I122)),I121)</f>
        <v>0.80300000000000005</v>
      </c>
      <c r="J127" s="9" cm="1">
        <f t="array" ref="J127">_xlfn.PERCENTRANK.EXC(_xlfn._xlws.FILTER(J1:J122, ISNUMBER(J1:J122)),J121)</f>
        <v>0.82699999999999996</v>
      </c>
      <c r="K127" s="9" cm="1">
        <f t="array" ref="K127">_xlfn.PERCENTRANK.EXC(_xlfn._xlws.FILTER(K1:K122, ISNUMBER(K1:K122)),K121)</f>
        <v>0.33600000000000002</v>
      </c>
      <c r="L127" s="9" cm="1">
        <f t="array" ref="L127">_xlfn.PERCENTRANK.EXC(_xlfn._xlws.FILTER(L1:L122, ISNUMBER(L1:L122)),L121)</f>
        <v>0.52400000000000002</v>
      </c>
      <c r="M127" s="9" cm="1">
        <f t="array" ref="M127">_xlfn.PERCENTRANK.EXC(_xlfn._xlws.FILTER(M1:M122, ISNUMBER(M1:M122)),M121)</f>
        <v>0.38500000000000001</v>
      </c>
      <c r="N127" s="9" cm="1">
        <f t="array" ref="N127">_xlfn.PERCENTRANK.EXC(_xlfn._xlws.FILTER(N1:N122, ISNUMBER(N1:N122)),N121)</f>
        <v>0.21299999999999999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2419-7243-436C-A223-59D4BBC1CB87}">
  <dimension ref="A1:Y127"/>
  <sheetViews>
    <sheetView workbookViewId="0">
      <selection activeCell="I3" sqref="I3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41880</v>
      </c>
      <c r="B2" s="3" cm="1">
        <f t="array" ref="B2:B122">_xll.FDS(B1,"FMA_PE(NTMA,-10AY,0,AM,""PORTAGG"",""MEANR"")")</f>
        <v>17.425990445087798</v>
      </c>
      <c r="C2" s="3" cm="1">
        <f t="array" ref="C2:C122">_xll.FDS(C1,"FMA_PE(NTMA,-10AY,0,AM,""PORTAGG"",""MEANR"")")</f>
        <v>14.8837061335486</v>
      </c>
      <c r="D2" s="3" cm="1">
        <f t="array" ref="D2:D122">_xll.FDS(D1,"FMA_PE(NTMA,-10AY,0,AM,""PORTAGG"",""MEANR"")")</f>
        <v>15.2353364171694</v>
      </c>
      <c r="E2" s="3" cm="1">
        <f t="array" ref="E2:E122">_xll.FDS(E1,"FMA_PE(NTMA,-10AY,0,AM,""PORTAGG"",""MEANR"")")</f>
        <v>12.568413882496399</v>
      </c>
      <c r="F2" s="3" cm="1">
        <f t="array" ref="F2:F122">_xll.FDS(F1,"FMA_PE(NTMA,-10AY,0,AM,""PORTAGG"",""MEANR"")")</f>
        <v>13.585355167216401</v>
      </c>
      <c r="G2" s="3" cm="1">
        <f t="array" ref="G2:G122">_xll.FDS(G1,"FMA_PE(NTMA,-10AY,0,AM,""PORTAGG"",""MEANR"")")</f>
        <v>16.115886505196599</v>
      </c>
      <c r="H2" s="3" cm="1">
        <f t="array" ref="H2:H122">_xll.FDS(H1,"FMA_PE(NTMA,-10AY,0,AM,""PORTAGG"",""MEANR"")")</f>
        <v>13.5557307291156</v>
      </c>
      <c r="I2" s="3" cm="1">
        <f t="array" ref="I2:I122">_xll.FDS(I1,"FMA_PE(NTMA,-10AY,0,AM,""PORTAGG"",""MEANR"")")</f>
        <v>17.877426543949401</v>
      </c>
      <c r="J2" s="3" cm="1">
        <f t="array" ref="J2:J122">_xll.FDS(J1,"FMA_PE(NTMA,-10AY,0,AM,""PORTAGG"",""MEANR"")")</f>
        <v>15.3577342548639</v>
      </c>
      <c r="K2" s="3" cm="1">
        <f t="array" ref="K2:K122">_xll.FDS(K1,"FMA_PE(NTMA,-10AY,0,AM,""PORTAGG"",""MEANR"")")</f>
        <v>13.6611265422643</v>
      </c>
      <c r="L2" s="3" cm="1">
        <f t="array" ref="L2:L122">_xll.FDS(L1,"FMA_PE(NTMA,-10AY,0,AM,""PORTAGG"",""MEANR"")")</f>
        <v>14.457231056903399</v>
      </c>
      <c r="M2" s="3" cm="1">
        <f t="array" ref="M2:M122">_xll.FDS(M1,"FMA_PE(NTMA,-10AY,0,AM,""PORTAGG"",""MEANR"")")</f>
        <v>14.7457568698236</v>
      </c>
      <c r="N2" s="3" cm="1">
        <f t="array" ref="N2:N122">_xll.FDS(N1,"FMA_PE(NTMA,-10AY,0,AM,""PORTAGG"",""MEANR"")")</f>
        <v>13.8013716688956</v>
      </c>
    </row>
    <row r="3" spans="1:14" x14ac:dyDescent="0.35">
      <c r="A3" s="2">
        <v>41911</v>
      </c>
      <c r="B3" s="3">
        <v>17.1434768936459</v>
      </c>
      <c r="C3" s="3">
        <v>13.765182278299401</v>
      </c>
      <c r="D3" s="3">
        <v>14.4669615135205</v>
      </c>
      <c r="E3" s="3">
        <v>12.414241544277401</v>
      </c>
      <c r="F3" s="3">
        <v>14.2193721704423</v>
      </c>
      <c r="G3" s="3">
        <v>15.9079759634702</v>
      </c>
      <c r="H3" s="3">
        <v>13.135510196412501</v>
      </c>
      <c r="I3" s="3">
        <v>17.4358804061516</v>
      </c>
      <c r="J3" s="3">
        <v>15.057373407823</v>
      </c>
      <c r="K3" s="3">
        <v>13.4385730932733</v>
      </c>
      <c r="L3" s="3">
        <v>14.5620025690777</v>
      </c>
      <c r="M3" s="3">
        <v>14.553103379805201</v>
      </c>
      <c r="N3" s="3">
        <v>13.5374430676881</v>
      </c>
    </row>
    <row r="4" spans="1:14" x14ac:dyDescent="0.35">
      <c r="A4" s="2">
        <v>41941</v>
      </c>
      <c r="B4" s="3">
        <v>17.524321701760901</v>
      </c>
      <c r="C4" s="3">
        <v>14.458319600529601</v>
      </c>
      <c r="D4" s="3">
        <v>14.1773581291505</v>
      </c>
      <c r="E4" s="3">
        <v>12.015402289292201</v>
      </c>
      <c r="F4" s="3">
        <v>13.3080668984153</v>
      </c>
      <c r="G4" s="3">
        <v>15.706172115111301</v>
      </c>
      <c r="H4" s="3">
        <v>13.0351701391203</v>
      </c>
      <c r="I4" s="3">
        <v>17.380077703890201</v>
      </c>
      <c r="J4" s="3">
        <v>15.215860143318601</v>
      </c>
      <c r="K4" s="3">
        <v>12.886519572086099</v>
      </c>
      <c r="L4" s="3">
        <v>14.1098363733159</v>
      </c>
      <c r="M4" s="3">
        <v>14.445494521664299</v>
      </c>
      <c r="N4" s="3">
        <v>12.439634983621501</v>
      </c>
    </row>
    <row r="5" spans="1:14" x14ac:dyDescent="0.35">
      <c r="A5" s="2">
        <v>41971</v>
      </c>
      <c r="B5" s="3">
        <v>17.725164154936401</v>
      </c>
      <c r="C5" s="3">
        <v>13.978788736638901</v>
      </c>
      <c r="D5" s="3">
        <v>14.683387528230501</v>
      </c>
      <c r="E5" s="3">
        <v>13.0889943655129</v>
      </c>
      <c r="F5" s="3">
        <v>14.4804093238916</v>
      </c>
      <c r="G5" s="3">
        <v>16.373898871413701</v>
      </c>
      <c r="H5" s="3">
        <v>13.5634694393154</v>
      </c>
      <c r="I5" s="3">
        <v>18.308665206578102</v>
      </c>
      <c r="J5" s="3">
        <v>15.845579727634201</v>
      </c>
      <c r="K5" s="3">
        <v>13.8444256314468</v>
      </c>
      <c r="L5" s="3">
        <v>15.2708740916053</v>
      </c>
      <c r="M5" s="3">
        <v>15.6989876845885</v>
      </c>
      <c r="N5" s="3">
        <v>13.001229169060499</v>
      </c>
    </row>
    <row r="6" spans="1:14" x14ac:dyDescent="0.35">
      <c r="A6" s="2">
        <v>42002</v>
      </c>
      <c r="B6" s="3">
        <v>18.291770761788399</v>
      </c>
      <c r="C6" s="3">
        <v>14.575317098652199</v>
      </c>
      <c r="D6" s="3">
        <v>15.474738549924</v>
      </c>
      <c r="E6" s="3">
        <v>12.998982612220599</v>
      </c>
      <c r="F6" s="3">
        <v>14.4745442823379</v>
      </c>
      <c r="G6" s="3">
        <v>15.835470573941199</v>
      </c>
      <c r="H6" s="3">
        <v>13.903198413451999</v>
      </c>
      <c r="I6" s="3">
        <v>17.9260725004848</v>
      </c>
      <c r="J6" s="3">
        <v>16.2104075611777</v>
      </c>
      <c r="K6" s="3">
        <v>13.866711736302401</v>
      </c>
      <c r="L6" s="3">
        <v>14.8867683997006</v>
      </c>
      <c r="M6" s="3">
        <v>15.7744000208695</v>
      </c>
      <c r="N6" s="3">
        <v>12.4198311581761</v>
      </c>
    </row>
    <row r="7" spans="1:14" x14ac:dyDescent="0.35">
      <c r="A7" s="2">
        <v>42033</v>
      </c>
      <c r="B7" s="3">
        <v>19.0072246264718</v>
      </c>
      <c r="C7" s="3">
        <v>15.1758064103674</v>
      </c>
      <c r="D7" s="3">
        <v>16.2941310340358</v>
      </c>
      <c r="E7" s="3">
        <v>14.036871766356199</v>
      </c>
      <c r="F7" s="3">
        <v>14.0049465045586</v>
      </c>
      <c r="G7" s="3">
        <v>16.356795953429501</v>
      </c>
      <c r="H7" s="3">
        <v>15.074588612304201</v>
      </c>
      <c r="I7" s="3">
        <v>16.9980704058706</v>
      </c>
      <c r="J7" s="3">
        <v>16.2174404055888</v>
      </c>
      <c r="K7" s="3">
        <v>15.355655398777699</v>
      </c>
      <c r="L7" s="3">
        <v>15.800752349715699</v>
      </c>
      <c r="M7" s="3">
        <v>16.171040317399001</v>
      </c>
      <c r="N7" s="3">
        <v>14.0040164193245</v>
      </c>
    </row>
    <row r="8" spans="1:14" x14ac:dyDescent="0.35">
      <c r="A8" s="2">
        <v>42062</v>
      </c>
      <c r="B8" s="3">
        <v>19.300625418747899</v>
      </c>
      <c r="C8" s="3">
        <v>16.320292432707301</v>
      </c>
      <c r="D8" s="3">
        <v>17.500357880049499</v>
      </c>
      <c r="E8" s="3">
        <v>14.8213749994138</v>
      </c>
      <c r="F8" s="3">
        <v>15.101562261266899</v>
      </c>
      <c r="G8" s="3">
        <v>17.628133814780799</v>
      </c>
      <c r="H8" s="3">
        <v>15.7673388929755</v>
      </c>
      <c r="I8" s="3">
        <v>18.0987091619455</v>
      </c>
      <c r="J8" s="3">
        <v>16.900731634440199</v>
      </c>
      <c r="K8" s="3">
        <v>16.380690403267899</v>
      </c>
      <c r="L8" s="3">
        <v>16.924455546412901</v>
      </c>
      <c r="M8" s="3">
        <v>17.393614041026598</v>
      </c>
      <c r="N8" s="3">
        <v>15.551223659237801</v>
      </c>
    </row>
    <row r="9" spans="1:14" x14ac:dyDescent="0.35">
      <c r="A9" s="2">
        <v>42090</v>
      </c>
      <c r="B9" s="3">
        <v>18.104393129632701</v>
      </c>
      <c r="C9" s="3">
        <v>16.335547760344401</v>
      </c>
      <c r="D9" s="3">
        <v>16.909658081967201</v>
      </c>
      <c r="E9" s="3">
        <v>15.3290308983866</v>
      </c>
      <c r="F9" s="3">
        <v>15.3433500462714</v>
      </c>
      <c r="G9" s="3">
        <v>17.627552240631999</v>
      </c>
      <c r="H9" s="3">
        <v>15.5444133060368</v>
      </c>
      <c r="I9" s="3">
        <v>17.605947102359899</v>
      </c>
      <c r="J9" s="3">
        <v>16.487161652557401</v>
      </c>
      <c r="K9" s="3">
        <v>16.476633721981202</v>
      </c>
      <c r="L9" s="3">
        <v>17.036920140244199</v>
      </c>
      <c r="M9" s="3">
        <v>16.954559753963199</v>
      </c>
      <c r="N9" s="3">
        <v>15.661661168781601</v>
      </c>
    </row>
    <row r="10" spans="1:14" x14ac:dyDescent="0.35">
      <c r="A10" s="2">
        <v>42123</v>
      </c>
      <c r="B10" s="3">
        <v>18.0759076286895</v>
      </c>
      <c r="C10" s="3">
        <v>16.421311011508202</v>
      </c>
      <c r="D10" s="3">
        <v>17.406996225222901</v>
      </c>
      <c r="E10" s="3">
        <v>14.551441034485499</v>
      </c>
      <c r="F10" s="3">
        <v>15.990336581676001</v>
      </c>
      <c r="G10" s="3">
        <v>17.826280822498699</v>
      </c>
      <c r="H10" s="3">
        <v>16.1150749560633</v>
      </c>
      <c r="I10" s="3">
        <v>18.128135755927101</v>
      </c>
      <c r="J10" s="3">
        <v>16.7400144449546</v>
      </c>
      <c r="K10" s="3">
        <v>16.265377431603898</v>
      </c>
      <c r="L10" s="3">
        <v>16.932846361059401</v>
      </c>
      <c r="M10" s="3">
        <v>15.947654057882101</v>
      </c>
      <c r="N10" s="3">
        <v>15.638558625786199</v>
      </c>
    </row>
    <row r="11" spans="1:14" x14ac:dyDescent="0.35">
      <c r="A11" s="2">
        <v>42153</v>
      </c>
      <c r="B11" s="3">
        <v>18.424554884382001</v>
      </c>
      <c r="C11" s="3">
        <v>15.9971485556846</v>
      </c>
      <c r="D11" s="3">
        <v>16.522605442496602</v>
      </c>
      <c r="E11" s="3">
        <v>14.0968650326133</v>
      </c>
      <c r="F11" s="3">
        <v>16.444295911109599</v>
      </c>
      <c r="G11" s="3">
        <v>17.6337153950386</v>
      </c>
      <c r="H11" s="3">
        <v>15.9826389200667</v>
      </c>
      <c r="I11" s="3">
        <v>18.016858601746101</v>
      </c>
      <c r="J11" s="3">
        <v>16.545466872967999</v>
      </c>
      <c r="K11" s="3">
        <v>16.1051962930377</v>
      </c>
      <c r="L11" s="3">
        <v>17.0008564848339</v>
      </c>
      <c r="M11" s="3">
        <v>16.4926284571713</v>
      </c>
      <c r="N11" s="3">
        <v>15.768212853158101</v>
      </c>
    </row>
    <row r="12" spans="1:14" x14ac:dyDescent="0.35">
      <c r="A12" s="2">
        <v>42184</v>
      </c>
      <c r="B12" s="3">
        <v>17.591463494933901</v>
      </c>
      <c r="C12" s="3">
        <v>14.987442963208601</v>
      </c>
      <c r="D12" s="3">
        <v>15.801005685803799</v>
      </c>
      <c r="E12" s="3">
        <v>13.5326937009761</v>
      </c>
      <c r="F12" s="3">
        <v>15.361516294561</v>
      </c>
      <c r="G12" s="3">
        <v>16.960627093554201</v>
      </c>
      <c r="H12" s="3">
        <v>15.2172990369064</v>
      </c>
      <c r="I12" s="3">
        <v>17.396921347278301</v>
      </c>
      <c r="J12" s="3">
        <v>16.044424054699899</v>
      </c>
      <c r="K12" s="3">
        <v>15.4978297603377</v>
      </c>
      <c r="L12" s="3">
        <v>16.2948542030643</v>
      </c>
      <c r="M12" s="3">
        <v>15.5464548105308</v>
      </c>
      <c r="N12" s="3">
        <v>14.7175453381228</v>
      </c>
    </row>
    <row r="13" spans="1:14" x14ac:dyDescent="0.35">
      <c r="A13" s="2">
        <v>42214</v>
      </c>
      <c r="B13" s="3">
        <v>18.194147136598499</v>
      </c>
      <c r="C13" s="3">
        <v>15.4756964764117</v>
      </c>
      <c r="D13" s="3">
        <v>15.4401448935463</v>
      </c>
      <c r="E13" s="3">
        <v>13.6102257378736</v>
      </c>
      <c r="F13" s="3">
        <v>15.294583549518199</v>
      </c>
      <c r="G13" s="3">
        <v>17.786824348753701</v>
      </c>
      <c r="H13" s="3">
        <v>15.277510092302601</v>
      </c>
      <c r="I13" s="3">
        <v>18.407875360761501</v>
      </c>
      <c r="J13" s="3">
        <v>16.4362728160866</v>
      </c>
      <c r="K13" s="3">
        <v>15.712021947431801</v>
      </c>
      <c r="L13" s="3">
        <v>16.680679461190199</v>
      </c>
      <c r="M13" s="3">
        <v>15.809778978783999</v>
      </c>
      <c r="N13" s="3">
        <v>15.1468655223764</v>
      </c>
    </row>
    <row r="14" spans="1:14" x14ac:dyDescent="0.35">
      <c r="A14" s="2">
        <v>42244</v>
      </c>
      <c r="B14" s="3">
        <v>17.597221231647399</v>
      </c>
      <c r="C14" s="3">
        <v>14.7220544771883</v>
      </c>
      <c r="D14" s="3">
        <v>14.9472886737369</v>
      </c>
      <c r="E14" s="3">
        <v>12.5149363846906</v>
      </c>
      <c r="F14" s="3">
        <v>14.341985669785499</v>
      </c>
      <c r="G14" s="3">
        <v>16.495629018499599</v>
      </c>
      <c r="H14" s="3">
        <v>14.3473149702538</v>
      </c>
      <c r="I14" s="3">
        <v>17.501845382699099</v>
      </c>
      <c r="J14" s="3">
        <v>15.4793400021232</v>
      </c>
      <c r="K14" s="3">
        <v>14.403516811162699</v>
      </c>
      <c r="L14" s="3">
        <v>15.030517699761701</v>
      </c>
      <c r="M14" s="3">
        <v>14.9965770666275</v>
      </c>
      <c r="N14" s="3">
        <v>14.442306978073701</v>
      </c>
    </row>
    <row r="15" spans="1:14" x14ac:dyDescent="0.35">
      <c r="A15" s="2">
        <v>42276</v>
      </c>
      <c r="B15" s="3">
        <v>17.052045801583098</v>
      </c>
      <c r="C15" s="3">
        <v>13.892270977326501</v>
      </c>
      <c r="D15" s="3">
        <v>14.1153782603108</v>
      </c>
      <c r="E15" s="3">
        <v>11.500826078131601</v>
      </c>
      <c r="F15" s="3">
        <v>12.592421241459601</v>
      </c>
      <c r="G15" s="3">
        <v>15.617617344014601</v>
      </c>
      <c r="H15" s="3">
        <v>13.882281018196799</v>
      </c>
      <c r="I15" s="3">
        <v>16.391005067266899</v>
      </c>
      <c r="J15" s="3">
        <v>14.671071932700301</v>
      </c>
      <c r="K15" s="3">
        <v>13.5283341105853</v>
      </c>
      <c r="L15" s="3">
        <v>14.0706772265629</v>
      </c>
      <c r="M15" s="3">
        <v>13.873099236613101</v>
      </c>
      <c r="N15" s="3">
        <v>13.4761394113482</v>
      </c>
    </row>
    <row r="16" spans="1:14" x14ac:dyDescent="0.35">
      <c r="A16" s="2">
        <v>42306</v>
      </c>
      <c r="B16" s="3">
        <v>18.107509977936498</v>
      </c>
      <c r="C16" s="3">
        <v>15.134124920976401</v>
      </c>
      <c r="D16" s="3">
        <v>15.029976728975701</v>
      </c>
      <c r="E16" s="3">
        <v>13.271469090757501</v>
      </c>
      <c r="F16" s="3">
        <v>14.272726018540199</v>
      </c>
      <c r="G16" s="3">
        <v>16.954263448727701</v>
      </c>
      <c r="H16" s="3">
        <v>15.342959762407</v>
      </c>
      <c r="I16" s="3">
        <v>18.643047097995801</v>
      </c>
      <c r="J16" s="3">
        <v>16.3610492475364</v>
      </c>
      <c r="K16" s="3">
        <v>15.137121306656001</v>
      </c>
      <c r="L16" s="3">
        <v>15.831617212497401</v>
      </c>
      <c r="M16" s="3">
        <v>15.4017512338316</v>
      </c>
      <c r="N16" s="3">
        <v>14.7189076664203</v>
      </c>
    </row>
    <row r="17" spans="1:14" x14ac:dyDescent="0.35">
      <c r="A17" s="2">
        <v>42335</v>
      </c>
      <c r="B17" s="3">
        <v>18.137960769750698</v>
      </c>
      <c r="C17" s="3">
        <v>15.110869179371599</v>
      </c>
      <c r="D17" s="3">
        <v>14.5163637920177</v>
      </c>
      <c r="E17" s="3">
        <v>14.057270350769899</v>
      </c>
      <c r="F17" s="3">
        <v>14.708083691978199</v>
      </c>
      <c r="G17" s="3">
        <v>16.989310425897798</v>
      </c>
      <c r="H17" s="3">
        <v>15.4114620864583</v>
      </c>
      <c r="I17" s="3">
        <v>18.713744725675301</v>
      </c>
      <c r="J17" s="3">
        <v>16.345395989343299</v>
      </c>
      <c r="K17" s="3">
        <v>15.3275994586794</v>
      </c>
      <c r="L17" s="3">
        <v>16.5384330968825</v>
      </c>
      <c r="M17" s="3">
        <v>15.564188975817499</v>
      </c>
      <c r="N17" s="3">
        <v>15.040050304735299</v>
      </c>
    </row>
    <row r="18" spans="1:14" x14ac:dyDescent="0.35">
      <c r="A18" s="2">
        <v>42367</v>
      </c>
      <c r="B18" s="3">
        <v>18.3385479390308</v>
      </c>
      <c r="C18" s="3">
        <v>15.609003191073301</v>
      </c>
      <c r="D18" s="3">
        <v>14.5111065889039</v>
      </c>
      <c r="E18" s="3">
        <v>13.4848758604764</v>
      </c>
      <c r="F18" s="3">
        <v>14.0510774359549</v>
      </c>
      <c r="G18" s="3">
        <v>17.100512927453</v>
      </c>
      <c r="H18" s="3">
        <v>15.399864743199499</v>
      </c>
      <c r="I18" s="3">
        <v>18.7259851052622</v>
      </c>
      <c r="J18" s="3">
        <v>16.227648050183099</v>
      </c>
      <c r="K18" s="3">
        <v>14.7379623249789</v>
      </c>
      <c r="L18" s="3">
        <v>15.785696622943499</v>
      </c>
      <c r="M18" s="3">
        <v>15.026104665215399</v>
      </c>
      <c r="N18" s="3">
        <v>14.270675489143301</v>
      </c>
    </row>
    <row r="19" spans="1:14" x14ac:dyDescent="0.35">
      <c r="A19" s="2">
        <v>42398</v>
      </c>
      <c r="B19" s="3">
        <v>17.445961177563301</v>
      </c>
      <c r="C19" s="3">
        <v>15.235472782096499</v>
      </c>
      <c r="D19" s="3">
        <v>14.512368700572299</v>
      </c>
      <c r="E19" s="3">
        <v>12.3195530888269</v>
      </c>
      <c r="F19" s="3">
        <v>13.042691962684099</v>
      </c>
      <c r="G19" s="3">
        <v>16.235847310189101</v>
      </c>
      <c r="H19" s="3">
        <v>15.504557830947499</v>
      </c>
      <c r="I19" s="3">
        <v>17.3170674814134</v>
      </c>
      <c r="J19" s="3">
        <v>15.5099438140132</v>
      </c>
      <c r="K19" s="3">
        <v>14.250827351842901</v>
      </c>
      <c r="L19" s="3">
        <v>15.077845120517701</v>
      </c>
      <c r="M19" s="3">
        <v>14.579874271664499</v>
      </c>
      <c r="N19" s="3">
        <v>13.034168832855</v>
      </c>
    </row>
    <row r="20" spans="1:14" x14ac:dyDescent="0.35">
      <c r="A20" s="2">
        <v>42429</v>
      </c>
      <c r="B20" s="3">
        <v>17.505570024910099</v>
      </c>
      <c r="C20" s="3">
        <v>15.051548140716701</v>
      </c>
      <c r="D20" s="3">
        <v>14.9356765539306</v>
      </c>
      <c r="E20" s="3">
        <v>12.148112021916299</v>
      </c>
      <c r="F20" s="3">
        <v>12.246164722609899</v>
      </c>
      <c r="G20" s="3">
        <v>16.282206864071199</v>
      </c>
      <c r="H20" s="3">
        <v>15.612412794759001</v>
      </c>
      <c r="I20" s="3">
        <v>16.8542378058808</v>
      </c>
      <c r="J20" s="3">
        <v>15.516736353630501</v>
      </c>
      <c r="K20" s="3">
        <v>14.1983688040375</v>
      </c>
      <c r="L20" s="3">
        <v>14.8648040793015</v>
      </c>
      <c r="M20" s="3">
        <v>15.1632909635731</v>
      </c>
      <c r="N20" s="3">
        <v>12.9384392812333</v>
      </c>
    </row>
    <row r="21" spans="1:14" x14ac:dyDescent="0.35">
      <c r="A21" s="2">
        <v>42458</v>
      </c>
      <c r="B21" s="3">
        <v>18.341616835334602</v>
      </c>
      <c r="C21" s="3">
        <v>15.4630079606924</v>
      </c>
      <c r="D21" s="3">
        <v>15.9022638758418</v>
      </c>
      <c r="E21" s="3">
        <v>12.5978580944169</v>
      </c>
      <c r="F21" s="3">
        <v>13.117448376735901</v>
      </c>
      <c r="G21" s="3">
        <v>16.326188075936201</v>
      </c>
      <c r="H21" s="3">
        <v>15.954258803280201</v>
      </c>
      <c r="I21" s="3">
        <v>17.825448364231399</v>
      </c>
      <c r="J21" s="3">
        <v>15.516736353630501</v>
      </c>
      <c r="K21" s="3">
        <v>14.284774578705401</v>
      </c>
      <c r="L21" s="3">
        <v>15.338114455432001</v>
      </c>
      <c r="M21" s="3">
        <v>14.853274152592199</v>
      </c>
      <c r="N21" s="3">
        <v>13.2202400917411</v>
      </c>
    </row>
    <row r="22" spans="1:14" x14ac:dyDescent="0.35">
      <c r="A22" s="2">
        <v>42489</v>
      </c>
      <c r="B22" s="3">
        <v>18.714137894830401</v>
      </c>
      <c r="C22" s="3">
        <v>16.185067998896201</v>
      </c>
      <c r="D22" s="3">
        <v>16.696742116561602</v>
      </c>
      <c r="E22" s="3">
        <v>12.7755065394228</v>
      </c>
      <c r="F22" s="3">
        <v>12.8681650989449</v>
      </c>
      <c r="G22" s="3">
        <v>16.7255752354645</v>
      </c>
      <c r="H22" s="3">
        <v>16.217559099455599</v>
      </c>
      <c r="I22" s="3">
        <v>17.4707196772289</v>
      </c>
      <c r="J22" s="3">
        <v>16.522677016730398</v>
      </c>
      <c r="K22" s="3">
        <v>14.4793950055038</v>
      </c>
      <c r="L22" s="3">
        <v>14.946129809202001</v>
      </c>
      <c r="M22" s="3">
        <v>15.2560793560229</v>
      </c>
      <c r="N22" s="3">
        <v>13.422114321749399</v>
      </c>
    </row>
    <row r="23" spans="1:14" x14ac:dyDescent="0.35">
      <c r="A23" s="2">
        <v>42517</v>
      </c>
      <c r="B23" s="3">
        <v>19.331173304404999</v>
      </c>
      <c r="C23" s="3">
        <v>16.5798765196975</v>
      </c>
      <c r="D23" s="3">
        <v>16.6590359121926</v>
      </c>
      <c r="E23" s="3">
        <v>12.7593261998522</v>
      </c>
      <c r="F23" s="3">
        <v>13.357139434541599</v>
      </c>
      <c r="G23" s="3">
        <v>17.2976131951892</v>
      </c>
      <c r="H23" s="3">
        <v>16.030355452273898</v>
      </c>
      <c r="I23" s="3">
        <v>18.0088908096734</v>
      </c>
      <c r="J23" s="3">
        <v>16.630250009147701</v>
      </c>
      <c r="K23" s="3">
        <v>14.5972036241849</v>
      </c>
      <c r="L23" s="3">
        <v>15.3805035896872</v>
      </c>
      <c r="M23" s="3">
        <v>15.094183369829899</v>
      </c>
      <c r="N23" s="3">
        <v>13.781501328934301</v>
      </c>
    </row>
    <row r="24" spans="1:14" x14ac:dyDescent="0.35">
      <c r="A24" s="2">
        <v>42550</v>
      </c>
      <c r="B24" s="3">
        <v>18.737462577400599</v>
      </c>
      <c r="C24" s="3">
        <v>15.679318052026399</v>
      </c>
      <c r="D24" s="3">
        <v>16.304748584041601</v>
      </c>
      <c r="E24" s="3">
        <v>11.869871357685099</v>
      </c>
      <c r="F24" s="3">
        <v>12.6017917646962</v>
      </c>
      <c r="G24" s="3">
        <v>16.602106812582001</v>
      </c>
      <c r="H24" s="3">
        <v>15.707668816077801</v>
      </c>
      <c r="I24" s="3">
        <v>17.404218620725501</v>
      </c>
      <c r="J24" s="3">
        <v>16.274137521572602</v>
      </c>
      <c r="K24" s="3">
        <v>13.460383472907701</v>
      </c>
      <c r="L24" s="3">
        <v>13.9333752763881</v>
      </c>
      <c r="M24" s="3">
        <v>14.348567232531201</v>
      </c>
      <c r="N24" s="3">
        <v>11.626870367261001</v>
      </c>
    </row>
    <row r="25" spans="1:14" x14ac:dyDescent="0.35">
      <c r="A25" s="2">
        <v>42580</v>
      </c>
      <c r="B25" s="3">
        <v>20.317860759197298</v>
      </c>
      <c r="C25" s="3">
        <v>16.7960469997983</v>
      </c>
      <c r="D25" s="3">
        <v>16.444345887586199</v>
      </c>
      <c r="E25" s="3">
        <v>12.7496981471905</v>
      </c>
      <c r="F25" s="3">
        <v>13.3997319137909</v>
      </c>
      <c r="G25" s="3">
        <v>17.194709396987601</v>
      </c>
      <c r="H25" s="3">
        <v>16.183090573922399</v>
      </c>
      <c r="I25" s="3">
        <v>18.6503515019565</v>
      </c>
      <c r="J25" s="3">
        <v>16.972735506226801</v>
      </c>
      <c r="K25" s="3">
        <v>14.149371031928499</v>
      </c>
      <c r="L25" s="3">
        <v>14.7851056451738</v>
      </c>
      <c r="M25" s="3">
        <v>15.2593380109794</v>
      </c>
      <c r="N25" s="3">
        <v>12.452074341916999</v>
      </c>
    </row>
    <row r="26" spans="1:14" x14ac:dyDescent="0.35">
      <c r="A26" s="2">
        <v>42611</v>
      </c>
      <c r="B26" s="3">
        <v>20.527029871253799</v>
      </c>
      <c r="C26" s="3">
        <v>16.543096732874599</v>
      </c>
      <c r="D26" s="3">
        <v>16.332758514123501</v>
      </c>
      <c r="E26" s="3">
        <v>12.8873977910698</v>
      </c>
      <c r="F26" s="3">
        <v>13.379901392692201</v>
      </c>
      <c r="G26" s="3">
        <v>17.254981166164999</v>
      </c>
      <c r="H26" s="3">
        <v>16.051002335037399</v>
      </c>
      <c r="I26" s="3">
        <v>18.595520381866599</v>
      </c>
      <c r="J26" s="3">
        <v>16.860092737996201</v>
      </c>
      <c r="K26" s="3">
        <v>13.894294679211599</v>
      </c>
      <c r="L26" s="3">
        <v>14.9005641092898</v>
      </c>
      <c r="M26" s="3">
        <v>15.420307915822001</v>
      </c>
      <c r="N26" s="3">
        <v>12.383527948577999</v>
      </c>
    </row>
    <row r="27" spans="1:14" x14ac:dyDescent="0.35">
      <c r="A27" s="2">
        <v>42642</v>
      </c>
      <c r="B27" s="3">
        <v>20.203992231137399</v>
      </c>
      <c r="C27" s="3">
        <v>16.379037346608499</v>
      </c>
      <c r="D27" s="3">
        <v>16.1197752308045</v>
      </c>
      <c r="E27" s="3">
        <v>12.7534030363997</v>
      </c>
      <c r="F27" s="3">
        <v>13.537761803434201</v>
      </c>
      <c r="G27" s="3">
        <v>17.1666806011293</v>
      </c>
      <c r="H27" s="3">
        <v>15.7618153054096</v>
      </c>
      <c r="I27" s="3">
        <v>18.540156769414398</v>
      </c>
      <c r="J27" s="3">
        <v>16.525077329059801</v>
      </c>
      <c r="K27" s="3">
        <v>13.852612478876599</v>
      </c>
      <c r="L27" s="3">
        <v>14.8637631844409</v>
      </c>
      <c r="M27" s="3">
        <v>15.624836630138001</v>
      </c>
      <c r="N27" s="3">
        <v>11.7584050927027</v>
      </c>
    </row>
    <row r="28" spans="1:14" x14ac:dyDescent="0.35">
      <c r="A28" s="2">
        <v>42671</v>
      </c>
      <c r="B28" s="3">
        <v>18.989790301662801</v>
      </c>
      <c r="C28" s="3">
        <v>15.6544092944133</v>
      </c>
      <c r="D28" s="3">
        <v>15.8475075306213</v>
      </c>
      <c r="E28" s="3">
        <v>12.964666242100799</v>
      </c>
      <c r="F28" s="3">
        <v>13.837764406297101</v>
      </c>
      <c r="G28" s="3">
        <v>16.605156929664499</v>
      </c>
      <c r="H28" s="3">
        <v>14.984503184646901</v>
      </c>
      <c r="I28" s="3">
        <v>18.179631471741001</v>
      </c>
      <c r="J28" s="3">
        <v>16.2198885352384</v>
      </c>
      <c r="K28" s="3">
        <v>14.064234859670799</v>
      </c>
      <c r="L28" s="3">
        <v>14.7948942973229</v>
      </c>
      <c r="M28" s="3">
        <v>16.2347847568305</v>
      </c>
      <c r="N28" s="3">
        <v>12.2404668822241</v>
      </c>
    </row>
    <row r="29" spans="1:14" x14ac:dyDescent="0.35">
      <c r="A29" s="2">
        <v>42703</v>
      </c>
      <c r="B29" s="3">
        <v>18.765682513319501</v>
      </c>
      <c r="C29" s="3">
        <v>15.900248498017399</v>
      </c>
      <c r="D29" s="3">
        <v>15.8637114368276</v>
      </c>
      <c r="E29" s="3">
        <v>12.7643189943667</v>
      </c>
      <c r="F29" s="3">
        <v>14.4683283851473</v>
      </c>
      <c r="G29" s="3">
        <v>16.280127472901999</v>
      </c>
      <c r="H29" s="3">
        <v>14.220713512703499</v>
      </c>
      <c r="I29" s="3">
        <v>18.2731934442536</v>
      </c>
      <c r="J29" s="3">
        <v>16.7259198325103</v>
      </c>
      <c r="K29" s="3">
        <v>13.801694681046699</v>
      </c>
      <c r="L29" s="3">
        <v>14.538877924569301</v>
      </c>
      <c r="M29" s="3">
        <v>15.982638009363701</v>
      </c>
      <c r="N29" s="3">
        <v>11.6123180238421</v>
      </c>
    </row>
    <row r="30" spans="1:14" x14ac:dyDescent="0.35">
      <c r="A30" s="2">
        <v>42733</v>
      </c>
      <c r="B30" s="3">
        <v>18.549580700217099</v>
      </c>
      <c r="C30" s="3">
        <v>15.884650011639399</v>
      </c>
      <c r="D30" s="3">
        <v>15.886807163211699</v>
      </c>
      <c r="E30" s="3">
        <v>13.6129111386941</v>
      </c>
      <c r="F30" s="3">
        <v>14.6251240939044</v>
      </c>
      <c r="G30" s="3">
        <v>16.796018483427702</v>
      </c>
      <c r="H30" s="3">
        <v>14.339452545869699</v>
      </c>
      <c r="I30" s="3">
        <v>18.255839117554601</v>
      </c>
      <c r="J30" s="3">
        <v>16.892624529492501</v>
      </c>
      <c r="K30" s="3">
        <v>14.5099521375212</v>
      </c>
      <c r="L30" s="3">
        <v>15.021186097382399</v>
      </c>
      <c r="M30" s="3">
        <v>16.424532560606</v>
      </c>
      <c r="N30" s="3">
        <v>13.589265497591599</v>
      </c>
    </row>
    <row r="31" spans="1:14" x14ac:dyDescent="0.35">
      <c r="A31" s="2">
        <v>42762</v>
      </c>
      <c r="B31" s="3">
        <v>19.194875225990799</v>
      </c>
      <c r="C31" s="3">
        <v>15.823793351226699</v>
      </c>
      <c r="D31" s="3">
        <v>16.167178844355</v>
      </c>
      <c r="E31" s="3">
        <v>13.950952794594</v>
      </c>
      <c r="F31" s="3">
        <v>14.7509543435014</v>
      </c>
      <c r="G31" s="3">
        <v>17.208593225508899</v>
      </c>
      <c r="H31" s="3">
        <v>14.3254374262404</v>
      </c>
      <c r="I31" s="3">
        <v>19.326498152341198</v>
      </c>
      <c r="J31" s="3">
        <v>17.183195450038799</v>
      </c>
      <c r="K31" s="3">
        <v>14.4162397548059</v>
      </c>
      <c r="L31" s="3">
        <v>15.1461186354191</v>
      </c>
      <c r="M31" s="3">
        <v>16.3948013417411</v>
      </c>
      <c r="N31" s="3">
        <v>13.0825952970425</v>
      </c>
    </row>
    <row r="32" spans="1:14" x14ac:dyDescent="0.35">
      <c r="A32" s="2">
        <v>42794</v>
      </c>
      <c r="B32" s="3">
        <v>18.345623529023399</v>
      </c>
      <c r="C32" s="3">
        <v>15.759947664808299</v>
      </c>
      <c r="D32" s="3">
        <v>15.817264823506999</v>
      </c>
      <c r="E32" s="3">
        <v>13.686296320478201</v>
      </c>
      <c r="F32" s="3">
        <v>14.1099273732975</v>
      </c>
      <c r="G32" s="3">
        <v>17.543801645900899</v>
      </c>
      <c r="H32" s="3">
        <v>14.387426044860099</v>
      </c>
      <c r="I32" s="3">
        <v>20.041470703903801</v>
      </c>
      <c r="J32" s="3">
        <v>17.658470304804698</v>
      </c>
      <c r="K32" s="3">
        <v>14.1974243755866</v>
      </c>
      <c r="L32" s="3">
        <v>15.4775278626066</v>
      </c>
      <c r="M32" s="3">
        <v>16.3898648505327</v>
      </c>
      <c r="N32" s="3">
        <v>12.7903887811697</v>
      </c>
    </row>
    <row r="33" spans="1:14" x14ac:dyDescent="0.35">
      <c r="A33" s="2">
        <v>42823</v>
      </c>
      <c r="B33" s="3">
        <v>18.885791509475801</v>
      </c>
      <c r="C33" s="3">
        <v>15.896411275641199</v>
      </c>
      <c r="D33" s="3">
        <v>16.007691993775602</v>
      </c>
      <c r="E33" s="3">
        <v>13.988938578602699</v>
      </c>
      <c r="F33" s="3">
        <v>14.015190613329599</v>
      </c>
      <c r="G33" s="3">
        <v>17.417960769699199</v>
      </c>
      <c r="H33" s="3">
        <v>14.4601227978655</v>
      </c>
      <c r="I33" s="3">
        <v>20.142311276509101</v>
      </c>
      <c r="J33" s="3">
        <v>17.505314001371602</v>
      </c>
      <c r="K33" s="3">
        <v>14.7814348003355</v>
      </c>
      <c r="L33" s="3">
        <v>15.957882674049699</v>
      </c>
      <c r="M33" s="3">
        <v>17.1350019210313</v>
      </c>
      <c r="N33" s="3">
        <v>13.5888089080726</v>
      </c>
    </row>
    <row r="34" spans="1:14" x14ac:dyDescent="0.35">
      <c r="A34" s="2">
        <v>42853</v>
      </c>
      <c r="B34" s="3">
        <v>19.535671110391799</v>
      </c>
      <c r="C34" s="3">
        <v>15.964150867551201</v>
      </c>
      <c r="D34" s="3">
        <v>15.6903318404951</v>
      </c>
      <c r="E34" s="3">
        <v>13.9737694644847</v>
      </c>
      <c r="F34" s="3">
        <v>13.851733909173801</v>
      </c>
      <c r="G34" s="3">
        <v>17.821473120202299</v>
      </c>
      <c r="H34" s="3">
        <v>14.3108472927418</v>
      </c>
      <c r="I34" s="3">
        <v>20.361000657249299</v>
      </c>
      <c r="J34" s="3">
        <v>17.445156431584898</v>
      </c>
      <c r="K34" s="3">
        <v>15.211280112837001</v>
      </c>
      <c r="L34" s="3">
        <v>16.345623831759301</v>
      </c>
      <c r="M34" s="3">
        <v>17.090100577415001</v>
      </c>
      <c r="N34" s="3">
        <v>13.3991037145028</v>
      </c>
    </row>
    <row r="35" spans="1:14" x14ac:dyDescent="0.35">
      <c r="A35" s="2">
        <v>42881</v>
      </c>
      <c r="B35" s="3">
        <v>19.571460769237198</v>
      </c>
      <c r="C35" s="3">
        <v>15.3746191871798</v>
      </c>
      <c r="D35" s="3">
        <v>15.732657480677601</v>
      </c>
      <c r="E35" s="3">
        <v>13.752088725552399</v>
      </c>
      <c r="F35" s="3">
        <v>14.266143892528101</v>
      </c>
      <c r="G35" s="3">
        <v>18.0706202636987</v>
      </c>
      <c r="H35" s="3">
        <v>14.7786969487001</v>
      </c>
      <c r="I35" s="3">
        <v>20.949603082561101</v>
      </c>
      <c r="J35" s="3">
        <v>17.533398846944099</v>
      </c>
      <c r="K35" s="3">
        <v>15.235447872678</v>
      </c>
      <c r="L35" s="3">
        <v>16.3547968889701</v>
      </c>
      <c r="M35" s="3">
        <v>18.0171480827448</v>
      </c>
      <c r="N35" s="3">
        <v>13.548496763555899</v>
      </c>
    </row>
    <row r="36" spans="1:14" x14ac:dyDescent="0.35">
      <c r="A36" s="2">
        <v>42915</v>
      </c>
      <c r="B36" s="3">
        <v>19.8424949775921</v>
      </c>
      <c r="C36" s="3">
        <v>15.6986894025766</v>
      </c>
      <c r="D36" s="3">
        <v>15.261318468159301</v>
      </c>
      <c r="E36" s="3">
        <v>13.361832703264501</v>
      </c>
      <c r="F36" s="3">
        <v>14.409826044938301</v>
      </c>
      <c r="G36" s="3">
        <v>17.7872142217951</v>
      </c>
      <c r="H36" s="3">
        <v>14.478475297258701</v>
      </c>
      <c r="I36" s="3">
        <v>20.118605799409401</v>
      </c>
      <c r="J36" s="3">
        <v>17.395912002488501</v>
      </c>
      <c r="K36" s="3">
        <v>14.6360211173373</v>
      </c>
      <c r="L36" s="3">
        <v>15.656544730057901</v>
      </c>
      <c r="M36" s="3">
        <v>16.520118506696299</v>
      </c>
      <c r="N36" s="3">
        <v>13.0624139103122</v>
      </c>
    </row>
    <row r="37" spans="1:14" x14ac:dyDescent="0.35">
      <c r="A37" s="2">
        <v>42944</v>
      </c>
      <c r="B37" s="3">
        <v>19.526182673248599</v>
      </c>
      <c r="C37" s="3">
        <v>15.636684897693801</v>
      </c>
      <c r="D37" s="3">
        <v>15.573930387869201</v>
      </c>
      <c r="E37" s="3">
        <v>13.0703813084586</v>
      </c>
      <c r="F37" s="3">
        <v>14.1975512215718</v>
      </c>
      <c r="G37" s="3">
        <v>17.736568334633901</v>
      </c>
      <c r="H37" s="3">
        <v>14.712735056583201</v>
      </c>
      <c r="I37" s="3">
        <v>20.7942796579655</v>
      </c>
      <c r="J37" s="3">
        <v>17.659584787592198</v>
      </c>
      <c r="K37" s="3">
        <v>14.6070460869743</v>
      </c>
      <c r="L37" s="3">
        <v>15.9790912658229</v>
      </c>
      <c r="M37" s="3">
        <v>16.168600239714099</v>
      </c>
      <c r="N37" s="3">
        <v>13.4349831159478</v>
      </c>
    </row>
    <row r="38" spans="1:14" x14ac:dyDescent="0.35">
      <c r="A38" s="2">
        <v>42976</v>
      </c>
      <c r="B38" s="3">
        <v>19.7971305304056</v>
      </c>
      <c r="C38" s="3">
        <v>15.563195942514</v>
      </c>
      <c r="D38" s="3">
        <v>15.4428776967322</v>
      </c>
      <c r="E38" s="3">
        <v>12.8067368413382</v>
      </c>
      <c r="F38" s="3">
        <v>13.5791667906042</v>
      </c>
      <c r="G38" s="3">
        <v>17.3340073823077</v>
      </c>
      <c r="H38" s="3">
        <v>14.4363703648257</v>
      </c>
      <c r="I38" s="3">
        <v>20.283409257516201</v>
      </c>
      <c r="J38" s="3">
        <v>17.3307242372092</v>
      </c>
      <c r="K38" s="3">
        <v>14.2985626193974</v>
      </c>
      <c r="L38" s="3">
        <v>15.464581830930401</v>
      </c>
      <c r="M38" s="3">
        <v>15.527577465035</v>
      </c>
      <c r="N38" s="3">
        <v>13.0829474903747</v>
      </c>
    </row>
    <row r="39" spans="1:14" x14ac:dyDescent="0.35">
      <c r="A39" s="2">
        <v>43007</v>
      </c>
      <c r="B39" s="3">
        <v>19.831774172798401</v>
      </c>
      <c r="C39" s="3">
        <v>15.4254496003211</v>
      </c>
      <c r="D39" s="3">
        <v>15.7716774901123</v>
      </c>
      <c r="E39" s="3">
        <v>13.6674893399511</v>
      </c>
      <c r="F39" s="3">
        <v>14.011851250326901</v>
      </c>
      <c r="G39" s="3">
        <v>17.754606874660801</v>
      </c>
      <c r="H39" s="3">
        <v>14.541307661188601</v>
      </c>
      <c r="I39" s="3">
        <v>20.376122103290001</v>
      </c>
      <c r="J39" s="3">
        <v>17.732658922695201</v>
      </c>
      <c r="K39" s="3">
        <v>15.1352822443408</v>
      </c>
      <c r="L39" s="3">
        <v>16.020405717015201</v>
      </c>
      <c r="M39" s="3">
        <v>16.811367193639398</v>
      </c>
      <c r="N39" s="3">
        <v>13.590368742710901</v>
      </c>
    </row>
    <row r="40" spans="1:14" x14ac:dyDescent="0.35">
      <c r="A40" s="2">
        <v>43035</v>
      </c>
      <c r="B40" s="3">
        <v>20.372359561344901</v>
      </c>
      <c r="C40" s="3">
        <v>15.7763962109535</v>
      </c>
      <c r="D40" s="3">
        <v>15.8883441224396</v>
      </c>
      <c r="E40" s="3">
        <v>14.048184761066301</v>
      </c>
      <c r="F40" s="3">
        <v>14.6644285977656</v>
      </c>
      <c r="G40" s="3">
        <v>17.805690257749202</v>
      </c>
      <c r="H40" s="3">
        <v>14.490782578503</v>
      </c>
      <c r="I40" s="3">
        <v>20.7484258693142</v>
      </c>
      <c r="J40" s="3">
        <v>18.004798490693901</v>
      </c>
      <c r="K40" s="3">
        <v>15.378269150774001</v>
      </c>
      <c r="L40" s="3">
        <v>16.256597185170801</v>
      </c>
      <c r="M40" s="3">
        <v>17.320738781628201</v>
      </c>
      <c r="N40" s="3">
        <v>13.5765474854277</v>
      </c>
    </row>
    <row r="41" spans="1:14" x14ac:dyDescent="0.35">
      <c r="A41" s="2">
        <v>43068</v>
      </c>
      <c r="B41" s="3">
        <v>20.112417884790801</v>
      </c>
      <c r="C41" s="3">
        <v>15.9470087164507</v>
      </c>
      <c r="D41" s="3">
        <v>15.7758989416684</v>
      </c>
      <c r="E41" s="3">
        <v>13.851625287251499</v>
      </c>
      <c r="F41" s="3">
        <v>14.6507880939663</v>
      </c>
      <c r="G41" s="3">
        <v>17.6901826652349</v>
      </c>
      <c r="H41" s="3">
        <v>14.253281222952401</v>
      </c>
      <c r="I41" s="3">
        <v>20.744060068404401</v>
      </c>
      <c r="J41" s="3">
        <v>18.103578328482801</v>
      </c>
      <c r="K41" s="3">
        <v>15.066600944805399</v>
      </c>
      <c r="L41" s="3">
        <v>15.9505390881808</v>
      </c>
      <c r="M41" s="3">
        <v>16.573902426218002</v>
      </c>
      <c r="N41" s="3">
        <v>13.247855643762</v>
      </c>
    </row>
    <row r="42" spans="1:14" x14ac:dyDescent="0.35">
      <c r="A42" s="2">
        <v>43098</v>
      </c>
      <c r="B42" s="3">
        <v>20.939465306715999</v>
      </c>
      <c r="C42" s="3">
        <v>16.0258597214481</v>
      </c>
      <c r="D42" s="3">
        <v>15.9212397952306</v>
      </c>
      <c r="E42" s="3">
        <v>13.7384136589018</v>
      </c>
      <c r="F42" s="3">
        <v>14.7172858599221</v>
      </c>
      <c r="G42" s="3">
        <v>17.691791048020299</v>
      </c>
      <c r="H42" s="3">
        <v>14.777121883385799</v>
      </c>
      <c r="I42" s="3">
        <v>20.794752533218301</v>
      </c>
      <c r="J42" s="3">
        <v>18.125319575866101</v>
      </c>
      <c r="K42" s="3">
        <v>14.803149276416599</v>
      </c>
      <c r="L42" s="3">
        <v>15.907886313488</v>
      </c>
      <c r="M42" s="3">
        <v>16.113894235021998</v>
      </c>
      <c r="N42" s="3">
        <v>12.9476628628246</v>
      </c>
    </row>
    <row r="43" spans="1:14" x14ac:dyDescent="0.35">
      <c r="A43" s="2">
        <v>43129</v>
      </c>
      <c r="B43" s="3">
        <v>20.655247547598002</v>
      </c>
      <c r="C43" s="3">
        <v>15.890813081715701</v>
      </c>
      <c r="D43" s="3">
        <v>15.358155919928</v>
      </c>
      <c r="E43" s="3">
        <v>14.0245318662059</v>
      </c>
      <c r="F43" s="3">
        <v>15.117756388905001</v>
      </c>
      <c r="G43" s="3">
        <v>17.768946527038999</v>
      </c>
      <c r="H43" s="3">
        <v>14.587580289075399</v>
      </c>
      <c r="I43" s="3">
        <v>21.957729522952398</v>
      </c>
      <c r="J43" s="3">
        <v>18.286856576885601</v>
      </c>
      <c r="K43" s="3">
        <v>15.277395723612401</v>
      </c>
      <c r="L43" s="3">
        <v>16.334840297472098</v>
      </c>
      <c r="M43" s="3">
        <v>16.6689299160921</v>
      </c>
      <c r="N43" s="3">
        <v>13.4329503806043</v>
      </c>
    </row>
    <row r="44" spans="1:14" x14ac:dyDescent="0.35">
      <c r="A44" s="2">
        <v>43159</v>
      </c>
      <c r="B44" s="3">
        <v>20.8462380710614</v>
      </c>
      <c r="C44" s="3">
        <v>15.559774051457699</v>
      </c>
      <c r="D44" s="3">
        <v>14.4316732396112</v>
      </c>
      <c r="E44" s="3">
        <v>13.1139166925308</v>
      </c>
      <c r="F44" s="3">
        <v>13.262246295658899</v>
      </c>
      <c r="G44" s="3">
        <v>16.558212276686099</v>
      </c>
      <c r="H44" s="3">
        <v>13.116669102772001</v>
      </c>
      <c r="I44" s="3">
        <v>20.780915318045199</v>
      </c>
      <c r="J44" s="3">
        <v>16.877882067462401</v>
      </c>
      <c r="K44" s="3">
        <v>14.642622239218699</v>
      </c>
      <c r="L44" s="3">
        <v>15.613550224402401</v>
      </c>
      <c r="M44" s="3">
        <v>16.389267383932701</v>
      </c>
      <c r="N44" s="3">
        <v>12.511362753940199</v>
      </c>
    </row>
    <row r="45" spans="1:14" x14ac:dyDescent="0.35">
      <c r="A45" s="2">
        <v>43188</v>
      </c>
      <c r="B45" s="3">
        <v>19.968462639193898</v>
      </c>
      <c r="C45" s="3">
        <v>14.7277990890281</v>
      </c>
      <c r="D45" s="3">
        <v>14.178992741165301</v>
      </c>
      <c r="E45" s="3">
        <v>12.748070591478101</v>
      </c>
      <c r="F45" s="3">
        <v>12.680179678562499</v>
      </c>
      <c r="G45" s="3">
        <v>16.070666865179401</v>
      </c>
      <c r="H45" s="3">
        <v>13.2236066575751</v>
      </c>
      <c r="I45" s="3">
        <v>19.776305760343799</v>
      </c>
      <c r="J45" s="3">
        <v>16.3326334585674</v>
      </c>
      <c r="K45" s="3">
        <v>14.1993168392958</v>
      </c>
      <c r="L45" s="3">
        <v>15.3810444251276</v>
      </c>
      <c r="M45" s="3">
        <v>15.8207495332629</v>
      </c>
      <c r="N45" s="3">
        <v>12.4578319062636</v>
      </c>
    </row>
    <row r="46" spans="1:14" x14ac:dyDescent="0.35">
      <c r="A46" s="2">
        <v>43217</v>
      </c>
      <c r="B46" s="3">
        <v>19.9113535617366</v>
      </c>
      <c r="C46" s="3">
        <v>15.114586430601101</v>
      </c>
      <c r="D46" s="3">
        <v>14.222455732604301</v>
      </c>
      <c r="E46" s="3">
        <v>13.1752751880771</v>
      </c>
      <c r="F46" s="3">
        <v>13.250043244442599</v>
      </c>
      <c r="G46" s="3">
        <v>16.147131038019499</v>
      </c>
      <c r="H46" s="3">
        <v>13.8111767484273</v>
      </c>
      <c r="I46" s="3">
        <v>19.496332881482999</v>
      </c>
      <c r="J46" s="3">
        <v>16.2202375877396</v>
      </c>
      <c r="K46" s="3">
        <v>14.782047139732899</v>
      </c>
      <c r="L46" s="3">
        <v>15.677400198192</v>
      </c>
      <c r="M46" s="3">
        <v>15.9748155896869</v>
      </c>
      <c r="N46" s="3">
        <v>13.027850490567801</v>
      </c>
    </row>
    <row r="47" spans="1:14" x14ac:dyDescent="0.35">
      <c r="A47" s="2">
        <v>43249</v>
      </c>
      <c r="B47" s="3">
        <v>20.381459398228198</v>
      </c>
      <c r="C47" s="3">
        <v>15.172783969701101</v>
      </c>
      <c r="D47" s="3">
        <v>13.9893639087634</v>
      </c>
      <c r="E47" s="3">
        <v>12.976315208668799</v>
      </c>
      <c r="F47" s="3">
        <v>13.024082044591101</v>
      </c>
      <c r="G47" s="3">
        <v>15.757103603854899</v>
      </c>
      <c r="H47" s="3">
        <v>13.540484480263199</v>
      </c>
      <c r="I47" s="3">
        <v>19.964598461607899</v>
      </c>
      <c r="J47" s="3">
        <v>16.0802731020426</v>
      </c>
      <c r="K47" s="3">
        <v>14.402471891982501</v>
      </c>
      <c r="L47" s="3">
        <v>15.766916344568999</v>
      </c>
      <c r="M47" s="3">
        <v>15.582703105878499</v>
      </c>
      <c r="N47" s="3">
        <v>11.192915137146001</v>
      </c>
    </row>
    <row r="48" spans="1:14" x14ac:dyDescent="0.35">
      <c r="A48" s="2">
        <v>43280</v>
      </c>
      <c r="B48" s="3">
        <v>21.160631644616</v>
      </c>
      <c r="C48" s="3">
        <v>15.4879372293169</v>
      </c>
      <c r="D48" s="3">
        <v>14.244258693531901</v>
      </c>
      <c r="E48" s="3">
        <v>12.724650759188901</v>
      </c>
      <c r="F48" s="3">
        <v>12.7818554015054</v>
      </c>
      <c r="G48" s="3">
        <v>15.5840372409696</v>
      </c>
      <c r="H48" s="3">
        <v>13.293387598198899</v>
      </c>
      <c r="I48" s="3">
        <v>20.087014612318999</v>
      </c>
      <c r="J48" s="3">
        <v>16.122971940518099</v>
      </c>
      <c r="K48" s="3">
        <v>13.9729637950702</v>
      </c>
      <c r="L48" s="3">
        <v>15.5222598755721</v>
      </c>
      <c r="M48" s="3">
        <v>15.350341786484799</v>
      </c>
      <c r="N48" s="3">
        <v>11.3692943819695</v>
      </c>
    </row>
    <row r="49" spans="1:14" x14ac:dyDescent="0.35">
      <c r="A49" s="2">
        <v>43308</v>
      </c>
      <c r="B49" s="3">
        <v>21.162953913898399</v>
      </c>
      <c r="C49" s="3">
        <v>15.6759553130813</v>
      </c>
      <c r="D49" s="3">
        <v>14.1865297614449</v>
      </c>
      <c r="E49" s="3">
        <v>13.2768399613465</v>
      </c>
      <c r="F49" s="3">
        <v>13.0674705273985</v>
      </c>
      <c r="G49" s="3">
        <v>16.358453265245998</v>
      </c>
      <c r="H49" s="3">
        <v>13.253871360350301</v>
      </c>
      <c r="I49" s="3">
        <v>20.460585093366799</v>
      </c>
      <c r="J49" s="3">
        <v>16.521598266072299</v>
      </c>
      <c r="K49" s="3">
        <v>14.2527946614026</v>
      </c>
      <c r="L49" s="3">
        <v>16.070430194522501</v>
      </c>
      <c r="M49" s="3">
        <v>15.615132520972599</v>
      </c>
      <c r="N49" s="3">
        <v>11.590095834428</v>
      </c>
    </row>
    <row r="50" spans="1:14" x14ac:dyDescent="0.35">
      <c r="A50" s="2">
        <v>43341</v>
      </c>
      <c r="B50" s="3">
        <v>22.237723306745099</v>
      </c>
      <c r="C50" s="3">
        <v>15.790217262636</v>
      </c>
      <c r="D50" s="3">
        <v>13.935065621409199</v>
      </c>
      <c r="E50" s="3">
        <v>13.0405152686197</v>
      </c>
      <c r="F50" s="3">
        <v>12.7548311939246</v>
      </c>
      <c r="G50" s="3">
        <v>16.1561749914272</v>
      </c>
      <c r="H50" s="3">
        <v>12.861534580475301</v>
      </c>
      <c r="I50" s="3">
        <v>21.166936797817801</v>
      </c>
      <c r="J50" s="3">
        <v>16.891860962805101</v>
      </c>
      <c r="K50" s="3">
        <v>14.0355304093363</v>
      </c>
      <c r="L50" s="3">
        <v>15.645773743205</v>
      </c>
      <c r="M50" s="3">
        <v>16.019932572550299</v>
      </c>
      <c r="N50" s="3">
        <v>10.85156098129</v>
      </c>
    </row>
    <row r="51" spans="1:14" x14ac:dyDescent="0.35">
      <c r="A51" s="2">
        <v>43371</v>
      </c>
      <c r="B51" s="3">
        <v>21.4693190006079</v>
      </c>
      <c r="C51" s="3">
        <v>15.3018169312989</v>
      </c>
      <c r="D51" s="3">
        <v>13.5635404959644</v>
      </c>
      <c r="E51" s="3">
        <v>12.6567280375032</v>
      </c>
      <c r="F51" s="3">
        <v>13.333064435246801</v>
      </c>
      <c r="G51" s="3">
        <v>16.067665549875699</v>
      </c>
      <c r="H51" s="3">
        <v>12.7726243200956</v>
      </c>
      <c r="I51" s="3">
        <v>20.879251081967901</v>
      </c>
      <c r="J51" s="3">
        <v>16.779291449582299</v>
      </c>
      <c r="K51" s="3">
        <v>13.859144718823099</v>
      </c>
      <c r="L51" s="3">
        <v>14.944329408064799</v>
      </c>
      <c r="M51" s="3">
        <v>15.880855913814599</v>
      </c>
      <c r="N51" s="3">
        <v>10.616831307497799</v>
      </c>
    </row>
    <row r="52" spans="1:14" x14ac:dyDescent="0.35">
      <c r="A52" s="2">
        <v>43402</v>
      </c>
      <c r="B52" s="3">
        <v>19.756010431076</v>
      </c>
      <c r="C52" s="3">
        <v>14.0317320238701</v>
      </c>
      <c r="D52" s="3">
        <v>12.3115795795106</v>
      </c>
      <c r="E52" s="3">
        <v>11.556948341474399</v>
      </c>
      <c r="F52" s="3">
        <v>11.619247497941</v>
      </c>
      <c r="G52" s="3">
        <v>15.267091038707299</v>
      </c>
      <c r="H52" s="3">
        <v>11.708490269747999</v>
      </c>
      <c r="I52" s="3">
        <v>18.111794604094801</v>
      </c>
      <c r="J52" s="3">
        <v>15.064681099286201</v>
      </c>
      <c r="K52" s="3">
        <v>12.5529782816681</v>
      </c>
      <c r="L52" s="3">
        <v>13.7694158149957</v>
      </c>
      <c r="M52" s="3">
        <v>14.0809130922592</v>
      </c>
      <c r="N52" s="3">
        <v>9.7532497493096493</v>
      </c>
    </row>
    <row r="53" spans="1:14" x14ac:dyDescent="0.35">
      <c r="A53" s="2">
        <v>43433</v>
      </c>
      <c r="B53" s="3">
        <v>19.899726149050299</v>
      </c>
      <c r="C53" s="3">
        <v>14.3189280448125</v>
      </c>
      <c r="D53" s="3">
        <v>12.6739502969311</v>
      </c>
      <c r="E53" s="3">
        <v>11.5925916095931</v>
      </c>
      <c r="F53" s="3">
        <v>12.190614852288199</v>
      </c>
      <c r="G53" s="3">
        <v>15.6771336259389</v>
      </c>
      <c r="H53" s="3">
        <v>11.807812871444201</v>
      </c>
      <c r="I53" s="3">
        <v>18.6653245927101</v>
      </c>
      <c r="J53" s="3">
        <v>15.613521104895501</v>
      </c>
      <c r="K53" s="3">
        <v>12.5297349321217</v>
      </c>
      <c r="L53" s="3">
        <v>14.147776528875999</v>
      </c>
      <c r="M53" s="3">
        <v>14.1915621293259</v>
      </c>
      <c r="N53" s="3">
        <v>9.6557025765513007</v>
      </c>
    </row>
    <row r="54" spans="1:14" x14ac:dyDescent="0.35">
      <c r="A54" s="2">
        <v>43462</v>
      </c>
      <c r="B54" s="3">
        <v>20.0278637880904</v>
      </c>
      <c r="C54" s="3">
        <v>13.982035670277901</v>
      </c>
      <c r="D54" s="3">
        <v>12.030595302331101</v>
      </c>
      <c r="E54" s="3">
        <v>10.9309261627994</v>
      </c>
      <c r="F54" s="3">
        <v>11.1053605202922</v>
      </c>
      <c r="G54" s="3">
        <v>14.515017605219599</v>
      </c>
      <c r="H54" s="3">
        <v>11.406171436187201</v>
      </c>
      <c r="I54" s="3">
        <v>17.1033334043296</v>
      </c>
      <c r="J54" s="3">
        <v>14.284479178170599</v>
      </c>
      <c r="K54" s="3">
        <v>11.763282073841101</v>
      </c>
      <c r="L54" s="3">
        <v>12.970359478390399</v>
      </c>
      <c r="M54" s="3">
        <v>13.3263765362382</v>
      </c>
      <c r="N54" s="3">
        <v>9.1487076196164097</v>
      </c>
    </row>
    <row r="55" spans="1:14" x14ac:dyDescent="0.35">
      <c r="A55" s="2">
        <v>43494</v>
      </c>
      <c r="B55" s="3">
        <v>20.3989684691626</v>
      </c>
      <c r="C55" s="3">
        <v>14.616811446882499</v>
      </c>
      <c r="D55" s="3">
        <v>13.6247522563778</v>
      </c>
      <c r="E55" s="3">
        <v>11.8134836800124</v>
      </c>
      <c r="F55" s="3">
        <v>11.8133778530483</v>
      </c>
      <c r="G55" s="3">
        <v>15.4945136299608</v>
      </c>
      <c r="H55" s="3">
        <v>11.912700330776101</v>
      </c>
      <c r="I55" s="3">
        <v>18.2358552069316</v>
      </c>
      <c r="J55" s="3">
        <v>15.3480826784917</v>
      </c>
      <c r="K55" s="3">
        <v>12.6841608954807</v>
      </c>
      <c r="L55" s="3">
        <v>14.038866038034801</v>
      </c>
      <c r="M55" s="3">
        <v>14.01717215435</v>
      </c>
      <c r="N55" s="3">
        <v>9.9071465574430295</v>
      </c>
    </row>
    <row r="56" spans="1:14" x14ac:dyDescent="0.35">
      <c r="A56" s="2">
        <v>43524</v>
      </c>
      <c r="B56" s="3">
        <v>21.570719669068399</v>
      </c>
      <c r="C56" s="3">
        <v>15.3518467142567</v>
      </c>
      <c r="D56" s="3">
        <v>14.1221263560808</v>
      </c>
      <c r="E56" s="3">
        <v>12.110553041979401</v>
      </c>
      <c r="F56" s="3">
        <v>12.4615144830221</v>
      </c>
      <c r="G56" s="3">
        <v>16.338073948078801</v>
      </c>
      <c r="H56" s="3">
        <v>12.399630052562401</v>
      </c>
      <c r="I56" s="3">
        <v>19.671921142110399</v>
      </c>
      <c r="J56" s="3">
        <v>16.2188096213021</v>
      </c>
      <c r="K56" s="3">
        <v>13.4777878618813</v>
      </c>
      <c r="L56" s="3">
        <v>14.8504332804713</v>
      </c>
      <c r="M56" s="3">
        <v>14.7869103765623</v>
      </c>
      <c r="N56" s="3">
        <v>10.579188236159</v>
      </c>
    </row>
    <row r="57" spans="1:14" x14ac:dyDescent="0.35">
      <c r="A57" s="2">
        <v>43553</v>
      </c>
      <c r="B57" s="3">
        <v>22.338887056974698</v>
      </c>
      <c r="C57" s="3">
        <v>15.2927673519464</v>
      </c>
      <c r="D57" s="3">
        <v>14.092488319061699</v>
      </c>
      <c r="E57" s="3">
        <v>12.133825340930199</v>
      </c>
      <c r="F57" s="3">
        <v>12.4698544979362</v>
      </c>
      <c r="G57" s="3">
        <v>16.579177769501001</v>
      </c>
      <c r="H57" s="3">
        <v>12.5347448196817</v>
      </c>
      <c r="I57" s="3">
        <v>20.324903881067701</v>
      </c>
      <c r="J57" s="3">
        <v>16.4297279067491</v>
      </c>
      <c r="K57" s="3">
        <v>13.5977769794351</v>
      </c>
      <c r="L57" s="3">
        <v>15.1517121988869</v>
      </c>
      <c r="M57" s="3">
        <v>14.6835089300983</v>
      </c>
      <c r="N57" s="3">
        <v>10.793456242586601</v>
      </c>
    </row>
    <row r="58" spans="1:14" x14ac:dyDescent="0.35">
      <c r="A58" s="2">
        <v>43584</v>
      </c>
      <c r="B58" s="3">
        <v>22.721101001162101</v>
      </c>
      <c r="C58" s="3">
        <v>15.454935119921499</v>
      </c>
      <c r="D58" s="3">
        <v>13.9505097931946</v>
      </c>
      <c r="E58" s="3">
        <v>12.980792563197699</v>
      </c>
      <c r="F58" s="3">
        <v>12.7530035590355</v>
      </c>
      <c r="G58" s="3">
        <v>16.914224217433201</v>
      </c>
      <c r="H58" s="3">
        <v>12.658415176904899</v>
      </c>
      <c r="I58" s="3">
        <v>21.4178628496702</v>
      </c>
      <c r="J58" s="3">
        <v>16.904522171935401</v>
      </c>
      <c r="K58" s="3">
        <v>14.1190230802143</v>
      </c>
      <c r="L58" s="3">
        <v>15.7122487969033</v>
      </c>
      <c r="M58" s="3">
        <v>15.8948738932569</v>
      </c>
      <c r="N58" s="3">
        <v>10.881687191643399</v>
      </c>
    </row>
    <row r="59" spans="1:14" x14ac:dyDescent="0.35">
      <c r="A59" s="2">
        <v>43614</v>
      </c>
      <c r="B59" s="3">
        <v>22.90753285581</v>
      </c>
      <c r="C59" s="3">
        <v>15.626562934297</v>
      </c>
      <c r="D59" s="3">
        <v>13.4355374963899</v>
      </c>
      <c r="E59" s="3">
        <v>12.214194895294201</v>
      </c>
      <c r="F59" s="3">
        <v>12.3477351375638</v>
      </c>
      <c r="G59" s="3">
        <v>16.469384498853699</v>
      </c>
      <c r="H59" s="3">
        <v>12.179310959912</v>
      </c>
      <c r="I59" s="3">
        <v>19.5948127789881</v>
      </c>
      <c r="J59" s="3">
        <v>15.865523982977599</v>
      </c>
      <c r="K59" s="3">
        <v>13.201081915617101</v>
      </c>
      <c r="L59" s="3">
        <v>14.924135570028</v>
      </c>
      <c r="M59" s="3">
        <v>14.332823674846701</v>
      </c>
      <c r="N59" s="3">
        <v>9.8625402733277792</v>
      </c>
    </row>
    <row r="60" spans="1:14" x14ac:dyDescent="0.35">
      <c r="A60" s="2">
        <v>43644</v>
      </c>
      <c r="B60" s="3">
        <v>23.720287317614201</v>
      </c>
      <c r="C60" s="3">
        <v>16.1962504917731</v>
      </c>
      <c r="D60" s="3">
        <v>13.6844987120702</v>
      </c>
      <c r="E60" s="3">
        <v>12.751191384801301</v>
      </c>
      <c r="F60" s="3">
        <v>12.719721601451701</v>
      </c>
      <c r="G60" s="3">
        <v>17.176886787076299</v>
      </c>
      <c r="H60" s="3">
        <v>12.587925071526</v>
      </c>
      <c r="I60" s="3">
        <v>20.811870735508801</v>
      </c>
      <c r="J60" s="3">
        <v>16.733424257917001</v>
      </c>
      <c r="K60" s="3">
        <v>13.9078203954288</v>
      </c>
      <c r="L60" s="3">
        <v>15.4834378485148</v>
      </c>
      <c r="M60" s="3">
        <v>15.0017797984324</v>
      </c>
      <c r="N60" s="3">
        <v>10.463988994371499</v>
      </c>
    </row>
    <row r="61" spans="1:14" x14ac:dyDescent="0.35">
      <c r="A61" s="2">
        <v>43675</v>
      </c>
      <c r="B61" s="3">
        <v>24.572450267714402</v>
      </c>
      <c r="C61" s="3">
        <v>16.4919031255818</v>
      </c>
      <c r="D61" s="3">
        <v>13.7110185372121</v>
      </c>
      <c r="E61" s="3">
        <v>13.0214660820708</v>
      </c>
      <c r="F61" s="3">
        <v>12.8818593898066</v>
      </c>
      <c r="G61" s="3">
        <v>17.141141199836401</v>
      </c>
      <c r="H61" s="3">
        <v>12.7804648970031</v>
      </c>
      <c r="I61" s="3">
        <v>21.4344602929846</v>
      </c>
      <c r="J61" s="3">
        <v>17.174297157295801</v>
      </c>
      <c r="K61" s="3">
        <v>14.191771461585899</v>
      </c>
      <c r="L61" s="3">
        <v>15.9277208265122</v>
      </c>
      <c r="M61" s="3">
        <v>15.0584291660687</v>
      </c>
      <c r="N61" s="3">
        <v>10.7011713256543</v>
      </c>
    </row>
    <row r="62" spans="1:14" x14ac:dyDescent="0.35">
      <c r="A62" s="2">
        <v>43706</v>
      </c>
      <c r="B62" s="3">
        <v>25.275378687967098</v>
      </c>
      <c r="C62" s="3">
        <v>15.9437412283025</v>
      </c>
      <c r="D62" s="3">
        <v>13.644417231601</v>
      </c>
      <c r="E62" s="3">
        <v>12.513945099149501</v>
      </c>
      <c r="F62" s="3">
        <v>12.3809222220557</v>
      </c>
      <c r="G62" s="3">
        <v>16.899033037895698</v>
      </c>
      <c r="H62" s="3">
        <v>11.9957798242495</v>
      </c>
      <c r="I62" s="3">
        <v>20.490166604778199</v>
      </c>
      <c r="J62" s="3">
        <v>16.561279730487598</v>
      </c>
      <c r="K62" s="3">
        <v>13.7101223736012</v>
      </c>
      <c r="L62" s="3">
        <v>15.411123426451001</v>
      </c>
      <c r="M62" s="3">
        <v>13.751224065539899</v>
      </c>
      <c r="N62" s="3">
        <v>10.5133520374046</v>
      </c>
    </row>
    <row r="63" spans="1:14" x14ac:dyDescent="0.35">
      <c r="A63" s="2">
        <v>43735</v>
      </c>
      <c r="B63" s="3">
        <v>25.272523486364101</v>
      </c>
      <c r="C63" s="3">
        <v>16.744998263379799</v>
      </c>
      <c r="D63" s="3">
        <v>13.9521812334812</v>
      </c>
      <c r="E63" s="3">
        <v>13.015560921491</v>
      </c>
      <c r="F63" s="3">
        <v>13.313704832097001</v>
      </c>
      <c r="G63" s="3">
        <v>17.1095214315649</v>
      </c>
      <c r="H63" s="3">
        <v>12.487583519420699</v>
      </c>
      <c r="I63" s="3">
        <v>20.276499142612298</v>
      </c>
      <c r="J63" s="3">
        <v>16.721889236892601</v>
      </c>
      <c r="K63" s="3">
        <v>14.130046188343201</v>
      </c>
      <c r="L63" s="3">
        <v>16.184677901640999</v>
      </c>
      <c r="M63" s="3">
        <v>15.045300204875099</v>
      </c>
      <c r="N63" s="3">
        <v>10.779550435768</v>
      </c>
    </row>
    <row r="64" spans="1:14" x14ac:dyDescent="0.35">
      <c r="A64" s="2">
        <v>43767</v>
      </c>
      <c r="B64" s="3">
        <v>24.742702009808202</v>
      </c>
      <c r="C64" s="3">
        <v>17.052775626846699</v>
      </c>
      <c r="D64" s="3">
        <v>13.883776100814501</v>
      </c>
      <c r="E64" s="3">
        <v>13.569499780829901</v>
      </c>
      <c r="F64" s="3">
        <v>13.8299758431929</v>
      </c>
      <c r="G64" s="3">
        <v>17.314398217805099</v>
      </c>
      <c r="H64" s="3">
        <v>12.621620938544501</v>
      </c>
      <c r="I64" s="3">
        <v>21.042922467581501</v>
      </c>
      <c r="J64" s="3">
        <v>17.173901197975301</v>
      </c>
      <c r="K64" s="3">
        <v>14.483884664343901</v>
      </c>
      <c r="L64" s="3">
        <v>16.2848384764375</v>
      </c>
      <c r="M64" s="3">
        <v>15.7674486136389</v>
      </c>
      <c r="N64" s="3">
        <v>11.038340613616</v>
      </c>
    </row>
    <row r="65" spans="1:14" x14ac:dyDescent="0.35">
      <c r="A65" s="2">
        <v>43798</v>
      </c>
      <c r="B65" s="3">
        <v>26.041318278881601</v>
      </c>
      <c r="C65" s="3">
        <v>17.3687962428363</v>
      </c>
      <c r="D65" s="3">
        <v>14.378171118759299</v>
      </c>
      <c r="E65" s="3">
        <v>14.087277846428799</v>
      </c>
      <c r="F65" s="3">
        <v>14.218133637035301</v>
      </c>
      <c r="G65" s="3">
        <v>17.528441145979802</v>
      </c>
      <c r="H65" s="3">
        <v>12.9936396162924</v>
      </c>
      <c r="I65" s="3">
        <v>22.003363605534101</v>
      </c>
      <c r="J65" s="3">
        <v>17.7141977946727</v>
      </c>
      <c r="K65" s="3">
        <v>14.7433178453827</v>
      </c>
      <c r="L65" s="3">
        <v>16.730521307243901</v>
      </c>
      <c r="M65" s="3">
        <v>15.616754132028101</v>
      </c>
      <c r="N65" s="3">
        <v>11.232574044650599</v>
      </c>
    </row>
    <row r="66" spans="1:14" x14ac:dyDescent="0.35">
      <c r="A66" s="2">
        <v>43826</v>
      </c>
      <c r="B66" s="3">
        <v>26.0858022951486</v>
      </c>
      <c r="C66" s="3">
        <v>17.4933476632186</v>
      </c>
      <c r="D66" s="3">
        <v>14.5184963575003</v>
      </c>
      <c r="E66" s="3">
        <v>14.1887287403125</v>
      </c>
      <c r="F66" s="3">
        <v>14.633284938359299</v>
      </c>
      <c r="G66" s="3">
        <v>17.9720331604032</v>
      </c>
      <c r="H66" s="3">
        <v>13.5909814871824</v>
      </c>
      <c r="I66" s="3">
        <v>22.864363776197099</v>
      </c>
      <c r="J66" s="3">
        <v>18.2273781351774</v>
      </c>
      <c r="K66" s="3">
        <v>15.0434682522783</v>
      </c>
      <c r="L66" s="3">
        <v>17.1821495250251</v>
      </c>
      <c r="M66" s="3">
        <v>16.348804069966601</v>
      </c>
      <c r="N66" s="3">
        <v>11.5142226201628</v>
      </c>
    </row>
    <row r="67" spans="1:14" x14ac:dyDescent="0.35">
      <c r="A67" s="2">
        <v>43859</v>
      </c>
      <c r="B67" s="3">
        <v>26.1070900822365</v>
      </c>
      <c r="C67" s="3">
        <v>17.965122251711701</v>
      </c>
      <c r="D67" s="3">
        <v>14.638056872459799</v>
      </c>
      <c r="E67" s="3">
        <v>14.1509538825986</v>
      </c>
      <c r="F67" s="3">
        <v>14.3412898408244</v>
      </c>
      <c r="G67" s="3">
        <v>18.154440481786501</v>
      </c>
      <c r="H67" s="3">
        <v>13.2652793091719</v>
      </c>
      <c r="I67" s="3">
        <v>23.2368813136395</v>
      </c>
      <c r="J67" s="3">
        <v>18.310557272518</v>
      </c>
      <c r="K67" s="3">
        <v>14.8620603662548</v>
      </c>
      <c r="L67" s="3">
        <v>17.179357002961201</v>
      </c>
      <c r="M67" s="3">
        <v>16.249211444581501</v>
      </c>
      <c r="N67" s="3">
        <v>11.648016577038399</v>
      </c>
    </row>
    <row r="68" spans="1:14" x14ac:dyDescent="0.35">
      <c r="A68" s="2">
        <v>43889</v>
      </c>
      <c r="B68" s="3">
        <v>25.9075376731227</v>
      </c>
      <c r="C68" s="3">
        <v>16.474080447957501</v>
      </c>
      <c r="D68" s="3">
        <v>13.713008542723699</v>
      </c>
      <c r="E68" s="3">
        <v>12.690723718662101</v>
      </c>
      <c r="F68" s="3">
        <v>12.9860798644863</v>
      </c>
      <c r="G68" s="3">
        <v>16.481213972625</v>
      </c>
      <c r="H68" s="3">
        <v>11.8680728997362</v>
      </c>
      <c r="I68" s="3">
        <v>21.363400277171799</v>
      </c>
      <c r="J68" s="3">
        <v>16.5763463062246</v>
      </c>
      <c r="K68" s="3">
        <v>13.4531981354815</v>
      </c>
      <c r="L68" s="3">
        <v>15.652215115504999</v>
      </c>
      <c r="M68" s="3">
        <v>15.0630381290316</v>
      </c>
      <c r="N68" s="3">
        <v>10.5432842641668</v>
      </c>
    </row>
    <row r="69" spans="1:14" x14ac:dyDescent="0.35">
      <c r="A69" s="2">
        <v>43917</v>
      </c>
      <c r="B69" s="3">
        <v>24.064006929166499</v>
      </c>
      <c r="C69" s="3">
        <v>13.264921881058999</v>
      </c>
      <c r="D69" s="3">
        <v>12.340421600591799</v>
      </c>
      <c r="E69" s="3">
        <v>11.572129881241301</v>
      </c>
      <c r="F69" s="3">
        <v>12.6663557739952</v>
      </c>
      <c r="G69" s="3">
        <v>15.3945458553283</v>
      </c>
      <c r="H69" s="3">
        <v>11.352387230416999</v>
      </c>
      <c r="I69" s="3">
        <v>19.9634009383931</v>
      </c>
      <c r="J69" s="3">
        <v>15.171626647386001</v>
      </c>
      <c r="K69" s="3">
        <v>12.3962681448673</v>
      </c>
      <c r="L69" s="3">
        <v>13.7338412928161</v>
      </c>
      <c r="M69" s="3">
        <v>13.5125281930114</v>
      </c>
      <c r="N69" s="3">
        <v>9.4438765415497308</v>
      </c>
    </row>
    <row r="70" spans="1:14" x14ac:dyDescent="0.35">
      <c r="A70" s="2">
        <v>43950</v>
      </c>
      <c r="B70" s="3">
        <v>29.579622890246</v>
      </c>
      <c r="C70" s="3">
        <v>16.9921319474198</v>
      </c>
      <c r="D70" s="3">
        <v>16.962900623775401</v>
      </c>
      <c r="E70" s="3">
        <v>15.4072253182675</v>
      </c>
      <c r="F70" s="3">
        <v>13.909703828682799</v>
      </c>
      <c r="G70" s="3">
        <v>18.569149308756302</v>
      </c>
      <c r="H70" s="3">
        <v>15.254010301657701</v>
      </c>
      <c r="I70" s="3">
        <v>25.1037492636022</v>
      </c>
      <c r="J70" s="3">
        <v>20.476422094817998</v>
      </c>
      <c r="K70" s="3">
        <v>16.610186225702599</v>
      </c>
      <c r="L70" s="3">
        <v>17.522201693192699</v>
      </c>
      <c r="M70" s="3">
        <v>17.317144948063401</v>
      </c>
      <c r="N70" s="3">
        <v>13.3387446940507</v>
      </c>
    </row>
    <row r="71" spans="1:14" x14ac:dyDescent="0.35">
      <c r="A71" s="2">
        <v>43980</v>
      </c>
      <c r="B71" s="3">
        <v>31.196531347955599</v>
      </c>
      <c r="C71" s="3">
        <v>18.381193527114998</v>
      </c>
      <c r="D71" s="3">
        <v>18.540942779661101</v>
      </c>
      <c r="E71" s="3">
        <v>16.5971365663729</v>
      </c>
      <c r="F71" s="3">
        <v>16.236189538365899</v>
      </c>
      <c r="G71" s="3">
        <v>19.008535177002301</v>
      </c>
      <c r="H71" s="3">
        <v>15.780653890594699</v>
      </c>
      <c r="I71" s="3">
        <v>27.386382705162202</v>
      </c>
      <c r="J71" s="3">
        <v>21.672159286062602</v>
      </c>
      <c r="K71" s="3">
        <v>17.535791142242399</v>
      </c>
      <c r="L71" s="3">
        <v>18.418283159339602</v>
      </c>
      <c r="M71" s="3">
        <v>18.514824156506499</v>
      </c>
      <c r="N71" s="3">
        <v>15.876287253312601</v>
      </c>
    </row>
    <row r="72" spans="1:14" x14ac:dyDescent="0.35">
      <c r="A72" s="2">
        <v>44011</v>
      </c>
      <c r="B72" s="3">
        <v>30.6484934785557</v>
      </c>
      <c r="C72" s="3">
        <v>18.514148783473399</v>
      </c>
      <c r="D72" s="3">
        <v>17.5572522091094</v>
      </c>
      <c r="E72" s="3">
        <v>17.620386478555599</v>
      </c>
      <c r="F72" s="3">
        <v>17.4949088605714</v>
      </c>
      <c r="G72" s="3">
        <v>19.258421602176799</v>
      </c>
      <c r="H72" s="3">
        <v>15.888376157147601</v>
      </c>
      <c r="I72" s="3">
        <v>27.852933666759299</v>
      </c>
      <c r="J72" s="3">
        <v>21.379298469798002</v>
      </c>
      <c r="K72" s="3">
        <v>18.790932512399099</v>
      </c>
      <c r="L72" s="3">
        <v>19.3756801518124</v>
      </c>
      <c r="M72" s="3">
        <v>19.360912617609799</v>
      </c>
      <c r="N72" s="3">
        <v>17.274550402575599</v>
      </c>
    </row>
    <row r="73" spans="1:14" x14ac:dyDescent="0.35">
      <c r="A73" s="2">
        <v>44041</v>
      </c>
      <c r="B73" s="3">
        <v>31.776042567987101</v>
      </c>
      <c r="C73" s="3">
        <v>19.2626578296886</v>
      </c>
      <c r="D73" s="3">
        <v>17.675728411079699</v>
      </c>
      <c r="E73" s="3">
        <v>18.2195459553466</v>
      </c>
      <c r="F73" s="3">
        <v>17.6379809008466</v>
      </c>
      <c r="G73" s="3">
        <v>19.752026860846801</v>
      </c>
      <c r="H73" s="3">
        <v>15.6708636957142</v>
      </c>
      <c r="I73" s="3">
        <v>28.9761161424032</v>
      </c>
      <c r="J73" s="3">
        <v>22.149747291815299</v>
      </c>
      <c r="K73" s="3">
        <v>19.441344837300502</v>
      </c>
      <c r="L73" s="3">
        <v>19.897987694829101</v>
      </c>
      <c r="M73" s="3">
        <v>18.7583191295647</v>
      </c>
      <c r="N73" s="3">
        <v>17.337318984305401</v>
      </c>
    </row>
    <row r="74" spans="1:14" x14ac:dyDescent="0.35">
      <c r="A74" s="2">
        <v>44071</v>
      </c>
      <c r="B74" s="3">
        <v>33.440045843150898</v>
      </c>
      <c r="C74" s="3">
        <v>19.5936908184514</v>
      </c>
      <c r="D74" s="3">
        <v>17.406633844715099</v>
      </c>
      <c r="E74" s="3">
        <v>17.878953695464102</v>
      </c>
      <c r="F74" s="3">
        <v>17.970435810532599</v>
      </c>
      <c r="G74" s="3">
        <v>19.480240576516898</v>
      </c>
      <c r="H74" s="3">
        <v>15.335029835533</v>
      </c>
      <c r="I74" s="3">
        <v>31.2978925851233</v>
      </c>
      <c r="J74" s="3">
        <v>22.959390762949901</v>
      </c>
      <c r="K74" s="3">
        <v>19.538119752845699</v>
      </c>
      <c r="L74" s="3">
        <v>19.846733058513099</v>
      </c>
      <c r="M74" s="3">
        <v>18.214754551428801</v>
      </c>
      <c r="N74" s="3">
        <v>15.9079809952002</v>
      </c>
    </row>
    <row r="75" spans="1:14" x14ac:dyDescent="0.35">
      <c r="A75" s="2">
        <v>44103</v>
      </c>
      <c r="B75" s="3">
        <v>31.829503534973298</v>
      </c>
      <c r="C75" s="3">
        <v>18.427854500136601</v>
      </c>
      <c r="D75" s="3">
        <v>16.283572256802099</v>
      </c>
      <c r="E75" s="3">
        <v>16.921341419750199</v>
      </c>
      <c r="F75" s="3">
        <v>18.426650596752101</v>
      </c>
      <c r="G75" s="3">
        <v>18.9894049898151</v>
      </c>
      <c r="H75" s="3">
        <v>14.4044216958857</v>
      </c>
      <c r="I75" s="3">
        <v>28.972015332449502</v>
      </c>
      <c r="J75" s="3">
        <v>21.347369202528601</v>
      </c>
      <c r="K75" s="3">
        <v>18.100882547635301</v>
      </c>
      <c r="L75" s="3">
        <v>19.204897636713401</v>
      </c>
      <c r="M75" s="3">
        <v>18.413883755934101</v>
      </c>
      <c r="N75" s="3">
        <v>14.7416049174279</v>
      </c>
    </row>
    <row r="76" spans="1:14" x14ac:dyDescent="0.35">
      <c r="A76" s="2">
        <v>44133</v>
      </c>
      <c r="B76" s="3">
        <v>32.810251405901901</v>
      </c>
      <c r="C76" s="3">
        <v>17.8340709257632</v>
      </c>
      <c r="D76" s="3">
        <v>15.255707292060899</v>
      </c>
      <c r="E76" s="3">
        <v>14.617328800168501</v>
      </c>
      <c r="F76" s="3">
        <v>17.481933928933401</v>
      </c>
      <c r="G76" s="3">
        <v>17.502077027125299</v>
      </c>
      <c r="H76" s="3">
        <v>12.9634391083281</v>
      </c>
      <c r="I76" s="3">
        <v>28.4102236339195</v>
      </c>
      <c r="J76" s="3">
        <v>20.573821603409701</v>
      </c>
      <c r="K76" s="3">
        <v>16.551558736781001</v>
      </c>
      <c r="L76" s="3">
        <v>18.628173639644601</v>
      </c>
      <c r="M76" s="3">
        <v>16.158103883684301</v>
      </c>
      <c r="N76" s="3">
        <v>13.1127120388979</v>
      </c>
    </row>
    <row r="77" spans="1:14" x14ac:dyDescent="0.35">
      <c r="A77" s="2">
        <v>44162</v>
      </c>
      <c r="B77" s="3">
        <v>32.1588818109295</v>
      </c>
      <c r="C77" s="3">
        <v>19.607374173209799</v>
      </c>
      <c r="D77" s="3">
        <v>16.308155510449598</v>
      </c>
      <c r="E77" s="3">
        <v>16.1996170361077</v>
      </c>
      <c r="F77" s="3">
        <v>18.813793081671299</v>
      </c>
      <c r="G77" s="3">
        <v>18.8436571141205</v>
      </c>
      <c r="H77" s="3">
        <v>14.6357174891849</v>
      </c>
      <c r="I77" s="3">
        <v>29.678510451649</v>
      </c>
      <c r="J77" s="3">
        <v>21.917789430669998</v>
      </c>
      <c r="K77" s="3">
        <v>19.215015231612401</v>
      </c>
      <c r="L77" s="3">
        <v>20.734021447467999</v>
      </c>
      <c r="M77" s="3">
        <v>17.503349581095598</v>
      </c>
      <c r="N77" s="3">
        <v>15.123910768472101</v>
      </c>
    </row>
    <row r="78" spans="1:14" x14ac:dyDescent="0.35">
      <c r="A78" s="2">
        <v>44194</v>
      </c>
      <c r="B78" s="3">
        <v>34.835844828471799</v>
      </c>
      <c r="C78" s="3">
        <v>19.2925968216095</v>
      </c>
      <c r="D78" s="3">
        <v>15.8929621297086</v>
      </c>
      <c r="E78" s="3">
        <v>16.1393198230042</v>
      </c>
      <c r="F78" s="3">
        <v>18.537111846301499</v>
      </c>
      <c r="G78" s="3">
        <v>18.847751434852999</v>
      </c>
      <c r="H78" s="3">
        <v>14.6784570428739</v>
      </c>
      <c r="I78" s="3">
        <v>30.042599881898699</v>
      </c>
      <c r="J78" s="3">
        <v>22.304682504894799</v>
      </c>
      <c r="K78" s="3">
        <v>18.212941389759902</v>
      </c>
      <c r="L78" s="3">
        <v>20.648752660664499</v>
      </c>
      <c r="M78" s="3">
        <v>17.319935615842301</v>
      </c>
      <c r="N78" s="3">
        <v>14.811969065442099</v>
      </c>
    </row>
    <row r="79" spans="1:14" x14ac:dyDescent="0.35">
      <c r="A79" s="2">
        <v>44225</v>
      </c>
      <c r="B79" s="3">
        <v>33.649130866584599</v>
      </c>
      <c r="C79" s="3">
        <v>18.483040460892799</v>
      </c>
      <c r="D79" s="3">
        <v>15.4127708612444</v>
      </c>
      <c r="E79" s="3">
        <v>15.3688849271311</v>
      </c>
      <c r="F79" s="3">
        <v>18.064015712109299</v>
      </c>
      <c r="G79" s="3">
        <v>18.4239060344743</v>
      </c>
      <c r="H79" s="3">
        <v>13.6520698806609</v>
      </c>
      <c r="I79" s="3">
        <v>28.890963546796701</v>
      </c>
      <c r="J79" s="3">
        <v>21.3120607446129</v>
      </c>
      <c r="K79" s="3">
        <v>17.255856218291601</v>
      </c>
      <c r="L79" s="3">
        <v>20.829866004696999</v>
      </c>
      <c r="M79" s="3">
        <v>18.432346274444001</v>
      </c>
      <c r="N79" s="3">
        <v>13.354757606200801</v>
      </c>
    </row>
    <row r="80" spans="1:14" x14ac:dyDescent="0.35">
      <c r="A80" s="2">
        <v>44253</v>
      </c>
      <c r="B80" s="3">
        <v>31.507983403909002</v>
      </c>
      <c r="C80" s="3">
        <v>17.955050692596402</v>
      </c>
      <c r="D80" s="3">
        <v>15.117728459974501</v>
      </c>
      <c r="E80" s="3">
        <v>15.3083667940233</v>
      </c>
      <c r="F80" s="3">
        <v>17.643021478725199</v>
      </c>
      <c r="G80" s="3">
        <v>18.237486592664901</v>
      </c>
      <c r="H80" s="3">
        <v>13.7601498222767</v>
      </c>
      <c r="I80" s="3">
        <v>27.8476226514322</v>
      </c>
      <c r="J80" s="3">
        <v>21.385940533115299</v>
      </c>
      <c r="K80" s="3">
        <v>17.731265894421799</v>
      </c>
      <c r="L80" s="3">
        <v>21.416699370011202</v>
      </c>
      <c r="M80" s="3">
        <v>18.7197263433983</v>
      </c>
      <c r="N80" s="3">
        <v>13.701980133488</v>
      </c>
    </row>
    <row r="81" spans="1:14" x14ac:dyDescent="0.35">
      <c r="A81" s="2">
        <v>44284</v>
      </c>
      <c r="B81" s="3">
        <v>32.105606186912297</v>
      </c>
      <c r="C81" s="3">
        <v>17.689863812976999</v>
      </c>
      <c r="D81" s="3">
        <v>15.3144529510295</v>
      </c>
      <c r="E81" s="3">
        <v>15.921610406964501</v>
      </c>
      <c r="F81" s="3">
        <v>17.887056925013301</v>
      </c>
      <c r="G81" s="3">
        <v>18.7724596144391</v>
      </c>
      <c r="H81" s="3">
        <v>13.622989443072001</v>
      </c>
      <c r="I81" s="3">
        <v>27.716877587381202</v>
      </c>
      <c r="J81" s="3">
        <v>21.8971938861891</v>
      </c>
      <c r="K81" s="3">
        <v>18.1626300845938</v>
      </c>
      <c r="L81" s="3">
        <v>22.237068193271899</v>
      </c>
      <c r="M81" s="3">
        <v>20.097433169704299</v>
      </c>
      <c r="N81" s="3">
        <v>13.940189555593101</v>
      </c>
    </row>
    <row r="82" spans="1:14" x14ac:dyDescent="0.35">
      <c r="A82" s="2">
        <v>44315</v>
      </c>
      <c r="B82" s="3">
        <v>32.475625158659398</v>
      </c>
      <c r="C82" s="3">
        <v>18.113621952959502</v>
      </c>
      <c r="D82" s="3">
        <v>15.585418267170599</v>
      </c>
      <c r="E82" s="3">
        <v>15.263282127016099</v>
      </c>
      <c r="F82" s="3">
        <v>16.812028895872</v>
      </c>
      <c r="G82" s="3">
        <v>18.359623725236801</v>
      </c>
      <c r="H82" s="3">
        <v>13.294244756356401</v>
      </c>
      <c r="I82" s="3">
        <v>28.185460979634499</v>
      </c>
      <c r="J82" s="3">
        <v>21.909099137828399</v>
      </c>
      <c r="K82" s="3">
        <v>18.108046836537302</v>
      </c>
      <c r="L82" s="3">
        <v>22.0506622934872</v>
      </c>
      <c r="M82" s="3">
        <v>18.8962133285467</v>
      </c>
      <c r="N82" s="3">
        <v>13.4871809804814</v>
      </c>
    </row>
    <row r="83" spans="1:14" x14ac:dyDescent="0.35">
      <c r="A83" s="2">
        <v>44344</v>
      </c>
      <c r="B83" s="3">
        <v>32.338134251720902</v>
      </c>
      <c r="C83" s="3">
        <v>18.124185972402099</v>
      </c>
      <c r="D83" s="3">
        <v>15.5262544810534</v>
      </c>
      <c r="E83" s="3">
        <v>14.884180324568399</v>
      </c>
      <c r="F83" s="3">
        <v>16.648284839833799</v>
      </c>
      <c r="G83" s="3">
        <v>19.3911816465349</v>
      </c>
      <c r="H83" s="3">
        <v>13.185292208757399</v>
      </c>
      <c r="I83" s="3">
        <v>26.960067527284401</v>
      </c>
      <c r="J83" s="3">
        <v>21.2541114543763</v>
      </c>
      <c r="K83" s="3">
        <v>17.922927859217801</v>
      </c>
      <c r="L83" s="3">
        <v>21.214509280588501</v>
      </c>
      <c r="M83" s="3">
        <v>18.464786064901901</v>
      </c>
      <c r="N83" s="3">
        <v>13.598274335345099</v>
      </c>
    </row>
    <row r="84" spans="1:14" x14ac:dyDescent="0.35">
      <c r="A84" s="2">
        <v>44376</v>
      </c>
      <c r="B84" s="3">
        <v>33.930175159027399</v>
      </c>
      <c r="C84" s="3">
        <v>17.4585007834763</v>
      </c>
      <c r="D84" s="3">
        <v>15.591245526626</v>
      </c>
      <c r="E84" s="3">
        <v>14.8564615624792</v>
      </c>
      <c r="F84" s="3">
        <v>16.299816381057099</v>
      </c>
      <c r="G84" s="3">
        <v>19.9269516489171</v>
      </c>
      <c r="H84" s="3">
        <v>12.7540894395681</v>
      </c>
      <c r="I84" s="3">
        <v>28.386830412001601</v>
      </c>
      <c r="J84" s="3">
        <v>21.341142163153901</v>
      </c>
      <c r="K84" s="3">
        <v>17.558129107513299</v>
      </c>
      <c r="L84" s="3">
        <v>21.469141563653999</v>
      </c>
      <c r="M84" s="3">
        <v>18.7405183741818</v>
      </c>
      <c r="N84" s="3">
        <v>13.5054283138897</v>
      </c>
    </row>
    <row r="85" spans="1:14" x14ac:dyDescent="0.35">
      <c r="A85" s="2">
        <v>44406</v>
      </c>
      <c r="B85" s="3">
        <v>33.918721265875902</v>
      </c>
      <c r="C85" s="3">
        <v>16.878825340879299</v>
      </c>
      <c r="D85" s="3">
        <v>15.1683244842629</v>
      </c>
      <c r="E85" s="3">
        <v>14.3624607091859</v>
      </c>
      <c r="F85" s="3">
        <v>15.7826056545252</v>
      </c>
      <c r="G85" s="3">
        <v>19.695037362658098</v>
      </c>
      <c r="H85" s="3">
        <v>12.397517996464201</v>
      </c>
      <c r="I85" s="3">
        <v>28.207475012445801</v>
      </c>
      <c r="J85" s="3">
        <v>21.1185907223581</v>
      </c>
      <c r="K85" s="3">
        <v>16.896453758219501</v>
      </c>
      <c r="L85" s="3">
        <v>21.5707900107498</v>
      </c>
      <c r="M85" s="3">
        <v>18.5648229161331</v>
      </c>
      <c r="N85" s="3">
        <v>13.166006980934499</v>
      </c>
    </row>
    <row r="86" spans="1:14" x14ac:dyDescent="0.35">
      <c r="A86" s="2">
        <v>44435</v>
      </c>
      <c r="B86" s="3">
        <v>34.767216585694399</v>
      </c>
      <c r="C86" s="3">
        <v>17.212406582366398</v>
      </c>
      <c r="D86" s="3">
        <v>14.9317314841787</v>
      </c>
      <c r="E86" s="3">
        <v>14.2402664861022</v>
      </c>
      <c r="F86" s="3">
        <v>15.1205359365878</v>
      </c>
      <c r="G86" s="3">
        <v>19.953701835484399</v>
      </c>
      <c r="H86" s="3">
        <v>12.1586100627239</v>
      </c>
      <c r="I86" s="3">
        <v>28.436866423147698</v>
      </c>
      <c r="J86" s="3">
        <v>21.1741945404981</v>
      </c>
      <c r="K86" s="3">
        <v>16.309194643564599</v>
      </c>
      <c r="L86" s="3">
        <v>21.916182578456599</v>
      </c>
      <c r="M86" s="3">
        <v>18.537591375690301</v>
      </c>
      <c r="N86" s="3">
        <v>11.9968823855508</v>
      </c>
    </row>
    <row r="87" spans="1:14" x14ac:dyDescent="0.35">
      <c r="A87" s="2">
        <v>44468</v>
      </c>
      <c r="B87" s="3">
        <v>34.103828274441398</v>
      </c>
      <c r="C87" s="3">
        <v>16.6486569814499</v>
      </c>
      <c r="D87" s="3">
        <v>14.404031108894801</v>
      </c>
      <c r="E87" s="3">
        <v>13.6358879479005</v>
      </c>
      <c r="F87" s="3">
        <v>15.546946744189601</v>
      </c>
      <c r="G87" s="3">
        <v>18.289325034671201</v>
      </c>
      <c r="H87" s="3">
        <v>11.8984041035805</v>
      </c>
      <c r="I87" s="3">
        <v>27.000149540380001</v>
      </c>
      <c r="J87" s="3">
        <v>20.3656374849968</v>
      </c>
      <c r="K87" s="3">
        <v>15.6919714030196</v>
      </c>
      <c r="L87" s="3">
        <v>20.565570993936099</v>
      </c>
      <c r="M87" s="3">
        <v>17.7627464691348</v>
      </c>
      <c r="N87" s="3">
        <v>11.6422300770862</v>
      </c>
    </row>
    <row r="88" spans="1:14" x14ac:dyDescent="0.35">
      <c r="A88" s="2">
        <v>44498</v>
      </c>
      <c r="B88" s="3">
        <v>33.845968877497903</v>
      </c>
      <c r="C88" s="3">
        <v>17.399013794030701</v>
      </c>
      <c r="D88" s="3">
        <v>14.8634375719614</v>
      </c>
      <c r="E88" s="3">
        <v>13.6984344527226</v>
      </c>
      <c r="F88" s="3">
        <v>15.172613369949699</v>
      </c>
      <c r="G88" s="3">
        <v>18.975985090026001</v>
      </c>
      <c r="H88" s="3">
        <v>12.194370854487801</v>
      </c>
      <c r="I88" s="3">
        <v>28.922822698653899</v>
      </c>
      <c r="J88" s="3">
        <v>21.1688060319462</v>
      </c>
      <c r="K88" s="3">
        <v>15.713476143583099</v>
      </c>
      <c r="L88" s="3">
        <v>21.2075945846614</v>
      </c>
      <c r="M88" s="3">
        <v>18.1312430623354</v>
      </c>
      <c r="N88" s="3">
        <v>11.7310813628874</v>
      </c>
    </row>
    <row r="89" spans="1:14" x14ac:dyDescent="0.35">
      <c r="A89" s="2">
        <v>44529</v>
      </c>
      <c r="B89" s="3">
        <v>31.563242377524499</v>
      </c>
      <c r="C89" s="3">
        <v>16.811227326660699</v>
      </c>
      <c r="D89" s="3">
        <v>14.526145862482901</v>
      </c>
      <c r="E89" s="3">
        <v>12.9948592825427</v>
      </c>
      <c r="F89" s="3">
        <v>14.543917440681099</v>
      </c>
      <c r="G89" s="3">
        <v>18.708258542585099</v>
      </c>
      <c r="H89" s="3">
        <v>11.7157265012309</v>
      </c>
      <c r="I89" s="3">
        <v>29.504388937687899</v>
      </c>
      <c r="J89" s="3">
        <v>21.094174065684001</v>
      </c>
      <c r="K89" s="3">
        <v>15.153129661712301</v>
      </c>
      <c r="L89" s="3">
        <v>20.283041636896399</v>
      </c>
      <c r="M89" s="3">
        <v>18.158727499651601</v>
      </c>
      <c r="N89" s="3">
        <v>11.035400778859699</v>
      </c>
    </row>
    <row r="90" spans="1:14" x14ac:dyDescent="0.35">
      <c r="A90" s="2">
        <v>44559</v>
      </c>
      <c r="B90" s="3">
        <v>32.258540468168803</v>
      </c>
      <c r="C90" s="3">
        <v>17.640428889711799</v>
      </c>
      <c r="D90" s="3">
        <v>14.5017460401356</v>
      </c>
      <c r="E90" s="3">
        <v>13.371134438327701</v>
      </c>
      <c r="F90" s="3">
        <v>14.5635169427363</v>
      </c>
      <c r="G90" s="3">
        <v>19.881599024624101</v>
      </c>
      <c r="H90" s="3">
        <v>12.267748152246901</v>
      </c>
      <c r="I90" s="3">
        <v>29.4736291900543</v>
      </c>
      <c r="J90" s="3">
        <v>21.492776028009299</v>
      </c>
      <c r="K90" s="3">
        <v>15.8479348567502</v>
      </c>
      <c r="L90" s="3">
        <v>20.530954562665102</v>
      </c>
      <c r="M90" s="3">
        <v>18.6097938446093</v>
      </c>
      <c r="N90" s="3">
        <v>11.0757781106889</v>
      </c>
    </row>
    <row r="91" spans="1:14" x14ac:dyDescent="0.35">
      <c r="A91" s="2">
        <v>44589</v>
      </c>
      <c r="B91" s="3">
        <v>29.227064470653001</v>
      </c>
      <c r="C91" s="3">
        <v>16.208626177733102</v>
      </c>
      <c r="D91" s="3">
        <v>13.8529167267255</v>
      </c>
      <c r="E91" s="3">
        <v>12.7849182779796</v>
      </c>
      <c r="F91" s="3">
        <v>13.5152167810674</v>
      </c>
      <c r="G91" s="3">
        <v>18.027427061333501</v>
      </c>
      <c r="H91" s="3">
        <v>12.1739906327401</v>
      </c>
      <c r="I91" s="3">
        <v>25.3824193305527</v>
      </c>
      <c r="J91" s="3">
        <v>19.583284548938401</v>
      </c>
      <c r="K91" s="3">
        <v>14.8219614480132</v>
      </c>
      <c r="L91" s="3">
        <v>18.278099487310101</v>
      </c>
      <c r="M91" s="3">
        <v>16.410150248421999</v>
      </c>
      <c r="N91" s="3">
        <v>10.605462200595101</v>
      </c>
    </row>
    <row r="92" spans="1:14" x14ac:dyDescent="0.35">
      <c r="A92" s="2">
        <v>44620</v>
      </c>
      <c r="B92" s="3">
        <v>28.927847849941401</v>
      </c>
      <c r="C92" s="3">
        <v>15.4791782688763</v>
      </c>
      <c r="D92" s="3">
        <v>13.940530285122099</v>
      </c>
      <c r="E92" s="3">
        <v>11.8620758358814</v>
      </c>
      <c r="F92" s="3">
        <v>13.3086143375216</v>
      </c>
      <c r="G92" s="3">
        <v>18.070932109909901</v>
      </c>
      <c r="H92" s="3">
        <v>11.9513201635207</v>
      </c>
      <c r="I92" s="3">
        <v>24.794074973717098</v>
      </c>
      <c r="J92" s="3">
        <v>19.102831817033799</v>
      </c>
      <c r="K92" s="3">
        <v>13.8957966733355</v>
      </c>
      <c r="L92" s="3">
        <v>17.472851575567599</v>
      </c>
      <c r="M92" s="3">
        <v>15.090711691839999</v>
      </c>
      <c r="N92" s="3">
        <v>9.8388811735774198</v>
      </c>
    </row>
    <row r="93" spans="1:14" x14ac:dyDescent="0.35">
      <c r="A93" s="2">
        <v>44649</v>
      </c>
      <c r="B93" s="3">
        <v>29.454939038983799</v>
      </c>
      <c r="C93" s="3">
        <v>16.238971004792901</v>
      </c>
      <c r="D93" s="3">
        <v>13.752039567504699</v>
      </c>
      <c r="E93" s="3">
        <v>11.988676296297299</v>
      </c>
      <c r="F93" s="3">
        <v>13.61371694955</v>
      </c>
      <c r="G93" s="3">
        <v>18.545638660121899</v>
      </c>
      <c r="H93" s="3">
        <v>11.3117129367954</v>
      </c>
      <c r="I93" s="3">
        <v>26.3267245853426</v>
      </c>
      <c r="J93" s="3">
        <v>19.902761267924799</v>
      </c>
      <c r="K93" s="3">
        <v>13.831675439397401</v>
      </c>
      <c r="L93" s="3">
        <v>18.806207699623201</v>
      </c>
      <c r="M93" s="3">
        <v>15.4373461309641</v>
      </c>
      <c r="N93" s="3">
        <v>9.7872938528184399</v>
      </c>
    </row>
    <row r="94" spans="1:14" x14ac:dyDescent="0.35">
      <c r="A94" s="2">
        <v>44680</v>
      </c>
      <c r="B94" s="3">
        <v>28.7863079035269</v>
      </c>
      <c r="C94" s="3">
        <v>15.044500546848401</v>
      </c>
      <c r="D94" s="3">
        <v>12.6062626781824</v>
      </c>
      <c r="E94" s="3">
        <v>11.1607123813548</v>
      </c>
      <c r="F94" s="3">
        <v>12.82540765537</v>
      </c>
      <c r="G94" s="3">
        <v>17.925758317786901</v>
      </c>
      <c r="H94" s="3">
        <v>10.8203395738645</v>
      </c>
      <c r="I94" s="3">
        <v>22.460155338173902</v>
      </c>
      <c r="J94" s="3">
        <v>17.540042099285699</v>
      </c>
      <c r="K94" s="3">
        <v>12.8610043081871</v>
      </c>
      <c r="L94" s="3">
        <v>17.189938465031901</v>
      </c>
      <c r="M94" s="3">
        <v>14.5433017398059</v>
      </c>
      <c r="N94" s="3">
        <v>9.4756326178356591</v>
      </c>
    </row>
    <row r="95" spans="1:14" x14ac:dyDescent="0.35">
      <c r="A95" s="2">
        <v>44708</v>
      </c>
      <c r="B95" s="3">
        <v>26.780744768853001</v>
      </c>
      <c r="C95" s="3">
        <v>14.241696053553101</v>
      </c>
      <c r="D95" s="3">
        <v>12.4983161589908</v>
      </c>
      <c r="E95" s="3">
        <v>10.9876829322855</v>
      </c>
      <c r="F95" s="3">
        <v>12.669330877100199</v>
      </c>
      <c r="G95" s="3">
        <v>17.116980505736599</v>
      </c>
      <c r="H95" s="3">
        <v>10.537573762695899</v>
      </c>
      <c r="I95" s="3">
        <v>21.9131373577837</v>
      </c>
      <c r="J95" s="3">
        <v>17.4728508272954</v>
      </c>
      <c r="K95" s="3">
        <v>12.4278904995655</v>
      </c>
      <c r="L95" s="3">
        <v>17.261307815528799</v>
      </c>
      <c r="M95" s="3">
        <v>16.119144621038402</v>
      </c>
      <c r="N95" s="3">
        <v>9.0774400011007401</v>
      </c>
    </row>
    <row r="96" spans="1:14" x14ac:dyDescent="0.35">
      <c r="A96" s="2">
        <v>44741</v>
      </c>
      <c r="B96" s="3">
        <v>25.747076801140999</v>
      </c>
      <c r="C96" s="3">
        <v>12.921159796545901</v>
      </c>
      <c r="D96" s="3">
        <v>11.3258813381832</v>
      </c>
      <c r="E96" s="3">
        <v>9.8877913532048005</v>
      </c>
      <c r="F96" s="3">
        <v>12.4879390823289</v>
      </c>
      <c r="G96" s="3">
        <v>15.8442994929332</v>
      </c>
      <c r="H96" s="3">
        <v>9.9111969924455305</v>
      </c>
      <c r="I96" s="3">
        <v>20.056207623331598</v>
      </c>
      <c r="J96" s="3">
        <v>15.943047974793</v>
      </c>
      <c r="K96" s="3">
        <v>11.3938985769475</v>
      </c>
      <c r="L96" s="3">
        <v>16.142173059606801</v>
      </c>
      <c r="M96" s="3">
        <v>14.3236751130013</v>
      </c>
      <c r="N96" s="3">
        <v>7.9183107274562703</v>
      </c>
    </row>
    <row r="97" spans="1:14" x14ac:dyDescent="0.35">
      <c r="A97" s="2">
        <v>44771</v>
      </c>
      <c r="B97" s="3">
        <v>26.155970777937199</v>
      </c>
      <c r="C97" s="3">
        <v>13.8005419836527</v>
      </c>
      <c r="D97" s="3">
        <v>11.588125526537899</v>
      </c>
      <c r="E97" s="3">
        <v>10.261909453062399</v>
      </c>
      <c r="F97" s="3">
        <v>12.744468389720501</v>
      </c>
      <c r="G97" s="3">
        <v>16.8854921880258</v>
      </c>
      <c r="H97" s="3">
        <v>9.9025753329408595</v>
      </c>
      <c r="I97" s="3">
        <v>23.0159826342251</v>
      </c>
      <c r="J97" s="3">
        <v>17.432653822665401</v>
      </c>
      <c r="K97" s="3">
        <v>11.7007074574237</v>
      </c>
      <c r="L97" s="3">
        <v>18.028428603343102</v>
      </c>
      <c r="M97" s="3">
        <v>15.475397438392999</v>
      </c>
      <c r="N97" s="3">
        <v>7.7191078958349797</v>
      </c>
    </row>
    <row r="98" spans="1:14" x14ac:dyDescent="0.35">
      <c r="A98" s="2">
        <v>44802</v>
      </c>
      <c r="B98" s="3">
        <v>26.935011039436901</v>
      </c>
      <c r="C98" s="3">
        <v>13.9419542211853</v>
      </c>
      <c r="D98" s="3">
        <v>11.6536895196543</v>
      </c>
      <c r="E98" s="3">
        <v>9.5772559248979405</v>
      </c>
      <c r="F98" s="3">
        <v>12.7336355347833</v>
      </c>
      <c r="G98" s="3">
        <v>16.173959099368901</v>
      </c>
      <c r="H98" s="3">
        <v>9.4843943033136497</v>
      </c>
      <c r="I98" s="3">
        <v>22.2114627670991</v>
      </c>
      <c r="J98" s="3">
        <v>16.975027386337899</v>
      </c>
      <c r="K98" s="3">
        <v>11.1953417523518</v>
      </c>
      <c r="L98" s="3">
        <v>16.463840381363401</v>
      </c>
      <c r="M98" s="3">
        <v>14.057707878589101</v>
      </c>
      <c r="N98" s="3">
        <v>7.4142607771524904</v>
      </c>
    </row>
    <row r="99" spans="1:14" x14ac:dyDescent="0.35">
      <c r="A99" s="2">
        <v>44833</v>
      </c>
      <c r="B99" s="3">
        <v>24.411381501504401</v>
      </c>
      <c r="C99" s="3">
        <v>12.7237458749886</v>
      </c>
      <c r="D99" s="3">
        <v>10.769775061044699</v>
      </c>
      <c r="E99" s="3">
        <v>8.8798193295445405</v>
      </c>
      <c r="F99" s="3">
        <v>12.0819000039688</v>
      </c>
      <c r="G99" s="3">
        <v>14.756109342418</v>
      </c>
      <c r="H99" s="3">
        <v>8.4671113929956103</v>
      </c>
      <c r="I99" s="3">
        <v>19.773790594696699</v>
      </c>
      <c r="J99" s="3">
        <v>15.356604003731301</v>
      </c>
      <c r="K99" s="3">
        <v>10.0602182025603</v>
      </c>
      <c r="L99" s="3">
        <v>14.1424278736344</v>
      </c>
      <c r="M99" s="3">
        <v>12.775762461463801</v>
      </c>
      <c r="N99" s="3">
        <v>7.0666274376271598</v>
      </c>
    </row>
    <row r="100" spans="1:14" x14ac:dyDescent="0.35">
      <c r="A100" s="2">
        <v>44862</v>
      </c>
      <c r="B100" s="3">
        <v>23.468016447474401</v>
      </c>
      <c r="C100" s="3">
        <v>13.261584287164</v>
      </c>
      <c r="D100" s="3">
        <v>11.536900278832</v>
      </c>
      <c r="E100" s="3">
        <v>9.8707439174557106</v>
      </c>
      <c r="F100" s="3">
        <v>12.3067895641422</v>
      </c>
      <c r="G100" s="3">
        <v>15.7281862207067</v>
      </c>
      <c r="H100" s="3">
        <v>8.9990275976748997</v>
      </c>
      <c r="I100" s="3">
        <v>21.364120756380402</v>
      </c>
      <c r="J100" s="3">
        <v>16.810803835320801</v>
      </c>
      <c r="K100" s="3">
        <v>11.215168756182999</v>
      </c>
      <c r="L100" s="3">
        <v>15.1512264680533</v>
      </c>
      <c r="M100" s="3">
        <v>13.205854767584301</v>
      </c>
      <c r="N100" s="3">
        <v>7.7856564618099897</v>
      </c>
    </row>
    <row r="101" spans="1:14" x14ac:dyDescent="0.35">
      <c r="A101" s="2">
        <v>44894</v>
      </c>
      <c r="B101" s="3">
        <v>23.216764878887101</v>
      </c>
      <c r="C101" s="3">
        <v>14.6176737524335</v>
      </c>
      <c r="D101" s="3">
        <v>12.127813691074101</v>
      </c>
      <c r="E101" s="3">
        <v>10.7158687449895</v>
      </c>
      <c r="F101" s="3">
        <v>12.905218695692399</v>
      </c>
      <c r="G101" s="3">
        <v>16.615505531931401</v>
      </c>
      <c r="H101" s="3">
        <v>9.7557038754212808</v>
      </c>
      <c r="I101" s="3">
        <v>21.373169121314401</v>
      </c>
      <c r="J101" s="3">
        <v>17.100565841956499</v>
      </c>
      <c r="K101" s="3">
        <v>12.0026283057536</v>
      </c>
      <c r="L101" s="3">
        <v>16.378680660413401</v>
      </c>
      <c r="M101" s="3">
        <v>12.929914451086301</v>
      </c>
      <c r="N101" s="3">
        <v>8.0184941054943994</v>
      </c>
    </row>
    <row r="102" spans="1:14" x14ac:dyDescent="0.35">
      <c r="A102" s="2">
        <v>44924</v>
      </c>
      <c r="B102" s="3">
        <v>23.204917841454801</v>
      </c>
      <c r="C102" s="3">
        <v>14.140006619417001</v>
      </c>
      <c r="D102" s="3">
        <v>11.975598137647401</v>
      </c>
      <c r="E102" s="3">
        <v>10.576390776348401</v>
      </c>
      <c r="F102" s="3">
        <v>12.2409885005702</v>
      </c>
      <c r="G102" s="3">
        <v>16.4376244726169</v>
      </c>
      <c r="H102" s="3">
        <v>9.9147913783393609</v>
      </c>
      <c r="I102" s="3">
        <v>20.9152250670471</v>
      </c>
      <c r="J102" s="3">
        <v>16.688746916061501</v>
      </c>
      <c r="K102" s="3">
        <v>11.9922578763817</v>
      </c>
      <c r="L102" s="3">
        <v>15.5759354883131</v>
      </c>
      <c r="M102" s="3">
        <v>12.8387678257836</v>
      </c>
      <c r="N102" s="3">
        <v>7.7484915721223802</v>
      </c>
    </row>
    <row r="103" spans="1:14" x14ac:dyDescent="0.35">
      <c r="A103" s="2">
        <v>44953</v>
      </c>
      <c r="B103" s="3">
        <v>24.029081940329601</v>
      </c>
      <c r="C103" s="3">
        <v>14.9980664475796</v>
      </c>
      <c r="D103" s="3">
        <v>13.005344745391501</v>
      </c>
      <c r="E103" s="3">
        <v>11.545301353681801</v>
      </c>
      <c r="F103" s="3">
        <v>12.9582729645987</v>
      </c>
      <c r="G103" s="3">
        <v>17.337647712322301</v>
      </c>
      <c r="H103" s="3">
        <v>10.558378410613001</v>
      </c>
      <c r="I103" s="3">
        <v>23.558332522512099</v>
      </c>
      <c r="J103" s="3">
        <v>17.944269383832001</v>
      </c>
      <c r="K103" s="3">
        <v>13.172292265237701</v>
      </c>
      <c r="L103" s="3">
        <v>17.131947211804999</v>
      </c>
      <c r="M103" s="3">
        <v>14.0768479507097</v>
      </c>
      <c r="N103" s="3">
        <v>8.4231740159718491</v>
      </c>
    </row>
    <row r="104" spans="1:14" x14ac:dyDescent="0.35">
      <c r="A104" s="2">
        <v>44985</v>
      </c>
      <c r="B104" s="3">
        <v>24.011013925857</v>
      </c>
      <c r="C104" s="3">
        <v>14.503631790876</v>
      </c>
      <c r="D104" s="3">
        <v>12.6887683062268</v>
      </c>
      <c r="E104" s="3">
        <v>11.539215391434499</v>
      </c>
      <c r="F104" s="3">
        <v>13.080761069562101</v>
      </c>
      <c r="G104" s="3">
        <v>17.041634285392</v>
      </c>
      <c r="H104" s="3">
        <v>10.5157001781152</v>
      </c>
      <c r="I104" s="3">
        <v>23.099717903122102</v>
      </c>
      <c r="J104" s="3">
        <v>17.494295508796501</v>
      </c>
      <c r="K104" s="3">
        <v>13.2122055873261</v>
      </c>
      <c r="L104" s="3">
        <v>16.4807481202809</v>
      </c>
      <c r="M104" s="3">
        <v>14.0822005508063</v>
      </c>
      <c r="N104" s="3">
        <v>8.2584607701660104</v>
      </c>
    </row>
    <row r="105" spans="1:14" x14ac:dyDescent="0.35">
      <c r="A105" s="2">
        <v>45014</v>
      </c>
      <c r="B105" s="3">
        <v>23.0870006206023</v>
      </c>
      <c r="C105" s="3">
        <v>14.013402138780201</v>
      </c>
      <c r="D105" s="3">
        <v>12.580083047015901</v>
      </c>
      <c r="E105" s="3">
        <v>11.2124691847613</v>
      </c>
      <c r="F105" s="3">
        <v>13.0822354315225</v>
      </c>
      <c r="G105" s="3">
        <v>16.913378061330501</v>
      </c>
      <c r="H105" s="3">
        <v>10.2363275731441</v>
      </c>
      <c r="I105" s="3">
        <v>24.438559267895801</v>
      </c>
      <c r="J105" s="3">
        <v>17.695797791098599</v>
      </c>
      <c r="K105" s="3">
        <v>13.0407115670717</v>
      </c>
      <c r="L105" s="3">
        <v>16.2310795037391</v>
      </c>
      <c r="M105" s="3">
        <v>13.3758039909305</v>
      </c>
      <c r="N105" s="3">
        <v>8.3854616831032107</v>
      </c>
    </row>
    <row r="106" spans="1:14" x14ac:dyDescent="0.35">
      <c r="A106" s="2">
        <v>45044</v>
      </c>
      <c r="B106" s="3">
        <v>23.675008341839501</v>
      </c>
      <c r="C106" s="3">
        <v>14.5568008791714</v>
      </c>
      <c r="D106" s="3">
        <v>13.0863738307846</v>
      </c>
      <c r="E106" s="3">
        <v>11.3746518957681</v>
      </c>
      <c r="F106" s="3">
        <v>13.472216466833901</v>
      </c>
      <c r="G106" s="3">
        <v>17.540422422224999</v>
      </c>
      <c r="H106" s="3">
        <v>10.831911789819999</v>
      </c>
      <c r="I106" s="3">
        <v>24.597945567258598</v>
      </c>
      <c r="J106" s="3">
        <v>18.173802440599701</v>
      </c>
      <c r="K106" s="3">
        <v>13.732907996419099</v>
      </c>
      <c r="L106" s="3">
        <v>15.8332249132083</v>
      </c>
      <c r="M106" s="3">
        <v>13.7653836087039</v>
      </c>
      <c r="N106" s="3">
        <v>8.5884361047989408</v>
      </c>
    </row>
    <row r="107" spans="1:14" x14ac:dyDescent="0.35">
      <c r="A107" s="2">
        <v>45072</v>
      </c>
      <c r="B107" s="3">
        <v>23.4845394606897</v>
      </c>
      <c r="C107" s="3">
        <v>14.190273495057699</v>
      </c>
      <c r="D107" s="3">
        <v>12.843166475262001</v>
      </c>
      <c r="E107" s="3">
        <v>10.9150254299427</v>
      </c>
      <c r="F107" s="3">
        <v>14.0898732906333</v>
      </c>
      <c r="G107" s="3">
        <v>17.200557524222301</v>
      </c>
      <c r="H107" s="3">
        <v>10.236786674451</v>
      </c>
      <c r="I107" s="3">
        <v>25.781700277484699</v>
      </c>
      <c r="J107" s="3">
        <v>18.1565375174434</v>
      </c>
      <c r="K107" s="3">
        <v>13.138907797509001</v>
      </c>
      <c r="L107" s="3">
        <v>15.9889947034409</v>
      </c>
      <c r="M107" s="3">
        <v>13.539760546031999</v>
      </c>
      <c r="N107" s="3">
        <v>8.1243631272949592</v>
      </c>
    </row>
    <row r="108" spans="1:14" x14ac:dyDescent="0.35">
      <c r="A108" s="2">
        <v>45106</v>
      </c>
      <c r="B108" s="3">
        <v>20.8521691751906</v>
      </c>
      <c r="C108" s="3">
        <v>14.8761971073171</v>
      </c>
      <c r="D108" s="3">
        <v>12.859310037055</v>
      </c>
      <c r="E108" s="3">
        <v>10.7170569518343</v>
      </c>
      <c r="F108" s="3">
        <v>14.925618514078399</v>
      </c>
      <c r="G108" s="3">
        <v>16.315950627387998</v>
      </c>
      <c r="H108" s="3">
        <v>10.218385808473201</v>
      </c>
      <c r="I108" s="3">
        <v>26.387234635366301</v>
      </c>
      <c r="J108" s="3">
        <v>18.909927564754199</v>
      </c>
      <c r="K108" s="3">
        <v>13.132602612042801</v>
      </c>
      <c r="L108" s="3">
        <v>15.7118938788891</v>
      </c>
      <c r="M108" s="3">
        <v>13.442082028846301</v>
      </c>
      <c r="N108" s="3">
        <v>8.7029308660203792</v>
      </c>
    </row>
    <row r="109" spans="1:14" x14ac:dyDescent="0.35">
      <c r="A109" s="2">
        <v>45135</v>
      </c>
      <c r="B109" s="3">
        <v>20.964921379109001</v>
      </c>
      <c r="C109" s="3">
        <v>15.649610284942501</v>
      </c>
      <c r="D109" s="3">
        <v>13.493257329192</v>
      </c>
      <c r="E109" s="3">
        <v>11.0521072663686</v>
      </c>
      <c r="F109" s="3">
        <v>14.683622638946501</v>
      </c>
      <c r="G109" s="3">
        <v>16.999793639570701</v>
      </c>
      <c r="H109" s="3">
        <v>10.7778646738848</v>
      </c>
      <c r="I109" s="3">
        <v>25.885567885113499</v>
      </c>
      <c r="J109" s="3">
        <v>19.558233282521002</v>
      </c>
      <c r="K109" s="3">
        <v>13.359925030624501</v>
      </c>
      <c r="L109" s="3">
        <v>16.382268624420298</v>
      </c>
      <c r="M109" s="3">
        <v>13.4139237253275</v>
      </c>
      <c r="N109" s="3">
        <v>8.7589452794074898</v>
      </c>
    </row>
    <row r="110" spans="1:14" x14ac:dyDescent="0.35">
      <c r="A110" s="2">
        <v>45167</v>
      </c>
      <c r="B110" s="3">
        <v>20.335404447167701</v>
      </c>
      <c r="C110" s="3">
        <v>15.3439677818528</v>
      </c>
      <c r="D110" s="3">
        <v>13.1267021800214</v>
      </c>
      <c r="E110" s="3">
        <v>10.6649519960927</v>
      </c>
      <c r="F110" s="3">
        <v>14.3842731373195</v>
      </c>
      <c r="G110" s="3">
        <v>16.602533914145901</v>
      </c>
      <c r="H110" s="3">
        <v>10.3466496556132</v>
      </c>
      <c r="I110" s="3">
        <v>24.519962297295301</v>
      </c>
      <c r="J110" s="3">
        <v>18.8240232801869</v>
      </c>
      <c r="K110" s="3">
        <v>13.030519946727599</v>
      </c>
      <c r="L110" s="3">
        <v>14.8015866206495</v>
      </c>
      <c r="M110" s="3">
        <v>12.8091602570811</v>
      </c>
      <c r="N110" s="3">
        <v>8.4361239043122804</v>
      </c>
    </row>
    <row r="111" spans="1:14" x14ac:dyDescent="0.35">
      <c r="A111" s="2">
        <v>45198</v>
      </c>
      <c r="B111" s="3">
        <v>20.166110375563999</v>
      </c>
      <c r="C111" s="3">
        <v>14.905583366457501</v>
      </c>
      <c r="D111" s="3">
        <v>12.600353431407299</v>
      </c>
      <c r="E111" s="3">
        <v>10.3207022683732</v>
      </c>
      <c r="F111" s="3">
        <v>14.3529147737848</v>
      </c>
      <c r="G111" s="3">
        <v>16.171147660873199</v>
      </c>
      <c r="H111" s="3">
        <v>10.4275401746652</v>
      </c>
      <c r="I111" s="3">
        <v>23.170466573726401</v>
      </c>
      <c r="J111" s="3">
        <v>17.841038435492699</v>
      </c>
      <c r="K111" s="3">
        <v>12.480007527925901</v>
      </c>
      <c r="L111" s="3">
        <v>13.630614616387399</v>
      </c>
      <c r="M111" s="3">
        <v>12.9090225088888</v>
      </c>
      <c r="N111" s="3">
        <v>8.2695902325095503</v>
      </c>
    </row>
    <row r="112" spans="1:14" x14ac:dyDescent="0.35">
      <c r="A112" s="2">
        <v>45226</v>
      </c>
      <c r="B112" s="3">
        <v>19.149481409455898</v>
      </c>
      <c r="C112" s="3">
        <v>14.3833890488939</v>
      </c>
      <c r="D112" s="3">
        <v>12.0004294186304</v>
      </c>
      <c r="E112" s="3">
        <v>9.7961883140945591</v>
      </c>
      <c r="F112" s="3">
        <v>13.8151888343672</v>
      </c>
      <c r="G112" s="3">
        <v>15.2779235753588</v>
      </c>
      <c r="H112" s="3">
        <v>9.9203432318293299</v>
      </c>
      <c r="I112" s="3">
        <v>21.962000203331399</v>
      </c>
      <c r="J112" s="3">
        <v>17.047354159301602</v>
      </c>
      <c r="K112" s="3">
        <v>11.956160087933901</v>
      </c>
      <c r="L112" s="3">
        <v>13.1294577249204</v>
      </c>
      <c r="M112" s="3">
        <v>12.391385085972599</v>
      </c>
      <c r="N112" s="3">
        <v>7.7854451322322502</v>
      </c>
    </row>
    <row r="113" spans="1:25" x14ac:dyDescent="0.35">
      <c r="A113" s="2">
        <v>45259</v>
      </c>
      <c r="B113" s="3">
        <v>20.290010393760198</v>
      </c>
      <c r="C113" s="3">
        <v>15.140841701345501</v>
      </c>
      <c r="D113" s="3">
        <v>12.8314773046773</v>
      </c>
      <c r="E113" s="3">
        <v>10.912628239189701</v>
      </c>
      <c r="F113" s="3">
        <v>14.2279661310645</v>
      </c>
      <c r="G113" s="3">
        <v>16.252255309098</v>
      </c>
      <c r="H113" s="3">
        <v>10.439187648150201</v>
      </c>
      <c r="I113" s="3">
        <v>24.301338934052101</v>
      </c>
      <c r="J113" s="3">
        <v>18.662173063858098</v>
      </c>
      <c r="K113" s="3">
        <v>12.8656583617327</v>
      </c>
      <c r="L113" s="3">
        <v>14.621754891995799</v>
      </c>
      <c r="M113" s="3">
        <v>13.4775505387575</v>
      </c>
      <c r="N113" s="3">
        <v>8.3623572118142508</v>
      </c>
    </row>
    <row r="114" spans="1:25" x14ac:dyDescent="0.35">
      <c r="A114" s="2">
        <v>45289</v>
      </c>
      <c r="B114" s="3">
        <v>22.9720675812572</v>
      </c>
      <c r="C114" s="3">
        <v>16.457562372089001</v>
      </c>
      <c r="D114" s="3">
        <v>13.671542224563501</v>
      </c>
      <c r="E114" s="3">
        <v>11.1771400760286</v>
      </c>
      <c r="F114" s="3">
        <v>14.045621985688101</v>
      </c>
      <c r="G114" s="3">
        <v>16.8506095866157</v>
      </c>
      <c r="H114" s="3">
        <v>11.0068145436794</v>
      </c>
      <c r="I114" s="3">
        <v>25.089694103752699</v>
      </c>
      <c r="J114" s="3">
        <v>19.525187347191402</v>
      </c>
      <c r="K114" s="3">
        <v>13.4147515249339</v>
      </c>
      <c r="L114" s="3">
        <v>15.1008577463554</v>
      </c>
      <c r="M114" s="3">
        <v>15.725990014540301</v>
      </c>
      <c r="N114" s="3">
        <v>8.9013012943078405</v>
      </c>
    </row>
    <row r="115" spans="1:25" x14ac:dyDescent="0.35">
      <c r="A115" s="2">
        <v>45320</v>
      </c>
      <c r="B115" s="3">
        <v>22.511113919315701</v>
      </c>
      <c r="C115" s="3">
        <v>16.387580880506299</v>
      </c>
      <c r="D115" s="3">
        <v>13.9235000967892</v>
      </c>
      <c r="E115" s="3">
        <v>11.515359541631</v>
      </c>
      <c r="F115" s="3">
        <v>14.9457682630481</v>
      </c>
      <c r="G115" s="3">
        <v>17.2973296542004</v>
      </c>
      <c r="H115" s="3">
        <v>11.055873147855401</v>
      </c>
      <c r="I115" s="3">
        <v>26.183898330929601</v>
      </c>
      <c r="J115" s="3">
        <v>20.1686209107149</v>
      </c>
      <c r="K115" s="3">
        <v>13.7423248266663</v>
      </c>
      <c r="L115" s="3">
        <v>15.8421886702625</v>
      </c>
      <c r="M115" s="3">
        <v>15.469609400998699</v>
      </c>
      <c r="N115" s="3">
        <v>8.8864917815472904</v>
      </c>
    </row>
    <row r="116" spans="1:25" x14ac:dyDescent="0.35">
      <c r="A116" s="2">
        <v>45351</v>
      </c>
      <c r="B116" s="3">
        <v>22.478207458187601</v>
      </c>
      <c r="C116" s="3">
        <v>16.548788181213599</v>
      </c>
      <c r="D116" s="3">
        <v>14.178760532358201</v>
      </c>
      <c r="E116" s="3">
        <v>12.0111811118121</v>
      </c>
      <c r="F116" s="3">
        <v>15.5316832856982</v>
      </c>
      <c r="G116" s="3">
        <v>17.439999307990099</v>
      </c>
      <c r="H116" s="3">
        <v>11.1500020846872</v>
      </c>
      <c r="I116" s="3">
        <v>26.208799788572399</v>
      </c>
      <c r="J116" s="3">
        <v>20.487692557222399</v>
      </c>
      <c r="K116" s="3">
        <v>14.2666486390083</v>
      </c>
      <c r="L116" s="3">
        <v>16.3356494510167</v>
      </c>
      <c r="M116" s="3">
        <v>16.2650688356761</v>
      </c>
      <c r="N116" s="3">
        <v>9.2614852831679695</v>
      </c>
    </row>
    <row r="117" spans="1:25" x14ac:dyDescent="0.35">
      <c r="A117" s="2">
        <v>45379</v>
      </c>
      <c r="B117" s="3">
        <v>25.2815236006387</v>
      </c>
      <c r="C117" s="3">
        <v>16.803260239899402</v>
      </c>
      <c r="D117" s="3">
        <v>14.6378182886827</v>
      </c>
      <c r="E117" s="3">
        <v>12.3911844231591</v>
      </c>
      <c r="F117" s="3">
        <v>15.7889832991007</v>
      </c>
      <c r="G117" s="3">
        <v>17.692887962931199</v>
      </c>
      <c r="H117" s="3">
        <v>11.541281187907</v>
      </c>
      <c r="I117" s="3">
        <v>26.188453362783999</v>
      </c>
      <c r="J117" s="3">
        <v>20.957693667565099</v>
      </c>
      <c r="K117" s="3">
        <v>14.713062026363</v>
      </c>
      <c r="L117" s="3">
        <v>16.374089487792499</v>
      </c>
      <c r="M117" s="3">
        <v>16.421145984415102</v>
      </c>
      <c r="N117" s="3">
        <v>9.8058463886992193</v>
      </c>
    </row>
    <row r="118" spans="1:25" x14ac:dyDescent="0.35">
      <c r="A118" s="2">
        <v>45411</v>
      </c>
      <c r="B118" s="3">
        <v>25.2564775876662</v>
      </c>
      <c r="C118" s="3">
        <v>16.3563582814844</v>
      </c>
      <c r="D118" s="3">
        <v>14.304050050161401</v>
      </c>
      <c r="E118" s="3">
        <v>12.0005129856984</v>
      </c>
      <c r="F118" s="3">
        <v>15.1889395185509</v>
      </c>
      <c r="G118" s="3">
        <v>16.7881903151474</v>
      </c>
      <c r="H118" s="3">
        <v>11.645271924177599</v>
      </c>
      <c r="I118" s="3">
        <v>25.229268489300502</v>
      </c>
      <c r="J118" s="3">
        <v>20.149230865525599</v>
      </c>
      <c r="K118" s="3">
        <v>14.487822247255499</v>
      </c>
      <c r="L118" s="3">
        <v>15.818002607357901</v>
      </c>
      <c r="M118" s="3">
        <v>16.094949291477899</v>
      </c>
      <c r="N118" s="3">
        <v>9.5878714117229595</v>
      </c>
    </row>
    <row r="119" spans="1:25" x14ac:dyDescent="0.35">
      <c r="A119" s="2">
        <v>45441</v>
      </c>
      <c r="B119" s="3">
        <v>24.976784988570198</v>
      </c>
      <c r="C119" s="3">
        <v>16.453694383870999</v>
      </c>
      <c r="D119" s="3">
        <v>14.1008618554681</v>
      </c>
      <c r="E119" s="3">
        <v>11.8538498839943</v>
      </c>
      <c r="F119" s="3">
        <v>15.437965787708199</v>
      </c>
      <c r="G119" s="3">
        <v>16.9415675303201</v>
      </c>
      <c r="H119" s="3">
        <v>11.552501041707799</v>
      </c>
      <c r="I119" s="3">
        <v>26.0458808580915</v>
      </c>
      <c r="J119" s="3">
        <v>20.602998441395801</v>
      </c>
      <c r="K119" s="3">
        <v>14.167929099143</v>
      </c>
      <c r="L119" s="3">
        <v>16.120802209974201</v>
      </c>
      <c r="M119" s="3">
        <v>16.0453762657209</v>
      </c>
      <c r="N119" s="3">
        <v>9.6257646896940994</v>
      </c>
    </row>
    <row r="120" spans="1:25" x14ac:dyDescent="0.35">
      <c r="A120" s="2">
        <v>45471</v>
      </c>
      <c r="B120" s="3">
        <v>23.886671270901498</v>
      </c>
      <c r="C120" s="3">
        <v>16.851929978571601</v>
      </c>
      <c r="D120" s="3">
        <v>13.9395322862181</v>
      </c>
      <c r="E120" s="3">
        <v>11.719291986557099</v>
      </c>
      <c r="F120" s="3">
        <v>15.603748176141099</v>
      </c>
      <c r="G120" s="3">
        <v>17.072454856163901</v>
      </c>
      <c r="H120" s="3">
        <v>11.338512461903401</v>
      </c>
      <c r="I120" s="3">
        <v>26.961369772433301</v>
      </c>
      <c r="J120" s="3">
        <v>21.0117847036238</v>
      </c>
      <c r="K120" s="3">
        <v>13.3883807399848</v>
      </c>
      <c r="L120" s="3">
        <v>16.196680624012199</v>
      </c>
      <c r="M120" s="3">
        <v>15.9641918478139</v>
      </c>
      <c r="N120" s="3">
        <v>9.2909336228144994</v>
      </c>
    </row>
    <row r="121" spans="1:25" x14ac:dyDescent="0.35">
      <c r="A121" s="2">
        <v>45502</v>
      </c>
      <c r="B121" s="3">
        <v>24.889308760795601</v>
      </c>
      <c r="C121" s="3">
        <v>17.3299789293755</v>
      </c>
      <c r="D121" s="3">
        <v>14.344097623323799</v>
      </c>
      <c r="E121" s="3">
        <v>11.7637739444146</v>
      </c>
      <c r="F121" s="3">
        <v>15.038942582853201</v>
      </c>
      <c r="G121" s="3">
        <v>17.323696319803901</v>
      </c>
      <c r="H121" s="3">
        <v>11.6127259637368</v>
      </c>
      <c r="I121" s="3">
        <v>25.806613981776</v>
      </c>
      <c r="J121" s="3">
        <v>20.825094287038599</v>
      </c>
      <c r="K121" s="3">
        <v>13.501677180398399</v>
      </c>
      <c r="L121" s="3">
        <v>15.3316719058278</v>
      </c>
      <c r="M121" s="3">
        <v>16.1138481716497</v>
      </c>
      <c r="N121" s="3">
        <v>9.6460245726825296</v>
      </c>
    </row>
    <row r="122" spans="1:25" x14ac:dyDescent="0.35">
      <c r="A122" s="2">
        <v>45530</v>
      </c>
      <c r="B122" s="3">
        <v>26.977931586211302</v>
      </c>
      <c r="C122" s="3">
        <v>17.861463231591699</v>
      </c>
      <c r="D122" s="3">
        <v>14.570886500393</v>
      </c>
      <c r="E122" s="3">
        <v>11.9030285004895</v>
      </c>
      <c r="F122" s="3">
        <v>14.315101215557201</v>
      </c>
      <c r="G122" s="3">
        <v>17.6222898973855</v>
      </c>
      <c r="H122" s="3">
        <v>11.7138707440388</v>
      </c>
      <c r="I122" s="3">
        <v>26.042199947510401</v>
      </c>
      <c r="J122" s="3">
        <v>21.2102191675657</v>
      </c>
      <c r="K122" s="3">
        <v>13.7573735991581</v>
      </c>
      <c r="L122" s="3">
        <v>15.1350552673232</v>
      </c>
      <c r="M122" s="3">
        <v>16.1460361031552</v>
      </c>
      <c r="N122" s="3">
        <v>9.7203461306872292</v>
      </c>
    </row>
    <row r="124" spans="1:25" x14ac:dyDescent="0.35">
      <c r="A124" s="2" t="s">
        <v>91</v>
      </c>
      <c r="B124" s="3" cm="1">
        <f t="array" ref="B124">MIN(_xlfn._xlws.FILTER(B1:B122, ISNUMBER(B1:B122)))</f>
        <v>17.052045801583098</v>
      </c>
      <c r="C124" s="3" cm="1">
        <f t="array" ref="C124">MIN(_xlfn._xlws.FILTER(C1:C122, ISNUMBER(C1:C122)))</f>
        <v>12.7237458749886</v>
      </c>
      <c r="D124" s="3" cm="1">
        <f t="array" ref="D124">MIN(_xlfn._xlws.FILTER(D1:D122, ISNUMBER(D1:D122)))</f>
        <v>10.769775061044699</v>
      </c>
      <c r="E124" s="3" cm="1">
        <f t="array" ref="E124">MIN(_xlfn._xlws.FILTER(E1:E122, ISNUMBER(E1:E122)))</f>
        <v>8.8798193295445405</v>
      </c>
      <c r="F124" s="3" cm="1">
        <f t="array" ref="F124">MIN(_xlfn._xlws.FILTER(F1:F122, ISNUMBER(F1:F122)))</f>
        <v>11.1053605202922</v>
      </c>
      <c r="G124" s="3" cm="1">
        <f t="array" ref="G124">MIN(_xlfn._xlws.FILTER(G1:G122, ISNUMBER(G1:G122)))</f>
        <v>14.515017605219599</v>
      </c>
      <c r="H124" s="3" cm="1">
        <f t="array" ref="H124">MIN(_xlfn._xlws.FILTER(H1:H122, ISNUMBER(H1:H122)))</f>
        <v>8.4671113929956103</v>
      </c>
      <c r="I124" s="3" cm="1">
        <f t="array" ref="I124">MIN(_xlfn._xlws.FILTER(I1:I122, ISNUMBER(I1:I122)))</f>
        <v>16.391005067266899</v>
      </c>
      <c r="J124" s="3" cm="1">
        <f t="array" ref="J124">MIN(_xlfn._xlws.FILTER(J1:J122, ISNUMBER(J1:J122)))</f>
        <v>14.284479178170599</v>
      </c>
      <c r="K124" s="3" cm="1">
        <f t="array" ref="K124">MIN(_xlfn._xlws.FILTER(K1:K122, ISNUMBER(K1:K122)))</f>
        <v>10.0602182025603</v>
      </c>
      <c r="L124" s="3" cm="1">
        <f t="array" ref="L124">MIN(_xlfn._xlws.FILTER(L1:L122, ISNUMBER(L1:L122)))</f>
        <v>12.970359478390399</v>
      </c>
      <c r="M124" s="3" cm="1">
        <f t="array" ref="M124">MIN(_xlfn._xlws.FILTER(M1:M122, ISNUMBER(M1:M122)))</f>
        <v>12.391385085972599</v>
      </c>
      <c r="N124" s="3" cm="1">
        <f t="array" ref="N124">MIN(_xlfn._xlws.FILTER(N1:N122, ISNUMBER(N1:N122)))</f>
        <v>7.0666274376271598</v>
      </c>
    </row>
    <row r="125" spans="1:25" x14ac:dyDescent="0.35">
      <c r="A125" s="2" t="s">
        <v>92</v>
      </c>
      <c r="B125" s="3" cm="1">
        <f t="array" ref="B125">MAX(_xlfn._xlws.FILTER(B1:B122, ISNUMBER(B1:B122)))</f>
        <v>34.835844828471799</v>
      </c>
      <c r="C125" s="3" cm="1">
        <f t="array" ref="C125">MAX(_xlfn._xlws.FILTER(C1:C122, ISNUMBER(C1:C122)))</f>
        <v>19.607374173209799</v>
      </c>
      <c r="D125" s="3" cm="1">
        <f t="array" ref="D125">MAX(_xlfn._xlws.FILTER(D1:D122, ISNUMBER(D1:D122)))</f>
        <v>18.540942779661101</v>
      </c>
      <c r="E125" s="3" cm="1">
        <f t="array" ref="E125">MAX(_xlfn._xlws.FILTER(E1:E122, ISNUMBER(E1:E122)))</f>
        <v>18.2195459553466</v>
      </c>
      <c r="F125" s="3" cm="1">
        <f t="array" ref="F125">MAX(_xlfn._xlws.FILTER(F1:F122, ISNUMBER(F1:F122)))</f>
        <v>18.813793081671299</v>
      </c>
      <c r="G125" s="3" cm="1">
        <f t="array" ref="G125">MAX(_xlfn._xlws.FILTER(G1:G122, ISNUMBER(G1:G122)))</f>
        <v>19.953701835484399</v>
      </c>
      <c r="H125" s="3" cm="1">
        <f t="array" ref="H125">MAX(_xlfn._xlws.FILTER(H1:H122, ISNUMBER(H1:H122)))</f>
        <v>16.217559099455599</v>
      </c>
      <c r="I125" s="3" cm="1">
        <f t="array" ref="I125">MAX(_xlfn._xlws.FILTER(I1:I122, ISNUMBER(I1:I122)))</f>
        <v>31.2978925851233</v>
      </c>
      <c r="J125" s="3" cm="1">
        <f t="array" ref="J125">MAX(_xlfn._xlws.FILTER(J1:J122, ISNUMBER(J1:J122)))</f>
        <v>22.959390762949901</v>
      </c>
      <c r="K125" s="3" cm="1">
        <f t="array" ref="K125">MAX(_xlfn._xlws.FILTER(K1:K122, ISNUMBER(K1:K122)))</f>
        <v>19.538119752845699</v>
      </c>
      <c r="L125" s="3" cm="1">
        <f t="array" ref="L125">MAX(_xlfn._xlws.FILTER(L1:L122, ISNUMBER(L1:L122)))</f>
        <v>22.237068193271899</v>
      </c>
      <c r="M125" s="3" cm="1">
        <f t="array" ref="M125">MAX(_xlfn._xlws.FILTER(M1:M122, ISNUMBER(M1:M122)))</f>
        <v>20.097433169704299</v>
      </c>
      <c r="N125" s="3" cm="1">
        <f t="array" ref="N125">MAX(_xlfn._xlws.FILTER(N1:N122, ISNUMBER(N1:N122)))</f>
        <v>17.337318984305401</v>
      </c>
    </row>
    <row r="127" spans="1:25" x14ac:dyDescent="0.35">
      <c r="A127" s="2" t="s">
        <v>93</v>
      </c>
      <c r="B127" s="9" cm="1">
        <f t="array" ref="B127">_xlfn.PERCENTRANK.EXC(_xlfn._xlws.FILTER(B1:B122, ISNUMBER(B1:B122)),B122)</f>
        <v>0.78600000000000003</v>
      </c>
      <c r="C127" s="9" cm="1">
        <f t="array" ref="C127">_xlfn.PERCENTRANK.EXC(_xlfn._xlws.FILTER(C1:C122, ISNUMBER(C1:C122)),C122)</f>
        <v>0.89300000000000002</v>
      </c>
      <c r="D127" s="9" cm="1">
        <f t="array" ref="D127">_xlfn.PERCENTRANK.EXC(_xlfn._xlws.FILTER(D1:D122, ISNUMBER(D1:D122)),D122)</f>
        <v>0.53200000000000003</v>
      </c>
      <c r="E127" s="9" cm="1">
        <f t="array" ref="E127">_xlfn.PERCENTRANK.EXC(_xlfn._xlws.FILTER(E1:E122, ISNUMBER(E1:E122)),E122)</f>
        <v>0.27800000000000002</v>
      </c>
      <c r="F127" s="9" cm="1">
        <f t="array" ref="F127">_xlfn.PERCENTRANK.EXC(_xlfn._xlws.FILTER(F1:F122, ISNUMBER(F1:F122)),F122)</f>
        <v>0.57299999999999995</v>
      </c>
      <c r="G127" s="9" cm="1">
        <f t="array" ref="G127">_xlfn.PERCENTRANK.EXC(_xlfn._xlws.FILTER(G1:G122, ISNUMBER(G1:G122)),G122)</f>
        <v>0.65500000000000003</v>
      </c>
      <c r="H127" s="9" cm="1">
        <f t="array" ref="H127">_xlfn.PERCENTRANK.EXC(_xlfn._xlws.FILTER(H1:H122, ISNUMBER(H1:H122)),H122)</f>
        <v>0.27</v>
      </c>
      <c r="I127" s="9" cm="1">
        <f t="array" ref="I127">_xlfn.PERCENTRANK.EXC(_xlfn._xlws.FILTER(I1:I122, ISNUMBER(I1:I122)),I122)</f>
        <v>0.77</v>
      </c>
      <c r="J127" s="9" cm="1">
        <f t="array" ref="J127">_xlfn.PERCENTRANK.EXC(_xlfn._xlws.FILTER(J1:J122, ISNUMBER(J1:J122)),J122)</f>
        <v>0.877</v>
      </c>
      <c r="K127" s="9" cm="1">
        <f t="array" ref="K127">_xlfn.PERCENTRANK.EXC(_xlfn._xlws.FILTER(K1:K122, ISNUMBER(K1:K122)),K122)</f>
        <v>0.32700000000000001</v>
      </c>
      <c r="L127" s="9" cm="1">
        <f t="array" ref="L127">_xlfn.PERCENTRANK.EXC(_xlfn._xlws.FILTER(L1:L122, ISNUMBER(L1:L122)),L122)</f>
        <v>0.254</v>
      </c>
      <c r="M127" s="9" cm="1">
        <f t="array" ref="M127">_xlfn.PERCENTRANK.EXC(_xlfn._xlws.FILTER(M1:M122, ISNUMBER(M1:M122)),M122)</f>
        <v>0.63100000000000001</v>
      </c>
      <c r="N127" s="9" cm="1">
        <f t="array" ref="N127">_xlfn.PERCENTRANK.EXC(_xlfn._xlws.FILTER(N1:N122, ISNUMBER(N1:N122)),N122)</f>
        <v>0.254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28"/>
  <sheetViews>
    <sheetView topLeftCell="A113" workbookViewId="0">
      <selection activeCell="N122" sqref="N122"/>
    </sheetView>
  </sheetViews>
  <sheetFormatPr defaultColWidth="9.1796875" defaultRowHeight="14.5" x14ac:dyDescent="0.35"/>
  <cols>
    <col min="1" max="1" width="17.54296875" style="2" bestFit="1" customWidth="1"/>
    <col min="2" max="16384" width="9.1796875" style="3"/>
  </cols>
  <sheetData>
    <row r="1" spans="1:14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122">_xll.FDS(B1,"JULIAN(FMA_DIV_YLD(NTMA,-10AY,0,AM,""PORTAGG"",""MEANR"").dates)")</f>
        <v>41880</v>
      </c>
      <c r="B2" s="3" cm="1">
        <f t="array" ref="B2:B122">_xll.FDS(B1,"FMA_DIV_YLD(NTMA,-10AY,0,AM,""PORTAGG"",""MEANR"")")</f>
        <v>4.53899776998386</v>
      </c>
      <c r="C2" s="3" cm="1">
        <f t="array" ref="C2:C122">_xll.FDS(C1,"FMA_DIV_YLD(NTMA,-10AY,0,AM,""PORTAGG"",""MEANR"")")</f>
        <v>4.6877023864786302</v>
      </c>
      <c r="D2" s="3" cm="1">
        <f t="array" ref="D2:D122">_xll.FDS(D1,"FMA_DIV_YLD(NTMA,-10AY,0,AM,""PORTAGG"",""MEANR"")")</f>
        <v>2.7501300436627099</v>
      </c>
      <c r="E2" s="3" cm="1">
        <f t="array" ref="E2:E122">_xll.FDS(E1,"FMA_DIV_YLD(NTMA,-10AY,0,AM,""PORTAGG"",""MEANR"")")</f>
        <v>3.1761892656951098</v>
      </c>
      <c r="F2" s="3" cm="1">
        <f t="array" ref="F2:F122">_xll.FDS(F1,"FMA_DIV_YLD(NTMA,-10AY,0,AM,""PORTAGG"",""MEANR"")")</f>
        <v>2.0837418014011302</v>
      </c>
      <c r="G2" s="3" cm="1">
        <f t="array" ref="G2:G122">_xll.FDS(G1,"FMA_DIV_YLD(NTMA,-10AY,0,AM,""PORTAGG"",""MEANR"")")</f>
        <v>3.3253010010495698</v>
      </c>
      <c r="H2" s="3" cm="1">
        <f t="array" ref="H2:H122">_xll.FDS(H1,"FMA_DIV_YLD(NTMA,-10AY,0,AM,""PORTAGG"",""MEANR"")")</f>
        <v>3.8939000024378001</v>
      </c>
      <c r="I2" s="3" cm="1">
        <f t="array" ref="I2:I122">_xll.FDS(I1,"FMA_DIV_YLD(NTMA,-10AY,0,AM,""PORTAGG"",""MEANR"")")</f>
        <v>1.21275980992652</v>
      </c>
      <c r="J2" s="3" cm="1">
        <f t="array" ref="J2:J122">_xll.FDS(J1,"FMA_DIV_YLD(NTMA,-10AY,0,AM,""PORTAGG"",""MEANR"")")</f>
        <v>2.0861312340587199</v>
      </c>
      <c r="K2" s="3" cm="1">
        <f t="array" ref="K2:K122">_xll.FDS(K1,"FMA_DIV_YLD(NTMA,-10AY,0,AM,""PORTAGG"",""MEANR"")")</f>
        <v>3.53449264250309</v>
      </c>
      <c r="L2" s="3" cm="1">
        <f t="array" ref="L2:L122">_xll.FDS(L1,"FMA_DIV_YLD(NTMA,-10AY,0,AM,""PORTAGG"",""MEANR"")")</f>
        <v>2.9875368558412001</v>
      </c>
      <c r="M2" s="3" cm="1">
        <f t="array" ref="M2:M122">_xll.FDS(M1,"FMA_DIV_YLD(NTMA,-10AY,0,AM,""PORTAGG"",""MEANR"")")</f>
        <v>4.2168443615278202</v>
      </c>
      <c r="N2" s="3" cm="1">
        <f t="array" ref="N2:N122">_xll.FDS(N1,"FMA_DIV_YLD(NTMA,-10AY,0,AM,""PORTAGG"",""MEANR"")")</f>
        <v>3.58687276806257</v>
      </c>
    </row>
    <row r="3" spans="1:14" x14ac:dyDescent="0.35">
      <c r="A3" s="2">
        <v>41911</v>
      </c>
      <c r="B3" s="3">
        <v>4.5712568370004902</v>
      </c>
      <c r="C3" s="3">
        <v>5.0981688247920998</v>
      </c>
      <c r="D3" s="3">
        <v>2.8754934617788401</v>
      </c>
      <c r="E3" s="3">
        <v>3.2066156775094798</v>
      </c>
      <c r="F3" s="3">
        <v>2.0054537480721599</v>
      </c>
      <c r="G3" s="3">
        <v>3.3375823956684298</v>
      </c>
      <c r="H3" s="3">
        <v>4.0256890152712801</v>
      </c>
      <c r="I3" s="3">
        <v>1.2424630569453201</v>
      </c>
      <c r="J3" s="3">
        <v>2.1293769303983199</v>
      </c>
      <c r="K3" s="3">
        <v>3.6064224178737598</v>
      </c>
      <c r="L3" s="3">
        <v>3.0187928759376899</v>
      </c>
      <c r="M3" s="3">
        <v>4.2401828790586098</v>
      </c>
      <c r="N3" s="3">
        <v>3.6569267300883799</v>
      </c>
    </row>
    <row r="4" spans="1:14" x14ac:dyDescent="0.35">
      <c r="A4" s="2">
        <v>41941</v>
      </c>
      <c r="B4" s="3">
        <v>4.5290864295442503</v>
      </c>
      <c r="C4" s="3">
        <v>4.8860042706833502</v>
      </c>
      <c r="D4" s="3">
        <v>2.9898233601125699</v>
      </c>
      <c r="E4" s="3">
        <v>3.3458598304791201</v>
      </c>
      <c r="F4" s="3">
        <v>2.1275080593997502</v>
      </c>
      <c r="G4" s="3">
        <v>3.3736138446817199</v>
      </c>
      <c r="H4" s="3">
        <v>4.1374120551602402</v>
      </c>
      <c r="I4" s="3">
        <v>1.24902947667013</v>
      </c>
      <c r="J4" s="3">
        <v>2.1418957864278099</v>
      </c>
      <c r="K4" s="3">
        <v>3.7924547763235301</v>
      </c>
      <c r="L4" s="3">
        <v>3.1864354566870299</v>
      </c>
      <c r="M4" s="3">
        <v>4.24408742755032</v>
      </c>
      <c r="N4" s="3">
        <v>3.9844462990643001</v>
      </c>
    </row>
    <row r="5" spans="1:14" x14ac:dyDescent="0.35">
      <c r="A5" s="2">
        <v>41971</v>
      </c>
      <c r="B5" s="3">
        <v>4.5486185880208101</v>
      </c>
      <c r="C5" s="3">
        <v>5.0572975158295801</v>
      </c>
      <c r="D5" s="3">
        <v>2.9472609885354601</v>
      </c>
      <c r="E5" s="3">
        <v>3.1278909180015302</v>
      </c>
      <c r="F5" s="3">
        <v>1.94863501610075</v>
      </c>
      <c r="G5" s="3">
        <v>3.2012860785725401</v>
      </c>
      <c r="H5" s="3">
        <v>4.0343804736276896</v>
      </c>
      <c r="I5" s="3">
        <v>1.1892147806701601</v>
      </c>
      <c r="J5" s="3">
        <v>2.0700263158159098</v>
      </c>
      <c r="K5" s="3">
        <v>3.5643145231204598</v>
      </c>
      <c r="L5" s="3">
        <v>3.0176448426321798</v>
      </c>
      <c r="M5" s="3">
        <v>4.0805632087961099</v>
      </c>
      <c r="N5" s="3">
        <v>3.8747768154684898</v>
      </c>
    </row>
    <row r="6" spans="1:14" x14ac:dyDescent="0.35">
      <c r="A6" s="2">
        <v>42002</v>
      </c>
      <c r="B6" s="3">
        <v>4.4299620623935203</v>
      </c>
      <c r="C6" s="3">
        <v>4.9150428368805104</v>
      </c>
      <c r="D6" s="3">
        <v>2.9337479016742201</v>
      </c>
      <c r="E6" s="3">
        <v>3.15277066275975</v>
      </c>
      <c r="F6" s="3">
        <v>1.946428192021</v>
      </c>
      <c r="G6" s="3">
        <v>3.2767375946585999</v>
      </c>
      <c r="H6" s="3">
        <v>4.1021504258826198</v>
      </c>
      <c r="I6" s="3">
        <v>1.2075364260399399</v>
      </c>
      <c r="J6" s="3">
        <v>2.0680933957143002</v>
      </c>
      <c r="K6" s="3">
        <v>3.6137803169295002</v>
      </c>
      <c r="L6" s="3">
        <v>3.0671244943608298</v>
      </c>
      <c r="M6" s="3">
        <v>4.0631818758050402</v>
      </c>
      <c r="N6" s="3">
        <v>4.0519385520288296</v>
      </c>
    </row>
    <row r="7" spans="1:14" x14ac:dyDescent="0.35">
      <c r="A7" s="2">
        <v>42033</v>
      </c>
      <c r="B7" s="3">
        <v>4.2990098611799796</v>
      </c>
      <c r="C7" s="3">
        <v>4.8673974005295602</v>
      </c>
      <c r="D7" s="3">
        <v>2.97926796930909</v>
      </c>
      <c r="E7" s="3">
        <v>2.9378368318267398</v>
      </c>
      <c r="F7" s="3">
        <v>2.0043205458873801</v>
      </c>
      <c r="G7" s="3">
        <v>3.3676227813356499</v>
      </c>
      <c r="H7" s="3">
        <v>4.0335527110434199</v>
      </c>
      <c r="I7" s="3">
        <v>1.23107681609199</v>
      </c>
      <c r="J7" s="3">
        <v>2.1637575988684699</v>
      </c>
      <c r="K7" s="3">
        <v>3.3469590528782698</v>
      </c>
      <c r="L7" s="3">
        <v>2.8941656638190301</v>
      </c>
      <c r="M7" s="3">
        <v>3.8416589024218801</v>
      </c>
      <c r="N7" s="3">
        <v>3.7806464467907701</v>
      </c>
    </row>
    <row r="8" spans="1:14" x14ac:dyDescent="0.35">
      <c r="A8" s="2">
        <v>42062</v>
      </c>
      <c r="B8" s="3">
        <v>4.2622728581580498</v>
      </c>
      <c r="C8" s="3">
        <v>4.5482874033505203</v>
      </c>
      <c r="D8" s="3">
        <v>2.84975029796081</v>
      </c>
      <c r="E8" s="3">
        <v>2.7817321445467802</v>
      </c>
      <c r="F8" s="3">
        <v>1.87834190262488</v>
      </c>
      <c r="G8" s="3">
        <v>3.1584835698833902</v>
      </c>
      <c r="H8" s="3">
        <v>3.8845579202623099</v>
      </c>
      <c r="I8" s="3">
        <v>1.21346631716943</v>
      </c>
      <c r="J8" s="3">
        <v>2.0987376201391101</v>
      </c>
      <c r="K8" s="3">
        <v>3.12865411889008</v>
      </c>
      <c r="L8" s="3">
        <v>2.71372282178949</v>
      </c>
      <c r="M8" s="3">
        <v>3.5944542145726501</v>
      </c>
      <c r="N8" s="3">
        <v>3.4145751083191298</v>
      </c>
    </row>
    <row r="9" spans="1:14" x14ac:dyDescent="0.35">
      <c r="A9" s="2">
        <v>42090</v>
      </c>
      <c r="B9" s="3">
        <v>4.3996304710816698</v>
      </c>
      <c r="C9" s="3">
        <v>4.5684427082027002</v>
      </c>
      <c r="D9" s="3">
        <v>2.9488040344037301</v>
      </c>
      <c r="E9" s="3">
        <v>2.7015323768703898</v>
      </c>
      <c r="F9" s="3">
        <v>1.86334318932593</v>
      </c>
      <c r="G9" s="3">
        <v>3.14103229440832</v>
      </c>
      <c r="H9" s="3">
        <v>4.0029644938880704</v>
      </c>
      <c r="I9" s="3">
        <v>1.2761080634073101</v>
      </c>
      <c r="J9" s="3">
        <v>2.19605947647737</v>
      </c>
      <c r="K9" s="3">
        <v>3.19378604686373</v>
      </c>
      <c r="L9" s="3">
        <v>2.7023614581936299</v>
      </c>
      <c r="M9" s="3">
        <v>3.6795337160799702</v>
      </c>
      <c r="N9" s="3">
        <v>3.125377393635</v>
      </c>
    </row>
    <row r="10" spans="1:14" x14ac:dyDescent="0.35">
      <c r="A10" s="2">
        <v>42123</v>
      </c>
      <c r="B10" s="3">
        <v>4.52804558272602</v>
      </c>
      <c r="C10" s="3">
        <v>4.6158299037116803</v>
      </c>
      <c r="D10" s="3">
        <v>2.8133636995346301</v>
      </c>
      <c r="E10" s="3">
        <v>2.86187400223114</v>
      </c>
      <c r="F10" s="3">
        <v>1.8118766219287299</v>
      </c>
      <c r="G10" s="3">
        <v>3.09117482424065</v>
      </c>
      <c r="H10" s="3">
        <v>3.8884435835328199</v>
      </c>
      <c r="I10" s="3">
        <v>1.23607653641407</v>
      </c>
      <c r="J10" s="3">
        <v>2.1486287642348398</v>
      </c>
      <c r="K10" s="3">
        <v>3.25936036402556</v>
      </c>
      <c r="L10" s="3">
        <v>2.73742363225921</v>
      </c>
      <c r="M10" s="3">
        <v>3.7786171550663199</v>
      </c>
      <c r="N10" s="3">
        <v>3.1947647554829199</v>
      </c>
    </row>
    <row r="11" spans="1:14" x14ac:dyDescent="0.35">
      <c r="A11" s="2">
        <v>42153</v>
      </c>
      <c r="B11" s="3">
        <v>4.4090462867222904</v>
      </c>
      <c r="C11" s="3">
        <v>4.72128589665948</v>
      </c>
      <c r="D11" s="3">
        <v>2.9035305544884</v>
      </c>
      <c r="E11" s="3">
        <v>2.9389200999986</v>
      </c>
      <c r="F11" s="3">
        <v>1.8249837080590801</v>
      </c>
      <c r="G11" s="3">
        <v>3.1196801759720199</v>
      </c>
      <c r="H11" s="3">
        <v>3.9196285153038599</v>
      </c>
      <c r="I11" s="3">
        <v>1.2390265386463599</v>
      </c>
      <c r="J11" s="3">
        <v>2.1596182086592002</v>
      </c>
      <c r="K11" s="3">
        <v>3.2967848514561799</v>
      </c>
      <c r="L11" s="3">
        <v>2.8274940470512</v>
      </c>
      <c r="M11" s="3">
        <v>3.7927927809980102</v>
      </c>
      <c r="N11" s="3">
        <v>3.1795958859064002</v>
      </c>
    </row>
    <row r="12" spans="1:14" x14ac:dyDescent="0.35">
      <c r="A12" s="2">
        <v>42184</v>
      </c>
      <c r="B12" s="3">
        <v>4.6910070358714897</v>
      </c>
      <c r="C12" s="3">
        <v>5.0105529010174301</v>
      </c>
      <c r="D12" s="3">
        <v>3.0176106307188499</v>
      </c>
      <c r="E12" s="3">
        <v>3.0533249824313899</v>
      </c>
      <c r="F12" s="3">
        <v>1.92477570472252</v>
      </c>
      <c r="G12" s="3">
        <v>3.2546818091556098</v>
      </c>
      <c r="H12" s="3">
        <v>4.13804681346131</v>
      </c>
      <c r="I12" s="3">
        <v>1.28104325864194</v>
      </c>
      <c r="J12" s="3">
        <v>2.2199803260499902</v>
      </c>
      <c r="K12" s="3">
        <v>3.4014034958153698</v>
      </c>
      <c r="L12" s="3">
        <v>2.9417694915817898</v>
      </c>
      <c r="M12" s="3">
        <v>4.0263202315126998</v>
      </c>
      <c r="N12" s="3">
        <v>3.3743833184655698</v>
      </c>
    </row>
    <row r="13" spans="1:14" x14ac:dyDescent="0.35">
      <c r="A13" s="2">
        <v>42214</v>
      </c>
      <c r="B13" s="3">
        <v>4.5887249095201099</v>
      </c>
      <c r="C13" s="3">
        <v>4.8669087816901504</v>
      </c>
      <c r="D13" s="3">
        <v>3.1156293191534399</v>
      </c>
      <c r="E13" s="3">
        <v>3.0330859820230001</v>
      </c>
      <c r="F13" s="3">
        <v>1.9338267769217099</v>
      </c>
      <c r="G13" s="3">
        <v>3.1220193416298598</v>
      </c>
      <c r="H13" s="3">
        <v>4.1341115105403796</v>
      </c>
      <c r="I13" s="3">
        <v>1.2581434042525801</v>
      </c>
      <c r="J13" s="3">
        <v>2.1840148514745299</v>
      </c>
      <c r="K13" s="3">
        <v>3.3162863242407199</v>
      </c>
      <c r="L13" s="3">
        <v>2.9085990656738101</v>
      </c>
      <c r="M13" s="3">
        <v>3.9947383600467101</v>
      </c>
      <c r="N13" s="3">
        <v>3.2301002678875301</v>
      </c>
    </row>
    <row r="14" spans="1:14" x14ac:dyDescent="0.35">
      <c r="A14" s="2">
        <v>42244</v>
      </c>
      <c r="B14" s="3">
        <v>5.0136814029990697</v>
      </c>
      <c r="C14" s="3">
        <v>5.23730062819432</v>
      </c>
      <c r="D14" s="3">
        <v>3.1549287035854601</v>
      </c>
      <c r="E14" s="3">
        <v>3.3155670115314302</v>
      </c>
      <c r="F14" s="3">
        <v>2.0511247933995498</v>
      </c>
      <c r="G14" s="3">
        <v>3.3281903055992599</v>
      </c>
      <c r="H14" s="3">
        <v>4.4033081425491103</v>
      </c>
      <c r="I14" s="3">
        <v>1.3450033420608301</v>
      </c>
      <c r="J14" s="3">
        <v>2.32980610957663</v>
      </c>
      <c r="K14" s="3">
        <v>3.5901584017627299</v>
      </c>
      <c r="L14" s="3">
        <v>3.3973092922989299</v>
      </c>
      <c r="M14" s="3">
        <v>4.2736664567799796</v>
      </c>
      <c r="N14" s="3">
        <v>3.3616160764567602</v>
      </c>
    </row>
    <row r="15" spans="1:14" x14ac:dyDescent="0.35">
      <c r="A15" s="2">
        <v>42276</v>
      </c>
      <c r="B15" s="3">
        <v>5.2431222976230698</v>
      </c>
      <c r="C15" s="3">
        <v>5.6295156791342098</v>
      </c>
      <c r="D15" s="3">
        <v>3.3822826125171699</v>
      </c>
      <c r="E15" s="3">
        <v>3.5753194315916499</v>
      </c>
      <c r="F15" s="3">
        <v>2.3421431468792102</v>
      </c>
      <c r="G15" s="3">
        <v>3.5351656538082801</v>
      </c>
      <c r="H15" s="3">
        <v>4.6175751210846698</v>
      </c>
      <c r="I15" s="3">
        <v>1.43333808245686</v>
      </c>
      <c r="J15" s="3">
        <v>2.47274902491464</v>
      </c>
      <c r="K15" s="3">
        <v>3.8667948513089399</v>
      </c>
      <c r="L15" s="3">
        <v>3.6546092788847</v>
      </c>
      <c r="M15" s="3">
        <v>4.6491934700601201</v>
      </c>
      <c r="N15" s="3">
        <v>3.6284163364729598</v>
      </c>
    </row>
    <row r="16" spans="1:14" x14ac:dyDescent="0.35">
      <c r="A16" s="2">
        <v>42306</v>
      </c>
      <c r="B16" s="3">
        <v>4.9048032823021801</v>
      </c>
      <c r="C16" s="3">
        <v>5.20214337237877</v>
      </c>
      <c r="D16" s="3">
        <v>3.1976333441664102</v>
      </c>
      <c r="E16" s="3">
        <v>3.0695245114267302</v>
      </c>
      <c r="F16" s="3">
        <v>2.0631106628931599</v>
      </c>
      <c r="G16" s="3">
        <v>3.26455704320683</v>
      </c>
      <c r="H16" s="3">
        <v>4.2410557691620401</v>
      </c>
      <c r="I16" s="3">
        <v>1.2636573013404999</v>
      </c>
      <c r="J16" s="3">
        <v>2.2378393205470499</v>
      </c>
      <c r="K16" s="3">
        <v>3.4459985792543502</v>
      </c>
      <c r="L16" s="3">
        <v>3.25222687035237</v>
      </c>
      <c r="M16" s="3">
        <v>4.2205044650020804</v>
      </c>
      <c r="N16" s="3">
        <v>3.5596410537168701</v>
      </c>
    </row>
    <row r="17" spans="1:14" x14ac:dyDescent="0.35">
      <c r="A17" s="2">
        <v>42335</v>
      </c>
      <c r="B17" s="3">
        <v>4.8137217314643896</v>
      </c>
      <c r="C17" s="3">
        <v>5.25630061437879</v>
      </c>
      <c r="D17" s="3">
        <v>3.31381762917627</v>
      </c>
      <c r="E17" s="3">
        <v>2.8826875982688498</v>
      </c>
      <c r="F17" s="3">
        <v>2.0198194904826701</v>
      </c>
      <c r="G17" s="3">
        <v>3.2473612459849499</v>
      </c>
      <c r="H17" s="3">
        <v>4.1896908694027903</v>
      </c>
      <c r="I17" s="3">
        <v>1.27662096760661</v>
      </c>
      <c r="J17" s="3">
        <v>2.2697344956662699</v>
      </c>
      <c r="K17" s="3">
        <v>3.4079172777839299</v>
      </c>
      <c r="L17" s="3">
        <v>3.1019797110299199</v>
      </c>
      <c r="M17" s="3">
        <v>4.1233946905676504</v>
      </c>
      <c r="N17" s="3">
        <v>3.5514159722484999</v>
      </c>
    </row>
    <row r="18" spans="1:14" x14ac:dyDescent="0.35">
      <c r="A18" s="2">
        <v>42367</v>
      </c>
      <c r="B18" s="3">
        <v>4.7601423013061597</v>
      </c>
      <c r="C18" s="3">
        <v>5.1413165184711804</v>
      </c>
      <c r="D18" s="3">
        <v>3.3315041454543399</v>
      </c>
      <c r="E18" s="3">
        <v>3.0090404783955398</v>
      </c>
      <c r="F18" s="3">
        <v>2.0997841304751201</v>
      </c>
      <c r="G18" s="3">
        <v>3.23684845889407</v>
      </c>
      <c r="H18" s="3">
        <v>4.2619729806632902</v>
      </c>
      <c r="I18" s="3">
        <v>1.26976695879221</v>
      </c>
      <c r="J18" s="3">
        <v>2.2764029779776198</v>
      </c>
      <c r="K18" s="3">
        <v>3.5545243458728999</v>
      </c>
      <c r="L18" s="3">
        <v>3.2437926317680299</v>
      </c>
      <c r="M18" s="3">
        <v>4.30378003446594</v>
      </c>
      <c r="N18" s="3">
        <v>3.79938978820956</v>
      </c>
    </row>
    <row r="19" spans="1:14" x14ac:dyDescent="0.35">
      <c r="A19" s="2">
        <v>42398</v>
      </c>
      <c r="B19" s="3">
        <v>4.8749769776126097</v>
      </c>
      <c r="C19" s="3">
        <v>5.1648522729328796</v>
      </c>
      <c r="D19" s="3">
        <v>3.3571453370902802</v>
      </c>
      <c r="E19" s="3">
        <v>3.3447111345953102</v>
      </c>
      <c r="F19" s="3">
        <v>2.28045936184802</v>
      </c>
      <c r="G19" s="3">
        <v>3.4571379634011001</v>
      </c>
      <c r="H19" s="3">
        <v>4.4375767035048304</v>
      </c>
      <c r="I19" s="3">
        <v>1.35895408073496</v>
      </c>
      <c r="J19" s="3">
        <v>2.4518202590146898</v>
      </c>
      <c r="K19" s="3">
        <v>3.7674588931746502</v>
      </c>
      <c r="L19" s="3">
        <v>3.2205159103027499</v>
      </c>
      <c r="M19" s="3">
        <v>4.4412522612934699</v>
      </c>
      <c r="N19" s="3">
        <v>4.4017271090212997</v>
      </c>
    </row>
    <row r="20" spans="1:14" x14ac:dyDescent="0.35">
      <c r="A20" s="2">
        <v>42429</v>
      </c>
      <c r="B20" s="3">
        <v>4.8640865800991602</v>
      </c>
      <c r="C20" s="3">
        <v>5.06107515679422</v>
      </c>
      <c r="D20" s="3">
        <v>3.34256100760867</v>
      </c>
      <c r="E20" s="3">
        <v>3.4596280972554299</v>
      </c>
      <c r="F20" s="3">
        <v>2.4852714293894498</v>
      </c>
      <c r="G20" s="3">
        <v>3.5482804232108802</v>
      </c>
      <c r="H20" s="3">
        <v>4.4937864213275498</v>
      </c>
      <c r="I20" s="3">
        <v>1.4161315246833099</v>
      </c>
      <c r="J20" s="3">
        <v>2.4751977345461702</v>
      </c>
      <c r="K20" s="3">
        <v>3.82314253795407</v>
      </c>
      <c r="L20" s="3">
        <v>3.35672741714485</v>
      </c>
      <c r="M20" s="3">
        <v>4.3727232615748104</v>
      </c>
      <c r="N20" s="3">
        <v>4.5102335826743296</v>
      </c>
    </row>
    <row r="21" spans="1:14" x14ac:dyDescent="0.35">
      <c r="A21" s="2">
        <v>42458</v>
      </c>
      <c r="B21" s="3">
        <v>4.5889346053935398</v>
      </c>
      <c r="C21" s="3">
        <v>4.9242666271874498</v>
      </c>
      <c r="D21" s="3">
        <v>3.1671582462769199</v>
      </c>
      <c r="E21" s="3">
        <v>3.3183224120447501</v>
      </c>
      <c r="F21" s="3">
        <v>2.34376570627402</v>
      </c>
      <c r="G21" s="3">
        <v>3.5538669130486</v>
      </c>
      <c r="H21" s="3">
        <v>4.4052417094311496</v>
      </c>
      <c r="I21" s="3">
        <v>1.3373535286849401</v>
      </c>
      <c r="J21" s="3">
        <v>2.4751977345461702</v>
      </c>
      <c r="K21" s="3">
        <v>3.7917609793743701</v>
      </c>
      <c r="L21" s="3">
        <v>3.2915122429596502</v>
      </c>
      <c r="M21" s="3">
        <v>4.4507508564166898</v>
      </c>
      <c r="N21" s="3">
        <v>4.3548802088803802</v>
      </c>
    </row>
    <row r="22" spans="1:14" x14ac:dyDescent="0.35">
      <c r="A22" s="2">
        <v>42489</v>
      </c>
      <c r="B22" s="3">
        <v>4.5812516138861303</v>
      </c>
      <c r="C22" s="3">
        <v>4.6648807940130803</v>
      </c>
      <c r="D22" s="3">
        <v>3.0501492776759598</v>
      </c>
      <c r="E22" s="3">
        <v>3.2918871979604001</v>
      </c>
      <c r="F22" s="3">
        <v>2.3909478833475899</v>
      </c>
      <c r="G22" s="3">
        <v>3.5055020062550799</v>
      </c>
      <c r="H22" s="3">
        <v>4.27161646826222</v>
      </c>
      <c r="I22" s="3">
        <v>1.3909934419950101</v>
      </c>
      <c r="J22" s="3">
        <v>2.2927014117324598</v>
      </c>
      <c r="K22" s="3">
        <v>3.7235496743684799</v>
      </c>
      <c r="L22" s="3">
        <v>3.3707402030183999</v>
      </c>
      <c r="M22" s="3">
        <v>4.3614311416743101</v>
      </c>
      <c r="N22" s="3">
        <v>4.3137809107264298</v>
      </c>
    </row>
    <row r="23" spans="1:14" x14ac:dyDescent="0.35">
      <c r="A23" s="2">
        <v>42517</v>
      </c>
      <c r="B23" s="3">
        <v>4.4475531803026902</v>
      </c>
      <c r="C23" s="3">
        <v>4.5362987598256002</v>
      </c>
      <c r="D23" s="3">
        <v>3.0266124489975699</v>
      </c>
      <c r="E23" s="3">
        <v>3.2707564702792702</v>
      </c>
      <c r="F23" s="3">
        <v>2.3684439177949699</v>
      </c>
      <c r="G23" s="3">
        <v>3.4296613763784101</v>
      </c>
      <c r="H23" s="3">
        <v>4.2638912168929597</v>
      </c>
      <c r="I23" s="3">
        <v>1.34470187579383</v>
      </c>
      <c r="J23" s="3">
        <v>2.26932855728746</v>
      </c>
      <c r="K23" s="3">
        <v>3.6820882209492001</v>
      </c>
      <c r="L23" s="3">
        <v>3.25821120153716</v>
      </c>
      <c r="M23" s="3">
        <v>4.3467577698066702</v>
      </c>
      <c r="N23" s="3">
        <v>4.4658646167713503</v>
      </c>
    </row>
    <row r="24" spans="1:14" x14ac:dyDescent="0.35">
      <c r="A24" s="2">
        <v>42550</v>
      </c>
      <c r="B24" s="3">
        <v>4.4771368657865596</v>
      </c>
      <c r="C24" s="3">
        <v>4.7693221038479301</v>
      </c>
      <c r="D24" s="3">
        <v>3.0803186737302202</v>
      </c>
      <c r="E24" s="3">
        <v>3.5188308242084001</v>
      </c>
      <c r="F24" s="3">
        <v>2.5389422895192899</v>
      </c>
      <c r="G24" s="3">
        <v>3.5787653719698702</v>
      </c>
      <c r="H24" s="3">
        <v>4.2950713787156696</v>
      </c>
      <c r="I24" s="3">
        <v>1.3805466182422601</v>
      </c>
      <c r="J24" s="3">
        <v>2.3126372594544602</v>
      </c>
      <c r="K24" s="3">
        <v>3.9470842568041502</v>
      </c>
      <c r="L24" s="3">
        <v>3.3965234226928902</v>
      </c>
      <c r="M24" s="3">
        <v>4.5647123253882302</v>
      </c>
      <c r="N24" s="3">
        <v>5.0700230947682901</v>
      </c>
    </row>
    <row r="25" spans="1:14" x14ac:dyDescent="0.35">
      <c r="A25" s="2">
        <v>42580</v>
      </c>
      <c r="B25" s="3">
        <v>4.1234447278457296</v>
      </c>
      <c r="C25" s="3">
        <v>4.4165776472972</v>
      </c>
      <c r="D25" s="3">
        <v>2.9722170897692499</v>
      </c>
      <c r="E25" s="3">
        <v>3.2655776493511102</v>
      </c>
      <c r="F25" s="3">
        <v>2.3805581355663201</v>
      </c>
      <c r="G25" s="3">
        <v>3.4861515138469201</v>
      </c>
      <c r="H25" s="3">
        <v>4.1193340683579498</v>
      </c>
      <c r="I25" s="3">
        <v>1.2899745804682301</v>
      </c>
      <c r="J25" s="3">
        <v>2.2123710112792101</v>
      </c>
      <c r="K25" s="3">
        <v>3.7264604024765902</v>
      </c>
      <c r="L25" s="3">
        <v>3.1980464598819198</v>
      </c>
      <c r="M25" s="3">
        <v>4.3072382295529703</v>
      </c>
      <c r="N25" s="3">
        <v>4.7596557895217</v>
      </c>
    </row>
    <row r="26" spans="1:14" x14ac:dyDescent="0.35">
      <c r="A26" s="2">
        <v>42611</v>
      </c>
      <c r="B26" s="3">
        <v>4.2275839264686201</v>
      </c>
      <c r="C26" s="3">
        <v>4.5010591757342704</v>
      </c>
      <c r="D26" s="3">
        <v>2.9504054302299001</v>
      </c>
      <c r="E26" s="3">
        <v>3.1967586416534299</v>
      </c>
      <c r="F26" s="3">
        <v>2.3945962308979598</v>
      </c>
      <c r="G26" s="3">
        <v>3.4718267575828401</v>
      </c>
      <c r="H26" s="3">
        <v>4.0974554604317399</v>
      </c>
      <c r="I26" s="3">
        <v>1.28314312852511</v>
      </c>
      <c r="J26" s="3">
        <v>2.2111144179650699</v>
      </c>
      <c r="K26" s="3">
        <v>3.7498028777041799</v>
      </c>
      <c r="L26" s="3">
        <v>3.1356538133612601</v>
      </c>
      <c r="M26" s="3">
        <v>4.2431784845174603</v>
      </c>
      <c r="N26" s="3">
        <v>4.7844665322187998</v>
      </c>
    </row>
    <row r="27" spans="1:14" x14ac:dyDescent="0.35">
      <c r="A27" s="2">
        <v>42642</v>
      </c>
      <c r="B27" s="3">
        <v>4.3327476291766898</v>
      </c>
      <c r="C27" s="3">
        <v>4.5130784055708499</v>
      </c>
      <c r="D27" s="3">
        <v>2.9289584333991301</v>
      </c>
      <c r="E27" s="3">
        <v>3.21951048426387</v>
      </c>
      <c r="F27" s="3">
        <v>2.3716945437769801</v>
      </c>
      <c r="G27" s="3">
        <v>3.4847694784710299</v>
      </c>
      <c r="H27" s="3">
        <v>4.1472169188541601</v>
      </c>
      <c r="I27" s="3">
        <v>1.2694768614810501</v>
      </c>
      <c r="J27" s="3">
        <v>2.2379753889324401</v>
      </c>
      <c r="K27" s="3">
        <v>3.7304619830448802</v>
      </c>
      <c r="L27" s="3">
        <v>3.1427391076848701</v>
      </c>
      <c r="M27" s="3">
        <v>4.1959585404262203</v>
      </c>
      <c r="N27" s="3">
        <v>4.9874385200987597</v>
      </c>
    </row>
    <row r="28" spans="1:14" x14ac:dyDescent="0.35">
      <c r="A28" s="2">
        <v>42671</v>
      </c>
      <c r="B28" s="3">
        <v>4.5768862845268297</v>
      </c>
      <c r="C28" s="3">
        <v>4.6867506255910998</v>
      </c>
      <c r="D28" s="3">
        <v>2.92769418489753</v>
      </c>
      <c r="E28" s="3">
        <v>3.14147322244269</v>
      </c>
      <c r="F28" s="3">
        <v>2.3060109133491999</v>
      </c>
      <c r="G28" s="3">
        <v>3.61367273131737</v>
      </c>
      <c r="H28" s="3">
        <v>4.3188820594707398</v>
      </c>
      <c r="I28" s="3">
        <v>1.28668803878597</v>
      </c>
      <c r="J28" s="3">
        <v>2.2752518190979498</v>
      </c>
      <c r="K28" s="3">
        <v>3.70661878784429</v>
      </c>
      <c r="L28" s="3">
        <v>3.1128471023207198</v>
      </c>
      <c r="M28" s="3">
        <v>4.0881960053030397</v>
      </c>
      <c r="N28" s="3">
        <v>4.7218441826794697</v>
      </c>
    </row>
    <row r="29" spans="1:14" x14ac:dyDescent="0.35">
      <c r="A29" s="2">
        <v>42703</v>
      </c>
      <c r="B29" s="3">
        <v>4.5979610467227996</v>
      </c>
      <c r="C29" s="3">
        <v>4.5571064560587997</v>
      </c>
      <c r="D29" s="3">
        <v>2.8861747668459201</v>
      </c>
      <c r="E29" s="3">
        <v>3.1920952818789199</v>
      </c>
      <c r="F29" s="3">
        <v>2.1885683110495999</v>
      </c>
      <c r="G29" s="3">
        <v>3.6706575154392098</v>
      </c>
      <c r="H29" s="3">
        <v>4.4291348781790703</v>
      </c>
      <c r="I29" s="3">
        <v>1.2792024985464301</v>
      </c>
      <c r="J29" s="3">
        <v>2.2090261404482598</v>
      </c>
      <c r="K29" s="3">
        <v>3.688641076478</v>
      </c>
      <c r="L29" s="3">
        <v>3.1296877179984199</v>
      </c>
      <c r="M29" s="3">
        <v>4.0744508547459297</v>
      </c>
      <c r="N29" s="3">
        <v>4.8693401180798404</v>
      </c>
    </row>
    <row r="30" spans="1:14" x14ac:dyDescent="0.35">
      <c r="A30" s="2">
        <v>42733</v>
      </c>
      <c r="B30" s="3">
        <v>4.61831649644341</v>
      </c>
      <c r="C30" s="3">
        <v>4.5000100600293402</v>
      </c>
      <c r="D30" s="3">
        <v>2.8222819995481698</v>
      </c>
      <c r="E30" s="3">
        <v>2.9800936879511699</v>
      </c>
      <c r="F30" s="3">
        <v>2.12449635040399</v>
      </c>
      <c r="G30" s="3">
        <v>3.5515299160488998</v>
      </c>
      <c r="H30" s="3">
        <v>4.3053816975983104</v>
      </c>
      <c r="I30" s="3">
        <v>1.2871540182405501</v>
      </c>
      <c r="J30" s="3">
        <v>2.1781389455772899</v>
      </c>
      <c r="K30" s="3">
        <v>3.4866339764976302</v>
      </c>
      <c r="L30" s="3">
        <v>2.9674655161576702</v>
      </c>
      <c r="M30" s="3">
        <v>3.9004055808112601</v>
      </c>
      <c r="N30" s="3">
        <v>4.3018966967350902</v>
      </c>
    </row>
    <row r="31" spans="1:14" x14ac:dyDescent="0.35">
      <c r="A31" s="2">
        <v>42762</v>
      </c>
      <c r="B31" s="3">
        <v>4.4793961611348703</v>
      </c>
      <c r="C31" s="3">
        <v>4.5141225654100996</v>
      </c>
      <c r="D31" s="3">
        <v>2.8025202052335301</v>
      </c>
      <c r="E31" s="3">
        <v>2.9053995318107799</v>
      </c>
      <c r="F31" s="3">
        <v>2.1009157386001198</v>
      </c>
      <c r="G31" s="3">
        <v>3.46166022077229</v>
      </c>
      <c r="H31" s="3">
        <v>4.2772885398994704</v>
      </c>
      <c r="I31" s="3">
        <v>1.2325720995023699</v>
      </c>
      <c r="J31" s="3">
        <v>2.1508347199740498</v>
      </c>
      <c r="K31" s="3">
        <v>3.4752757828412801</v>
      </c>
      <c r="L31" s="3">
        <v>2.9548515012710199</v>
      </c>
      <c r="M31" s="3">
        <v>3.69026279021395</v>
      </c>
      <c r="N31" s="3">
        <v>4.35892248650116</v>
      </c>
    </row>
    <row r="32" spans="1:14" x14ac:dyDescent="0.35">
      <c r="A32" s="2">
        <v>42794</v>
      </c>
      <c r="B32" s="3">
        <v>4.6570843286458503</v>
      </c>
      <c r="C32" s="3">
        <v>4.5717486002536001</v>
      </c>
      <c r="D32" s="3">
        <v>2.88074790409572</v>
      </c>
      <c r="E32" s="3">
        <v>2.9545259643792501</v>
      </c>
      <c r="F32" s="3">
        <v>2.1610457871608602</v>
      </c>
      <c r="G32" s="3">
        <v>3.3772564752182999</v>
      </c>
      <c r="H32" s="3">
        <v>4.29897374225063</v>
      </c>
      <c r="I32" s="3">
        <v>1.2241570032387199</v>
      </c>
      <c r="J32" s="3">
        <v>2.10455079975663</v>
      </c>
      <c r="K32" s="3">
        <v>3.51220981378499</v>
      </c>
      <c r="L32" s="3">
        <v>2.8692784126197699</v>
      </c>
      <c r="M32" s="3">
        <v>3.6475444971784001</v>
      </c>
      <c r="N32" s="3">
        <v>4.3102905193014296</v>
      </c>
    </row>
    <row r="33" spans="1:14" x14ac:dyDescent="0.35">
      <c r="A33" s="2">
        <v>42823</v>
      </c>
      <c r="B33" s="3">
        <v>4.6202847591939404</v>
      </c>
      <c r="C33" s="3">
        <v>4.4997773608589799</v>
      </c>
      <c r="D33" s="3">
        <v>2.89385841892924</v>
      </c>
      <c r="E33" s="3">
        <v>2.9300170040666802</v>
      </c>
      <c r="F33" s="3">
        <v>2.1774848669237801</v>
      </c>
      <c r="G33" s="3">
        <v>3.4159388189971001</v>
      </c>
      <c r="H33" s="3">
        <v>4.3110241241739802</v>
      </c>
      <c r="I33" s="3">
        <v>1.2061883806206</v>
      </c>
      <c r="J33" s="3">
        <v>2.1147711724929099</v>
      </c>
      <c r="K33" s="3">
        <v>3.3841796787392999</v>
      </c>
      <c r="L33" s="3">
        <v>2.77803351812326</v>
      </c>
      <c r="M33" s="3">
        <v>3.6397760836112298</v>
      </c>
      <c r="N33" s="3">
        <v>3.9480329396084501</v>
      </c>
    </row>
    <row r="34" spans="1:14" x14ac:dyDescent="0.35">
      <c r="A34" s="2">
        <v>42853</v>
      </c>
      <c r="B34" s="3">
        <v>4.4583105410889097</v>
      </c>
      <c r="C34" s="3">
        <v>4.4846023936154502</v>
      </c>
      <c r="D34" s="3">
        <v>2.9357397887524201</v>
      </c>
      <c r="E34" s="3">
        <v>2.8942566420825999</v>
      </c>
      <c r="F34" s="3">
        <v>2.21407683036057</v>
      </c>
      <c r="G34" s="3">
        <v>3.3511614355480499</v>
      </c>
      <c r="H34" s="3">
        <v>4.3774034409782496</v>
      </c>
      <c r="I34" s="3">
        <v>1.18832593916955</v>
      </c>
      <c r="J34" s="3">
        <v>2.1087945955299801</v>
      </c>
      <c r="K34" s="3">
        <v>3.2620532686089598</v>
      </c>
      <c r="L34" s="3">
        <v>2.7373049631073099</v>
      </c>
      <c r="M34" s="3">
        <v>3.5413525378406199</v>
      </c>
      <c r="N34" s="3">
        <v>3.9193364196563198</v>
      </c>
    </row>
    <row r="35" spans="1:14" x14ac:dyDescent="0.35">
      <c r="A35" s="2">
        <v>42881</v>
      </c>
      <c r="B35" s="3">
        <v>4.4432215904413299</v>
      </c>
      <c r="C35" s="3">
        <v>4.6383672605413002</v>
      </c>
      <c r="D35" s="3">
        <v>2.9246009333677798</v>
      </c>
      <c r="E35" s="3">
        <v>2.9355644890377302</v>
      </c>
      <c r="F35" s="3">
        <v>2.19172837721417</v>
      </c>
      <c r="G35" s="3">
        <v>3.2881782297773201</v>
      </c>
      <c r="H35" s="3">
        <v>4.22907210147073</v>
      </c>
      <c r="I35" s="3">
        <v>1.15696651354697</v>
      </c>
      <c r="J35" s="3">
        <v>2.0939789692741</v>
      </c>
      <c r="K35" s="3">
        <v>3.2319818074374602</v>
      </c>
      <c r="L35" s="3">
        <v>2.7259085439847701</v>
      </c>
      <c r="M35" s="3">
        <v>3.3724479854966001</v>
      </c>
      <c r="N35" s="3">
        <v>3.8357499841452198</v>
      </c>
    </row>
    <row r="36" spans="1:14" x14ac:dyDescent="0.35">
      <c r="A36" s="2">
        <v>42915</v>
      </c>
      <c r="B36" s="3">
        <v>4.3340393589069199</v>
      </c>
      <c r="C36" s="3">
        <v>4.5498853442101002</v>
      </c>
      <c r="D36" s="3">
        <v>3.03983135200613</v>
      </c>
      <c r="E36" s="3">
        <v>3.0152626920235899</v>
      </c>
      <c r="F36" s="3">
        <v>2.1531819739232598</v>
      </c>
      <c r="G36" s="3">
        <v>3.2772496243294298</v>
      </c>
      <c r="H36" s="3">
        <v>4.3300058421445797</v>
      </c>
      <c r="I36" s="3">
        <v>1.19841137490781</v>
      </c>
      <c r="J36" s="3">
        <v>2.10621630619407</v>
      </c>
      <c r="K36" s="3">
        <v>3.36778203017407</v>
      </c>
      <c r="L36" s="3">
        <v>2.8146133375560298</v>
      </c>
      <c r="M36" s="3">
        <v>3.5896206833714501</v>
      </c>
      <c r="N36" s="3">
        <v>3.8593366929369801</v>
      </c>
    </row>
    <row r="37" spans="1:14" x14ac:dyDescent="0.35">
      <c r="A37" s="2">
        <v>42944</v>
      </c>
      <c r="B37" s="3">
        <v>4.4336339769215298</v>
      </c>
      <c r="C37" s="3">
        <v>4.6036688376564703</v>
      </c>
      <c r="D37" s="3">
        <v>3.04942668385022</v>
      </c>
      <c r="E37" s="3">
        <v>3.0797766189812599</v>
      </c>
      <c r="F37" s="3">
        <v>2.1717059367161999</v>
      </c>
      <c r="G37" s="3">
        <v>3.2914671123654702</v>
      </c>
      <c r="H37" s="3">
        <v>4.2904918394338099</v>
      </c>
      <c r="I37" s="3">
        <v>1.16856157352267</v>
      </c>
      <c r="J37" s="3">
        <v>2.0833066114421999</v>
      </c>
      <c r="K37" s="3">
        <v>3.3835391734678999</v>
      </c>
      <c r="L37" s="3">
        <v>2.7660671998856299</v>
      </c>
      <c r="M37" s="3">
        <v>3.7140747519073001</v>
      </c>
      <c r="N37" s="3">
        <v>3.77611740327441</v>
      </c>
    </row>
    <row r="38" spans="1:14" x14ac:dyDescent="0.35">
      <c r="A38" s="2">
        <v>42976</v>
      </c>
      <c r="B38" s="3">
        <v>4.3561481116967604</v>
      </c>
      <c r="C38" s="3">
        <v>4.61549880957004</v>
      </c>
      <c r="D38" s="3">
        <v>3.0818725900742598</v>
      </c>
      <c r="E38" s="3">
        <v>3.1832291949860299</v>
      </c>
      <c r="F38" s="3">
        <v>2.2332030991254102</v>
      </c>
      <c r="G38" s="3">
        <v>3.3510283501599898</v>
      </c>
      <c r="H38" s="3">
        <v>4.3750165510985601</v>
      </c>
      <c r="I38" s="3">
        <v>1.18450718030868</v>
      </c>
      <c r="J38" s="3">
        <v>2.1175802286772898</v>
      </c>
      <c r="K38" s="3">
        <v>3.46161170784297</v>
      </c>
      <c r="L38" s="3">
        <v>2.87758873896097</v>
      </c>
      <c r="M38" s="3">
        <v>3.84073561425277</v>
      </c>
      <c r="N38" s="3">
        <v>3.8309984229431402</v>
      </c>
    </row>
    <row r="39" spans="1:14" x14ac:dyDescent="0.35">
      <c r="A39" s="2">
        <v>43007</v>
      </c>
      <c r="B39" s="3">
        <v>4.41229401725204</v>
      </c>
      <c r="C39" s="3">
        <v>4.6183537265397803</v>
      </c>
      <c r="D39" s="3">
        <v>2.98033222192467</v>
      </c>
      <c r="E39" s="3">
        <v>2.9903837523008501</v>
      </c>
      <c r="F39" s="3">
        <v>2.15654878610097</v>
      </c>
      <c r="G39" s="3">
        <v>3.26883982541692</v>
      </c>
      <c r="H39" s="3">
        <v>4.2954948853678099</v>
      </c>
      <c r="I39" s="3">
        <v>1.1627979713816099</v>
      </c>
      <c r="J39" s="3">
        <v>2.06074268842083</v>
      </c>
      <c r="K39" s="3">
        <v>3.2946530053581</v>
      </c>
      <c r="L39" s="3">
        <v>2.7883744483930801</v>
      </c>
      <c r="M39" s="3">
        <v>3.5548727791319799</v>
      </c>
      <c r="N39" s="3">
        <v>3.6756394311624199</v>
      </c>
    </row>
    <row r="40" spans="1:14" x14ac:dyDescent="0.35">
      <c r="A40" s="2">
        <v>43035</v>
      </c>
      <c r="B40" s="3">
        <v>4.3662958480459704</v>
      </c>
      <c r="C40" s="3">
        <v>4.5051458263675501</v>
      </c>
      <c r="D40" s="3">
        <v>2.9254974688941799</v>
      </c>
      <c r="E40" s="3">
        <v>2.9048563417356199</v>
      </c>
      <c r="F40" s="3">
        <v>2.0553196888809699</v>
      </c>
      <c r="G40" s="3">
        <v>3.2664453595398202</v>
      </c>
      <c r="H40" s="3">
        <v>4.3069266309711098</v>
      </c>
      <c r="I40" s="3">
        <v>1.1226420873206</v>
      </c>
      <c r="J40" s="3">
        <v>2.0237369968513801</v>
      </c>
      <c r="K40" s="3">
        <v>3.24307618743418</v>
      </c>
      <c r="L40" s="3">
        <v>2.7456784637201999</v>
      </c>
      <c r="M40" s="3">
        <v>3.5177609916028598</v>
      </c>
      <c r="N40" s="3">
        <v>3.8040724565784498</v>
      </c>
    </row>
    <row r="41" spans="1:14" x14ac:dyDescent="0.35">
      <c r="A41" s="2">
        <v>43068</v>
      </c>
      <c r="B41" s="3">
        <v>4.3698284876588902</v>
      </c>
      <c r="C41" s="3">
        <v>4.4551481055971696</v>
      </c>
      <c r="D41" s="3">
        <v>2.9393969559172599</v>
      </c>
      <c r="E41" s="3">
        <v>2.9348950838008001</v>
      </c>
      <c r="F41" s="3">
        <v>2.08435027077737</v>
      </c>
      <c r="G41" s="3">
        <v>3.2385125377242101</v>
      </c>
      <c r="H41" s="3">
        <v>4.3576911211168197</v>
      </c>
      <c r="I41" s="3">
        <v>1.1137658215703401</v>
      </c>
      <c r="J41" s="3">
        <v>1.9874318091174901</v>
      </c>
      <c r="K41" s="3">
        <v>3.2957473766201102</v>
      </c>
      <c r="L41" s="3">
        <v>2.8326789463529698</v>
      </c>
      <c r="M41" s="3">
        <v>3.66259613943078</v>
      </c>
      <c r="N41" s="3">
        <v>3.8879062243654401</v>
      </c>
    </row>
    <row r="42" spans="1:14" x14ac:dyDescent="0.35">
      <c r="A42" s="2">
        <v>43098</v>
      </c>
      <c r="B42" s="3">
        <v>4.2012875847133504</v>
      </c>
      <c r="C42" s="3">
        <v>4.4475505847228503</v>
      </c>
      <c r="D42" s="3">
        <v>2.9076808922441102</v>
      </c>
      <c r="E42" s="3">
        <v>2.9537049579508801</v>
      </c>
      <c r="F42" s="3">
        <v>2.0587963278246701</v>
      </c>
      <c r="G42" s="3">
        <v>3.2193072494408801</v>
      </c>
      <c r="H42" s="3">
        <v>4.19117596008474</v>
      </c>
      <c r="I42" s="3">
        <v>1.1010354995756799</v>
      </c>
      <c r="J42" s="3">
        <v>1.9630925267995001</v>
      </c>
      <c r="K42" s="3">
        <v>3.32111484492617</v>
      </c>
      <c r="L42" s="3">
        <v>2.8575348401300902</v>
      </c>
      <c r="M42" s="3">
        <v>3.7743353320748398</v>
      </c>
      <c r="N42" s="3">
        <v>3.9892337312195401</v>
      </c>
    </row>
    <row r="43" spans="1:14" x14ac:dyDescent="0.35">
      <c r="A43" s="2">
        <v>43129</v>
      </c>
      <c r="B43" s="3">
        <v>4.2429875819929004</v>
      </c>
      <c r="C43" s="3">
        <v>4.48703348467658</v>
      </c>
      <c r="D43" s="3">
        <v>2.9439090367861702</v>
      </c>
      <c r="E43" s="3">
        <v>2.9058642894724098</v>
      </c>
      <c r="F43" s="3">
        <v>2.0056291606921302</v>
      </c>
      <c r="G43" s="3">
        <v>3.1661976588690401</v>
      </c>
      <c r="H43" s="3">
        <v>4.1775209267848803</v>
      </c>
      <c r="I43" s="3">
        <v>1.02366563610451</v>
      </c>
      <c r="J43" s="3">
        <v>1.8636623092601601</v>
      </c>
      <c r="K43" s="3">
        <v>3.2123484981649102</v>
      </c>
      <c r="L43" s="3">
        <v>2.78626382481752</v>
      </c>
      <c r="M43" s="3">
        <v>3.7173946470513499</v>
      </c>
      <c r="N43" s="3">
        <v>3.7325502983407199</v>
      </c>
    </row>
    <row r="44" spans="1:14" x14ac:dyDescent="0.35">
      <c r="A44" s="2">
        <v>43159</v>
      </c>
      <c r="B44" s="3">
        <v>4.1740757223065197</v>
      </c>
      <c r="C44" s="3">
        <v>4.5913673090686302</v>
      </c>
      <c r="D44" s="3">
        <v>3.1327254725301499</v>
      </c>
      <c r="E44" s="3">
        <v>3.1277804534750402</v>
      </c>
      <c r="F44" s="3">
        <v>2.19077462782696</v>
      </c>
      <c r="G44" s="3">
        <v>3.4040176929285102</v>
      </c>
      <c r="H44" s="3">
        <v>4.6209020556063596</v>
      </c>
      <c r="I44" s="3">
        <v>1.0647944279632799</v>
      </c>
      <c r="J44" s="3">
        <v>1.98433360458719</v>
      </c>
      <c r="K44" s="3">
        <v>3.3643249511687401</v>
      </c>
      <c r="L44" s="3">
        <v>2.93299424388678</v>
      </c>
      <c r="M44" s="3">
        <v>3.83889594769335</v>
      </c>
      <c r="N44" s="3">
        <v>3.9721774657956699</v>
      </c>
    </row>
    <row r="45" spans="1:14" x14ac:dyDescent="0.35">
      <c r="A45" s="2">
        <v>43188</v>
      </c>
      <c r="B45" s="3">
        <v>4.3162273701020997</v>
      </c>
      <c r="C45" s="3">
        <v>4.8535340522634502</v>
      </c>
      <c r="D45" s="3">
        <v>3.18679481647357</v>
      </c>
      <c r="E45" s="3">
        <v>3.2471765044013199</v>
      </c>
      <c r="F45" s="3">
        <v>2.2877157808157902</v>
      </c>
      <c r="G45" s="3">
        <v>3.4985468183463899</v>
      </c>
      <c r="H45" s="3">
        <v>4.5645342727218097</v>
      </c>
      <c r="I45" s="3">
        <v>1.1216901024719499</v>
      </c>
      <c r="J45" s="3">
        <v>2.0571534030706502</v>
      </c>
      <c r="K45" s="3">
        <v>3.4649735497601002</v>
      </c>
      <c r="L45" s="3">
        <v>2.9861100704902599</v>
      </c>
      <c r="M45" s="3">
        <v>4.0373364353752201</v>
      </c>
      <c r="N45" s="3">
        <v>4.1065813019984896</v>
      </c>
    </row>
    <row r="46" spans="1:14" x14ac:dyDescent="0.35">
      <c r="A46" s="2">
        <v>43217</v>
      </c>
      <c r="B46" s="3">
        <v>4.3112202706886196</v>
      </c>
      <c r="C46" s="3">
        <v>4.7398671024550696</v>
      </c>
      <c r="D46" s="3">
        <v>3.1393849930569</v>
      </c>
      <c r="E46" s="3">
        <v>3.1638252241692801</v>
      </c>
      <c r="F46" s="3">
        <v>2.2067518767558201</v>
      </c>
      <c r="G46" s="3">
        <v>3.4718009551598099</v>
      </c>
      <c r="H46" s="3">
        <v>4.3455082697663103</v>
      </c>
      <c r="I46" s="3">
        <v>1.11922655516481</v>
      </c>
      <c r="J46" s="3">
        <v>2.0558728844196898</v>
      </c>
      <c r="K46" s="3">
        <v>3.3163207590803401</v>
      </c>
      <c r="L46" s="3">
        <v>2.93298881130635</v>
      </c>
      <c r="M46" s="3">
        <v>4.0028194333767901</v>
      </c>
      <c r="N46" s="3">
        <v>3.8997361198477298</v>
      </c>
    </row>
    <row r="47" spans="1:14" x14ac:dyDescent="0.35">
      <c r="A47" s="2">
        <v>43249</v>
      </c>
      <c r="B47" s="3">
        <v>4.2200425183624297</v>
      </c>
      <c r="C47" s="3">
        <v>4.6927702211359099</v>
      </c>
      <c r="D47" s="3">
        <v>3.11266586494903</v>
      </c>
      <c r="E47" s="3">
        <v>3.1973535679221201</v>
      </c>
      <c r="F47" s="3">
        <v>2.2600650447700099</v>
      </c>
      <c r="G47" s="3">
        <v>3.5440530456080999</v>
      </c>
      <c r="H47" s="3">
        <v>4.3668454043483704</v>
      </c>
      <c r="I47" s="3">
        <v>1.0897628638788199</v>
      </c>
      <c r="J47" s="3">
        <v>2.0579302547394498</v>
      </c>
      <c r="K47" s="3">
        <v>3.3758983287550102</v>
      </c>
      <c r="L47" s="3">
        <v>2.9219141927159402</v>
      </c>
      <c r="M47" s="3">
        <v>4.0792098041693103</v>
      </c>
      <c r="N47" s="3">
        <v>4.4739153095238002</v>
      </c>
    </row>
    <row r="48" spans="1:14" x14ac:dyDescent="0.35">
      <c r="A48" s="2">
        <v>43280</v>
      </c>
      <c r="B48" s="3">
        <v>4.0543394762179901</v>
      </c>
      <c r="C48" s="3">
        <v>4.59945664941218</v>
      </c>
      <c r="D48" s="3">
        <v>3.0673178168303399</v>
      </c>
      <c r="E48" s="3">
        <v>3.2748015672860502</v>
      </c>
      <c r="F48" s="3">
        <v>2.3030687197189601</v>
      </c>
      <c r="G48" s="3">
        <v>3.5660646339401998</v>
      </c>
      <c r="H48" s="3">
        <v>4.4032853921743698</v>
      </c>
      <c r="I48" s="3">
        <v>1.07614608708486</v>
      </c>
      <c r="J48" s="3">
        <v>2.0517248625448099</v>
      </c>
      <c r="K48" s="3">
        <v>3.4615021412047802</v>
      </c>
      <c r="L48" s="3">
        <v>2.9501358703740301</v>
      </c>
      <c r="M48" s="3">
        <v>4.1322454075147403</v>
      </c>
      <c r="N48" s="3">
        <v>4.4960884586690097</v>
      </c>
    </row>
    <row r="49" spans="1:14" x14ac:dyDescent="0.35">
      <c r="A49" s="2">
        <v>43308</v>
      </c>
      <c r="B49" s="3">
        <v>4.0591369702541504</v>
      </c>
      <c r="C49" s="3">
        <v>4.5473807027983701</v>
      </c>
      <c r="D49" s="3">
        <v>3.07079172608658</v>
      </c>
      <c r="E49" s="3">
        <v>3.1388737739988799</v>
      </c>
      <c r="F49" s="3">
        <v>2.25156992187565</v>
      </c>
      <c r="G49" s="3">
        <v>3.3614143810583399</v>
      </c>
      <c r="H49" s="3">
        <v>4.3874015017216896</v>
      </c>
      <c r="I49" s="3">
        <v>1.09273382555311</v>
      </c>
      <c r="J49" s="3">
        <v>2.0001956530687699</v>
      </c>
      <c r="K49" s="3">
        <v>3.3698291501203301</v>
      </c>
      <c r="L49" s="3">
        <v>2.8459491717604899</v>
      </c>
      <c r="M49" s="3">
        <v>4.0923174210180697</v>
      </c>
      <c r="N49" s="3">
        <v>4.3825683159902002</v>
      </c>
    </row>
    <row r="50" spans="1:14" x14ac:dyDescent="0.35">
      <c r="A50" s="2">
        <v>43341</v>
      </c>
      <c r="B50" s="3">
        <v>3.86798578139725</v>
      </c>
      <c r="C50" s="3">
        <v>4.5850466340103804</v>
      </c>
      <c r="D50" s="3">
        <v>3.0944439281189702</v>
      </c>
      <c r="E50" s="3">
        <v>3.2049851364219601</v>
      </c>
      <c r="F50" s="3">
        <v>2.3061907818148102</v>
      </c>
      <c r="G50" s="3">
        <v>3.39083745103237</v>
      </c>
      <c r="H50" s="3">
        <v>4.4993202542265296</v>
      </c>
      <c r="I50" s="3">
        <v>1.0472926154343301</v>
      </c>
      <c r="J50" s="3">
        <v>1.9470069216083901</v>
      </c>
      <c r="K50" s="3">
        <v>3.39356509019616</v>
      </c>
      <c r="L50" s="3">
        <v>2.8818347038641501</v>
      </c>
      <c r="M50" s="3">
        <v>3.9847554509180299</v>
      </c>
      <c r="N50" s="3">
        <v>4.6468821163243001</v>
      </c>
    </row>
    <row r="51" spans="1:14" x14ac:dyDescent="0.35">
      <c r="A51" s="2">
        <v>43371</v>
      </c>
      <c r="B51" s="3">
        <v>3.9790071615836902</v>
      </c>
      <c r="C51" s="3">
        <v>4.7403585566426498</v>
      </c>
      <c r="D51" s="3">
        <v>3.1739828708695099</v>
      </c>
      <c r="E51" s="3">
        <v>3.3237076338273401</v>
      </c>
      <c r="F51" s="3">
        <v>2.2179232548042198</v>
      </c>
      <c r="G51" s="3">
        <v>3.4054765669637499</v>
      </c>
      <c r="H51" s="3">
        <v>4.5154571448665797</v>
      </c>
      <c r="I51" s="3">
        <v>1.0602033805061699</v>
      </c>
      <c r="J51" s="3">
        <v>1.9559818886590601</v>
      </c>
      <c r="K51" s="3">
        <v>3.4305747130456101</v>
      </c>
      <c r="L51" s="3">
        <v>3.0145756462442299</v>
      </c>
      <c r="M51" s="3">
        <v>4.02562062467823</v>
      </c>
      <c r="N51" s="3">
        <v>4.7003702892116204</v>
      </c>
    </row>
    <row r="52" spans="1:14" x14ac:dyDescent="0.35">
      <c r="A52" s="2">
        <v>43402</v>
      </c>
      <c r="B52" s="3">
        <v>4.36201009887598</v>
      </c>
      <c r="C52" s="3">
        <v>5.1515210349267901</v>
      </c>
      <c r="D52" s="3">
        <v>3.48662717353365</v>
      </c>
      <c r="E52" s="3">
        <v>3.66294288862884</v>
      </c>
      <c r="F52" s="3">
        <v>2.54032337567241</v>
      </c>
      <c r="G52" s="3">
        <v>3.5942316003658701</v>
      </c>
      <c r="H52" s="3">
        <v>4.9039285791912501</v>
      </c>
      <c r="I52" s="3">
        <v>1.22662796087663</v>
      </c>
      <c r="J52" s="3">
        <v>2.18035993261037</v>
      </c>
      <c r="K52" s="3">
        <v>3.7852222371808901</v>
      </c>
      <c r="L52" s="3">
        <v>3.27003045558908</v>
      </c>
      <c r="M52" s="3">
        <v>4.4667679660842001</v>
      </c>
      <c r="N52" s="3">
        <v>5.07084586437648</v>
      </c>
    </row>
    <row r="53" spans="1:14" x14ac:dyDescent="0.35">
      <c r="A53" s="2">
        <v>43433</v>
      </c>
      <c r="B53" s="3">
        <v>4.2563002612015097</v>
      </c>
      <c r="C53" s="3">
        <v>5.22325069364482</v>
      </c>
      <c r="D53" s="3">
        <v>3.3892699055553801</v>
      </c>
      <c r="E53" s="3">
        <v>3.6623003938157401</v>
      </c>
      <c r="F53" s="3">
        <v>2.4734819679890498</v>
      </c>
      <c r="G53" s="3">
        <v>3.5168750184518802</v>
      </c>
      <c r="H53" s="3">
        <v>4.9379289136912501</v>
      </c>
      <c r="I53" s="3">
        <v>1.20067727759451</v>
      </c>
      <c r="J53" s="3">
        <v>2.1037581646592201</v>
      </c>
      <c r="K53" s="3">
        <v>3.7888878218262501</v>
      </c>
      <c r="L53" s="3">
        <v>3.2206266385107898</v>
      </c>
      <c r="M53" s="3">
        <v>4.4610414801900102</v>
      </c>
      <c r="N53" s="3">
        <v>5.1149557653312598</v>
      </c>
    </row>
    <row r="54" spans="1:14" x14ac:dyDescent="0.35">
      <c r="A54" s="2">
        <v>43462</v>
      </c>
      <c r="B54" s="3">
        <v>4.1845847617896199</v>
      </c>
      <c r="C54" s="3">
        <v>5.3460661479059404</v>
      </c>
      <c r="D54" s="3">
        <v>3.6296020217454101</v>
      </c>
      <c r="E54" s="3">
        <v>3.9686295742884798</v>
      </c>
      <c r="F54" s="3">
        <v>2.7503635959682899</v>
      </c>
      <c r="G54" s="3">
        <v>3.7001769328768299</v>
      </c>
      <c r="H54" s="3">
        <v>5.33864081854259</v>
      </c>
      <c r="I54" s="3">
        <v>1.3289676621306299</v>
      </c>
      <c r="J54" s="3">
        <v>2.3378432755933201</v>
      </c>
      <c r="K54" s="3">
        <v>4.04822311899557</v>
      </c>
      <c r="L54" s="3">
        <v>3.4931441641044598</v>
      </c>
      <c r="M54" s="3">
        <v>4.7485723970453302</v>
      </c>
      <c r="N54" s="3">
        <v>5.4543874162368002</v>
      </c>
    </row>
    <row r="55" spans="1:14" x14ac:dyDescent="0.35">
      <c r="A55" s="2">
        <v>43494</v>
      </c>
      <c r="B55" s="3">
        <v>4.0876894064957998</v>
      </c>
      <c r="C55" s="3">
        <v>5.11040573705895</v>
      </c>
      <c r="D55" s="3">
        <v>3.34217551711028</v>
      </c>
      <c r="E55" s="3">
        <v>3.69673979217806</v>
      </c>
      <c r="F55" s="3">
        <v>2.6499748191366801</v>
      </c>
      <c r="G55" s="3">
        <v>3.4845526350475602</v>
      </c>
      <c r="H55" s="3">
        <v>5.1733394940361404</v>
      </c>
      <c r="I55" s="3">
        <v>1.2702829783932801</v>
      </c>
      <c r="J55" s="3">
        <v>2.2131003913825098</v>
      </c>
      <c r="K55" s="3">
        <v>3.8422309553080298</v>
      </c>
      <c r="L55" s="3">
        <v>3.2895955741224601</v>
      </c>
      <c r="M55" s="3">
        <v>4.3921117532119398</v>
      </c>
      <c r="N55" s="3">
        <v>5.0880560616989001</v>
      </c>
    </row>
    <row r="56" spans="1:14" x14ac:dyDescent="0.35">
      <c r="A56" s="2">
        <v>43524</v>
      </c>
      <c r="B56" s="3">
        <v>3.9616058386614301</v>
      </c>
      <c r="C56" s="3">
        <v>4.9227392654131101</v>
      </c>
      <c r="D56" s="3">
        <v>3.2770263014159302</v>
      </c>
      <c r="E56" s="3">
        <v>3.61231623795558</v>
      </c>
      <c r="F56" s="3">
        <v>2.5699106192148902</v>
      </c>
      <c r="G56" s="3">
        <v>3.33618169851596</v>
      </c>
      <c r="H56" s="3">
        <v>4.9737746688661399</v>
      </c>
      <c r="I56" s="3">
        <v>1.17801506593521</v>
      </c>
      <c r="J56" s="3">
        <v>2.1075996348026198</v>
      </c>
      <c r="K56" s="3">
        <v>3.6380608075462599</v>
      </c>
      <c r="L56" s="3">
        <v>3.12172646058908</v>
      </c>
      <c r="M56" s="3">
        <v>4.1638293328810798</v>
      </c>
      <c r="N56" s="3">
        <v>4.8199035571211697</v>
      </c>
    </row>
    <row r="57" spans="1:14" x14ac:dyDescent="0.35">
      <c r="A57" s="2">
        <v>43553</v>
      </c>
      <c r="B57" s="3">
        <v>3.76110018677953</v>
      </c>
      <c r="C57" s="3">
        <v>4.9524511154442301</v>
      </c>
      <c r="D57" s="3">
        <v>3.2818332523632701</v>
      </c>
      <c r="E57" s="3">
        <v>3.6185932536930401</v>
      </c>
      <c r="F57" s="3">
        <v>2.6003270897329598</v>
      </c>
      <c r="G57" s="3">
        <v>3.32452480499752</v>
      </c>
      <c r="H57" s="3">
        <v>4.9154337532770098</v>
      </c>
      <c r="I57" s="3">
        <v>1.1388545482172601</v>
      </c>
      <c r="J57" s="3">
        <v>2.0859444879951599</v>
      </c>
      <c r="K57" s="3">
        <v>3.6071405135291799</v>
      </c>
      <c r="L57" s="3">
        <v>3.0568017213714702</v>
      </c>
      <c r="M57" s="3">
        <v>4.2141848954455901</v>
      </c>
      <c r="N57" s="3">
        <v>4.6725905264848704</v>
      </c>
    </row>
    <row r="58" spans="1:14" x14ac:dyDescent="0.35">
      <c r="A58" s="2">
        <v>43584</v>
      </c>
      <c r="B58" s="3">
        <v>3.6832647917961201</v>
      </c>
      <c r="C58" s="3">
        <v>4.8435231862091301</v>
      </c>
      <c r="D58" s="3">
        <v>3.1795172463535599</v>
      </c>
      <c r="E58" s="3">
        <v>3.3924738345004002</v>
      </c>
      <c r="F58" s="3">
        <v>2.5660815172665701</v>
      </c>
      <c r="G58" s="3">
        <v>3.2536413992834499</v>
      </c>
      <c r="H58" s="3">
        <v>4.8478698559101803</v>
      </c>
      <c r="I58" s="3">
        <v>1.08542500323408</v>
      </c>
      <c r="J58" s="3">
        <v>2.0269543581805198</v>
      </c>
      <c r="K58" s="3">
        <v>3.4706395735595899</v>
      </c>
      <c r="L58" s="3">
        <v>2.9687235419221398</v>
      </c>
      <c r="M58" s="3">
        <v>3.9598256532859502</v>
      </c>
      <c r="N58" s="3">
        <v>4.6343645365208701</v>
      </c>
    </row>
    <row r="59" spans="1:14" x14ac:dyDescent="0.35">
      <c r="A59" s="2">
        <v>43614</v>
      </c>
      <c r="B59" s="3">
        <v>3.73400856190404</v>
      </c>
      <c r="C59" s="3">
        <v>4.8031027012350096</v>
      </c>
      <c r="D59" s="3">
        <v>3.3558003421475999</v>
      </c>
      <c r="E59" s="3">
        <v>3.6197005954117598</v>
      </c>
      <c r="F59" s="3">
        <v>2.7080280235515399</v>
      </c>
      <c r="G59" s="3">
        <v>3.3439435244025701</v>
      </c>
      <c r="H59" s="3">
        <v>4.9293527655773799</v>
      </c>
      <c r="I59" s="3">
        <v>1.1849364376462801</v>
      </c>
      <c r="J59" s="3">
        <v>2.1534544907345698</v>
      </c>
      <c r="K59" s="3">
        <v>3.7199495581519</v>
      </c>
      <c r="L59" s="3">
        <v>3.1683690222935801</v>
      </c>
      <c r="M59" s="3">
        <v>4.3661633107410101</v>
      </c>
      <c r="N59" s="3">
        <v>5.1004736453149997</v>
      </c>
    </row>
    <row r="60" spans="1:14" x14ac:dyDescent="0.35">
      <c r="A60" s="2">
        <v>43644</v>
      </c>
      <c r="B60" s="3">
        <v>3.5627527194666202</v>
      </c>
      <c r="C60" s="3">
        <v>4.6113391783872801</v>
      </c>
      <c r="D60" s="3">
        <v>3.3189763170187798</v>
      </c>
      <c r="E60" s="3">
        <v>3.4877083234996298</v>
      </c>
      <c r="F60" s="3">
        <v>2.6833900308746199</v>
      </c>
      <c r="G60" s="3">
        <v>3.2094560194669501</v>
      </c>
      <c r="H60" s="3">
        <v>4.7817744198261698</v>
      </c>
      <c r="I60" s="3">
        <v>1.1141338536349601</v>
      </c>
      <c r="J60" s="3">
        <v>2.0481600886562101</v>
      </c>
      <c r="K60" s="3">
        <v>3.5258989511947099</v>
      </c>
      <c r="L60" s="3">
        <v>3.0076913272503298</v>
      </c>
      <c r="M60" s="3">
        <v>4.1579557455510496</v>
      </c>
      <c r="N60" s="3">
        <v>4.8405653192291798</v>
      </c>
    </row>
    <row r="61" spans="1:14" x14ac:dyDescent="0.35">
      <c r="A61" s="2">
        <v>43675</v>
      </c>
      <c r="B61" s="3">
        <v>3.4063577838770298</v>
      </c>
      <c r="C61" s="3">
        <v>4.5138672929991799</v>
      </c>
      <c r="D61" s="3">
        <v>3.3295932438653102</v>
      </c>
      <c r="E61" s="3">
        <v>3.4051370031964101</v>
      </c>
      <c r="F61" s="3">
        <v>2.66241951544119</v>
      </c>
      <c r="G61" s="3">
        <v>3.2115890050261999</v>
      </c>
      <c r="H61" s="3">
        <v>4.7417579752261902</v>
      </c>
      <c r="I61" s="3">
        <v>1.07599051545859</v>
      </c>
      <c r="J61" s="3">
        <v>2.0056893524246702</v>
      </c>
      <c r="K61" s="3">
        <v>3.5047856256122998</v>
      </c>
      <c r="L61" s="3">
        <v>2.8896604405482602</v>
      </c>
      <c r="M61" s="3">
        <v>4.0162309116754296</v>
      </c>
      <c r="N61" s="3">
        <v>4.7498207757066702</v>
      </c>
    </row>
    <row r="62" spans="1:14" x14ac:dyDescent="0.35">
      <c r="A62" s="2">
        <v>43706</v>
      </c>
      <c r="B62" s="3">
        <v>3.4330047886438502</v>
      </c>
      <c r="C62" s="3">
        <v>4.6717509805867197</v>
      </c>
      <c r="D62" s="3">
        <v>3.3921347942993201</v>
      </c>
      <c r="E62" s="3">
        <v>3.55231236928533</v>
      </c>
      <c r="F62" s="3">
        <v>2.78888071898196</v>
      </c>
      <c r="G62" s="3">
        <v>3.24884662076499</v>
      </c>
      <c r="H62" s="3">
        <v>5.0846097174173801</v>
      </c>
      <c r="I62" s="3">
        <v>1.1156908948566899</v>
      </c>
      <c r="J62" s="3">
        <v>2.0806323109801301</v>
      </c>
      <c r="K62" s="3">
        <v>3.6250754456911101</v>
      </c>
      <c r="L62" s="3">
        <v>2.9689649740651398</v>
      </c>
      <c r="M62" s="3">
        <v>4.2181008853134898</v>
      </c>
      <c r="N62" s="3">
        <v>4.8686967795552203</v>
      </c>
    </row>
    <row r="63" spans="1:14" x14ac:dyDescent="0.35">
      <c r="A63" s="2">
        <v>43735</v>
      </c>
      <c r="B63" s="3">
        <v>3.37937427518384</v>
      </c>
      <c r="C63" s="3">
        <v>4.4281010788262396</v>
      </c>
      <c r="D63" s="3">
        <v>3.3268529993569</v>
      </c>
      <c r="E63" s="3">
        <v>3.40266575427458</v>
      </c>
      <c r="F63" s="3">
        <v>2.597275251738</v>
      </c>
      <c r="G63" s="3">
        <v>3.2060075925750402</v>
      </c>
      <c r="H63" s="3">
        <v>4.8719175499253904</v>
      </c>
      <c r="I63" s="3">
        <v>1.1238138482533599</v>
      </c>
      <c r="J63" s="3">
        <v>2.0609167888278201</v>
      </c>
      <c r="K63" s="3">
        <v>3.5086238427751799</v>
      </c>
      <c r="L63" s="3">
        <v>2.7551650485113099</v>
      </c>
      <c r="M63" s="3">
        <v>3.9046309522073201</v>
      </c>
      <c r="N63" s="3">
        <v>4.7435282005886696</v>
      </c>
    </row>
    <row r="64" spans="1:14" x14ac:dyDescent="0.35">
      <c r="A64" s="2">
        <v>43767</v>
      </c>
      <c r="B64" s="3">
        <v>3.3780701311215702</v>
      </c>
      <c r="C64" s="3">
        <v>4.3513712426302504</v>
      </c>
      <c r="D64" s="3">
        <v>3.3705422622924202</v>
      </c>
      <c r="E64" s="3">
        <v>3.2694988079952498</v>
      </c>
      <c r="F64" s="3">
        <v>2.5183200908446701</v>
      </c>
      <c r="G64" s="3">
        <v>3.1557158310247799</v>
      </c>
      <c r="H64" s="3">
        <v>4.8245829741527499</v>
      </c>
      <c r="I64" s="3">
        <v>1.0884922261241901</v>
      </c>
      <c r="J64" s="3">
        <v>2.0268371037305499</v>
      </c>
      <c r="K64" s="3">
        <v>3.4472555331329802</v>
      </c>
      <c r="L64" s="3">
        <v>2.7400822291457398</v>
      </c>
      <c r="M64" s="3">
        <v>3.71992783281484</v>
      </c>
      <c r="N64" s="3">
        <v>4.6484754236178896</v>
      </c>
    </row>
    <row r="65" spans="1:14" x14ac:dyDescent="0.35">
      <c r="A65" s="2">
        <v>43798</v>
      </c>
      <c r="B65" s="3">
        <v>3.2207020614311102</v>
      </c>
      <c r="C65" s="3">
        <v>4.2750688240930304</v>
      </c>
      <c r="D65" s="3">
        <v>3.2468804623583098</v>
      </c>
      <c r="E65" s="3">
        <v>3.0971551440738501</v>
      </c>
      <c r="F65" s="3">
        <v>2.4670356506982798</v>
      </c>
      <c r="G65" s="3">
        <v>3.0975673393248302</v>
      </c>
      <c r="H65" s="3">
        <v>4.7456583270793802</v>
      </c>
      <c r="I65" s="3">
        <v>1.07169013367975</v>
      </c>
      <c r="J65" s="3">
        <v>1.9756997976927</v>
      </c>
      <c r="K65" s="3">
        <v>3.37893159187036</v>
      </c>
      <c r="L65" s="3">
        <v>2.65154040471967</v>
      </c>
      <c r="M65" s="3">
        <v>3.7143828724944798</v>
      </c>
      <c r="N65" s="3">
        <v>4.56961812429887</v>
      </c>
    </row>
    <row r="66" spans="1:14" x14ac:dyDescent="0.35">
      <c r="A66" s="2">
        <v>43826</v>
      </c>
      <c r="B66" s="3">
        <v>3.14079418403057</v>
      </c>
      <c r="C66" s="3">
        <v>4.2324518177503201</v>
      </c>
      <c r="D66" s="3">
        <v>3.2416019824480902</v>
      </c>
      <c r="E66" s="3">
        <v>3.0773504787497101</v>
      </c>
      <c r="F66" s="3">
        <v>2.4260793734539301</v>
      </c>
      <c r="G66" s="3">
        <v>3.0174494916088199</v>
      </c>
      <c r="H66" s="3">
        <v>4.5338972192759703</v>
      </c>
      <c r="I66" s="3">
        <v>1.0423262453376201</v>
      </c>
      <c r="J66" s="3">
        <v>1.9265942925325701</v>
      </c>
      <c r="K66" s="3">
        <v>3.32075569020494</v>
      </c>
      <c r="L66" s="3">
        <v>2.5738621901291401</v>
      </c>
      <c r="M66" s="3">
        <v>3.5683964293280499</v>
      </c>
      <c r="N66" s="3">
        <v>4.4469321696564403</v>
      </c>
    </row>
    <row r="67" spans="1:14" x14ac:dyDescent="0.35">
      <c r="A67" s="2">
        <v>43859</v>
      </c>
      <c r="B67" s="3">
        <v>3.1126577066821501</v>
      </c>
      <c r="C67" s="3">
        <v>4.15687080867073</v>
      </c>
      <c r="D67" s="3">
        <v>3.2386049109257899</v>
      </c>
      <c r="E67" s="3">
        <v>3.0821977072985001</v>
      </c>
      <c r="F67" s="3">
        <v>2.47384993519479</v>
      </c>
      <c r="G67" s="3">
        <v>2.9780309401217502</v>
      </c>
      <c r="H67" s="3">
        <v>4.6522340617675502</v>
      </c>
      <c r="I67" s="3">
        <v>1.01086366821697</v>
      </c>
      <c r="J67" s="3">
        <v>1.9215577170207101</v>
      </c>
      <c r="K67" s="3">
        <v>3.3600758715564698</v>
      </c>
      <c r="L67" s="3">
        <v>2.6322478546625798</v>
      </c>
      <c r="M67" s="3">
        <v>3.5951419274049901</v>
      </c>
      <c r="N67" s="3">
        <v>4.43213205703168</v>
      </c>
    </row>
    <row r="68" spans="1:14" x14ac:dyDescent="0.35">
      <c r="A68" s="2">
        <v>43889</v>
      </c>
      <c r="B68" s="3">
        <v>3.1699334584336301</v>
      </c>
      <c r="C68" s="3">
        <v>4.4946233762136902</v>
      </c>
      <c r="D68" s="3">
        <v>3.5456181912962199</v>
      </c>
      <c r="E68" s="3">
        <v>3.4328000594677799</v>
      </c>
      <c r="F68" s="3">
        <v>2.7616977240481302</v>
      </c>
      <c r="G68" s="3">
        <v>3.3026211798255098</v>
      </c>
      <c r="H68" s="3">
        <v>5.3349258149478196</v>
      </c>
      <c r="I68" s="3">
        <v>1.0935728969138401</v>
      </c>
      <c r="J68" s="3">
        <v>2.1457295013516502</v>
      </c>
      <c r="K68" s="3">
        <v>3.72782087677705</v>
      </c>
      <c r="L68" s="3">
        <v>2.8703219753556901</v>
      </c>
      <c r="M68" s="3">
        <v>3.8318433537366801</v>
      </c>
      <c r="N68" s="3">
        <v>5.0087033729094204</v>
      </c>
    </row>
    <row r="69" spans="1:14" x14ac:dyDescent="0.35">
      <c r="A69" s="2">
        <v>43917</v>
      </c>
      <c r="B69" s="3">
        <v>3.44708922141302</v>
      </c>
      <c r="C69" s="3">
        <v>5.57965878441175</v>
      </c>
      <c r="D69" s="3">
        <v>4.56688179580767</v>
      </c>
      <c r="E69" s="3">
        <v>4.0503471480666597</v>
      </c>
      <c r="F69" s="3">
        <v>2.8719650953409199</v>
      </c>
      <c r="G69" s="3">
        <v>3.6033958334493801</v>
      </c>
      <c r="H69" s="3">
        <v>6.4011021380143802</v>
      </c>
      <c r="I69" s="3">
        <v>1.22247489226382</v>
      </c>
      <c r="J69" s="3">
        <v>2.4777813634036998</v>
      </c>
      <c r="K69" s="3">
        <v>4.3959183973467297</v>
      </c>
      <c r="L69" s="3">
        <v>3.4064605063791098</v>
      </c>
      <c r="M69" s="3">
        <v>4.3606118669496796</v>
      </c>
      <c r="N69" s="3">
        <v>6.3224917830841099</v>
      </c>
    </row>
    <row r="70" spans="1:14" x14ac:dyDescent="0.35">
      <c r="A70" s="2">
        <v>43950</v>
      </c>
      <c r="B70" s="3">
        <v>2.6508647554786098</v>
      </c>
      <c r="C70" s="3">
        <v>4.0609527537827299</v>
      </c>
      <c r="D70" s="3">
        <v>3.7562688463443701</v>
      </c>
      <c r="E70" s="3">
        <v>3.28296036926388</v>
      </c>
      <c r="F70" s="3">
        <v>2.8285056412366698</v>
      </c>
      <c r="G70" s="3">
        <v>3.2161329131060001</v>
      </c>
      <c r="H70" s="3">
        <v>5.0534544080769299</v>
      </c>
      <c r="I70" s="3">
        <v>1.0255643592855599</v>
      </c>
      <c r="J70" s="3">
        <v>2.0841258773457501</v>
      </c>
      <c r="K70" s="3">
        <v>3.5114811592703399</v>
      </c>
      <c r="L70" s="3">
        <v>2.6748421979194199</v>
      </c>
      <c r="M70" s="3">
        <v>3.2392880409965201</v>
      </c>
      <c r="N70" s="3">
        <v>5.2174963925637998</v>
      </c>
    </row>
    <row r="71" spans="1:14" x14ac:dyDescent="0.35">
      <c r="A71" s="2">
        <v>43980</v>
      </c>
      <c r="B71" s="3">
        <v>2.49348548155558</v>
      </c>
      <c r="C71" s="3">
        <v>3.5909562041120302</v>
      </c>
      <c r="D71" s="3">
        <v>3.6480131963348601</v>
      </c>
      <c r="E71" s="3">
        <v>3.1222206383884301</v>
      </c>
      <c r="F71" s="3">
        <v>2.5790479607617498</v>
      </c>
      <c r="G71" s="3">
        <v>3.1601984869784601</v>
      </c>
      <c r="H71" s="3">
        <v>4.2009648274701696</v>
      </c>
      <c r="I71" s="3">
        <v>0.95045989251406704</v>
      </c>
      <c r="J71" s="3">
        <v>1.9831713164815901</v>
      </c>
      <c r="K71" s="3">
        <v>3.3247358021553399</v>
      </c>
      <c r="L71" s="3">
        <v>2.47985800973676</v>
      </c>
      <c r="M71" s="3">
        <v>3.1611463559541302</v>
      </c>
      <c r="N71" s="3">
        <v>4.6430822115533799</v>
      </c>
    </row>
    <row r="72" spans="1:14" x14ac:dyDescent="0.35">
      <c r="A72" s="2">
        <v>44011</v>
      </c>
      <c r="B72" s="3">
        <v>2.5232023268772399</v>
      </c>
      <c r="C72" s="3">
        <v>3.52137318089444</v>
      </c>
      <c r="D72" s="3">
        <v>3.57743118838986</v>
      </c>
      <c r="E72" s="3">
        <v>2.9512589602259101</v>
      </c>
      <c r="F72" s="3">
        <v>2.52613264409786</v>
      </c>
      <c r="G72" s="3">
        <v>3.0899773284732901</v>
      </c>
      <c r="H72" s="3">
        <v>4.1431639818081596</v>
      </c>
      <c r="I72" s="3">
        <v>0.91156626548286301</v>
      </c>
      <c r="J72" s="3">
        <v>1.9649232499788201</v>
      </c>
      <c r="K72" s="3">
        <v>3.1608035460211701</v>
      </c>
      <c r="L72" s="3">
        <v>2.39442972385097</v>
      </c>
      <c r="M72" s="3">
        <v>3.0588624818915</v>
      </c>
      <c r="N72" s="3">
        <v>4.3433491976310403</v>
      </c>
    </row>
    <row r="73" spans="1:14" x14ac:dyDescent="0.35">
      <c r="A73" s="2">
        <v>44041</v>
      </c>
      <c r="B73" s="3">
        <v>2.4135860422578701</v>
      </c>
      <c r="C73" s="3">
        <v>3.3797928597537701</v>
      </c>
      <c r="D73" s="3">
        <v>3.3899242074098801</v>
      </c>
      <c r="E73" s="3">
        <v>2.8270501459885402</v>
      </c>
      <c r="F73" s="3">
        <v>2.52095279315777</v>
      </c>
      <c r="G73" s="3">
        <v>2.94878577645623</v>
      </c>
      <c r="H73" s="3">
        <v>4.0545526831027203</v>
      </c>
      <c r="I73" s="3">
        <v>0.852613245403673</v>
      </c>
      <c r="J73" s="3">
        <v>1.8233954544389901</v>
      </c>
      <c r="K73" s="3">
        <v>3.1235481462219701</v>
      </c>
      <c r="L73" s="3">
        <v>2.3494877870368001</v>
      </c>
      <c r="M73" s="3">
        <v>2.9875474543873399</v>
      </c>
      <c r="N73" s="3">
        <v>4.3147976362835898</v>
      </c>
    </row>
    <row r="74" spans="1:14" x14ac:dyDescent="0.35">
      <c r="A74" s="2">
        <v>44071</v>
      </c>
      <c r="B74" s="3">
        <v>2.2934960531125301</v>
      </c>
      <c r="C74" s="3">
        <v>3.3926782974276599</v>
      </c>
      <c r="D74" s="3">
        <v>3.3093011375876502</v>
      </c>
      <c r="E74" s="3">
        <v>2.8010995515388499</v>
      </c>
      <c r="F74" s="3">
        <v>2.39601555304812</v>
      </c>
      <c r="G74" s="3">
        <v>2.94859169797465</v>
      </c>
      <c r="H74" s="3">
        <v>4.06182581141152</v>
      </c>
      <c r="I74" s="3">
        <v>0.75975564498370995</v>
      </c>
      <c r="J74" s="3">
        <v>1.6996582287465101</v>
      </c>
      <c r="K74" s="3">
        <v>3.1120678404394302</v>
      </c>
      <c r="L74" s="3">
        <v>2.30548439496149</v>
      </c>
      <c r="M74" s="3">
        <v>3.0005868787257901</v>
      </c>
      <c r="N74" s="3">
        <v>3.9984111536926399</v>
      </c>
    </row>
    <row r="75" spans="1:14" x14ac:dyDescent="0.35">
      <c r="A75" s="2">
        <v>44103</v>
      </c>
      <c r="B75" s="3">
        <v>2.4704367361850701</v>
      </c>
      <c r="C75" s="3">
        <v>3.6209622845045</v>
      </c>
      <c r="D75" s="3">
        <v>3.4308028265716799</v>
      </c>
      <c r="E75" s="3">
        <v>2.8610883968925802</v>
      </c>
      <c r="F75" s="3">
        <v>2.3497003024466498</v>
      </c>
      <c r="G75" s="3">
        <v>2.9676416073865299</v>
      </c>
      <c r="H75" s="3">
        <v>4.2176661161245299</v>
      </c>
      <c r="I75" s="3">
        <v>0.80780596076288702</v>
      </c>
      <c r="J75" s="3">
        <v>1.78763741581046</v>
      </c>
      <c r="K75" s="3">
        <v>3.2831542417312898</v>
      </c>
      <c r="L75" s="3">
        <v>2.3550793419122602</v>
      </c>
      <c r="M75" s="3">
        <v>2.9797857724839898</v>
      </c>
      <c r="N75" s="3">
        <v>4.2021759885610903</v>
      </c>
    </row>
    <row r="76" spans="1:14" x14ac:dyDescent="0.35">
      <c r="A76" s="2">
        <v>44133</v>
      </c>
      <c r="B76" s="3">
        <v>2.4082834665255501</v>
      </c>
      <c r="C76" s="3">
        <v>3.7764229367009001</v>
      </c>
      <c r="D76" s="3">
        <v>3.5293134645349999</v>
      </c>
      <c r="E76" s="3">
        <v>3.1636180727418401</v>
      </c>
      <c r="F76" s="3">
        <v>2.4142889523624298</v>
      </c>
      <c r="G76" s="3">
        <v>3.1626143277897998</v>
      </c>
      <c r="H76" s="3">
        <v>4.5979048434078198</v>
      </c>
      <c r="I76" s="3">
        <v>0.81570188200668903</v>
      </c>
      <c r="J76" s="3">
        <v>1.8096899623045399</v>
      </c>
      <c r="K76" s="3">
        <v>3.4661454039108301</v>
      </c>
      <c r="L76" s="3">
        <v>2.4057555362279901</v>
      </c>
      <c r="M76" s="3">
        <v>3.3314142127801301</v>
      </c>
      <c r="N76" s="3">
        <v>4.56357830568491</v>
      </c>
    </row>
    <row r="77" spans="1:14" x14ac:dyDescent="0.35">
      <c r="A77" s="2">
        <v>44162</v>
      </c>
      <c r="B77" s="3">
        <v>2.44193551866225</v>
      </c>
      <c r="C77" s="3">
        <v>3.4687711916757999</v>
      </c>
      <c r="D77" s="3">
        <v>3.1723628221026199</v>
      </c>
      <c r="E77" s="3">
        <v>2.81345230526804</v>
      </c>
      <c r="F77" s="3">
        <v>2.16686416887045</v>
      </c>
      <c r="G77" s="3">
        <v>2.8825707240893101</v>
      </c>
      <c r="H77" s="3">
        <v>3.98530709476724</v>
      </c>
      <c r="I77" s="3">
        <v>0.75667653470840801</v>
      </c>
      <c r="J77" s="3">
        <v>1.6499002381129599</v>
      </c>
      <c r="K77" s="3">
        <v>2.8659411257132898</v>
      </c>
      <c r="L77" s="3">
        <v>2.1523524163442298</v>
      </c>
      <c r="M77" s="3">
        <v>2.9842301616616198</v>
      </c>
      <c r="N77" s="3">
        <v>3.8705919391985901</v>
      </c>
    </row>
    <row r="78" spans="1:14" x14ac:dyDescent="0.35">
      <c r="A78" s="2">
        <v>44194</v>
      </c>
      <c r="B78" s="3">
        <v>2.3665932308465498</v>
      </c>
      <c r="C78" s="3">
        <v>3.53401320293192</v>
      </c>
      <c r="D78" s="3">
        <v>3.1151555420594499</v>
      </c>
      <c r="E78" s="3">
        <v>2.7087018495343802</v>
      </c>
      <c r="F78" s="3">
        <v>2.1230516009369</v>
      </c>
      <c r="G78" s="3">
        <v>2.82250726212148</v>
      </c>
      <c r="H78" s="3">
        <v>3.8826469894380802</v>
      </c>
      <c r="I78" s="3">
        <v>0.76561821408152597</v>
      </c>
      <c r="J78" s="3">
        <v>1.5894142141724401</v>
      </c>
      <c r="K78" s="3">
        <v>2.9044955754522599</v>
      </c>
      <c r="L78" s="3">
        <v>1.9702267835522</v>
      </c>
      <c r="M78" s="3">
        <v>3.0741124564408202</v>
      </c>
      <c r="N78" s="3">
        <v>3.93311493651857</v>
      </c>
    </row>
    <row r="79" spans="1:14" x14ac:dyDescent="0.35">
      <c r="A79" s="2">
        <v>44225</v>
      </c>
      <c r="B79" s="3">
        <v>2.4644916432888602</v>
      </c>
      <c r="C79" s="3">
        <v>3.6801803210560702</v>
      </c>
      <c r="D79" s="3">
        <v>3.14992608623059</v>
      </c>
      <c r="E79" s="3">
        <v>2.8132205085155899</v>
      </c>
      <c r="F79" s="3">
        <v>2.1537137414460199</v>
      </c>
      <c r="G79" s="3">
        <v>2.8870663233861502</v>
      </c>
      <c r="H79" s="3">
        <v>4.1127778731433402</v>
      </c>
      <c r="I79" s="3">
        <v>0.76572630166802302</v>
      </c>
      <c r="J79" s="3">
        <v>1.60434742748732</v>
      </c>
      <c r="K79" s="3">
        <v>3.0260149356058199</v>
      </c>
      <c r="L79" s="3">
        <v>2.02789519970178</v>
      </c>
      <c r="M79" s="3">
        <v>3.0328870937040402</v>
      </c>
      <c r="N79" s="3">
        <v>4.1845081373748796</v>
      </c>
    </row>
    <row r="80" spans="1:14" x14ac:dyDescent="0.35">
      <c r="A80" s="2">
        <v>44253</v>
      </c>
      <c r="B80" s="3">
        <v>2.6390537501451301</v>
      </c>
      <c r="C80" s="3">
        <v>3.9257667749489502</v>
      </c>
      <c r="D80" s="3">
        <v>2.9804457227924002</v>
      </c>
      <c r="E80" s="3">
        <v>2.84200926461744</v>
      </c>
      <c r="F80" s="3">
        <v>2.12331496657383</v>
      </c>
      <c r="G80" s="3">
        <v>2.91272826287135</v>
      </c>
      <c r="H80" s="3">
        <v>4.0681165208980596</v>
      </c>
      <c r="I80" s="3">
        <v>0.77474230238657105</v>
      </c>
      <c r="J80" s="3">
        <v>1.5792533944545599</v>
      </c>
      <c r="K80" s="3">
        <v>2.8800627848553599</v>
      </c>
      <c r="L80" s="3">
        <v>2.0089015450111498</v>
      </c>
      <c r="M80" s="3">
        <v>2.9905458544824999</v>
      </c>
      <c r="N80" s="3">
        <v>4.1215827209711202</v>
      </c>
    </row>
    <row r="81" spans="1:14" x14ac:dyDescent="0.35">
      <c r="A81" s="2">
        <v>44284</v>
      </c>
      <c r="B81" s="3">
        <v>2.6212835791171201</v>
      </c>
      <c r="C81" s="3">
        <v>3.9679335758107599</v>
      </c>
      <c r="D81" s="3">
        <v>2.8489974959497801</v>
      </c>
      <c r="E81" s="3">
        <v>2.7434249769712999</v>
      </c>
      <c r="F81" s="3">
        <v>2.0318614567310198</v>
      </c>
      <c r="G81" s="3">
        <v>2.8031355577961299</v>
      </c>
      <c r="H81" s="3">
        <v>4.0351225573398599</v>
      </c>
      <c r="I81" s="3">
        <v>0.77485520402079899</v>
      </c>
      <c r="J81" s="3">
        <v>1.5224850686859599</v>
      </c>
      <c r="K81" s="3">
        <v>2.7737033392373198</v>
      </c>
      <c r="L81" s="3">
        <v>1.9671856990954699</v>
      </c>
      <c r="M81" s="3">
        <v>2.7826909620013298</v>
      </c>
      <c r="N81" s="3">
        <v>4.0266971265498004</v>
      </c>
    </row>
    <row r="82" spans="1:14" x14ac:dyDescent="0.35">
      <c r="A82" s="2">
        <v>44315</v>
      </c>
      <c r="B82" s="3">
        <v>2.56366919968066</v>
      </c>
      <c r="C82" s="3">
        <v>3.8916440533111398</v>
      </c>
      <c r="D82" s="3">
        <v>2.7399621789938902</v>
      </c>
      <c r="E82" s="3">
        <v>2.77521941074842</v>
      </c>
      <c r="F82" s="3">
        <v>2.1385028531480299</v>
      </c>
      <c r="G82" s="3">
        <v>2.7589012644585602</v>
      </c>
      <c r="H82" s="3">
        <v>3.9625054598308602</v>
      </c>
      <c r="I82" s="3">
        <v>0.72507219111052401</v>
      </c>
      <c r="J82" s="3">
        <v>1.44945240007585</v>
      </c>
      <c r="K82" s="3">
        <v>2.68498394565805</v>
      </c>
      <c r="L82" s="3">
        <v>1.93638728011045</v>
      </c>
      <c r="M82" s="3">
        <v>2.8095248111534001</v>
      </c>
      <c r="N82" s="3">
        <v>4.1751176197579598</v>
      </c>
    </row>
    <row r="83" spans="1:14" x14ac:dyDescent="0.35">
      <c r="A83" s="2">
        <v>44344</v>
      </c>
      <c r="B83" s="3">
        <v>2.7430433482568701</v>
      </c>
      <c r="C83" s="3">
        <v>3.8774693184729498</v>
      </c>
      <c r="D83" s="3">
        <v>2.62112529194407</v>
      </c>
      <c r="E83" s="3">
        <v>2.8049732681908099</v>
      </c>
      <c r="F83" s="3">
        <v>2.1463717250294798</v>
      </c>
      <c r="G83" s="3">
        <v>2.7034879637706202</v>
      </c>
      <c r="H83" s="3">
        <v>3.90571382900188</v>
      </c>
      <c r="I83" s="3">
        <v>0.74074419301740402</v>
      </c>
      <c r="J83" s="3">
        <v>1.4586170285036699</v>
      </c>
      <c r="K83" s="3">
        <v>2.6688263919199202</v>
      </c>
      <c r="L83" s="3">
        <v>2.0038287138899902</v>
      </c>
      <c r="M83" s="3">
        <v>2.7046209737551701</v>
      </c>
      <c r="N83" s="3">
        <v>4.09625271062973</v>
      </c>
    </row>
    <row r="84" spans="1:14" x14ac:dyDescent="0.35">
      <c r="A84" s="2">
        <v>44376</v>
      </c>
      <c r="B84" s="3">
        <v>2.6580159860200698</v>
      </c>
      <c r="C84" s="3">
        <v>4.0400161679358497</v>
      </c>
      <c r="D84" s="3">
        <v>2.7092083030404601</v>
      </c>
      <c r="E84" s="3">
        <v>2.7873435687766102</v>
      </c>
      <c r="F84" s="3">
        <v>2.1885237699993199</v>
      </c>
      <c r="G84" s="3">
        <v>2.6131759734804398</v>
      </c>
      <c r="H84" s="3">
        <v>4.00005494218507</v>
      </c>
      <c r="I84" s="3">
        <v>0.703280256642279</v>
      </c>
      <c r="J84" s="3">
        <v>1.4433797265152899</v>
      </c>
      <c r="K84" s="3">
        <v>2.68400170628429</v>
      </c>
      <c r="L84" s="3">
        <v>1.9812099951690301</v>
      </c>
      <c r="M84" s="3">
        <v>2.6823462002404299</v>
      </c>
      <c r="N84" s="3">
        <v>4.1137482878453504</v>
      </c>
    </row>
    <row r="85" spans="1:14" x14ac:dyDescent="0.35">
      <c r="A85" s="2">
        <v>44406</v>
      </c>
      <c r="B85" s="3">
        <v>2.6250661490043199</v>
      </c>
      <c r="C85" s="3">
        <v>4.0925252324003196</v>
      </c>
      <c r="D85" s="3">
        <v>2.7003198694388102</v>
      </c>
      <c r="E85" s="3">
        <v>2.8195359193975298</v>
      </c>
      <c r="F85" s="3">
        <v>2.2401402186156698</v>
      </c>
      <c r="G85" s="3">
        <v>2.6005127750569499</v>
      </c>
      <c r="H85" s="3">
        <v>4.1193317457990197</v>
      </c>
      <c r="I85" s="3">
        <v>0.69926720152671495</v>
      </c>
      <c r="J85" s="3">
        <v>1.42041193669121</v>
      </c>
      <c r="K85" s="3">
        <v>2.6945048821703401</v>
      </c>
      <c r="L85" s="3">
        <v>1.94077950403088</v>
      </c>
      <c r="M85" s="3">
        <v>2.7153824481531501</v>
      </c>
      <c r="N85" s="3">
        <v>4.2004813955479401</v>
      </c>
    </row>
    <row r="86" spans="1:14" x14ac:dyDescent="0.35">
      <c r="A86" s="2">
        <v>44435</v>
      </c>
      <c r="B86" s="3">
        <v>2.5845547143722598</v>
      </c>
      <c r="C86" s="3">
        <v>4.0641257094106704</v>
      </c>
      <c r="D86" s="3">
        <v>2.7264607209465801</v>
      </c>
      <c r="E86" s="3">
        <v>2.8521751337254599</v>
      </c>
      <c r="F86" s="3">
        <v>2.28376227151313</v>
      </c>
      <c r="G86" s="3">
        <v>2.5537120487565401</v>
      </c>
      <c r="H86" s="3">
        <v>4.2025968334438897</v>
      </c>
      <c r="I86" s="3">
        <v>0.68532553154196996</v>
      </c>
      <c r="J86" s="3">
        <v>1.4021861743639401</v>
      </c>
      <c r="K86" s="3">
        <v>2.7579184964083701</v>
      </c>
      <c r="L86" s="3">
        <v>1.8301757940090599</v>
      </c>
      <c r="M86" s="3">
        <v>2.7123957014437301</v>
      </c>
      <c r="N86" s="3">
        <v>4.3901508423615301</v>
      </c>
    </row>
    <row r="87" spans="1:14" x14ac:dyDescent="0.35">
      <c r="A87" s="2">
        <v>44468</v>
      </c>
      <c r="B87" s="3">
        <v>2.65517574663648</v>
      </c>
      <c r="C87" s="3">
        <v>4.16276967812155</v>
      </c>
      <c r="D87" s="3">
        <v>2.8188035353933398</v>
      </c>
      <c r="E87" s="3">
        <v>2.9636196926783902</v>
      </c>
      <c r="F87" s="3">
        <v>2.1949298395595398</v>
      </c>
      <c r="G87" s="3">
        <v>2.77007761849418</v>
      </c>
      <c r="H87" s="3">
        <v>4.1812422827325504</v>
      </c>
      <c r="I87" s="3">
        <v>0.72492170960637403</v>
      </c>
      <c r="J87" s="3">
        <v>1.45526004545669</v>
      </c>
      <c r="K87" s="3">
        <v>2.8494374154462001</v>
      </c>
      <c r="L87" s="3">
        <v>1.95092690249055</v>
      </c>
      <c r="M87" s="3">
        <v>2.8979795386795399</v>
      </c>
      <c r="N87" s="3">
        <v>4.5360390589235999</v>
      </c>
    </row>
    <row r="88" spans="1:14" x14ac:dyDescent="0.35">
      <c r="A88" s="2">
        <v>44498</v>
      </c>
      <c r="B88" s="3">
        <v>2.6607008963799199</v>
      </c>
      <c r="C88" s="3">
        <v>3.9805052818038802</v>
      </c>
      <c r="D88" s="3">
        <v>2.7436400179474201</v>
      </c>
      <c r="E88" s="3">
        <v>2.9643055686188</v>
      </c>
      <c r="F88" s="3">
        <v>2.2476678536721302</v>
      </c>
      <c r="G88" s="3">
        <v>2.6498863622978202</v>
      </c>
      <c r="H88" s="3">
        <v>4.0406679065835203</v>
      </c>
      <c r="I88" s="3">
        <v>0.67857418613221998</v>
      </c>
      <c r="J88" s="3">
        <v>1.3934938735168401</v>
      </c>
      <c r="K88" s="3">
        <v>2.7856432344122299</v>
      </c>
      <c r="L88" s="3">
        <v>1.90359335067005</v>
      </c>
      <c r="M88" s="3">
        <v>3.0444681919054699</v>
      </c>
      <c r="N88" s="3">
        <v>4.3839489647242598</v>
      </c>
    </row>
    <row r="89" spans="1:14" x14ac:dyDescent="0.35">
      <c r="A89" s="2">
        <v>44529</v>
      </c>
      <c r="B89" s="3">
        <v>2.7865804144977702</v>
      </c>
      <c r="C89" s="3">
        <v>4.0829549484625396</v>
      </c>
      <c r="D89" s="3">
        <v>2.77017706135207</v>
      </c>
      <c r="E89" s="3">
        <v>3.12109430506412</v>
      </c>
      <c r="F89" s="3">
        <v>2.3319399337114399</v>
      </c>
      <c r="G89" s="3">
        <v>2.6656629299291401</v>
      </c>
      <c r="H89" s="3">
        <v>4.1455055160597096</v>
      </c>
      <c r="I89" s="3">
        <v>0.66056402568873696</v>
      </c>
      <c r="J89" s="3">
        <v>1.3833218755205801</v>
      </c>
      <c r="K89" s="3">
        <v>2.8677229853686499</v>
      </c>
      <c r="L89" s="3">
        <v>1.94878238241963</v>
      </c>
      <c r="M89" s="3">
        <v>3.06552272156897</v>
      </c>
      <c r="N89" s="3">
        <v>4.5942182742639996</v>
      </c>
    </row>
    <row r="90" spans="1:14" x14ac:dyDescent="0.35">
      <c r="A90" s="2">
        <v>44559</v>
      </c>
      <c r="B90" s="3">
        <v>2.7732098571367501</v>
      </c>
      <c r="C90" s="3">
        <v>3.84404378886479</v>
      </c>
      <c r="D90" s="3">
        <v>2.76845543653867</v>
      </c>
      <c r="E90" s="3">
        <v>3.0400493436587901</v>
      </c>
      <c r="F90" s="3">
        <v>2.3061200013872001</v>
      </c>
      <c r="G90" s="3">
        <v>2.5181806080540001</v>
      </c>
      <c r="H90" s="3">
        <v>3.89372747981517</v>
      </c>
      <c r="I90" s="3">
        <v>0.66096922183298201</v>
      </c>
      <c r="J90" s="3">
        <v>1.3469478677389899</v>
      </c>
      <c r="K90" s="3">
        <v>2.7369670794963099</v>
      </c>
      <c r="L90" s="3">
        <v>1.9416104448107401</v>
      </c>
      <c r="M90" s="3">
        <v>2.8304103197309498</v>
      </c>
      <c r="N90" s="3">
        <v>4.5928543399144299</v>
      </c>
    </row>
    <row r="91" spans="1:14" x14ac:dyDescent="0.35">
      <c r="A91" s="2">
        <v>44589</v>
      </c>
      <c r="B91" s="3">
        <v>3.0702232613123601</v>
      </c>
      <c r="C91" s="3">
        <v>4.1654336959856604</v>
      </c>
      <c r="D91" s="3">
        <v>2.8823164183846801</v>
      </c>
      <c r="E91" s="3">
        <v>3.19621646994913</v>
      </c>
      <c r="F91" s="3">
        <v>2.48476483877569</v>
      </c>
      <c r="G91" s="3">
        <v>2.7489417203704298</v>
      </c>
      <c r="H91" s="3">
        <v>3.8894555982260499</v>
      </c>
      <c r="I91" s="3">
        <v>0.761252642098599</v>
      </c>
      <c r="J91" s="3">
        <v>1.47575119430097</v>
      </c>
      <c r="K91" s="3">
        <v>2.8755498017263799</v>
      </c>
      <c r="L91" s="3">
        <v>2.2287203776514701</v>
      </c>
      <c r="M91" s="3">
        <v>2.9220767257620999</v>
      </c>
      <c r="N91" s="3">
        <v>4.8087472681590802</v>
      </c>
    </row>
    <row r="92" spans="1:14" x14ac:dyDescent="0.35">
      <c r="A92" s="2">
        <v>44620</v>
      </c>
      <c r="B92" s="3">
        <v>3.05800894408413</v>
      </c>
      <c r="C92" s="3">
        <v>4.3854093997207997</v>
      </c>
      <c r="D92" s="3">
        <v>2.8750750220495802</v>
      </c>
      <c r="E92" s="3">
        <v>3.4702635522923</v>
      </c>
      <c r="F92" s="3">
        <v>2.53107097261202</v>
      </c>
      <c r="G92" s="3">
        <v>2.7997364500049899</v>
      </c>
      <c r="H92" s="3">
        <v>3.9101178610880498</v>
      </c>
      <c r="I92" s="3">
        <v>0.78735625396543696</v>
      </c>
      <c r="J92" s="3">
        <v>1.5110485585651701</v>
      </c>
      <c r="K92" s="3">
        <v>3.0829863031256601</v>
      </c>
      <c r="L92" s="3">
        <v>2.3362342781574998</v>
      </c>
      <c r="M92" s="3">
        <v>3.1473560006414698</v>
      </c>
      <c r="N92" s="3">
        <v>5.0703295174204097</v>
      </c>
    </row>
    <row r="93" spans="1:14" x14ac:dyDescent="0.35">
      <c r="A93" s="2">
        <v>44649</v>
      </c>
      <c r="B93" s="3">
        <v>3.1075145362236598</v>
      </c>
      <c r="C93" s="3">
        <v>4.1665424632033803</v>
      </c>
      <c r="D93" s="3">
        <v>2.81064773395395</v>
      </c>
      <c r="E93" s="3">
        <v>3.43340152522897</v>
      </c>
      <c r="F93" s="3">
        <v>2.4494162625774698</v>
      </c>
      <c r="G93" s="3">
        <v>2.7489529858744999</v>
      </c>
      <c r="H93" s="3">
        <v>3.9434926756672302</v>
      </c>
      <c r="I93" s="3">
        <v>0.73878988936104395</v>
      </c>
      <c r="J93" s="3">
        <v>1.42354233206835</v>
      </c>
      <c r="K93" s="3">
        <v>3.0357643214795602</v>
      </c>
      <c r="L93" s="3">
        <v>2.1864500576359198</v>
      </c>
      <c r="M93" s="3">
        <v>3.0654015569829598</v>
      </c>
      <c r="N93" s="3">
        <v>5.0323842288245704</v>
      </c>
    </row>
    <row r="94" spans="1:14" x14ac:dyDescent="0.35">
      <c r="A94" s="2">
        <v>44680</v>
      </c>
      <c r="B94" s="3">
        <v>3.0598331746385901</v>
      </c>
      <c r="C94" s="3">
        <v>4.4601295129855298</v>
      </c>
      <c r="D94" s="3">
        <v>3.07116332644503</v>
      </c>
      <c r="E94" s="3">
        <v>3.6968228199090398</v>
      </c>
      <c r="F94" s="3">
        <v>2.59144098377952</v>
      </c>
      <c r="G94" s="3">
        <v>2.84152955009802</v>
      </c>
      <c r="H94" s="3">
        <v>4.0518383640028803</v>
      </c>
      <c r="I94" s="3">
        <v>0.87839368454482702</v>
      </c>
      <c r="J94" s="3">
        <v>1.5989824495648599</v>
      </c>
      <c r="K94" s="3">
        <v>3.1491862062451101</v>
      </c>
      <c r="L94" s="3">
        <v>2.3868799709984301</v>
      </c>
      <c r="M94" s="3">
        <v>3.2751989364167602</v>
      </c>
      <c r="N94" s="3">
        <v>5.11557226472741</v>
      </c>
    </row>
    <row r="95" spans="1:14" x14ac:dyDescent="0.35">
      <c r="A95" s="2">
        <v>44708</v>
      </c>
      <c r="B95" s="3">
        <v>3.2768821415840299</v>
      </c>
      <c r="C95" s="3">
        <v>4.6507694190251501</v>
      </c>
      <c r="D95" s="3">
        <v>3.1028852809866398</v>
      </c>
      <c r="E95" s="3">
        <v>3.7434850450066302</v>
      </c>
      <c r="F95" s="3">
        <v>2.6354194504994202</v>
      </c>
      <c r="G95" s="3">
        <v>2.9475501073830701</v>
      </c>
      <c r="H95" s="3">
        <v>4.0352608338278699</v>
      </c>
      <c r="I95" s="3">
        <v>0.89836138750322203</v>
      </c>
      <c r="J95" s="3">
        <v>1.5957101064271799</v>
      </c>
      <c r="K95" s="3">
        <v>3.1903101526925202</v>
      </c>
      <c r="L95" s="3">
        <v>2.5281305335556099</v>
      </c>
      <c r="M95" s="3">
        <v>3.3265432977430902</v>
      </c>
      <c r="N95" s="3">
        <v>5.0943570602557804</v>
      </c>
    </row>
    <row r="96" spans="1:14" x14ac:dyDescent="0.35">
      <c r="A96" s="2">
        <v>44741</v>
      </c>
      <c r="B96" s="3">
        <v>3.3511904757495499</v>
      </c>
      <c r="C96" s="3">
        <v>5.1330138461540997</v>
      </c>
      <c r="D96" s="3">
        <v>3.3856517340724301</v>
      </c>
      <c r="E96" s="3">
        <v>4.1350592398917998</v>
      </c>
      <c r="F96" s="3">
        <v>2.6697137290000499</v>
      </c>
      <c r="G96" s="3">
        <v>3.17367943316107</v>
      </c>
      <c r="H96" s="3">
        <v>4.2410019782246504</v>
      </c>
      <c r="I96" s="3">
        <v>0.98559708029624804</v>
      </c>
      <c r="J96" s="3">
        <v>1.7568333044651501</v>
      </c>
      <c r="K96" s="3">
        <v>3.4808044048989202</v>
      </c>
      <c r="L96" s="3">
        <v>3.4096164479823399</v>
      </c>
      <c r="M96" s="3">
        <v>3.5836301285816901</v>
      </c>
      <c r="N96" s="3">
        <v>5.7966580822773803</v>
      </c>
    </row>
    <row r="97" spans="1:14" x14ac:dyDescent="0.35">
      <c r="A97" s="2">
        <v>44771</v>
      </c>
      <c r="B97" s="3">
        <v>3.2689264032382002</v>
      </c>
      <c r="C97" s="3">
        <v>4.83355219496024</v>
      </c>
      <c r="D97" s="3">
        <v>3.3221174605420098</v>
      </c>
      <c r="E97" s="3">
        <v>4.0220600536540498</v>
      </c>
      <c r="F97" s="3">
        <v>2.6158453992789399</v>
      </c>
      <c r="G97" s="3">
        <v>3.0576746295879098</v>
      </c>
      <c r="H97" s="3">
        <v>4.1500407852226404</v>
      </c>
      <c r="I97" s="3">
        <v>0.89343209757555297</v>
      </c>
      <c r="J97" s="3">
        <v>1.63248460107917</v>
      </c>
      <c r="K97" s="3">
        <v>3.285599734676</v>
      </c>
      <c r="L97" s="3">
        <v>3.0509171603329999</v>
      </c>
      <c r="M97" s="3">
        <v>3.43703960025648</v>
      </c>
      <c r="N97" s="3">
        <v>5.8099271346356698</v>
      </c>
    </row>
    <row r="98" spans="1:14" x14ac:dyDescent="0.35">
      <c r="A98" s="2">
        <v>44802</v>
      </c>
      <c r="B98" s="3">
        <v>3.20338652901515</v>
      </c>
      <c r="C98" s="3">
        <v>4.7540727321955902</v>
      </c>
      <c r="D98" s="3">
        <v>3.3733214365599702</v>
      </c>
      <c r="E98" s="3">
        <v>4.2043028509899001</v>
      </c>
      <c r="F98" s="3">
        <v>2.62000870920905</v>
      </c>
      <c r="G98" s="3">
        <v>3.18602444998537</v>
      </c>
      <c r="H98" s="3">
        <v>4.3271842653590102</v>
      </c>
      <c r="I98" s="3">
        <v>0.93041162670156097</v>
      </c>
      <c r="J98" s="3">
        <v>1.6930612328695001</v>
      </c>
      <c r="K98" s="3">
        <v>3.4606187623667202</v>
      </c>
      <c r="L98" s="3">
        <v>3.6798457111554099</v>
      </c>
      <c r="M98" s="3">
        <v>3.6708959425755401</v>
      </c>
      <c r="N98" s="3">
        <v>5.8238467706536499</v>
      </c>
    </row>
    <row r="99" spans="1:14" x14ac:dyDescent="0.35">
      <c r="A99" s="2">
        <v>44833</v>
      </c>
      <c r="B99" s="3">
        <v>3.3826942226767298</v>
      </c>
      <c r="C99" s="3">
        <v>5.1845840721170298</v>
      </c>
      <c r="D99" s="3">
        <v>3.6307405695685602</v>
      </c>
      <c r="E99" s="3">
        <v>4.5375692295384198</v>
      </c>
      <c r="F99" s="3">
        <v>2.7676853747091998</v>
      </c>
      <c r="G99" s="3">
        <v>3.4727946031697599</v>
      </c>
      <c r="H99" s="3">
        <v>4.8112782805056602</v>
      </c>
      <c r="I99" s="3">
        <v>1.0500572553220699</v>
      </c>
      <c r="J99" s="3">
        <v>1.8813845587842799</v>
      </c>
      <c r="K99" s="3">
        <v>3.8286441198423402</v>
      </c>
      <c r="L99" s="3">
        <v>3.1240353834349399</v>
      </c>
      <c r="M99" s="3">
        <v>3.87388828210202</v>
      </c>
      <c r="N99" s="3">
        <v>6.2802577283910903</v>
      </c>
    </row>
    <row r="100" spans="1:14" x14ac:dyDescent="0.35">
      <c r="A100" s="2">
        <v>44862</v>
      </c>
      <c r="B100" s="3">
        <v>3.4284463455249998</v>
      </c>
      <c r="C100" s="3">
        <v>5.0002342502261703</v>
      </c>
      <c r="D100" s="3">
        <v>3.44180783961037</v>
      </c>
      <c r="E100" s="3">
        <v>4.1349750466927704</v>
      </c>
      <c r="F100" s="3">
        <v>2.7123263679122398</v>
      </c>
      <c r="G100" s="3">
        <v>3.2924569486936299</v>
      </c>
      <c r="H100" s="3">
        <v>4.53486689703184</v>
      </c>
      <c r="I100" s="3">
        <v>1.0232244954696901</v>
      </c>
      <c r="J100" s="3">
        <v>1.7707088985777</v>
      </c>
      <c r="K100" s="3">
        <v>3.4961286327898402</v>
      </c>
      <c r="L100" s="3">
        <v>2.9380252227052601</v>
      </c>
      <c r="M100" s="3">
        <v>3.7221901392210901</v>
      </c>
      <c r="N100" s="3">
        <v>5.7731253917041299</v>
      </c>
    </row>
    <row r="101" spans="1:14" x14ac:dyDescent="0.35">
      <c r="A101" s="2">
        <v>44894</v>
      </c>
      <c r="B101" s="3">
        <v>3.4251163365669099</v>
      </c>
      <c r="C101" s="3">
        <v>4.4901624609498398</v>
      </c>
      <c r="D101" s="3">
        <v>3.2991818333199898</v>
      </c>
      <c r="E101" s="3">
        <v>3.7631466552858299</v>
      </c>
      <c r="F101" s="3">
        <v>2.5953413244482499</v>
      </c>
      <c r="G101" s="3">
        <v>3.1446089189556998</v>
      </c>
      <c r="H101" s="3">
        <v>4.2749091153107699</v>
      </c>
      <c r="I101" s="3">
        <v>1.0321885475435499</v>
      </c>
      <c r="J101" s="3">
        <v>1.7523784430395</v>
      </c>
      <c r="K101" s="3">
        <v>3.29252884508624</v>
      </c>
      <c r="L101" s="3">
        <v>2.6824814424123802</v>
      </c>
      <c r="M101" s="3">
        <v>3.6265506715406599</v>
      </c>
      <c r="N101" s="3">
        <v>5.5448337504253304</v>
      </c>
    </row>
    <row r="102" spans="1:14" x14ac:dyDescent="0.35">
      <c r="A102" s="2">
        <v>44924</v>
      </c>
      <c r="B102" s="3">
        <v>3.4488301796536698</v>
      </c>
      <c r="C102" s="3">
        <v>4.5565817712523602</v>
      </c>
      <c r="D102" s="3">
        <v>3.45060054854333</v>
      </c>
      <c r="E102" s="3">
        <v>3.8091394178723701</v>
      </c>
      <c r="F102" s="3">
        <v>2.7500960633787899</v>
      </c>
      <c r="G102" s="3">
        <v>3.1984999751363898</v>
      </c>
      <c r="H102" s="3">
        <v>4.2434778808573004</v>
      </c>
      <c r="I102" s="3">
        <v>1.0372898560127199</v>
      </c>
      <c r="J102" s="3">
        <v>1.80400550934924</v>
      </c>
      <c r="K102" s="3">
        <v>3.3325474739743299</v>
      </c>
      <c r="L102" s="3">
        <v>2.7721030648524101</v>
      </c>
      <c r="M102" s="3">
        <v>3.7026290506980302</v>
      </c>
      <c r="N102" s="3">
        <v>5.8354619473608498</v>
      </c>
    </row>
    <row r="103" spans="1:14" x14ac:dyDescent="0.35">
      <c r="A103" s="2">
        <v>44953</v>
      </c>
      <c r="B103" s="3">
        <v>3.3143519884008001</v>
      </c>
      <c r="C103" s="3">
        <v>4.2475112710782996</v>
      </c>
      <c r="D103" s="3">
        <v>3.27844192565659</v>
      </c>
      <c r="E103" s="3">
        <v>3.5015276919581999</v>
      </c>
      <c r="F103" s="3">
        <v>2.61531946236751</v>
      </c>
      <c r="G103" s="3">
        <v>3.0517033457127898</v>
      </c>
      <c r="H103" s="3">
        <v>4.1002711161482202</v>
      </c>
      <c r="I103" s="3">
        <v>0.943828020369464</v>
      </c>
      <c r="J103" s="3">
        <v>1.7156159566117499</v>
      </c>
      <c r="K103" s="3">
        <v>3.1019758955372101</v>
      </c>
      <c r="L103" s="3">
        <v>2.5291883841143101</v>
      </c>
      <c r="M103" s="3">
        <v>3.55990232791439</v>
      </c>
      <c r="N103" s="3">
        <v>5.4292954080574898</v>
      </c>
    </row>
    <row r="104" spans="1:14" x14ac:dyDescent="0.35">
      <c r="A104" s="2">
        <v>44985</v>
      </c>
      <c r="B104" s="3">
        <v>3.3705808781833602</v>
      </c>
      <c r="C104" s="3">
        <v>4.4748128289895996</v>
      </c>
      <c r="D104" s="3">
        <v>3.35358543408163</v>
      </c>
      <c r="E104" s="3">
        <v>3.52099338927732</v>
      </c>
      <c r="F104" s="3">
        <v>2.6236984375387</v>
      </c>
      <c r="G104" s="3">
        <v>3.1321205994608898</v>
      </c>
      <c r="H104" s="3">
        <v>4.1192281093250296</v>
      </c>
      <c r="I104" s="3">
        <v>0.96201770898077799</v>
      </c>
      <c r="J104" s="3">
        <v>1.7686139335101001</v>
      </c>
      <c r="K104" s="3">
        <v>3.15712768282323</v>
      </c>
      <c r="L104" s="3">
        <v>2.6709459573911798</v>
      </c>
      <c r="M104" s="3">
        <v>3.55284359218596</v>
      </c>
      <c r="N104" s="3">
        <v>5.5773927678683402</v>
      </c>
    </row>
    <row r="105" spans="1:14" x14ac:dyDescent="0.35">
      <c r="A105" s="2">
        <v>45014</v>
      </c>
      <c r="B105" s="3">
        <v>3.4429941261248498</v>
      </c>
      <c r="C105" s="3">
        <v>4.6281100580743404</v>
      </c>
      <c r="D105" s="3">
        <v>3.3907387825797302</v>
      </c>
      <c r="E105" s="3">
        <v>3.5915038777739299</v>
      </c>
      <c r="F105" s="3">
        <v>2.63400456670947</v>
      </c>
      <c r="G105" s="3">
        <v>3.2053238392120398</v>
      </c>
      <c r="H105" s="3">
        <v>4.2877424902493804</v>
      </c>
      <c r="I105" s="3">
        <v>0.90624178725691695</v>
      </c>
      <c r="J105" s="3">
        <v>1.7479745997525999</v>
      </c>
      <c r="K105" s="3">
        <v>3.2281974692673598</v>
      </c>
      <c r="L105" s="3">
        <v>2.6908165956007002</v>
      </c>
      <c r="M105" s="3">
        <v>3.7531565125267701</v>
      </c>
      <c r="N105" s="3">
        <v>5.4943081988234104</v>
      </c>
    </row>
    <row r="106" spans="1:14" x14ac:dyDescent="0.35">
      <c r="A106" s="2">
        <v>45044</v>
      </c>
      <c r="B106" s="3">
        <v>3.38217498951632</v>
      </c>
      <c r="C106" s="3">
        <v>4.42963180770204</v>
      </c>
      <c r="D106" s="3">
        <v>3.2271389614834298</v>
      </c>
      <c r="E106" s="3">
        <v>3.5063990255128901</v>
      </c>
      <c r="F106" s="3">
        <v>2.56541138651427</v>
      </c>
      <c r="G106" s="3">
        <v>3.06914292279134</v>
      </c>
      <c r="H106" s="3">
        <v>4.0999491861951904</v>
      </c>
      <c r="I106" s="3">
        <v>0.86392521385574506</v>
      </c>
      <c r="J106" s="3">
        <v>1.6924947116708899</v>
      </c>
      <c r="K106" s="3">
        <v>3.1173670333417598</v>
      </c>
      <c r="L106" s="3">
        <v>2.68570320957914</v>
      </c>
      <c r="M106" s="3">
        <v>3.6355444863981399</v>
      </c>
      <c r="N106" s="3">
        <v>5.3979057224611102</v>
      </c>
    </row>
    <row r="107" spans="1:14" x14ac:dyDescent="0.35">
      <c r="A107" s="2">
        <v>45072</v>
      </c>
      <c r="B107" s="3">
        <v>3.5087028149199702</v>
      </c>
      <c r="C107" s="3">
        <v>4.5278203584845302</v>
      </c>
      <c r="D107" s="3">
        <v>3.3340590258903</v>
      </c>
      <c r="E107" s="3">
        <v>3.6067568275783302</v>
      </c>
      <c r="F107" s="3">
        <v>2.4696449967418102</v>
      </c>
      <c r="G107" s="3">
        <v>3.1178004669048498</v>
      </c>
      <c r="H107" s="3">
        <v>4.3880113819292204</v>
      </c>
      <c r="I107" s="3">
        <v>0.80368323504749195</v>
      </c>
      <c r="J107" s="3">
        <v>1.6852915497943799</v>
      </c>
      <c r="K107" s="3">
        <v>3.2505286694032201</v>
      </c>
      <c r="L107" s="3">
        <v>2.6311542916461299</v>
      </c>
      <c r="M107" s="3">
        <v>3.7538112899030698</v>
      </c>
      <c r="N107" s="3">
        <v>5.6871674038461304</v>
      </c>
    </row>
    <row r="108" spans="1:14" x14ac:dyDescent="0.35">
      <c r="A108" s="2">
        <v>45106</v>
      </c>
      <c r="B108" s="3">
        <v>3.4406297577112999</v>
      </c>
      <c r="C108" s="3">
        <v>4.3307829572653098</v>
      </c>
      <c r="D108" s="3">
        <v>3.29264536723386</v>
      </c>
      <c r="E108" s="3">
        <v>3.6658151340269902</v>
      </c>
      <c r="F108" s="3">
        <v>2.3241627196010901</v>
      </c>
      <c r="G108" s="3">
        <v>3.20059169146379</v>
      </c>
      <c r="H108" s="3">
        <v>4.4368275943364797</v>
      </c>
      <c r="I108" s="3">
        <v>0.77459309006323596</v>
      </c>
      <c r="J108" s="3">
        <v>1.6155302858409599</v>
      </c>
      <c r="K108" s="3">
        <v>3.2645243993764499</v>
      </c>
      <c r="L108" s="3">
        <v>2.7147498246720398</v>
      </c>
      <c r="M108" s="3">
        <v>3.7664727001652798</v>
      </c>
      <c r="N108" s="3">
        <v>5.34838842766694</v>
      </c>
    </row>
    <row r="109" spans="1:14" x14ac:dyDescent="0.35">
      <c r="A109" s="2">
        <v>45135</v>
      </c>
      <c r="B109" s="3">
        <v>3.4208271289926802</v>
      </c>
      <c r="C109" s="3">
        <v>4.0871898394824902</v>
      </c>
      <c r="D109" s="3">
        <v>3.1534965197427201</v>
      </c>
      <c r="E109" s="3">
        <v>3.5756027700531301</v>
      </c>
      <c r="F109" s="3">
        <v>2.3533907218823602</v>
      </c>
      <c r="G109" s="3">
        <v>3.1283146755855098</v>
      </c>
      <c r="H109" s="3">
        <v>4.2563361678276097</v>
      </c>
      <c r="I109" s="3">
        <v>0.85634528848937497</v>
      </c>
      <c r="J109" s="3">
        <v>1.55892674435046</v>
      </c>
      <c r="K109" s="3">
        <v>3.2324460919442899</v>
      </c>
      <c r="L109" s="3">
        <v>2.6189842810053001</v>
      </c>
      <c r="M109" s="3">
        <v>3.7702947359656598</v>
      </c>
      <c r="N109" s="3">
        <v>5.2222519325625099</v>
      </c>
    </row>
    <row r="110" spans="1:14" x14ac:dyDescent="0.35">
      <c r="A110" s="2">
        <v>45167</v>
      </c>
      <c r="B110" s="3">
        <v>3.48529408402382</v>
      </c>
      <c r="C110" s="3">
        <v>4.1938398801624697</v>
      </c>
      <c r="D110" s="3">
        <v>3.5010116897392098</v>
      </c>
      <c r="E110" s="3">
        <v>3.7111776054531802</v>
      </c>
      <c r="F110" s="3">
        <v>2.38295727137419</v>
      </c>
      <c r="G110" s="3">
        <v>3.22882462848249</v>
      </c>
      <c r="H110" s="3">
        <v>4.5005177865917503</v>
      </c>
      <c r="I110" s="3">
        <v>0.88019407066282895</v>
      </c>
      <c r="J110" s="3">
        <v>1.59754434808977</v>
      </c>
      <c r="K110" s="3">
        <v>3.3080155477202302</v>
      </c>
      <c r="L110" s="3">
        <v>2.8570742342648199</v>
      </c>
      <c r="M110" s="3">
        <v>3.9286744084424901</v>
      </c>
      <c r="N110" s="3">
        <v>5.4573439620065303</v>
      </c>
    </row>
    <row r="111" spans="1:14" x14ac:dyDescent="0.35">
      <c r="A111" s="2">
        <v>45198</v>
      </c>
      <c r="B111" s="3">
        <v>3.42427644033148</v>
      </c>
      <c r="C111" s="3">
        <v>4.2965479520281802</v>
      </c>
      <c r="D111" s="3">
        <v>3.6350731995784602</v>
      </c>
      <c r="E111" s="3">
        <v>3.8585244800712499</v>
      </c>
      <c r="F111" s="3">
        <v>2.3888924504773001</v>
      </c>
      <c r="G111" s="3">
        <v>3.3548247937706699</v>
      </c>
      <c r="H111" s="3">
        <v>4.4562728448942002</v>
      </c>
      <c r="I111" s="3">
        <v>0.94569422829722205</v>
      </c>
      <c r="J111" s="3">
        <v>1.6891304596707599</v>
      </c>
      <c r="K111" s="3">
        <v>3.4214430477884301</v>
      </c>
      <c r="L111" s="3">
        <v>3.0361824670426301</v>
      </c>
      <c r="M111" s="3">
        <v>4.0079529046853501</v>
      </c>
      <c r="N111" s="3">
        <v>5.5058737207415502</v>
      </c>
    </row>
    <row r="112" spans="1:14" x14ac:dyDescent="0.35">
      <c r="A112" s="2">
        <v>45226</v>
      </c>
      <c r="B112" s="3">
        <v>3.6013076656931999</v>
      </c>
      <c r="C112" s="3">
        <v>4.5155182900480204</v>
      </c>
      <c r="D112" s="3">
        <v>3.80884660950414</v>
      </c>
      <c r="E112" s="3">
        <v>4.0682675227398999</v>
      </c>
      <c r="F112" s="3">
        <v>2.4784982273618699</v>
      </c>
      <c r="G112" s="3">
        <v>3.5669739322742</v>
      </c>
      <c r="H112" s="3">
        <v>4.6676136044901098</v>
      </c>
      <c r="I112" s="3">
        <v>0.987182937222156</v>
      </c>
      <c r="J112" s="3">
        <v>1.76478752624789</v>
      </c>
      <c r="K112" s="3">
        <v>3.5890767142678301</v>
      </c>
      <c r="L112" s="3">
        <v>3.1188785216413502</v>
      </c>
      <c r="M112" s="3">
        <v>4.0256975178892</v>
      </c>
      <c r="N112" s="3">
        <v>5.8124835782792497</v>
      </c>
    </row>
    <row r="113" spans="1:25" x14ac:dyDescent="0.35">
      <c r="A113" s="2">
        <v>45259</v>
      </c>
      <c r="B113" s="3">
        <v>3.2901425320406301</v>
      </c>
      <c r="C113" s="3">
        <v>4.3315540622074904</v>
      </c>
      <c r="D113" s="3">
        <v>3.5055229535066901</v>
      </c>
      <c r="E113" s="3">
        <v>3.6584362383511202</v>
      </c>
      <c r="F113" s="3">
        <v>2.4024918631266399</v>
      </c>
      <c r="G113" s="3">
        <v>3.3860360323138998</v>
      </c>
      <c r="H113" s="3">
        <v>4.4492867027655203</v>
      </c>
      <c r="I113" s="3">
        <v>0.884791685013259</v>
      </c>
      <c r="J113" s="3">
        <v>1.60175681169562</v>
      </c>
      <c r="K113" s="3">
        <v>3.35887510654443</v>
      </c>
      <c r="L113" s="3">
        <v>2.8081290037395199</v>
      </c>
      <c r="M113" s="3">
        <v>3.6350285187152398</v>
      </c>
      <c r="N113" s="3">
        <v>5.5042521043581596</v>
      </c>
    </row>
    <row r="114" spans="1:25" x14ac:dyDescent="0.35">
      <c r="A114" s="2">
        <v>45289</v>
      </c>
      <c r="B114" s="3">
        <v>2.9682775962558399</v>
      </c>
      <c r="C114" s="3">
        <v>3.97495871443751</v>
      </c>
      <c r="D114" s="3">
        <v>3.3584396384912698</v>
      </c>
      <c r="E114" s="3">
        <v>3.55310279376187</v>
      </c>
      <c r="F114" s="3">
        <v>2.4281525102258699</v>
      </c>
      <c r="G114" s="3">
        <v>3.27188692633068</v>
      </c>
      <c r="H114" s="3">
        <v>4.2666636081457003</v>
      </c>
      <c r="I114" s="3">
        <v>0.91927918580402701</v>
      </c>
      <c r="J114" s="3">
        <v>1.54364922666662</v>
      </c>
      <c r="K114" s="3">
        <v>3.2303869117414998</v>
      </c>
      <c r="L114" s="3">
        <v>2.6832251201866999</v>
      </c>
      <c r="M114" s="3">
        <v>2.92065549436807</v>
      </c>
      <c r="N114" s="3">
        <v>5.4807296433605996</v>
      </c>
    </row>
    <row r="115" spans="1:25" x14ac:dyDescent="0.35">
      <c r="A115" s="2">
        <v>45320</v>
      </c>
      <c r="B115" s="3">
        <v>2.9704370131811801</v>
      </c>
      <c r="C115" s="3">
        <v>4.0129475898730096</v>
      </c>
      <c r="D115" s="3">
        <v>3.3123926059234901</v>
      </c>
      <c r="E115" s="3">
        <v>3.53571583562247</v>
      </c>
      <c r="F115" s="3">
        <v>2.27954205244458</v>
      </c>
      <c r="G115" s="3">
        <v>3.25881738932339</v>
      </c>
      <c r="H115" s="3">
        <v>4.3064730263302797</v>
      </c>
      <c r="I115" s="3">
        <v>0.87777095508863801</v>
      </c>
      <c r="J115" s="3">
        <v>1.5019415195941399</v>
      </c>
      <c r="K115" s="3">
        <v>3.1747263287955101</v>
      </c>
      <c r="L115" s="3">
        <v>2.5625099212501499</v>
      </c>
      <c r="M115" s="3">
        <v>3.3564589717265401</v>
      </c>
      <c r="N115" s="3">
        <v>5.4727888141119596</v>
      </c>
    </row>
    <row r="116" spans="1:25" x14ac:dyDescent="0.35">
      <c r="A116" s="2">
        <v>45351</v>
      </c>
      <c r="B116" s="3">
        <v>2.8970649272668698</v>
      </c>
      <c r="C116" s="3">
        <v>3.9839710917344999</v>
      </c>
      <c r="D116" s="3">
        <v>3.25820911474263</v>
      </c>
      <c r="E116" s="3">
        <v>3.4332900017611401</v>
      </c>
      <c r="F116" s="3">
        <v>2.19334319463937</v>
      </c>
      <c r="G116" s="3">
        <v>3.3036357288390401</v>
      </c>
      <c r="H116" s="3">
        <v>4.2100531902499698</v>
      </c>
      <c r="I116" s="3">
        <v>0.88273028216027505</v>
      </c>
      <c r="J116" s="3">
        <v>1.4714230732545801</v>
      </c>
      <c r="K116" s="3">
        <v>3.1324554287356698</v>
      </c>
      <c r="L116" s="3">
        <v>2.4860924614815501</v>
      </c>
      <c r="M116" s="3">
        <v>3.3062375359233598</v>
      </c>
      <c r="N116" s="3">
        <v>5.32621309107531</v>
      </c>
    </row>
    <row r="117" spans="1:25" x14ac:dyDescent="0.35">
      <c r="A117" s="2">
        <v>45379</v>
      </c>
      <c r="B117" s="3">
        <v>2.74179906309109</v>
      </c>
      <c r="C117" s="3">
        <v>3.8980047004834302</v>
      </c>
      <c r="D117" s="3">
        <v>3.1071911927051299</v>
      </c>
      <c r="E117" s="3">
        <v>3.2469229783637799</v>
      </c>
      <c r="F117" s="3">
        <v>2.15769906164831</v>
      </c>
      <c r="G117" s="3">
        <v>3.2623862770418999</v>
      </c>
      <c r="H117" s="3">
        <v>4.0284362028134897</v>
      </c>
      <c r="I117" s="3">
        <v>0.88255329198518895</v>
      </c>
      <c r="J117" s="3">
        <v>1.42713213163734</v>
      </c>
      <c r="K117" s="3">
        <v>3.0531297120641998</v>
      </c>
      <c r="L117" s="3">
        <v>2.5194957178708899</v>
      </c>
      <c r="M117" s="3">
        <v>3.2305999509815999</v>
      </c>
      <c r="N117" s="3">
        <v>5.0795281782414303</v>
      </c>
    </row>
    <row r="118" spans="1:25" x14ac:dyDescent="0.35">
      <c r="A118" s="2">
        <v>45411</v>
      </c>
      <c r="B118" s="3">
        <v>2.7502367978118101</v>
      </c>
      <c r="C118" s="3">
        <v>4.0178724164912998</v>
      </c>
      <c r="D118" s="3">
        <v>3.09541254878962</v>
      </c>
      <c r="E118" s="3">
        <v>3.3522311080048302</v>
      </c>
      <c r="F118" s="3">
        <v>2.2501363925004298</v>
      </c>
      <c r="G118" s="3">
        <v>3.38103826524166</v>
      </c>
      <c r="H118" s="3">
        <v>3.9210304154884699</v>
      </c>
      <c r="I118" s="3">
        <v>0.92631604550524305</v>
      </c>
      <c r="J118" s="3">
        <v>1.48796980580968</v>
      </c>
      <c r="K118" s="3">
        <v>3.1218430416453198</v>
      </c>
      <c r="L118" s="3">
        <v>2.5623735109903598</v>
      </c>
      <c r="M118" s="3">
        <v>3.2650655022055202</v>
      </c>
      <c r="N118" s="3">
        <v>5.2353612713316098</v>
      </c>
    </row>
    <row r="119" spans="1:25" x14ac:dyDescent="0.35">
      <c r="A119" s="2">
        <v>45441</v>
      </c>
      <c r="B119" s="3">
        <v>2.7593830697207999</v>
      </c>
      <c r="C119" s="3">
        <v>4.01694119163359</v>
      </c>
      <c r="D119" s="3">
        <v>3.2637449483373602</v>
      </c>
      <c r="E119" s="3">
        <v>3.38246482494226</v>
      </c>
      <c r="F119" s="3">
        <v>2.2363584068482698</v>
      </c>
      <c r="G119" s="3">
        <v>3.2698686700363999</v>
      </c>
      <c r="H119" s="3">
        <v>3.9101381640766899</v>
      </c>
      <c r="I119" s="3">
        <v>0.88691288778391297</v>
      </c>
      <c r="J119" s="3">
        <v>1.4436765332155801</v>
      </c>
      <c r="K119" s="3">
        <v>3.1859212718082199</v>
      </c>
      <c r="L119" s="3">
        <v>2.5049984946336599</v>
      </c>
      <c r="M119" s="3">
        <v>3.22925970660016</v>
      </c>
      <c r="N119" s="3">
        <v>5.2987671830235303</v>
      </c>
    </row>
    <row r="120" spans="1:25" x14ac:dyDescent="0.35">
      <c r="A120" s="2">
        <v>45471</v>
      </c>
      <c r="B120" s="3">
        <v>2.762752008838</v>
      </c>
      <c r="C120" s="3">
        <v>3.9305159471094799</v>
      </c>
      <c r="D120" s="3">
        <v>3.3495075901817901</v>
      </c>
      <c r="E120" s="3">
        <v>3.4187957695237601</v>
      </c>
      <c r="F120" s="3">
        <v>2.2331401690147201</v>
      </c>
      <c r="G120" s="3">
        <v>3.2383399045295498</v>
      </c>
      <c r="H120" s="3">
        <v>3.97959794272042</v>
      </c>
      <c r="I120" s="3">
        <v>0.84364685750943902</v>
      </c>
      <c r="J120" s="3">
        <v>1.40768185019047</v>
      </c>
      <c r="K120" s="3">
        <v>3.3940585043489202</v>
      </c>
      <c r="L120" s="3">
        <v>2.5114926202242498</v>
      </c>
      <c r="M120" s="3">
        <v>3.2309400057573598</v>
      </c>
      <c r="N120" s="3">
        <v>5.4963788307990296</v>
      </c>
    </row>
    <row r="121" spans="1:25" x14ac:dyDescent="0.35">
      <c r="A121" s="2">
        <v>45502</v>
      </c>
      <c r="B121" s="3">
        <v>2.67421207278863</v>
      </c>
      <c r="C121" s="3">
        <v>3.81952776983732</v>
      </c>
      <c r="D121" s="3">
        <v>3.2249682776258002</v>
      </c>
      <c r="E121" s="3">
        <v>3.4236619984765202</v>
      </c>
      <c r="F121" s="3">
        <v>2.3122468529510298</v>
      </c>
      <c r="G121" s="3">
        <v>3.1739419203757899</v>
      </c>
      <c r="H121" s="3">
        <v>3.8697033744923299</v>
      </c>
      <c r="I121" s="3">
        <v>0.86560194670005697</v>
      </c>
      <c r="J121" s="3">
        <v>1.4165719295920101</v>
      </c>
      <c r="K121" s="3">
        <v>3.4023766782449698</v>
      </c>
      <c r="L121" s="3">
        <v>2.60381884053478</v>
      </c>
      <c r="M121" s="3">
        <v>3.2243638129479901</v>
      </c>
      <c r="N121" s="3">
        <v>5.3329832225599398</v>
      </c>
    </row>
    <row r="122" spans="1:25" x14ac:dyDescent="0.35">
      <c r="A122" s="2">
        <v>45530</v>
      </c>
      <c r="B122" s="3">
        <v>2.4932201980892801</v>
      </c>
      <c r="C122" s="3">
        <v>3.7329493673179099</v>
      </c>
      <c r="D122" s="3">
        <v>3.1596402450285499</v>
      </c>
      <c r="E122" s="3">
        <v>3.3949028669308898</v>
      </c>
      <c r="F122" s="3">
        <v>2.42368715063833</v>
      </c>
      <c r="G122" s="3">
        <v>3.1041594967951101</v>
      </c>
      <c r="H122" s="3">
        <v>3.8293480419238302</v>
      </c>
      <c r="I122" s="3">
        <v>0.84566670997854698</v>
      </c>
      <c r="J122" s="3">
        <v>1.37946466302865</v>
      </c>
      <c r="K122" s="3">
        <v>3.3555233185076299</v>
      </c>
      <c r="L122" s="3">
        <v>2.6257395941572002</v>
      </c>
      <c r="M122" s="3">
        <v>3.2363903013254101</v>
      </c>
      <c r="N122" s="3">
        <v>5.3708328542757897</v>
      </c>
    </row>
    <row r="125" spans="1:25" x14ac:dyDescent="0.35">
      <c r="A125" s="2" t="s">
        <v>91</v>
      </c>
      <c r="B125" s="3" cm="1">
        <f t="array" ref="B125">MIN(_xlfn._xlws.FILTER(B1:B122, ISNUMBER(B1:B122)))</f>
        <v>2.2934960531125301</v>
      </c>
      <c r="C125" s="3" cm="1">
        <f t="array" ref="C125">MIN(_xlfn._xlws.FILTER(C1:C122, ISNUMBER(C1:C122)))</f>
        <v>3.3797928597537701</v>
      </c>
      <c r="D125" s="3" cm="1">
        <f t="array" ref="D125">MIN(_xlfn._xlws.FILTER(D1:D122, ISNUMBER(D1:D122)))</f>
        <v>2.62112529194407</v>
      </c>
      <c r="E125" s="3" cm="1">
        <f t="array" ref="E125">MIN(_xlfn._xlws.FILTER(E1:E122, ISNUMBER(E1:E122)))</f>
        <v>2.7015323768703898</v>
      </c>
      <c r="F125" s="3" cm="1">
        <f t="array" ref="F125">MIN(_xlfn._xlws.FILTER(F1:F122, ISNUMBER(F1:F122)))</f>
        <v>1.8118766219287299</v>
      </c>
      <c r="G125" s="3" cm="1">
        <f t="array" ref="G125">MIN(_xlfn._xlws.FILTER(G1:G122, ISNUMBER(G1:G122)))</f>
        <v>2.5181806080540001</v>
      </c>
      <c r="H125" s="3" cm="1">
        <f t="array" ref="H125">MIN(_xlfn._xlws.FILTER(H1:H122, ISNUMBER(H1:H122)))</f>
        <v>3.8293480419238302</v>
      </c>
      <c r="I125" s="3" cm="1">
        <f t="array" ref="I125">MIN(_xlfn._xlws.FILTER(I1:I122, ISNUMBER(I1:I122)))</f>
        <v>0.66056402568873696</v>
      </c>
      <c r="J125" s="3" cm="1">
        <f t="array" ref="J125">MIN(_xlfn._xlws.FILTER(J1:J122, ISNUMBER(J1:J122)))</f>
        <v>1.3469478677389899</v>
      </c>
      <c r="K125" s="3" cm="1">
        <f t="array" ref="K125">MIN(_xlfn._xlws.FILTER(K1:K122, ISNUMBER(K1:K122)))</f>
        <v>2.6688263919199202</v>
      </c>
      <c r="L125" s="3" cm="1">
        <f t="array" ref="L125">MIN(_xlfn._xlws.FILTER(L1:L122, ISNUMBER(L1:L122)))</f>
        <v>1.8301757940090599</v>
      </c>
      <c r="M125" s="3" cm="1">
        <f t="array" ref="M125">MIN(_xlfn._xlws.FILTER(M1:M122, ISNUMBER(M1:M122)))</f>
        <v>2.6823462002404299</v>
      </c>
      <c r="N125" s="3" cm="1">
        <f t="array" ref="N125">MIN(_xlfn._xlws.FILTER(N1:N122, ISNUMBER(N1:N122)))</f>
        <v>3.125377393635</v>
      </c>
    </row>
    <row r="126" spans="1:25" x14ac:dyDescent="0.35">
      <c r="A126" s="2" t="s">
        <v>92</v>
      </c>
      <c r="B126" s="3" cm="1">
        <f t="array" ref="B126">MAX(_xlfn._xlws.FILTER(B1:B122, ISNUMBER(B1:B122)))</f>
        <v>5.2431222976230698</v>
      </c>
      <c r="C126" s="3" cm="1">
        <f t="array" ref="C126">MAX(_xlfn._xlws.FILTER(C1:C122, ISNUMBER(C1:C122)))</f>
        <v>5.6295156791342098</v>
      </c>
      <c r="D126" s="3" cm="1">
        <f t="array" ref="D126">MAX(_xlfn._xlws.FILTER(D1:D122, ISNUMBER(D1:D122)))</f>
        <v>4.56688179580767</v>
      </c>
      <c r="E126" s="3" cm="1">
        <f t="array" ref="E126">MAX(_xlfn._xlws.FILTER(E1:E122, ISNUMBER(E1:E122)))</f>
        <v>4.5375692295384198</v>
      </c>
      <c r="F126" s="3" cm="1">
        <f t="array" ref="F126">MAX(_xlfn._xlws.FILTER(F1:F122, ISNUMBER(F1:F122)))</f>
        <v>2.8719650953409199</v>
      </c>
      <c r="G126" s="3" cm="1">
        <f t="array" ref="G126">MAX(_xlfn._xlws.FILTER(G1:G122, ISNUMBER(G1:G122)))</f>
        <v>3.7001769328768299</v>
      </c>
      <c r="H126" s="3" cm="1">
        <f t="array" ref="H126">MAX(_xlfn._xlws.FILTER(H1:H122, ISNUMBER(H1:H122)))</f>
        <v>6.4011021380143802</v>
      </c>
      <c r="I126" s="3" cm="1">
        <f t="array" ref="I126">MAX(_xlfn._xlws.FILTER(I1:I122, ISNUMBER(I1:I122)))</f>
        <v>1.43333808245686</v>
      </c>
      <c r="J126" s="3" cm="1">
        <f t="array" ref="J126">MAX(_xlfn._xlws.FILTER(J1:J122, ISNUMBER(J1:J122)))</f>
        <v>2.4777813634036998</v>
      </c>
      <c r="K126" s="3" cm="1">
        <f t="array" ref="K126">MAX(_xlfn._xlws.FILTER(K1:K122, ISNUMBER(K1:K122)))</f>
        <v>4.3959183973467297</v>
      </c>
      <c r="L126" s="3" cm="1">
        <f t="array" ref="L126">MAX(_xlfn._xlws.FILTER(L1:L122, ISNUMBER(L1:L122)))</f>
        <v>3.6798457111554099</v>
      </c>
      <c r="M126" s="3" cm="1">
        <f t="array" ref="M126">MAX(_xlfn._xlws.FILTER(M1:M122, ISNUMBER(M1:M122)))</f>
        <v>4.7485723970453302</v>
      </c>
      <c r="N126" s="3" cm="1">
        <f t="array" ref="N126">MAX(_xlfn._xlws.FILTER(N1:N122, ISNUMBER(N1:N122)))</f>
        <v>6.3224917830841099</v>
      </c>
    </row>
    <row r="128" spans="1:25" x14ac:dyDescent="0.35">
      <c r="A128" s="2" t="s">
        <v>93</v>
      </c>
      <c r="B128" s="9" cm="1">
        <f t="array" ref="B128">_xlfn.PERCENTRANK.EXC(_xlfn._xlws.FILTER(B1:B122, ISNUMBER(B1:B122)),B122)</f>
        <v>6.5000000000000002E-2</v>
      </c>
      <c r="C128" s="9" cm="1">
        <f t="array" ref="C128">_xlfn.PERCENTRANK.EXC(_xlfn._xlws.FILTER(C1:C122, ISNUMBER(C1:C122)),C122)</f>
        <v>7.2999999999999995E-2</v>
      </c>
      <c r="D128" s="9" cm="1">
        <f t="array" ref="D128">_xlfn.PERCENTRANK.EXC(_xlfn._xlws.FILTER(D1:D122, ISNUMBER(D1:D122)),D122)</f>
        <v>0.51600000000000001</v>
      </c>
      <c r="E128" s="9" cm="1">
        <f t="array" ref="E128">_xlfn.PERCENTRANK.EXC(_xlfn._xlws.FILTER(E1:E122, ISNUMBER(E1:E122)),E122)</f>
        <v>0.63900000000000001</v>
      </c>
      <c r="F128" s="9" cm="1">
        <f t="array" ref="F128">_xlfn.PERCENTRANK.EXC(_xlfn._xlws.FILTER(F1:F122, ISNUMBER(F1:F122)),F122)</f>
        <v>0.63900000000000001</v>
      </c>
      <c r="G128" s="9" cm="1">
        <f t="array" ref="G128">_xlfn.PERCENTRANK.EXC(_xlfn._xlws.FILTER(G1:G122, ISNUMBER(G1:G122)),G122)</f>
        <v>0.254</v>
      </c>
      <c r="H128" s="9" cm="1">
        <f t="array" ref="H128">_xlfn.PERCENTRANK.EXC(_xlfn._xlws.FILTER(H1:H122, ISNUMBER(H1:H122)),H122)</f>
        <v>8.0000000000000002E-3</v>
      </c>
      <c r="I128" s="9" cm="1">
        <f t="array" ref="I128">_xlfn.PERCENTRANK.EXC(_xlfn._xlws.FILTER(I1:I122, ISNUMBER(I1:I122)),I122)</f>
        <v>0.19600000000000001</v>
      </c>
      <c r="J128" s="9" cm="1">
        <f t="array" ref="J128">_xlfn.PERCENTRANK.EXC(_xlfn._xlws.FILTER(J1:J122, ISNUMBER(J1:J122)),J122)</f>
        <v>1.6E-2</v>
      </c>
      <c r="K128" s="9" cm="1">
        <f t="array" ref="K128">_xlfn.PERCENTRANK.EXC(_xlfn._xlws.FILTER(K1:K122, ISNUMBER(K1:K122)),K122)</f>
        <v>0.46700000000000003</v>
      </c>
      <c r="L128" s="9" cm="1">
        <f t="array" ref="L128">_xlfn.PERCENTRANK.EXC(_xlfn._xlws.FILTER(L1:L122, ISNUMBER(L1:L122)),L122)</f>
        <v>0.29499999999999998</v>
      </c>
      <c r="M128" s="9" cm="1">
        <f t="array" ref="M128">_xlfn.PERCENTRANK.EXC(_xlfn._xlws.FILTER(M1:M122, ISNUMBER(M1:M122)),M122)</f>
        <v>0.22900000000000001</v>
      </c>
      <c r="N128" s="9" cm="1">
        <f t="array" ref="N128">_xlfn.PERCENTRANK.EXC(_xlfn._xlws.FILTER(N1:N122, ISNUMBER(N1:N122)),N122)</f>
        <v>0.81899999999999995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39"/>
  <sheetViews>
    <sheetView topLeftCell="A106" workbookViewId="0">
      <selection activeCell="B132" sqref="B132"/>
    </sheetView>
  </sheetViews>
  <sheetFormatPr defaultRowHeight="14.5" x14ac:dyDescent="0.35"/>
  <cols>
    <col min="1" max="1" width="24.54296875" bestFit="1" customWidth="1"/>
  </cols>
  <sheetData>
    <row r="1" spans="1:26" x14ac:dyDescent="0.35"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26" x14ac:dyDescent="0.35">
      <c r="A2" s="2" cm="1">
        <f t="array" ref="A2:A122">_xll.FDS(B1,"JULIAN(FG_TOTAL_RETURNC(-10AY,0,AM).dates)")</f>
        <v>41880</v>
      </c>
      <c r="B2" s="24" cm="1">
        <f t="array" ref="B2:B122">_xll.FDS(B1,"FG_TOTAL_RETURNC(-10AY,0,AM)")/100</f>
        <v>-4.8953294999999999E-4</v>
      </c>
      <c r="C2" s="24" cm="1">
        <f t="array" ref="C2:C122">_xll.FDS(C1,"FG_TOTAL_RETURNC(-10AY,0,AM)")/100</f>
        <v>9.2902183999999995E-3</v>
      </c>
      <c r="D2" s="24" cm="1">
        <f t="array" ref="D2:D122">_xll.FDS(D1,"FG_TOTAL_RETURNC(-10AY,0,AM)")/100</f>
        <v>1.0766029E-2</v>
      </c>
      <c r="E2" s="24" cm="1">
        <f t="array" ref="E2:E122">_xll.FDS(E1,"FG_TOTAL_RETURNC(-10AY,0,AM)")/100</f>
        <v>-3.5035014000000003E-2</v>
      </c>
      <c r="F2" s="24" cm="1">
        <f t="array" ref="F2:F122">_xll.FDS(F1,"FG_TOTAL_RETURNC(-10AY,0,AM)")/100</f>
        <v>-3.0402599999999998E-2</v>
      </c>
      <c r="G2" s="24" cm="1">
        <f t="array" ref="G2:G122">_xll.FDS(G1,"FG_TOTAL_RETURNC(-10AY,0,AM)")/100</f>
        <v>4.1803121999999995E-3</v>
      </c>
      <c r="H2" s="24" cm="1">
        <f t="array" ref="H2:H122">_xll.FDS(H1,"FG_TOTAL_RETURNC(-10AY,0,AM)")/100</f>
        <v>-1.2024999000000001E-2</v>
      </c>
      <c r="I2" s="24" cm="1">
        <f t="array" ref="I2:I122">_xll.FDS(I1,"FG_TOTAL_RETURNC(-10AY,0,AM)")/100</f>
        <v>3.2919287999999998E-2</v>
      </c>
      <c r="J2" s="24" cm="1">
        <f t="array" ref="J2:J122">_xll.FDS(J1,"FG_TOTAL_RETURNC(-10AY,0,AM)")/100</f>
        <v>1.9091248999999998E-2</v>
      </c>
      <c r="K2" s="24" cm="1">
        <f t="array" ref="K2:K122">_xll.FDS(K1,"FG_TOTAL_RETURNC(-10AY,0,AM)")/100</f>
        <v>-1.7112255E-2</v>
      </c>
      <c r="L2" s="24" cm="1">
        <f t="array" ref="L2:L122">_xll.FDS(L1,"FG_TOTAL_RETURNC(-10AY,0,AM)")/100</f>
        <v>5.3126810000000005E-3</v>
      </c>
      <c r="M2" s="24" cm="1">
        <f t="array" ref="M2:M122">_xll.FDS(M1,"FG_TOTAL_RETURNC(-10AY,0,AM)")/100</f>
        <v>-2.1414279999999997E-2</v>
      </c>
      <c r="N2" s="24" cm="1">
        <f t="array" ref="N2:N122">_xll.FDS(N1,"FG_TOTAL_RETURNC(-10AY,0,AM)")/100</f>
        <v>-4.9970207000000003E-2</v>
      </c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2">
        <v>41911</v>
      </c>
      <c r="B3" s="24">
        <v>-6.3431319999999999E-2</v>
      </c>
      <c r="C3" s="24">
        <v>-0.12371135000000001</v>
      </c>
      <c r="D3" s="24">
        <v>-6.0864267E-2</v>
      </c>
      <c r="E3" s="24">
        <v>-4.0110645E-2</v>
      </c>
      <c r="F3" s="24">
        <v>3.3898354000000005E-3</v>
      </c>
      <c r="G3" s="24">
        <v>-3.4195719999999999E-2</v>
      </c>
      <c r="H3" s="24">
        <v>-4.8198699999999997E-2</v>
      </c>
      <c r="I3" s="24">
        <v>-8.9733004999999998E-3</v>
      </c>
      <c r="J3" s="24">
        <v>-1.1188388E-2</v>
      </c>
      <c r="K3" s="24">
        <v>-4.0623845999999998E-2</v>
      </c>
      <c r="L3" s="24">
        <v>-1.9512176999999999E-2</v>
      </c>
      <c r="M3" s="24">
        <v>-3.5394251000000002E-2</v>
      </c>
      <c r="N3" s="24">
        <v>-2.3794650000000001E-2</v>
      </c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2">
        <v>41941</v>
      </c>
      <c r="B4" s="24">
        <v>3.0854940000000001E-2</v>
      </c>
      <c r="C4" s="24">
        <v>4.7058820000000001E-2</v>
      </c>
      <c r="D4" s="24">
        <v>-3.1756341E-2</v>
      </c>
      <c r="E4" s="24">
        <v>-3.8544654999999997E-2</v>
      </c>
      <c r="F4" s="24">
        <v>-3.7162185E-2</v>
      </c>
      <c r="G4" s="24">
        <v>-1.6317725000000002E-2</v>
      </c>
      <c r="H4" s="24">
        <v>-4.1943729999999999E-2</v>
      </c>
      <c r="I4" s="24">
        <v>1.1758685E-2</v>
      </c>
      <c r="J4" s="24">
        <v>2.88558E-3</v>
      </c>
      <c r="K4" s="24">
        <v>-5.444235E-2</v>
      </c>
      <c r="L4" s="24">
        <v>-3.4411252000000003E-2</v>
      </c>
      <c r="M4" s="24">
        <v>-1.5834391E-2</v>
      </c>
      <c r="N4" s="24">
        <v>-6.7350863999999996E-2</v>
      </c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2">
        <v>41971</v>
      </c>
      <c r="B5" s="24">
        <v>1.4967083999999999E-2</v>
      </c>
      <c r="C5" s="24">
        <v>-5.1765679999999994E-2</v>
      </c>
      <c r="D5" s="24">
        <v>2.0080804999999999E-3</v>
      </c>
      <c r="E5" s="24">
        <v>7.8681109999999999E-2</v>
      </c>
      <c r="F5" s="24">
        <v>1.9298315E-2</v>
      </c>
      <c r="G5" s="24">
        <v>3.8810609999999995E-2</v>
      </c>
      <c r="H5" s="24">
        <v>1.6017198999999999E-2</v>
      </c>
      <c r="I5" s="24">
        <v>6.2118052999999999E-2</v>
      </c>
      <c r="J5" s="24">
        <v>4.5883535999999996E-2</v>
      </c>
      <c r="K5" s="24">
        <v>5.1979183999999998E-2</v>
      </c>
      <c r="L5" s="24">
        <v>6.9557667000000004E-2</v>
      </c>
      <c r="M5" s="24">
        <v>3.7438035000000001E-2</v>
      </c>
      <c r="N5" s="24">
        <v>2.3383737000000002E-2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2">
        <v>42002</v>
      </c>
      <c r="B6" s="24">
        <v>2.7795671999999997E-2</v>
      </c>
      <c r="C6" s="24">
        <v>-1.556915E-2</v>
      </c>
      <c r="D6" s="24">
        <v>-2.2760987E-2</v>
      </c>
      <c r="E6" s="24">
        <v>-2.7092755E-2</v>
      </c>
      <c r="F6" s="24">
        <v>-9.6969010000000008E-3</v>
      </c>
      <c r="G6" s="24">
        <v>-3.1636000000000004E-2</v>
      </c>
      <c r="H6" s="24">
        <v>-2.2059321E-2</v>
      </c>
      <c r="I6" s="24">
        <v>-5.6655407E-3</v>
      </c>
      <c r="J6" s="24">
        <v>1.2871623E-2</v>
      </c>
      <c r="K6" s="24">
        <v>-3.3681034999999998E-2</v>
      </c>
      <c r="L6" s="24">
        <v>-2.3568093999999998E-2</v>
      </c>
      <c r="M6" s="24">
        <v>-3.5918652999999995E-2</v>
      </c>
      <c r="N6" s="24">
        <v>-6.4781847000000004E-2</v>
      </c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2">
        <v>42033</v>
      </c>
      <c r="B7" s="24">
        <v>-2.8250039000000001E-2</v>
      </c>
      <c r="C7" s="24">
        <v>-2.1304964999999999E-2</v>
      </c>
      <c r="D7" s="24">
        <v>-7.9002085E-2</v>
      </c>
      <c r="E7" s="24">
        <v>1.8921851999999999E-2</v>
      </c>
      <c r="F7" s="24">
        <v>2.1853090000000002E-2</v>
      </c>
      <c r="G7" s="24">
        <v>-2.8002261999999999E-3</v>
      </c>
      <c r="H7" s="24">
        <v>6.5753459999999993E-3</v>
      </c>
      <c r="I7" s="24">
        <v>-2.9803812999999998E-2</v>
      </c>
      <c r="J7" s="24">
        <v>-3.2243192000000004E-2</v>
      </c>
      <c r="K7" s="24">
        <v>9.5237493999999999E-3</v>
      </c>
      <c r="L7" s="24">
        <v>2.8877258000000001E-3</v>
      </c>
      <c r="M7" s="24">
        <v>1.6827702999999999E-2</v>
      </c>
      <c r="N7" s="24">
        <v>9.4066859999999992E-3</v>
      </c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2">
        <v>42062</v>
      </c>
      <c r="B8" s="24">
        <v>5.3511740000000002E-2</v>
      </c>
      <c r="C8" s="24">
        <v>7.3922990000000008E-2</v>
      </c>
      <c r="D8" s="24">
        <v>5.4176089999999996E-2</v>
      </c>
      <c r="E8" s="24">
        <v>4.0644646E-2</v>
      </c>
      <c r="F8" s="24">
        <v>5.6458592000000002E-2</v>
      </c>
      <c r="G8" s="24">
        <v>3.9625645000000001E-2</v>
      </c>
      <c r="H8" s="24">
        <v>3.9738654999999998E-2</v>
      </c>
      <c r="I8" s="24">
        <v>6.3892483999999999E-2</v>
      </c>
      <c r="J8" s="24">
        <v>4.2921899999999999E-2</v>
      </c>
      <c r="K8" s="24">
        <v>4.1666626999999998E-2</v>
      </c>
      <c r="L8" s="24">
        <v>5.2653313E-2</v>
      </c>
      <c r="M8" s="24">
        <v>6.4051510000000006E-2</v>
      </c>
      <c r="N8" s="24">
        <v>6.6666719999999999E-2</v>
      </c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2">
        <v>42090</v>
      </c>
      <c r="B9" s="24">
        <v>-4.8840045999999995E-4</v>
      </c>
      <c r="C9" s="24">
        <v>-1.2668967E-2</v>
      </c>
      <c r="D9" s="24">
        <v>-3.3904374000000001E-2</v>
      </c>
      <c r="E9" s="24">
        <v>1.3468027E-2</v>
      </c>
      <c r="F9" s="24">
        <v>3.0769109999999999E-2</v>
      </c>
      <c r="G9" s="24">
        <v>1.0204077000000001E-2</v>
      </c>
      <c r="H9" s="24">
        <v>-3.9790569999999997E-2</v>
      </c>
      <c r="I9" s="24">
        <v>-2.4343370999999999E-2</v>
      </c>
      <c r="J9" s="24">
        <v>-1.9034684E-2</v>
      </c>
      <c r="K9" s="24">
        <v>-3.0188559999999999E-3</v>
      </c>
      <c r="L9" s="24">
        <v>-5.0801635000000001E-3</v>
      </c>
      <c r="M9" s="24">
        <v>-3.1682073999999998E-2</v>
      </c>
      <c r="N9" s="24">
        <v>1.3440847E-3</v>
      </c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2">
        <v>42123</v>
      </c>
      <c r="B10" s="24">
        <v>-7.5739620000000001E-3</v>
      </c>
      <c r="C10" s="24">
        <v>1.8391847999999999E-2</v>
      </c>
      <c r="D10" s="24">
        <v>9.1244939999999997E-2</v>
      </c>
      <c r="E10" s="24">
        <v>-1.5614629E-2</v>
      </c>
      <c r="F10" s="24">
        <v>3.6920666999999997E-2</v>
      </c>
      <c r="G10" s="24">
        <v>2.7926326000000001E-2</v>
      </c>
      <c r="H10" s="24">
        <v>5.8887720000000005E-2</v>
      </c>
      <c r="I10" s="24">
        <v>3.6296487000000002E-2</v>
      </c>
      <c r="J10" s="24">
        <v>2.3476243000000001E-2</v>
      </c>
      <c r="K10" s="24">
        <v>2.4981021999999999E-2</v>
      </c>
      <c r="L10" s="24">
        <v>2.7101397999999999E-2</v>
      </c>
      <c r="M10" s="24">
        <v>2.022612E-2</v>
      </c>
      <c r="N10" s="24">
        <v>2.2147654999999999E-2</v>
      </c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2">
        <v>42153</v>
      </c>
      <c r="B11" s="24">
        <v>-6.1546030000000002E-2</v>
      </c>
      <c r="C11" s="24">
        <v>-5.3338884999999996E-2</v>
      </c>
      <c r="D11" s="24">
        <v>-5.9580206999999996E-2</v>
      </c>
      <c r="E11" s="24">
        <v>-1.7549752999999998E-2</v>
      </c>
      <c r="F11" s="24">
        <v>-1.1363626E-2</v>
      </c>
      <c r="G11" s="24">
        <v>2.3121475999999998E-2</v>
      </c>
      <c r="H11" s="24">
        <v>-4.6343803000000001E-3</v>
      </c>
      <c r="I11" s="24">
        <v>6.4015390000000004E-3</v>
      </c>
      <c r="J11" s="24">
        <v>2.7068852999999997E-3</v>
      </c>
      <c r="K11" s="24">
        <v>-5.5391190000000003E-3</v>
      </c>
      <c r="L11" s="24">
        <v>1.6061186999999998E-2</v>
      </c>
      <c r="M11" s="24">
        <v>-9.9125503999999993E-3</v>
      </c>
      <c r="N11" s="24">
        <v>2.1667838000000002E-2</v>
      </c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2">
        <v>42184</v>
      </c>
      <c r="B12" s="24">
        <v>-6.2665404999999993E-2</v>
      </c>
      <c r="C12" s="24">
        <v>-5.0288915999999996E-2</v>
      </c>
      <c r="D12" s="24">
        <v>-2.9664217999999999E-2</v>
      </c>
      <c r="E12" s="24">
        <v>-1.7594039999999998E-2</v>
      </c>
      <c r="F12" s="24">
        <v>-1.8059254E-2</v>
      </c>
      <c r="G12" s="24">
        <v>-4.0615079999999998E-2</v>
      </c>
      <c r="H12" s="24">
        <v>-3.3397198000000003E-2</v>
      </c>
      <c r="I12" s="24">
        <v>-2.8289377999999997E-2</v>
      </c>
      <c r="J12" s="24">
        <v>-2.2337197999999999E-2</v>
      </c>
      <c r="K12" s="24">
        <v>-1.6311764999999999E-2</v>
      </c>
      <c r="L12" s="24">
        <v>-1.9065142E-2</v>
      </c>
      <c r="M12" s="24">
        <v>-1.9684075999999998E-2</v>
      </c>
      <c r="N12" s="24">
        <v>-2.6199996E-2</v>
      </c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2">
        <v>42214</v>
      </c>
      <c r="B13" s="24">
        <v>6.0292480000000001E-3</v>
      </c>
      <c r="C13" s="24">
        <v>-5.2630900000000006E-3</v>
      </c>
      <c r="D13" s="24">
        <v>-4.6728970000000002E-2</v>
      </c>
      <c r="E13" s="24">
        <v>3.9131640000000002E-3</v>
      </c>
      <c r="F13" s="24">
        <v>4.7059060000000002E-3</v>
      </c>
      <c r="G13" s="24">
        <v>2.2007941999999999E-2</v>
      </c>
      <c r="H13" s="24">
        <v>1.6348362E-3</v>
      </c>
      <c r="I13" s="24">
        <v>4.5552490000000001E-2</v>
      </c>
      <c r="J13" s="24">
        <v>2.6044250000000001E-2</v>
      </c>
      <c r="K13" s="24">
        <v>1.8810034E-2</v>
      </c>
      <c r="L13" s="24">
        <v>2.3291944999999998E-2</v>
      </c>
      <c r="M13" s="24">
        <v>-1.4303445999999999E-2</v>
      </c>
      <c r="N13" s="24">
        <v>2.9549956000000002E-2</v>
      </c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2">
        <v>42244</v>
      </c>
      <c r="B14" s="24">
        <v>-6.3070773999999996E-2</v>
      </c>
      <c r="C14" s="24">
        <v>-7.8884124999999999E-2</v>
      </c>
      <c r="D14" s="24">
        <v>-5.0980387000000002E-2</v>
      </c>
      <c r="E14" s="24">
        <v>-6.5910634999999995E-2</v>
      </c>
      <c r="F14" s="24">
        <v>-3.9031982E-2</v>
      </c>
      <c r="G14" s="24">
        <v>-5.9882045000000002E-2</v>
      </c>
      <c r="H14" s="24">
        <v>-6.6920519999999997E-2</v>
      </c>
      <c r="I14" s="24">
        <v>-5.3160010000000001E-2</v>
      </c>
      <c r="J14" s="24">
        <v>-5.4514409999999999E-2</v>
      </c>
      <c r="K14" s="24">
        <v>-5.5764913999999999E-2</v>
      </c>
      <c r="L14" s="24">
        <v>-7.2837650000000004E-2</v>
      </c>
      <c r="M14" s="24">
        <v>-3.8170397000000002E-2</v>
      </c>
      <c r="N14" s="24">
        <v>-3.065884E-2</v>
      </c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">
        <v>42276</v>
      </c>
      <c r="B15" s="24">
        <v>-3.1678379E-2</v>
      </c>
      <c r="C15" s="24">
        <v>-8.6684049999999999E-2</v>
      </c>
      <c r="D15" s="24">
        <v>-7.7272773000000003E-2</v>
      </c>
      <c r="E15" s="24">
        <v>-7.359636E-2</v>
      </c>
      <c r="F15" s="24">
        <v>-9.0983029999999993E-2</v>
      </c>
      <c r="G15" s="24">
        <v>-6.0872316000000003E-2</v>
      </c>
      <c r="H15" s="24">
        <v>-6.5889176999999993E-2</v>
      </c>
      <c r="I15" s="24">
        <v>-5.5903196000000002E-2</v>
      </c>
      <c r="J15" s="24">
        <v>-5.1010313000000002E-2</v>
      </c>
      <c r="K15" s="24">
        <v>-5.6264934999999995E-2</v>
      </c>
      <c r="L15" s="24">
        <v>-5.769229E-2</v>
      </c>
      <c r="M15" s="24">
        <v>-6.7891119999999999E-2</v>
      </c>
      <c r="N15" s="24">
        <v>-5.9219359999999999E-2</v>
      </c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x14ac:dyDescent="0.35">
      <c r="A16" s="2">
        <v>42306</v>
      </c>
      <c r="B16" s="24">
        <v>0.13494813999999999</v>
      </c>
      <c r="C16" s="24">
        <v>7.6615214000000001E-2</v>
      </c>
      <c r="D16" s="24">
        <v>8.4191680000000005E-2</v>
      </c>
      <c r="E16" s="24">
        <v>0.107698555</v>
      </c>
      <c r="F16" s="24">
        <v>0.10634506000000001</v>
      </c>
      <c r="G16" s="24">
        <v>6.5820217E-2</v>
      </c>
      <c r="H16" s="24">
        <v>9.300876000000001E-2</v>
      </c>
      <c r="I16" s="24">
        <v>0.14446555999999999</v>
      </c>
      <c r="J16" s="24">
        <v>0.1100893</v>
      </c>
      <c r="K16" s="24">
        <v>8.9640620000000004E-2</v>
      </c>
      <c r="L16" s="24">
        <v>8.8145849999999998E-2</v>
      </c>
      <c r="M16" s="24">
        <v>6.1224460000000001E-2</v>
      </c>
      <c r="N16" s="24">
        <v>6.0801149999999998E-2</v>
      </c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x14ac:dyDescent="0.35">
      <c r="A17" s="2">
        <v>42335</v>
      </c>
      <c r="B17" s="24">
        <v>-1.6075432000000001E-2</v>
      </c>
      <c r="C17" s="24">
        <v>1.0090350999999999E-2</v>
      </c>
      <c r="D17" s="24">
        <v>-4.5435724000000004E-2</v>
      </c>
      <c r="E17" s="24">
        <v>4.4362544999999995E-3</v>
      </c>
      <c r="F17" s="24">
        <v>8.0775020000000003E-3</v>
      </c>
      <c r="G17" s="24">
        <v>-3.3542335E-2</v>
      </c>
      <c r="H17" s="24">
        <v>-1.8846392999999999E-2</v>
      </c>
      <c r="I17" s="24">
        <v>4.1285752999999994E-3</v>
      </c>
      <c r="J17" s="24">
        <v>3.4956932000000003E-3</v>
      </c>
      <c r="K17" s="24">
        <v>-2.4447082999999998E-2</v>
      </c>
      <c r="L17" s="24">
        <v>-7.1827770000000004E-3</v>
      </c>
      <c r="M17" s="24">
        <v>-6.6313149999999996E-3</v>
      </c>
      <c r="N17" s="24">
        <v>-3.1018198E-2</v>
      </c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x14ac:dyDescent="0.35">
      <c r="A18" s="2">
        <v>42367</v>
      </c>
      <c r="B18" s="24">
        <v>7.9980609999999994E-2</v>
      </c>
      <c r="C18" s="24">
        <v>3.7654160999999998E-2</v>
      </c>
      <c r="D18" s="24">
        <v>-3.9487958000000004E-2</v>
      </c>
      <c r="E18" s="24">
        <v>-4.7846437000000006E-3</v>
      </c>
      <c r="F18" s="24">
        <v>-6.4408779999999997E-3</v>
      </c>
      <c r="G18" s="24">
        <v>2.8867959999999998E-2</v>
      </c>
      <c r="H18" s="24">
        <v>-2.5746584000000003E-2</v>
      </c>
      <c r="I18" s="24">
        <v>3.029108E-3</v>
      </c>
      <c r="J18" s="24">
        <v>-4.3125749999999999E-3</v>
      </c>
      <c r="K18" s="24">
        <v>-1.2336313999999999E-2</v>
      </c>
      <c r="L18" s="24">
        <v>-1.3261259000000001E-2</v>
      </c>
      <c r="M18" s="24">
        <v>-1.1467934000000001E-4</v>
      </c>
      <c r="N18" s="24">
        <v>-1.0938168E-2</v>
      </c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x14ac:dyDescent="0.35">
      <c r="A19" s="2">
        <v>42398</v>
      </c>
      <c r="B19" s="24">
        <v>-6.7783059999999992E-2</v>
      </c>
      <c r="C19" s="24">
        <v>-8.1250079999999988E-2</v>
      </c>
      <c r="D19" s="24">
        <v>-4.5205473999999995E-2</v>
      </c>
      <c r="E19" s="24">
        <v>-0.10022193</v>
      </c>
      <c r="F19" s="24">
        <v>-6.5800189999999995E-2</v>
      </c>
      <c r="G19" s="24">
        <v>-8.0706180000000002E-2</v>
      </c>
      <c r="H19" s="24">
        <v>-6.3985404999999995E-2</v>
      </c>
      <c r="I19" s="24">
        <v>-8.897643999999999E-2</v>
      </c>
      <c r="J19" s="24">
        <v>-6.595564000000001E-2</v>
      </c>
      <c r="K19" s="24">
        <v>-5.8609486000000002E-2</v>
      </c>
      <c r="L19" s="24">
        <v>-4.2213079999999993E-2</v>
      </c>
      <c r="M19" s="24">
        <v>-8.5532900000000009E-2</v>
      </c>
      <c r="N19" s="24">
        <v>-0.14820045000000001</v>
      </c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x14ac:dyDescent="0.35">
      <c r="A20" s="2">
        <v>42429</v>
      </c>
      <c r="B20" s="24">
        <v>3.0225276999999998E-2</v>
      </c>
      <c r="C20" s="24">
        <v>-2.0408094000000002E-2</v>
      </c>
      <c r="D20" s="24">
        <v>3.4433246000000001E-2</v>
      </c>
      <c r="E20" s="24">
        <v>-3.9868474000000001E-2</v>
      </c>
      <c r="F20" s="24">
        <v>-5.3043422999999999E-2</v>
      </c>
      <c r="G20" s="24">
        <v>-2.8463661999999997E-2</v>
      </c>
      <c r="H20" s="24">
        <v>-3.125E-2</v>
      </c>
      <c r="I20" s="24">
        <v>-1.5653490999999999E-2</v>
      </c>
      <c r="J20" s="24">
        <v>-8.3005430000000009E-4</v>
      </c>
      <c r="K20" s="24">
        <v>-2.5332750000000001E-2</v>
      </c>
      <c r="L20" s="24">
        <v>-2.6957689999999999E-2</v>
      </c>
      <c r="M20" s="24">
        <v>2.5575160000000001E-3</v>
      </c>
      <c r="N20" s="24">
        <v>-6.5451503000000008E-2</v>
      </c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x14ac:dyDescent="0.35">
      <c r="A21" s="2">
        <v>42458</v>
      </c>
      <c r="B21" s="24">
        <v>0.12122880999999999</v>
      </c>
      <c r="C21" s="24">
        <v>0.11342584999999999</v>
      </c>
      <c r="D21" s="24">
        <v>8.5067030000000002E-2</v>
      </c>
      <c r="E21" s="24">
        <v>9.5462320000000003E-2</v>
      </c>
      <c r="F21" s="24">
        <v>6.8870544000000006E-2</v>
      </c>
      <c r="G21" s="24">
        <v>4.5887710000000005E-2</v>
      </c>
      <c r="H21" s="24">
        <v>5.3763509999999994E-2</v>
      </c>
      <c r="I21" s="24">
        <v>6.4898730000000002E-2</v>
      </c>
      <c r="J21" s="24">
        <v>6.5169454000000002E-2</v>
      </c>
      <c r="K21" s="24">
        <v>6.2995552999999996E-2</v>
      </c>
      <c r="L21" s="24">
        <v>8.3992959999999992E-2</v>
      </c>
      <c r="M21" s="24">
        <v>5.8673380000000004E-2</v>
      </c>
      <c r="N21" s="24">
        <v>8.5106369999999987E-2</v>
      </c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x14ac:dyDescent="0.35">
      <c r="A22" s="2">
        <v>42489</v>
      </c>
      <c r="B22" s="24">
        <v>3.2337785000000001E-2</v>
      </c>
      <c r="C22" s="24">
        <v>3.5862802999999999E-2</v>
      </c>
      <c r="D22" s="24">
        <v>8.2232590000000008E-2</v>
      </c>
      <c r="E22" s="24">
        <v>2.5009750999999997E-2</v>
      </c>
      <c r="F22" s="24">
        <v>-1.8900394000000001E-2</v>
      </c>
      <c r="G22" s="24">
        <v>3.3074617000000001E-2</v>
      </c>
      <c r="H22" s="24">
        <v>4.0178537E-2</v>
      </c>
      <c r="I22" s="24">
        <v>-2.8576671999999997E-2</v>
      </c>
      <c r="J22" s="24">
        <v>5.8989524999999996E-3</v>
      </c>
      <c r="K22" s="24">
        <v>2.5694249999999998E-2</v>
      </c>
      <c r="L22" s="24">
        <v>2.8398036999999999E-3</v>
      </c>
      <c r="M22" s="24">
        <v>4.061961E-2</v>
      </c>
      <c r="N22" s="24">
        <v>3.8398742999999999E-2</v>
      </c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x14ac:dyDescent="0.35">
      <c r="A23" s="2">
        <v>42517</v>
      </c>
      <c r="B23" s="24">
        <v>-1.1623620999999999E-2</v>
      </c>
      <c r="C23" s="24">
        <v>-1.7561495E-2</v>
      </c>
      <c r="D23" s="24">
        <v>-2.6377975999999997E-2</v>
      </c>
      <c r="E23" s="24">
        <v>-8.7685585000000007E-3</v>
      </c>
      <c r="F23" s="24">
        <v>2.4080515E-2</v>
      </c>
      <c r="G23" s="24">
        <v>7.513881E-3</v>
      </c>
      <c r="H23" s="24">
        <v>6.1311720000000007E-3</v>
      </c>
      <c r="I23" s="24">
        <v>4.1713953000000005E-2</v>
      </c>
      <c r="J23" s="24">
        <v>1.8946289999999998E-2</v>
      </c>
      <c r="K23" s="24">
        <v>0</v>
      </c>
      <c r="L23" s="24">
        <v>1.2135982999999999E-2</v>
      </c>
      <c r="M23" s="24">
        <v>-1.7201483E-2</v>
      </c>
      <c r="N23" s="24">
        <v>-3.6192000000000002E-2</v>
      </c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x14ac:dyDescent="0.35">
      <c r="A24" s="2">
        <v>42550</v>
      </c>
      <c r="B24" s="24">
        <v>4.3774010000000002E-2</v>
      </c>
      <c r="C24" s="24">
        <v>-9.6480249999999993E-3</v>
      </c>
      <c r="D24" s="24">
        <v>-6.7316293999999995E-3</v>
      </c>
      <c r="E24" s="24">
        <v>-6.5917489999999995E-2</v>
      </c>
      <c r="F24" s="24">
        <v>-2.5248528000000001E-4</v>
      </c>
      <c r="G24" s="24">
        <v>-3.1966746000000004E-2</v>
      </c>
      <c r="H24" s="24">
        <v>-6.5240499999999993E-2</v>
      </c>
      <c r="I24" s="24">
        <v>-3.2087862000000002E-2</v>
      </c>
      <c r="J24" s="24">
        <v>-1.1895059999999999E-2</v>
      </c>
      <c r="K24" s="24">
        <v>-7.0371210000000003E-2</v>
      </c>
      <c r="L24" s="24">
        <v>-8.2445980000000002E-2</v>
      </c>
      <c r="M24" s="24">
        <v>-6.3283500000000006E-2</v>
      </c>
      <c r="N24" s="24">
        <v>-0.11255855000000001</v>
      </c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x14ac:dyDescent="0.35">
      <c r="A25" s="2">
        <v>42580</v>
      </c>
      <c r="B25" s="24">
        <v>9.2018839999999991E-2</v>
      </c>
      <c r="C25" s="24">
        <v>9.257317000000001E-2</v>
      </c>
      <c r="D25" s="24">
        <v>3.5699606000000002E-2</v>
      </c>
      <c r="E25" s="24">
        <v>8.182202999999999E-2</v>
      </c>
      <c r="F25" s="24">
        <v>3.9655208999999997E-2</v>
      </c>
      <c r="G25" s="24">
        <v>3.8858294000000002E-2</v>
      </c>
      <c r="H25" s="24">
        <v>4.2084217E-2</v>
      </c>
      <c r="I25" s="24">
        <v>8.3905580000000007E-2</v>
      </c>
      <c r="J25" s="24">
        <v>5.0614475999999999E-2</v>
      </c>
      <c r="K25" s="24">
        <v>6.7766430000000002E-2</v>
      </c>
      <c r="L25" s="24">
        <v>6.4074279999999997E-2</v>
      </c>
      <c r="M25" s="24">
        <v>4.7067639999999994E-2</v>
      </c>
      <c r="N25" s="24">
        <v>5.8656572999999997E-2</v>
      </c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x14ac:dyDescent="0.35">
      <c r="A26" s="2">
        <v>42611</v>
      </c>
      <c r="B26" s="24">
        <v>9.458303500000001E-3</v>
      </c>
      <c r="C26" s="24">
        <v>-1.1488735999999999E-2</v>
      </c>
      <c r="D26" s="24">
        <v>1.6244054000000001E-2</v>
      </c>
      <c r="E26" s="24">
        <v>2.417159E-2</v>
      </c>
      <c r="F26" s="24">
        <v>1.6583680999999999E-2</v>
      </c>
      <c r="G26" s="24">
        <v>2.9791594E-3</v>
      </c>
      <c r="H26" s="24">
        <v>1.6025662E-2</v>
      </c>
      <c r="I26" s="24">
        <v>1.4839888000000001E-2</v>
      </c>
      <c r="J26" s="24">
        <v>5.7147740000000006E-3</v>
      </c>
      <c r="K26" s="24">
        <v>-8.3512069999999998E-4</v>
      </c>
      <c r="L26" s="24">
        <v>2.9069780999999999E-2</v>
      </c>
      <c r="M26" s="24">
        <v>3.1038165000000003E-2</v>
      </c>
      <c r="N26" s="24">
        <v>-8.9359279999999997E-4</v>
      </c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x14ac:dyDescent="0.35">
      <c r="A27" s="2">
        <v>42642</v>
      </c>
      <c r="B27" s="24">
        <v>-1.5332162E-2</v>
      </c>
      <c r="C27" s="24">
        <v>4.3584108000000003E-3</v>
      </c>
      <c r="D27" s="24">
        <v>-1.5594363000000001E-3</v>
      </c>
      <c r="E27" s="24">
        <v>-2.2078395000000001E-2</v>
      </c>
      <c r="F27" s="24">
        <v>2.4469852E-2</v>
      </c>
      <c r="G27" s="24">
        <v>5.2804947E-3</v>
      </c>
      <c r="H27" s="24">
        <v>-6.9401263999999997E-3</v>
      </c>
      <c r="I27" s="24">
        <v>1.0221004000000001E-2</v>
      </c>
      <c r="J27" s="24">
        <v>-1.1870742E-2</v>
      </c>
      <c r="K27" s="24">
        <v>-5.4325459999999999E-3</v>
      </c>
      <c r="L27" s="24">
        <v>-6.0533284999999999E-3</v>
      </c>
      <c r="M27" s="24">
        <v>-5.5363180000000001E-3</v>
      </c>
      <c r="N27" s="24">
        <v>-3.3094823000000002E-2</v>
      </c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x14ac:dyDescent="0.35">
      <c r="A28" s="2">
        <v>42671</v>
      </c>
      <c r="B28" s="24">
        <v>-7.0717993000000007E-2</v>
      </c>
      <c r="C28" s="24">
        <v>-2.7965306999999998E-2</v>
      </c>
      <c r="D28" s="24">
        <v>-6.24758E-3</v>
      </c>
      <c r="E28" s="24">
        <v>6.6173077E-3</v>
      </c>
      <c r="F28" s="24">
        <v>4.7770740000000001E-3</v>
      </c>
      <c r="G28" s="24">
        <v>-4.5633609999999998E-2</v>
      </c>
      <c r="H28" s="24">
        <v>-4.6378612999999999E-2</v>
      </c>
      <c r="I28" s="24">
        <v>-6.2797069999999998E-3</v>
      </c>
      <c r="J28" s="24">
        <v>-9.9683403999999993E-3</v>
      </c>
      <c r="K28" s="24">
        <v>1.0924339E-2</v>
      </c>
      <c r="L28" s="24">
        <v>-5.6840780000000004E-3</v>
      </c>
      <c r="M28" s="24">
        <v>-3.3750832000000001E-2</v>
      </c>
      <c r="N28" s="24">
        <v>4.7178506999999995E-2</v>
      </c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x14ac:dyDescent="0.35">
      <c r="A29" s="2">
        <v>42703</v>
      </c>
      <c r="B29" s="24">
        <v>-9.7743270000000011E-3</v>
      </c>
      <c r="C29" s="24">
        <v>3.0753970000000002E-2</v>
      </c>
      <c r="D29" s="24">
        <v>1.571703E-2</v>
      </c>
      <c r="E29" s="24">
        <v>-3.6349594999999998E-2</v>
      </c>
      <c r="F29" s="24">
        <v>-1.0102987000000001E-2</v>
      </c>
      <c r="G29" s="24">
        <v>-2.2359787999999998E-2</v>
      </c>
      <c r="H29" s="24">
        <v>9.9933149999999996E-4</v>
      </c>
      <c r="I29" s="24">
        <v>1.5713095999999999E-2</v>
      </c>
      <c r="J29" s="24">
        <v>3.9380907999999999E-2</v>
      </c>
      <c r="K29" s="24">
        <v>-2.3275136999999998E-2</v>
      </c>
      <c r="L29" s="24">
        <v>-3.6749659999999996E-2</v>
      </c>
      <c r="M29" s="24">
        <v>-1.1523186999999999E-2</v>
      </c>
      <c r="N29" s="24">
        <v>-5.5653753E-2</v>
      </c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x14ac:dyDescent="0.35">
      <c r="A30" s="2">
        <v>42733</v>
      </c>
      <c r="B30" s="24">
        <v>-2.5751412000000001E-2</v>
      </c>
      <c r="C30" s="24">
        <v>6.9749355000000004E-3</v>
      </c>
      <c r="D30" s="24">
        <v>2.2494554999999999E-2</v>
      </c>
      <c r="E30" s="24">
        <v>5.7345629999999995E-2</v>
      </c>
      <c r="F30" s="24">
        <v>-1.0340273000000001E-2</v>
      </c>
      <c r="G30" s="24">
        <v>3.1959413999999998E-2</v>
      </c>
      <c r="H30" s="24">
        <v>2.8692603000000001E-2</v>
      </c>
      <c r="I30" s="24">
        <v>9.4606875999999999E-3</v>
      </c>
      <c r="J30" s="24">
        <v>2.1569251999999997E-2</v>
      </c>
      <c r="K30" s="24">
        <v>4.5873165E-2</v>
      </c>
      <c r="L30" s="24">
        <v>3.2207369999999999E-2</v>
      </c>
      <c r="M30" s="24">
        <v>4.4257999999999999E-2</v>
      </c>
      <c r="N30" s="24">
        <v>0.13762294999999999</v>
      </c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x14ac:dyDescent="0.35">
      <c r="A31" s="2">
        <v>42762</v>
      </c>
      <c r="B31" s="24">
        <v>8.4102744999999993E-2</v>
      </c>
      <c r="C31" s="24">
        <v>5.0049067000000003E-2</v>
      </c>
      <c r="D31" s="24">
        <v>4.1650770000000004E-2</v>
      </c>
      <c r="E31" s="24">
        <v>5.4669740000000001E-2</v>
      </c>
      <c r="F31" s="24">
        <v>3.9893627000000001E-2</v>
      </c>
      <c r="G31" s="24">
        <v>4.7765255E-2</v>
      </c>
      <c r="H31" s="24">
        <v>3.5749434999999996E-2</v>
      </c>
      <c r="I31" s="24">
        <v>5.0872919999999995E-2</v>
      </c>
      <c r="J31" s="24">
        <v>2.0592809E-2</v>
      </c>
      <c r="K31" s="24">
        <v>2.6541470999999997E-2</v>
      </c>
      <c r="L31" s="24">
        <v>3.4109830000000001E-2</v>
      </c>
      <c r="M31" s="24">
        <v>5.4780125999999998E-2</v>
      </c>
      <c r="N31" s="24">
        <v>1.1203289E-2</v>
      </c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x14ac:dyDescent="0.35">
      <c r="A32" s="2">
        <v>42794</v>
      </c>
      <c r="B32" s="24">
        <v>-6.9060326000000005E-3</v>
      </c>
      <c r="C32" s="24">
        <v>2.5701046000000002E-2</v>
      </c>
      <c r="D32" s="24">
        <v>-2.0909726999999999E-2</v>
      </c>
      <c r="E32" s="24">
        <v>-9.3592404999999993E-3</v>
      </c>
      <c r="F32" s="24">
        <v>7.8693630000000007E-3</v>
      </c>
      <c r="G32" s="24">
        <v>1.0745764E-2</v>
      </c>
      <c r="H32" s="24">
        <v>1.0449648000000001E-2</v>
      </c>
      <c r="I32" s="24">
        <v>3.3545375000000002E-2</v>
      </c>
      <c r="J32" s="24">
        <v>3.2755375000000003E-2</v>
      </c>
      <c r="K32" s="24">
        <v>-9.1487765000000006E-3</v>
      </c>
      <c r="L32" s="24">
        <v>2.3732899999999998E-2</v>
      </c>
      <c r="M32" s="24">
        <v>2.646327E-3</v>
      </c>
      <c r="N32" s="24">
        <v>-2.9544592000000001E-2</v>
      </c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x14ac:dyDescent="0.35">
      <c r="A33" s="2">
        <v>42823</v>
      </c>
      <c r="B33" s="24">
        <v>-3.0598044000000001E-2</v>
      </c>
      <c r="C33" s="24">
        <v>3.6446451999999997E-2</v>
      </c>
      <c r="D33" s="24">
        <v>1.3113498999999999E-2</v>
      </c>
      <c r="E33" s="24">
        <v>4.5784950000000005E-2</v>
      </c>
      <c r="F33" s="24">
        <v>2.0300627000000002E-2</v>
      </c>
      <c r="G33" s="24">
        <v>3.543806E-2</v>
      </c>
      <c r="H33" s="24">
        <v>1.9743085E-2</v>
      </c>
      <c r="I33" s="24">
        <v>1.9268751000000001E-2</v>
      </c>
      <c r="J33" s="24">
        <v>4.0864944E-4</v>
      </c>
      <c r="K33" s="24">
        <v>6.3026904999999994E-2</v>
      </c>
      <c r="L33" s="24">
        <v>5.7760239999999997E-2</v>
      </c>
      <c r="M33" s="24">
        <v>4.3550013999999998E-2</v>
      </c>
      <c r="N33" s="24">
        <v>8.9217779999999997E-2</v>
      </c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x14ac:dyDescent="0.35">
      <c r="A34" s="2">
        <v>42853</v>
      </c>
      <c r="B34" s="24">
        <v>1.8173218000000001E-2</v>
      </c>
      <c r="C34" s="24">
        <v>-1.2747288000000001E-2</v>
      </c>
      <c r="D34" s="24">
        <v>-2.8846204E-2</v>
      </c>
      <c r="E34" s="24">
        <v>3.1271696000000002E-2</v>
      </c>
      <c r="F34" s="24">
        <v>-7.8439115999999996E-3</v>
      </c>
      <c r="G34" s="24">
        <v>3.4225344999999997E-2</v>
      </c>
      <c r="H34" s="24">
        <v>1.7209530000000001E-2</v>
      </c>
      <c r="I34" s="24">
        <v>2.8279781E-2</v>
      </c>
      <c r="J34" s="24">
        <v>1.0783792E-2</v>
      </c>
      <c r="K34" s="24">
        <v>5.8157085999999997E-2</v>
      </c>
      <c r="L34" s="24">
        <v>4.3090580000000003E-2</v>
      </c>
      <c r="M34" s="24">
        <v>4.6791077E-2</v>
      </c>
      <c r="N34" s="24">
        <v>2.6785731E-2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x14ac:dyDescent="0.35">
      <c r="A35" s="2">
        <v>42881</v>
      </c>
      <c r="B35" s="24">
        <v>4.0394544999999997E-2</v>
      </c>
      <c r="C35" s="24">
        <v>-3.5173595000000002E-2</v>
      </c>
      <c r="D35" s="24">
        <v>4.5696497000000001E-3</v>
      </c>
      <c r="E35" s="24">
        <v>3.7398934000000002E-2</v>
      </c>
      <c r="F35" s="24">
        <v>2.5453090000000001E-2</v>
      </c>
      <c r="G35" s="24">
        <v>4.9338100000000003E-2</v>
      </c>
      <c r="H35" s="24">
        <v>4.1691900000000004E-2</v>
      </c>
      <c r="I35" s="24">
        <v>3.8458705000000003E-2</v>
      </c>
      <c r="J35" s="24">
        <v>1.5246987E-2</v>
      </c>
      <c r="K35" s="24">
        <v>4.8179865000000002E-2</v>
      </c>
      <c r="L35" s="24">
        <v>4.9145219999999996E-2</v>
      </c>
      <c r="M35" s="24">
        <v>2.9598236E-2</v>
      </c>
      <c r="N35" s="24">
        <v>7.1455599999999994E-2</v>
      </c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x14ac:dyDescent="0.35">
      <c r="A36" s="2">
        <v>42915</v>
      </c>
      <c r="B36" s="24">
        <v>5.960667E-2</v>
      </c>
      <c r="C36" s="24">
        <v>2.8118134000000003E-2</v>
      </c>
      <c r="D36" s="24">
        <v>2.3917793999999999E-2</v>
      </c>
      <c r="E36" s="24">
        <v>5.8995485000000007E-3</v>
      </c>
      <c r="F36" s="24">
        <v>1.1930346000000001E-2</v>
      </c>
      <c r="G36" s="24">
        <v>5.2754880000000001E-3</v>
      </c>
      <c r="H36" s="24">
        <v>-1.2263535999999998E-2</v>
      </c>
      <c r="I36" s="24">
        <v>-2.3035823999999996E-2</v>
      </c>
      <c r="J36" s="24">
        <v>3.3793450000000002E-3</v>
      </c>
      <c r="K36" s="24">
        <v>-2.8002858000000003E-3</v>
      </c>
      <c r="L36" s="24">
        <v>-9.7308159999999998E-3</v>
      </c>
      <c r="M36" s="24">
        <v>1.2211560999999999E-2</v>
      </c>
      <c r="N36" s="24">
        <v>-1.2004375499999999E-3</v>
      </c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x14ac:dyDescent="0.35">
      <c r="A37" s="2">
        <v>42944</v>
      </c>
      <c r="B37" s="24">
        <v>2.7560709999999999E-2</v>
      </c>
      <c r="C37" s="24">
        <v>3.7614702999999999E-2</v>
      </c>
      <c r="D37" s="24">
        <v>4.1433334000000002E-2</v>
      </c>
      <c r="E37" s="24">
        <v>1.0204077000000001E-2</v>
      </c>
      <c r="F37" s="24">
        <v>2.0759343999999999E-2</v>
      </c>
      <c r="G37" s="24">
        <v>1.1650324E-3</v>
      </c>
      <c r="H37" s="24">
        <v>1.9513606999999999E-2</v>
      </c>
      <c r="I37" s="24">
        <v>4.5424819999999998E-2</v>
      </c>
      <c r="J37" s="24">
        <v>2.3037076E-2</v>
      </c>
      <c r="K37" s="24">
        <v>2.4661303000000002E-2</v>
      </c>
      <c r="L37" s="24">
        <v>6.2803626000000001E-2</v>
      </c>
      <c r="M37" s="24">
        <v>1.4819264E-2</v>
      </c>
      <c r="N37" s="24">
        <v>6.3309309999999994E-2</v>
      </c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x14ac:dyDescent="0.35">
      <c r="A38" s="2">
        <v>42976</v>
      </c>
      <c r="B38" s="24">
        <v>-1.9852161E-2</v>
      </c>
      <c r="C38" s="24">
        <v>-5.7471989999999997E-3</v>
      </c>
      <c r="D38" s="24">
        <v>-8.9605450000000003E-3</v>
      </c>
      <c r="E38" s="24">
        <v>1.6291141999999999E-3</v>
      </c>
      <c r="F38" s="24">
        <v>-4.9468875000000002E-3</v>
      </c>
      <c r="G38" s="24">
        <v>-5.5280329999999999E-3</v>
      </c>
      <c r="H38" s="24">
        <v>-1.207304E-2</v>
      </c>
      <c r="I38" s="24">
        <v>-6.0483812999999999E-3</v>
      </c>
      <c r="J38" s="24">
        <v>-8.3431005000000006E-3</v>
      </c>
      <c r="K38" s="24">
        <v>4.4068097999999997E-3</v>
      </c>
      <c r="L38" s="24">
        <v>-4.8971175999999996E-3</v>
      </c>
      <c r="M38" s="24">
        <v>2.6285648000000002E-3</v>
      </c>
      <c r="N38" s="24">
        <v>2.3004055000000002E-2</v>
      </c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x14ac:dyDescent="0.35">
      <c r="A39" s="2">
        <v>43007</v>
      </c>
      <c r="B39" s="24">
        <v>1.5298367E-2</v>
      </c>
      <c r="C39" s="24">
        <v>-2.2231935999999998E-3</v>
      </c>
      <c r="D39" s="24">
        <v>4.66547E-2</v>
      </c>
      <c r="E39" s="24">
        <v>5.49773E-2</v>
      </c>
      <c r="F39" s="24">
        <v>2.5777936000000001E-2</v>
      </c>
      <c r="G39" s="24">
        <v>2.4868250000000001E-2</v>
      </c>
      <c r="H39" s="24">
        <v>3.8748144999999998E-2</v>
      </c>
      <c r="I39" s="24">
        <v>1.9578695E-2</v>
      </c>
      <c r="J39" s="24">
        <v>3.1140089999999999E-2</v>
      </c>
      <c r="K39" s="24">
        <v>4.2861940000000001E-2</v>
      </c>
      <c r="L39" s="24">
        <v>2.9855610000000001E-2</v>
      </c>
      <c r="M39" s="24">
        <v>4.5150040000000002E-2</v>
      </c>
      <c r="N39" s="24">
        <v>3.7037015E-2</v>
      </c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x14ac:dyDescent="0.35">
      <c r="A40" s="2">
        <v>43035</v>
      </c>
      <c r="B40" s="24">
        <v>-3.0772507000000001E-2</v>
      </c>
      <c r="C40" s="24">
        <v>1.6042708999999999E-2</v>
      </c>
      <c r="D40" s="24">
        <v>-3.8009882E-3</v>
      </c>
      <c r="E40" s="24">
        <v>9.5590352999999992E-3</v>
      </c>
      <c r="F40" s="24">
        <v>4.8644779999999999E-2</v>
      </c>
      <c r="G40" s="24">
        <v>-2.3122965999999998E-2</v>
      </c>
      <c r="H40" s="24">
        <v>-4.8779844999999999E-3</v>
      </c>
      <c r="I40" s="24">
        <v>3.9807558E-2</v>
      </c>
      <c r="J40" s="24">
        <v>2.5793075999999998E-2</v>
      </c>
      <c r="K40" s="24">
        <v>9.7087619999999993E-3</v>
      </c>
      <c r="L40" s="24">
        <v>2.2300481999999997E-3</v>
      </c>
      <c r="M40" s="24">
        <v>-8.0825089999999999E-3</v>
      </c>
      <c r="N40" s="24">
        <v>-2.3915826999999997E-2</v>
      </c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x14ac:dyDescent="0.35">
      <c r="A41" s="2">
        <v>43068</v>
      </c>
      <c r="B41" s="24">
        <v>-2.4085044999999999E-3</v>
      </c>
      <c r="C41" s="24">
        <v>1.3158321000000001E-3</v>
      </c>
      <c r="D41" s="24">
        <v>1.0405778999999999E-3</v>
      </c>
      <c r="E41" s="24">
        <v>1.1911988E-2</v>
      </c>
      <c r="F41" s="24">
        <v>2.4477959000000001E-2</v>
      </c>
      <c r="G41" s="24">
        <v>2.0455836999999998E-2</v>
      </c>
      <c r="H41" s="24">
        <v>1.0092258E-2</v>
      </c>
      <c r="I41" s="24">
        <v>1.7323375000000002E-2</v>
      </c>
      <c r="J41" s="24">
        <v>1.9401669999999999E-2</v>
      </c>
      <c r="K41" s="24">
        <v>5.1281449999999998E-3</v>
      </c>
      <c r="L41" s="24">
        <v>-2.5429129999999999E-3</v>
      </c>
      <c r="M41" s="24">
        <v>-3.1188547999999996E-2</v>
      </c>
      <c r="N41" s="24">
        <v>7.1871280000000001E-3</v>
      </c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x14ac:dyDescent="0.35">
      <c r="A42" s="2">
        <v>43098</v>
      </c>
      <c r="B42" s="24">
        <v>6.1937212999999998E-2</v>
      </c>
      <c r="C42" s="24">
        <v>3.9882421000000001E-2</v>
      </c>
      <c r="D42" s="24">
        <v>4.0180445000000002E-2</v>
      </c>
      <c r="E42" s="24">
        <v>-8.0454349999999997E-4</v>
      </c>
      <c r="F42" s="24">
        <v>8.0461500000000002E-3</v>
      </c>
      <c r="G42" s="24">
        <v>1.8900394000000001E-2</v>
      </c>
      <c r="H42" s="24">
        <v>4.1873455000000004E-2</v>
      </c>
      <c r="I42" s="24">
        <v>1.4451027E-2</v>
      </c>
      <c r="J42" s="24">
        <v>2.0947575999999999E-2</v>
      </c>
      <c r="K42" s="24">
        <v>-1.4382005000000001E-3</v>
      </c>
      <c r="L42" s="24">
        <v>1.6876100999999998E-2</v>
      </c>
      <c r="M42" s="24">
        <v>-6.9798230000000005E-3</v>
      </c>
      <c r="N42" s="24">
        <v>-7.2026250000000007E-3</v>
      </c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x14ac:dyDescent="0.35">
      <c r="A43" s="2">
        <v>43129</v>
      </c>
      <c r="B43" s="24">
        <v>2.5911093E-2</v>
      </c>
      <c r="C43" s="24">
        <v>3.3232689999999995E-2</v>
      </c>
      <c r="D43" s="24">
        <v>1.3495326E-2</v>
      </c>
      <c r="E43" s="24">
        <v>6.6323400000000005E-2</v>
      </c>
      <c r="F43" s="24">
        <v>6.991493700000001E-2</v>
      </c>
      <c r="G43" s="24">
        <v>4.9465895000000003E-2</v>
      </c>
      <c r="H43" s="24">
        <v>4.6342850000000005E-2</v>
      </c>
      <c r="I43" s="24">
        <v>9.2064740000000006E-2</v>
      </c>
      <c r="J43" s="24">
        <v>6.6776633000000002E-2</v>
      </c>
      <c r="K43" s="24">
        <v>7.110822E-2</v>
      </c>
      <c r="L43" s="24">
        <v>6.3662170000000004E-2</v>
      </c>
      <c r="M43" s="24">
        <v>7.0206404E-2</v>
      </c>
      <c r="N43" s="24">
        <v>0.12023650999999999</v>
      </c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x14ac:dyDescent="0.35">
      <c r="A44" s="2">
        <v>43159</v>
      </c>
      <c r="B44" s="24">
        <v>-9.8562240000000002E-3</v>
      </c>
      <c r="C44" s="24">
        <v>-4.6783685999999998E-2</v>
      </c>
      <c r="D44" s="24">
        <v>-7.4900149999999999E-2</v>
      </c>
      <c r="E44" s="24">
        <v>-7.8954815999999997E-2</v>
      </c>
      <c r="F44" s="24">
        <v>-4.7567130000000006E-2</v>
      </c>
      <c r="G44" s="24">
        <v>-6.4809919999999993E-2</v>
      </c>
      <c r="H44" s="24">
        <v>-7.4973344999999997E-2</v>
      </c>
      <c r="I44" s="24">
        <v>-1.6990005999999998E-2</v>
      </c>
      <c r="J44" s="24">
        <v>-4.5770699999999997E-2</v>
      </c>
      <c r="K44" s="24">
        <v>-5.4126796999999997E-2</v>
      </c>
      <c r="L44" s="24">
        <v>-5.7481470000000007E-2</v>
      </c>
      <c r="M44" s="24">
        <v>-6.5049650000000001E-2</v>
      </c>
      <c r="N44" s="24">
        <v>-7.0087967000000001E-2</v>
      </c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x14ac:dyDescent="0.35">
      <c r="A45" s="2">
        <v>43188</v>
      </c>
      <c r="B45" s="24">
        <v>1.2028217000000001E-2</v>
      </c>
      <c r="C45" s="24">
        <v>-3.5056948999999997E-2</v>
      </c>
      <c r="D45" s="24">
        <v>-8.2764029999999999E-3</v>
      </c>
      <c r="E45" s="24">
        <v>-1.2025893000000001E-2</v>
      </c>
      <c r="F45" s="24">
        <v>-6.3861009999999999E-3</v>
      </c>
      <c r="G45" s="24">
        <v>-1.5750289000000001E-2</v>
      </c>
      <c r="H45" s="24">
        <v>2.3075342E-3</v>
      </c>
      <c r="I45" s="24">
        <v>-4.0757060000000005E-2</v>
      </c>
      <c r="J45" s="24">
        <v>-2.7415514000000002E-2</v>
      </c>
      <c r="K45" s="24">
        <v>-7.2715879999999998E-3</v>
      </c>
      <c r="L45" s="24">
        <v>5.0299170000000001E-3</v>
      </c>
      <c r="M45" s="24">
        <v>-1.297164E-2</v>
      </c>
      <c r="N45" s="24">
        <v>1.3875842000000001E-2</v>
      </c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x14ac:dyDescent="0.35">
      <c r="A46" s="2">
        <v>43217</v>
      </c>
      <c r="B46" s="24">
        <v>-1.7418026999999999E-2</v>
      </c>
      <c r="C46" s="24">
        <v>1.6348720000000001E-2</v>
      </c>
      <c r="D46" s="24">
        <v>2.3584843000000001E-2</v>
      </c>
      <c r="E46" s="24">
        <v>1.9038677E-2</v>
      </c>
      <c r="F46" s="24">
        <v>1.6479492000000002E-3</v>
      </c>
      <c r="G46" s="24">
        <v>-4.6552420000000004E-3</v>
      </c>
      <c r="H46" s="24">
        <v>4.5755385999999995E-2</v>
      </c>
      <c r="I46" s="24">
        <v>1.2240052E-2</v>
      </c>
      <c r="J46" s="24">
        <v>1.2958407E-2</v>
      </c>
      <c r="K46" s="24">
        <v>4.3949009999999997E-2</v>
      </c>
      <c r="L46" s="24">
        <v>1.1573434E-2</v>
      </c>
      <c r="M46" s="24">
        <v>-5.9735775000000001E-4</v>
      </c>
      <c r="N46" s="24">
        <v>4.883361E-2</v>
      </c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x14ac:dyDescent="0.35">
      <c r="A47" s="2">
        <v>43249</v>
      </c>
      <c r="B47" s="24">
        <v>-8.5505843000000005E-3</v>
      </c>
      <c r="C47" s="24">
        <v>-4.0213465999999996E-3</v>
      </c>
      <c r="D47" s="24">
        <v>4.2538643000000001E-3</v>
      </c>
      <c r="E47" s="24">
        <v>-4.4716715999999997E-2</v>
      </c>
      <c r="F47" s="24">
        <v>-1.7275393E-2</v>
      </c>
      <c r="G47" s="24">
        <v>-2.1631062E-2</v>
      </c>
      <c r="H47" s="24">
        <v>-2.0363270999999999E-2</v>
      </c>
      <c r="I47" s="24">
        <v>4.2445539999999997E-2</v>
      </c>
      <c r="J47" s="24">
        <v>9.2287063999999999E-3</v>
      </c>
      <c r="K47" s="24">
        <v>-4.6369670000000002E-2</v>
      </c>
      <c r="L47" s="24">
        <v>-3.9270282000000004E-2</v>
      </c>
      <c r="M47" s="24">
        <v>-3.7656844000000002E-2</v>
      </c>
      <c r="N47" s="24">
        <v>-0.145017805</v>
      </c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x14ac:dyDescent="0.35">
      <c r="A48" s="2">
        <v>43280</v>
      </c>
      <c r="B48" s="24">
        <v>3.4158109999999998E-2</v>
      </c>
      <c r="C48" s="24">
        <v>3.4196258E-2</v>
      </c>
      <c r="D48" s="24">
        <v>1.4343738999999999E-2</v>
      </c>
      <c r="E48" s="24">
        <v>-1.5586674E-2</v>
      </c>
      <c r="F48" s="24">
        <v>-2.2877513999999998E-2</v>
      </c>
      <c r="G48" s="24">
        <v>-2.1814107999999998E-3</v>
      </c>
      <c r="H48" s="24">
        <v>2.0432472E-4</v>
      </c>
      <c r="I48" s="24">
        <v>1.8038511E-2</v>
      </c>
      <c r="J48" s="24">
        <v>1.2933135E-2</v>
      </c>
      <c r="K48" s="24">
        <v>-3.2767653000000002E-3</v>
      </c>
      <c r="L48" s="24">
        <v>-2.0537375999999997E-3</v>
      </c>
      <c r="M48" s="24">
        <v>-8.3328485000000001E-3</v>
      </c>
      <c r="N48" s="24">
        <v>3.0161262000000001E-2</v>
      </c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x14ac:dyDescent="0.35">
      <c r="A49" s="2">
        <v>43308</v>
      </c>
      <c r="B49" s="24">
        <v>-1.0340810000000001E-3</v>
      </c>
      <c r="C49" s="24">
        <v>1.0172486000000001E-2</v>
      </c>
      <c r="D49" s="24">
        <v>1.8589972999999999E-2</v>
      </c>
      <c r="E49" s="24">
        <v>4.2361617000000004E-2</v>
      </c>
      <c r="F49" s="24">
        <v>2.6247619999999999E-2</v>
      </c>
      <c r="G49" s="24">
        <v>5.9545635999999999E-2</v>
      </c>
      <c r="H49" s="24">
        <v>0</v>
      </c>
      <c r="I49" s="24">
        <v>3.4780024999999999E-2</v>
      </c>
      <c r="J49" s="24">
        <v>3.7378429999999997E-2</v>
      </c>
      <c r="K49" s="24">
        <v>3.2765387999999999E-2</v>
      </c>
      <c r="L49" s="24">
        <v>3.9986849999999997E-2</v>
      </c>
      <c r="M49" s="24">
        <v>4.883647E-2</v>
      </c>
      <c r="N49" s="24">
        <v>1.6614795000000002E-2</v>
      </c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x14ac:dyDescent="0.35">
      <c r="A50" s="2">
        <v>43341</v>
      </c>
      <c r="B50" s="24">
        <v>3.5196662000000004E-2</v>
      </c>
      <c r="C50" s="24">
        <v>4.8161745000000001E-3</v>
      </c>
      <c r="D50" s="24">
        <v>9.6418859999999988E-3</v>
      </c>
      <c r="E50" s="24">
        <v>-8.0000160000000004E-3</v>
      </c>
      <c r="F50" s="24">
        <v>-1.5480459E-2</v>
      </c>
      <c r="G50" s="24">
        <v>1.7960548E-2</v>
      </c>
      <c r="H50" s="24">
        <v>-1.3513446E-2</v>
      </c>
      <c r="I50" s="24">
        <v>5.1345587000000005E-2</v>
      </c>
      <c r="J50" s="24">
        <v>3.5747290000000001E-2</v>
      </c>
      <c r="K50" s="24">
        <v>1.0469556E-2</v>
      </c>
      <c r="L50" s="24">
        <v>-4.0970444999999999E-3</v>
      </c>
      <c r="M50" s="24">
        <v>5.312443E-3</v>
      </c>
      <c r="N50" s="24">
        <v>-4.6646237E-2</v>
      </c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x14ac:dyDescent="0.35">
      <c r="A51" s="2">
        <v>43371</v>
      </c>
      <c r="B51" s="24">
        <v>-2.8000056999999998E-2</v>
      </c>
      <c r="C51" s="24">
        <v>-3.6165595000000002E-2</v>
      </c>
      <c r="D51" s="24">
        <v>-1.8417418000000001E-2</v>
      </c>
      <c r="E51" s="24">
        <v>-4.0645179999999996E-2</v>
      </c>
      <c r="F51" s="24">
        <v>2.9396653000000002E-2</v>
      </c>
      <c r="G51" s="24">
        <v>-1.2805938999999999E-2</v>
      </c>
      <c r="H51" s="24">
        <v>-5.537808E-3</v>
      </c>
      <c r="I51" s="24">
        <v>-3.3032894000000002E-3</v>
      </c>
      <c r="J51" s="24">
        <v>1.9104479999999999E-3</v>
      </c>
      <c r="K51" s="24">
        <v>-1.4442742E-2</v>
      </c>
      <c r="L51" s="24">
        <v>-4.4620274999999994E-2</v>
      </c>
      <c r="M51" s="24">
        <v>2.0205259999999999E-2</v>
      </c>
      <c r="N51" s="24">
        <v>-1.2142837E-2</v>
      </c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x14ac:dyDescent="0.35">
      <c r="A52" s="2">
        <v>43402</v>
      </c>
      <c r="B52" s="24">
        <v>-9.074074E-2</v>
      </c>
      <c r="C52" s="24">
        <v>-9.9909599999999987E-2</v>
      </c>
      <c r="D52" s="24">
        <v>-9.8332169999999997E-2</v>
      </c>
      <c r="E52" s="24">
        <v>-9.5830554999999998E-2</v>
      </c>
      <c r="F52" s="24">
        <v>-0.11223639000000001</v>
      </c>
      <c r="G52" s="24">
        <v>-7.0337240000000009E-2</v>
      </c>
      <c r="H52" s="24">
        <v>-8.4994134999999998E-2</v>
      </c>
      <c r="I52" s="24">
        <v>-0.12142742000000001</v>
      </c>
      <c r="J52" s="24">
        <v>-9.2391380000000009E-2</v>
      </c>
      <c r="K52" s="24">
        <v>-0.10927046000000001</v>
      </c>
      <c r="L52" s="24">
        <v>-9.5395859999999999E-2</v>
      </c>
      <c r="M52" s="24">
        <v>-0.12827538999999999</v>
      </c>
      <c r="N52" s="24">
        <v>-9.4721559999999996E-2</v>
      </c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x14ac:dyDescent="0.35">
      <c r="A53" s="2">
        <v>43433</v>
      </c>
      <c r="B53" s="24">
        <v>8.3050490000000005E-2</v>
      </c>
      <c r="C53" s="24">
        <v>5.5750965999999999E-2</v>
      </c>
      <c r="D53" s="24">
        <v>2.6204228E-2</v>
      </c>
      <c r="E53" s="24">
        <v>7.0658920000000007E-3</v>
      </c>
      <c r="F53" s="24">
        <v>3.4037827999999999E-2</v>
      </c>
      <c r="G53" s="24">
        <v>3.038764E-2</v>
      </c>
      <c r="H53" s="24">
        <v>1.4734149E-2</v>
      </c>
      <c r="I53" s="24">
        <v>3.0141472999999998E-2</v>
      </c>
      <c r="J53" s="24">
        <v>3.83538E-2</v>
      </c>
      <c r="K53" s="24">
        <v>1.0372042999999999E-2</v>
      </c>
      <c r="L53" s="24">
        <v>4.4306159999999997E-2</v>
      </c>
      <c r="M53" s="24">
        <v>2.1321176999999997E-2</v>
      </c>
      <c r="N53" s="24">
        <v>1.7172455999999999E-2</v>
      </c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x14ac:dyDescent="0.35">
      <c r="A54" s="2">
        <v>43462</v>
      </c>
      <c r="B54" s="24">
        <v>-2.0938097999999999E-2</v>
      </c>
      <c r="C54" s="24">
        <v>-4.8861445999999996E-2</v>
      </c>
      <c r="D54" s="24">
        <v>-8.9397789999999991E-2</v>
      </c>
      <c r="E54" s="24">
        <v>-6.8316100000000005E-2</v>
      </c>
      <c r="F54" s="24">
        <v>-7.4446735E-2</v>
      </c>
      <c r="G54" s="24">
        <v>-5.5973473000000003E-2</v>
      </c>
      <c r="H54" s="24">
        <v>-5.2327212999999997E-2</v>
      </c>
      <c r="I54" s="24">
        <v>-8.7610010000000002E-2</v>
      </c>
      <c r="J54" s="24">
        <v>-9.0344309999999997E-2</v>
      </c>
      <c r="K54" s="24">
        <v>-6.4033930000000003E-2</v>
      </c>
      <c r="L54" s="24">
        <v>-7.9740820000000004E-2</v>
      </c>
      <c r="M54" s="24">
        <v>-4.7343674000000002E-2</v>
      </c>
      <c r="N54" s="24">
        <v>-4.0902320000000006E-2</v>
      </c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x14ac:dyDescent="0.35">
      <c r="A55" s="2">
        <v>43494</v>
      </c>
      <c r="B55" s="24">
        <v>4.3884396999999999E-2</v>
      </c>
      <c r="C55" s="24">
        <v>5.7662370000000004E-2</v>
      </c>
      <c r="D55" s="24">
        <v>0.12075472</v>
      </c>
      <c r="E55" s="24">
        <v>6.4605712999999995E-2</v>
      </c>
      <c r="F55" s="24">
        <v>5.5139899999999999E-2</v>
      </c>
      <c r="G55" s="24">
        <v>5.6423305999999999E-2</v>
      </c>
      <c r="H55" s="24">
        <v>5.1395534999999999E-2</v>
      </c>
      <c r="I55" s="24">
        <v>5.6220173999999998E-2</v>
      </c>
      <c r="J55" s="24">
        <v>6.3208940000000005E-2</v>
      </c>
      <c r="K55" s="24">
        <v>5.4711223000000003E-2</v>
      </c>
      <c r="L55" s="24">
        <v>7.8101039999999997E-2</v>
      </c>
      <c r="M55" s="24">
        <v>6.0388206999999999E-2</v>
      </c>
      <c r="N55" s="24">
        <v>7.6699734000000006E-2</v>
      </c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x14ac:dyDescent="0.35">
      <c r="A56" s="2">
        <v>43524</v>
      </c>
      <c r="B56" s="24">
        <v>2.8928159999999998E-2</v>
      </c>
      <c r="C56" s="24">
        <v>4.518664E-2</v>
      </c>
      <c r="D56" s="24">
        <v>4.1900516000000006E-2</v>
      </c>
      <c r="E56" s="24">
        <v>1.6381145E-2</v>
      </c>
      <c r="F56" s="24">
        <v>1.4557599999999999E-2</v>
      </c>
      <c r="G56" s="24">
        <v>4.3150305999999999E-2</v>
      </c>
      <c r="H56" s="24">
        <v>5.4386496999999999E-2</v>
      </c>
      <c r="I56" s="24">
        <v>7.1919203000000001E-2</v>
      </c>
      <c r="J56" s="24">
        <v>5.7970404999999996E-2</v>
      </c>
      <c r="K56" s="24">
        <v>5.7276607000000007E-2</v>
      </c>
      <c r="L56" s="24">
        <v>5.2556752999999998E-2</v>
      </c>
      <c r="M56" s="24">
        <v>2.2372842E-2</v>
      </c>
      <c r="N56" s="24">
        <v>4.5437098000000002E-2</v>
      </c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x14ac:dyDescent="0.35">
      <c r="A57" s="2">
        <v>43553</v>
      </c>
      <c r="B57" s="24">
        <v>5.7645679999999998E-2</v>
      </c>
      <c r="C57" s="24">
        <v>1.1278152E-2</v>
      </c>
      <c r="D57" s="24">
        <v>-7.540405E-3</v>
      </c>
      <c r="E57" s="24">
        <v>-1.3919413E-2</v>
      </c>
      <c r="F57" s="24">
        <v>6.6225529999999998E-3</v>
      </c>
      <c r="G57" s="24">
        <v>2.3141384000000001E-2</v>
      </c>
      <c r="H57" s="24">
        <v>1.3509274E-2</v>
      </c>
      <c r="I57" s="24">
        <v>3.9242387000000004E-2</v>
      </c>
      <c r="J57" s="24">
        <v>1.8079042E-2</v>
      </c>
      <c r="K57" s="24">
        <v>4.0885210000000003E-3</v>
      </c>
      <c r="L57" s="24">
        <v>8.4345340000000005E-3</v>
      </c>
      <c r="M57" s="24">
        <v>1.9893646000000002E-3</v>
      </c>
      <c r="N57" s="24">
        <v>2.3572803000000003E-2</v>
      </c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x14ac:dyDescent="0.35">
      <c r="A58" s="2">
        <v>43584</v>
      </c>
      <c r="B58" s="24">
        <v>-1.7211436999999999E-3</v>
      </c>
      <c r="C58" s="24">
        <v>1.7657994999999999E-2</v>
      </c>
      <c r="D58" s="24">
        <v>3.1837939999999995E-2</v>
      </c>
      <c r="E58" s="24">
        <v>6.6493273000000006E-2</v>
      </c>
      <c r="F58" s="24">
        <v>1.6447305999999998E-2</v>
      </c>
      <c r="G58" s="24">
        <v>2.0921707000000001E-2</v>
      </c>
      <c r="H58" s="24">
        <v>1.7570496000000001E-2</v>
      </c>
      <c r="I58" s="24">
        <v>6.3230515000000001E-2</v>
      </c>
      <c r="J58" s="24">
        <v>4.0321350000000006E-2</v>
      </c>
      <c r="K58" s="24">
        <v>4.3773413000000004E-2</v>
      </c>
      <c r="L58" s="24">
        <v>4.5500160000000005E-2</v>
      </c>
      <c r="M58" s="24">
        <v>7.313037E-2</v>
      </c>
      <c r="N58" s="24">
        <v>1.1155128E-2</v>
      </c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x14ac:dyDescent="0.35">
      <c r="A59" s="2">
        <v>43614</v>
      </c>
      <c r="B59" s="24">
        <v>-3.0651389999999997E-2</v>
      </c>
      <c r="C59" s="24">
        <v>-5.9360265999999998E-3</v>
      </c>
      <c r="D59" s="24">
        <v>-3.5063087999999999E-2</v>
      </c>
      <c r="E59" s="24">
        <v>-5.4684759999999999E-2</v>
      </c>
      <c r="F59" s="24">
        <v>-4.6206417E-2</v>
      </c>
      <c r="G59" s="24">
        <v>-5.8155656000000002E-3</v>
      </c>
      <c r="H59" s="24">
        <v>-5.2694262999999998E-2</v>
      </c>
      <c r="I59" s="24">
        <v>-7.8473509999999996E-2</v>
      </c>
      <c r="J59" s="24">
        <v>-5.3084730000000004E-2</v>
      </c>
      <c r="K59" s="24">
        <v>-5.6241869999999999E-2</v>
      </c>
      <c r="L59" s="24">
        <v>-4.8799989999999994E-2</v>
      </c>
      <c r="M59" s="24">
        <v>-8.7881619999999994E-2</v>
      </c>
      <c r="N59" s="24">
        <v>-6.2633457000000003E-2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x14ac:dyDescent="0.35">
      <c r="A60" s="2">
        <v>43644</v>
      </c>
      <c r="B60" s="24">
        <v>7.0889949999999993E-2</v>
      </c>
      <c r="C60" s="24">
        <v>5.6520580000000001E-2</v>
      </c>
      <c r="D60" s="24">
        <v>4.9420119999999998E-2</v>
      </c>
      <c r="E60" s="24">
        <v>6.1856030000000006E-2</v>
      </c>
      <c r="F60" s="24">
        <v>3.8182019999999997E-2</v>
      </c>
      <c r="G60" s="24">
        <v>6.7739487000000001E-2</v>
      </c>
      <c r="H60" s="24">
        <v>4.1779159999999996E-2</v>
      </c>
      <c r="I60" s="24">
        <v>6.3184856999999997E-2</v>
      </c>
      <c r="J60" s="24">
        <v>5.8061480000000006E-2</v>
      </c>
      <c r="K60" s="24">
        <v>8.1983799999999996E-2</v>
      </c>
      <c r="L60" s="24">
        <v>6.3043117999999995E-2</v>
      </c>
      <c r="M60" s="24">
        <v>7.5975536999999996E-2</v>
      </c>
      <c r="N60" s="24">
        <v>8.2335469999999994E-2</v>
      </c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x14ac:dyDescent="0.35">
      <c r="A61" s="2">
        <v>43675</v>
      </c>
      <c r="B61" s="24">
        <v>3.2221793999999998E-2</v>
      </c>
      <c r="C61" s="24">
        <v>1.1091352000000001E-2</v>
      </c>
      <c r="D61" s="24">
        <v>1.0482073000000001E-3</v>
      </c>
      <c r="E61" s="24">
        <v>-1.6399264E-2</v>
      </c>
      <c r="F61" s="24">
        <v>2.9314755999999996E-3</v>
      </c>
      <c r="G61" s="24">
        <v>-1.5974641000000001E-3</v>
      </c>
      <c r="H61" s="24">
        <v>-5.5693389999999995E-3</v>
      </c>
      <c r="I61" s="24">
        <v>4.2197703999999996E-2</v>
      </c>
      <c r="J61" s="24">
        <v>2.8873682000000001E-2</v>
      </c>
      <c r="K61" s="24">
        <v>-4.5676826999999998E-3</v>
      </c>
      <c r="L61" s="24">
        <v>2.2049308E-2</v>
      </c>
      <c r="M61" s="24">
        <v>-2.3670554E-2</v>
      </c>
      <c r="N61" s="24">
        <v>3.2668113999999998E-3</v>
      </c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x14ac:dyDescent="0.35">
      <c r="A62" s="2">
        <v>43706</v>
      </c>
      <c r="B62" s="24">
        <v>-6.9509926E-2</v>
      </c>
      <c r="C62" s="24">
        <v>-5.9236525999999998E-2</v>
      </c>
      <c r="D62" s="24">
        <v>-1.7801046000000001E-2</v>
      </c>
      <c r="E62" s="24">
        <v>-5.0742983999999998E-2</v>
      </c>
      <c r="F62" s="24">
        <v>-1.8085538999999998E-2</v>
      </c>
      <c r="G62" s="24">
        <v>-9.6000430000000008E-3</v>
      </c>
      <c r="H62" s="24">
        <v>-6.1294316999999994E-2</v>
      </c>
      <c r="I62" s="24">
        <v>-3.4426033000000002E-2</v>
      </c>
      <c r="J62" s="24">
        <v>-2.9456674999999998E-2</v>
      </c>
      <c r="K62" s="24">
        <v>-3.7037075000000003E-2</v>
      </c>
      <c r="L62" s="24">
        <v>-3.5850285999999995E-2</v>
      </c>
      <c r="M62" s="24">
        <v>-7.1404877000000005E-2</v>
      </c>
      <c r="N62" s="24">
        <v>-2.2431195000000001E-2</v>
      </c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x14ac:dyDescent="0.35">
      <c r="A63" s="2">
        <v>43735</v>
      </c>
      <c r="B63" s="24">
        <v>7.9969169999999992E-3</v>
      </c>
      <c r="C63" s="24">
        <v>3.9645553E-2</v>
      </c>
      <c r="D63" s="24">
        <v>2.6297092000000001E-2</v>
      </c>
      <c r="E63" s="24">
        <v>2.4055004000000001E-2</v>
      </c>
      <c r="F63" s="24">
        <v>5.0790667999999997E-2</v>
      </c>
      <c r="G63" s="24">
        <v>1.5347362E-2</v>
      </c>
      <c r="H63" s="24">
        <v>4.0437459999999995E-2</v>
      </c>
      <c r="I63" s="24">
        <v>-2.729118E-3</v>
      </c>
      <c r="J63" s="24">
        <v>1.4321804E-2</v>
      </c>
      <c r="K63" s="24">
        <v>1.8720269000000001E-2</v>
      </c>
      <c r="L63" s="24">
        <v>2.3692011999999998E-2</v>
      </c>
      <c r="M63" s="24">
        <v>5.2575110000000001E-2</v>
      </c>
      <c r="N63" s="24">
        <v>1.1843085E-2</v>
      </c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x14ac:dyDescent="0.35">
      <c r="A64" s="2">
        <v>43767</v>
      </c>
      <c r="B64" s="24">
        <v>1.1803388999999999E-2</v>
      </c>
      <c r="C64" s="24">
        <v>2.0188332E-2</v>
      </c>
      <c r="D64" s="24">
        <v>-1.03873014E-3</v>
      </c>
      <c r="E64" s="24">
        <v>6.3012719999999994E-2</v>
      </c>
      <c r="F64" s="24">
        <v>3.5941958000000003E-2</v>
      </c>
      <c r="G64" s="24">
        <v>1.5115380000000001E-2</v>
      </c>
      <c r="H64" s="24">
        <v>3.5043120000000004E-2</v>
      </c>
      <c r="I64" s="24">
        <v>4.8174023999999996E-2</v>
      </c>
      <c r="J64" s="24">
        <v>2.6438712999999999E-2</v>
      </c>
      <c r="K64" s="24">
        <v>4.1429995999999997E-2</v>
      </c>
      <c r="L64" s="24">
        <v>2.8929472000000001E-2</v>
      </c>
      <c r="M64" s="24">
        <v>6.8637490000000009E-2</v>
      </c>
      <c r="N64" s="24">
        <v>5.1207066000000002E-2</v>
      </c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x14ac:dyDescent="0.35">
      <c r="A65" s="2">
        <v>43798</v>
      </c>
      <c r="B65" s="24">
        <v>6.8655609999999992E-2</v>
      </c>
      <c r="C65" s="24">
        <v>3.9577483999999998E-3</v>
      </c>
      <c r="D65" s="24">
        <v>2.7036310000000001E-2</v>
      </c>
      <c r="E65" s="24">
        <v>1.5082478999999999E-2</v>
      </c>
      <c r="F65" s="24">
        <v>1.5723825E-2</v>
      </c>
      <c r="G65" s="24">
        <v>1.6196489000000001E-2</v>
      </c>
      <c r="H65" s="24">
        <v>1.3542533000000001E-2</v>
      </c>
      <c r="I65" s="24">
        <v>4.6215177000000003E-2</v>
      </c>
      <c r="J65" s="24">
        <v>3.6608337999999997E-2</v>
      </c>
      <c r="K65" s="24">
        <v>1.5720248000000003E-2</v>
      </c>
      <c r="L65" s="24">
        <v>1.8431783E-2</v>
      </c>
      <c r="M65" s="24">
        <v>8.5849759999999994E-3</v>
      </c>
      <c r="N65" s="24">
        <v>5.2192210000000005E-3</v>
      </c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x14ac:dyDescent="0.35">
      <c r="A66" s="2">
        <v>43826</v>
      </c>
      <c r="B66" s="24">
        <v>5.9327006000000002E-2</v>
      </c>
      <c r="C66" s="24">
        <v>1.6418098999999998E-2</v>
      </c>
      <c r="D66" s="24">
        <v>1.9504547000000001E-2</v>
      </c>
      <c r="E66" s="24">
        <v>2.1423578000000002E-2</v>
      </c>
      <c r="F66" s="24">
        <v>1.4429688000000001E-2</v>
      </c>
      <c r="G66" s="24">
        <v>4.7557830000000002E-2</v>
      </c>
      <c r="H66" s="24">
        <v>4.9952030000000001E-2</v>
      </c>
      <c r="I66" s="24">
        <v>4.3742179999999999E-2</v>
      </c>
      <c r="J66" s="24">
        <v>3.2230734999999996E-2</v>
      </c>
      <c r="K66" s="24">
        <v>3.4098982999999999E-2</v>
      </c>
      <c r="L66" s="24">
        <v>4.1993499999999996E-2</v>
      </c>
      <c r="M66" s="24">
        <v>6.5843463000000005E-2</v>
      </c>
      <c r="N66" s="24">
        <v>3.2406568999999996E-2</v>
      </c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x14ac:dyDescent="0.35">
      <c r="A67" s="2">
        <v>43859</v>
      </c>
      <c r="B67" s="24">
        <v>-1.1387168999999999E-2</v>
      </c>
      <c r="C67" s="24">
        <v>3.9560795000000001E-3</v>
      </c>
      <c r="D67" s="24">
        <v>9.7283125000000008E-3</v>
      </c>
      <c r="E67" s="24">
        <v>-1.387006E-2</v>
      </c>
      <c r="F67" s="24">
        <v>-1.3259470000000001E-2</v>
      </c>
      <c r="G67" s="24">
        <v>1.1533736999999999E-2</v>
      </c>
      <c r="H67" s="24">
        <v>-2.4131835000000001E-2</v>
      </c>
      <c r="I67" s="24">
        <v>3.8387655999999999E-2</v>
      </c>
      <c r="J67" s="24">
        <v>1.1645913000000001E-2</v>
      </c>
      <c r="K67" s="24">
        <v>-2.2038459999999999E-2</v>
      </c>
      <c r="L67" s="24">
        <v>-1.7144619999999999E-2</v>
      </c>
      <c r="M67" s="24">
        <v>-3.2644510000000002E-2</v>
      </c>
      <c r="N67" s="24">
        <v>-3.3760070000000004E-4</v>
      </c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x14ac:dyDescent="0.35">
      <c r="A68" s="2">
        <v>43889</v>
      </c>
      <c r="B68" s="24">
        <v>-7.7312409999999998E-2</v>
      </c>
      <c r="C68" s="24">
        <v>-0.11908931</v>
      </c>
      <c r="D68" s="24">
        <v>-8.3388690000000001E-2</v>
      </c>
      <c r="E68" s="24">
        <v>-0.10051459</v>
      </c>
      <c r="F68" s="24">
        <v>-9.9166570000000009E-2</v>
      </c>
      <c r="G68" s="24">
        <v>-8.1028639999999999E-2</v>
      </c>
      <c r="H68" s="24">
        <v>-0.11640531</v>
      </c>
      <c r="I68" s="24">
        <v>-7.2178839999999994E-2</v>
      </c>
      <c r="J68" s="24">
        <v>-9.2952010000000002E-2</v>
      </c>
      <c r="K68" s="24">
        <v>-9.4522709999999996E-2</v>
      </c>
      <c r="L68" s="24">
        <v>-8.4511280000000008E-2</v>
      </c>
      <c r="M68" s="24">
        <v>-5.9442700000000001E-2</v>
      </c>
      <c r="N68" s="24">
        <v>-8.0040569999999991E-2</v>
      </c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x14ac:dyDescent="0.35">
      <c r="A69" s="2">
        <v>43917</v>
      </c>
      <c r="B69" s="24">
        <v>-0.18142986</v>
      </c>
      <c r="C69" s="24">
        <v>-0.27932410999999996</v>
      </c>
      <c r="D69" s="24">
        <v>-0.25117795999999998</v>
      </c>
      <c r="E69" s="24">
        <v>-0.19450796000000001</v>
      </c>
      <c r="F69" s="24">
        <v>-5.2492437000000003E-2</v>
      </c>
      <c r="G69" s="24">
        <v>-8.1573370000000006E-2</v>
      </c>
      <c r="H69" s="24">
        <v>-0.20307165000000002</v>
      </c>
      <c r="I69" s="24">
        <v>-9.7695465000000009E-2</v>
      </c>
      <c r="J69" s="24">
        <v>-0.13934791999999999</v>
      </c>
      <c r="K69" s="24">
        <v>-0.18285519</v>
      </c>
      <c r="L69" s="24">
        <v>-0.1576873</v>
      </c>
      <c r="M69" s="24">
        <v>-0.18926924000000001</v>
      </c>
      <c r="N69" s="24">
        <v>-0.23861969</v>
      </c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x14ac:dyDescent="0.35">
      <c r="A70" s="2">
        <v>43950</v>
      </c>
      <c r="B70" s="24">
        <v>0.16747151999999998</v>
      </c>
      <c r="C70" s="24">
        <v>0.18206893999999998</v>
      </c>
      <c r="D70" s="24">
        <v>0.21539211000000003</v>
      </c>
      <c r="E70" s="24">
        <v>0.13589012</v>
      </c>
      <c r="F70" s="24">
        <v>6.1378956000000005E-2</v>
      </c>
      <c r="G70" s="24">
        <v>7.5596333000000002E-2</v>
      </c>
      <c r="H70" s="24">
        <v>0.11349034</v>
      </c>
      <c r="I70" s="24">
        <v>0.18186724000000001</v>
      </c>
      <c r="J70" s="24">
        <v>0.15701209999999999</v>
      </c>
      <c r="K70" s="24">
        <v>5.5414557000000003E-2</v>
      </c>
      <c r="L70" s="24">
        <v>0.12636507</v>
      </c>
      <c r="M70" s="24">
        <v>0.14372719</v>
      </c>
      <c r="N70" s="24">
        <v>3.9537071999999999E-2</v>
      </c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x14ac:dyDescent="0.35">
      <c r="A71" s="2">
        <v>43980</v>
      </c>
      <c r="B71" s="24">
        <v>1.6712307999999999E-2</v>
      </c>
      <c r="C71" s="24">
        <v>5.3675649999999998E-2</v>
      </c>
      <c r="D71" s="24">
        <v>1.1947155E-3</v>
      </c>
      <c r="E71" s="24">
        <v>7.5031280000000006E-2</v>
      </c>
      <c r="F71" s="24">
        <v>4.0368080000000001E-2</v>
      </c>
      <c r="G71" s="24">
        <v>2.3784160000000002E-2</v>
      </c>
      <c r="H71" s="24">
        <v>-1.0384618999999999E-2</v>
      </c>
      <c r="I71" s="24">
        <v>6.557083000000001E-2</v>
      </c>
      <c r="J71" s="24">
        <v>3.7891029999999999E-2</v>
      </c>
      <c r="K71" s="24">
        <v>3.9278506999999997E-2</v>
      </c>
      <c r="L71" s="24">
        <v>6.3711879999999999E-2</v>
      </c>
      <c r="M71" s="24">
        <v>7.1707487E-2</v>
      </c>
      <c r="N71" s="24">
        <v>4.1743994000000006E-2</v>
      </c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x14ac:dyDescent="0.35">
      <c r="A72" s="2">
        <v>44011</v>
      </c>
      <c r="B72" s="24">
        <v>8.2238199999999997E-2</v>
      </c>
      <c r="C72" s="24">
        <v>7.6073884999999994E-2</v>
      </c>
      <c r="D72" s="24">
        <v>2.4529696E-2</v>
      </c>
      <c r="E72" s="24">
        <v>5.7835219999999993E-2</v>
      </c>
      <c r="F72" s="24">
        <v>9.2906949999999999E-3</v>
      </c>
      <c r="G72" s="24">
        <v>3.1115650000000002E-2</v>
      </c>
      <c r="H72" s="24">
        <v>1.6341805000000001E-2</v>
      </c>
      <c r="I72" s="24">
        <v>4.2413235000000001E-2</v>
      </c>
      <c r="J72" s="24">
        <v>4.8886538E-3</v>
      </c>
      <c r="K72" s="24">
        <v>6.3595176000000003E-2</v>
      </c>
      <c r="L72" s="24">
        <v>6.6916347000000001E-2</v>
      </c>
      <c r="M72" s="24">
        <v>3.5707355000000003E-2</v>
      </c>
      <c r="N72" s="24">
        <v>8.7843660000000004E-2</v>
      </c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x14ac:dyDescent="0.35">
      <c r="A73" s="2">
        <v>44041</v>
      </c>
      <c r="B73" s="24">
        <v>7.3342919999999992E-2</v>
      </c>
      <c r="C73" s="24">
        <v>6.9451689999999996E-2</v>
      </c>
      <c r="D73" s="24">
        <v>8.3137269999999999E-2</v>
      </c>
      <c r="E73" s="24">
        <v>9.5925919999999998E-2</v>
      </c>
      <c r="F73" s="24">
        <v>2.0547985999999997E-2</v>
      </c>
      <c r="G73" s="24">
        <v>7.5636744000000006E-2</v>
      </c>
      <c r="H73" s="24">
        <v>4.2313694999999998E-2</v>
      </c>
      <c r="I73" s="24">
        <v>6.9716689999999998E-2</v>
      </c>
      <c r="J73" s="24">
        <v>6.7857859999999992E-2</v>
      </c>
      <c r="K73" s="24">
        <v>6.0583949999999998E-2</v>
      </c>
      <c r="L73" s="24">
        <v>7.4585556999999997E-2</v>
      </c>
      <c r="M73" s="24">
        <v>0.12864935</v>
      </c>
      <c r="N73" s="24">
        <v>7.3201059999999998E-2</v>
      </c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x14ac:dyDescent="0.35">
      <c r="A74" s="2">
        <v>44071</v>
      </c>
      <c r="B74" s="24">
        <v>3.0285120000000002E-2</v>
      </c>
      <c r="C74" s="24">
        <v>2.0507813E-2</v>
      </c>
      <c r="D74" s="24">
        <v>4.7429322999999995E-2</v>
      </c>
      <c r="E74" s="24">
        <v>2.2980689999999998E-2</v>
      </c>
      <c r="F74" s="24">
        <v>2.6139139999999998E-2</v>
      </c>
      <c r="G74" s="24">
        <v>1.4350414000000001E-3</v>
      </c>
      <c r="H74" s="24">
        <v>2.6071072000000001E-3</v>
      </c>
      <c r="I74" s="24">
        <v>0.12611162000000001</v>
      </c>
      <c r="J74" s="24">
        <v>7.8309535999999999E-2</v>
      </c>
      <c r="K74" s="24">
        <v>1.8238186999999999E-2</v>
      </c>
      <c r="L74" s="24">
        <v>2.4564385000000001E-2</v>
      </c>
      <c r="M74" s="24">
        <v>2.3308635000000001E-2</v>
      </c>
      <c r="N74" s="24">
        <v>1.9267797E-3</v>
      </c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x14ac:dyDescent="0.35">
      <c r="A75" s="2">
        <v>44103</v>
      </c>
      <c r="B75" s="24">
        <v>-6.4275739999999998E-2</v>
      </c>
      <c r="C75" s="24">
        <v>-5.0239205000000002E-2</v>
      </c>
      <c r="D75" s="24">
        <v>-5.1849309999999996E-2</v>
      </c>
      <c r="E75" s="24">
        <v>-2.9732405999999999E-2</v>
      </c>
      <c r="F75" s="24">
        <v>2.4612783999999999E-2</v>
      </c>
      <c r="G75" s="24">
        <v>-1.5524209000000001E-2</v>
      </c>
      <c r="H75" s="24">
        <v>-5.1262974999999995E-2</v>
      </c>
      <c r="I75" s="24">
        <v>-5.5308759999999998E-2</v>
      </c>
      <c r="J75" s="24">
        <v>-4.8102559999999996E-2</v>
      </c>
      <c r="K75" s="24">
        <v>-5.1368713000000003E-2</v>
      </c>
      <c r="L75" s="24">
        <v>-2.6763260000000001E-2</v>
      </c>
      <c r="M75" s="24">
        <v>-1.2500048E-2</v>
      </c>
      <c r="N75" s="24">
        <v>-5.769229E-2</v>
      </c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x14ac:dyDescent="0.35">
      <c r="A76" s="2">
        <v>44133</v>
      </c>
      <c r="B76" s="24">
        <v>5.8452963999999996E-2</v>
      </c>
      <c r="C76" s="24">
        <v>1.0075569E-3</v>
      </c>
      <c r="D76" s="24">
        <v>-2.9529690000000001E-2</v>
      </c>
      <c r="E76" s="24">
        <v>-9.8399750000000008E-2</v>
      </c>
      <c r="F76" s="24">
        <v>-1.5958309E-2</v>
      </c>
      <c r="G76" s="24">
        <v>-5.2401723999999997E-2</v>
      </c>
      <c r="H76" s="24">
        <v>-4.4635889999999998E-2</v>
      </c>
      <c r="I76" s="24">
        <v>1.5945434999999999E-3</v>
      </c>
      <c r="J76" s="24">
        <v>-7.1907043000000006E-3</v>
      </c>
      <c r="K76" s="24">
        <v>-5.0231576E-2</v>
      </c>
      <c r="L76" s="24">
        <v>-1.6041278999999999E-2</v>
      </c>
      <c r="M76" s="24">
        <v>-4.9507675000000001E-2</v>
      </c>
      <c r="N76" s="24">
        <v>-6.693876E-2</v>
      </c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x14ac:dyDescent="0.35">
      <c r="A77" s="2">
        <v>44162</v>
      </c>
      <c r="B77" s="24">
        <v>9.2757939999999997E-2</v>
      </c>
      <c r="C77" s="24">
        <v>0.17262195999999999</v>
      </c>
      <c r="D77" s="24">
        <v>0.14575505</v>
      </c>
      <c r="E77" s="24">
        <v>0.16049849999999999</v>
      </c>
      <c r="F77" s="24">
        <v>0.13059067999999999</v>
      </c>
      <c r="G77" s="24">
        <v>0.10266256</v>
      </c>
      <c r="H77" s="24">
        <v>0.18606556000000002</v>
      </c>
      <c r="I77" s="24">
        <v>8.1840879999999991E-2</v>
      </c>
      <c r="J77" s="24">
        <v>0.10209715</v>
      </c>
      <c r="K77" s="24">
        <v>0.24343597</v>
      </c>
      <c r="L77" s="24">
        <v>0.14585160999999999</v>
      </c>
      <c r="M77" s="24">
        <v>0.18023087000000002</v>
      </c>
      <c r="N77" s="24">
        <v>0.27471554000000004</v>
      </c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x14ac:dyDescent="0.35">
      <c r="A78" s="2">
        <v>44194</v>
      </c>
      <c r="B78" s="24">
        <v>5.5016519999999999E-2</v>
      </c>
      <c r="C78" s="24">
        <v>3.7052630999999996E-2</v>
      </c>
      <c r="D78" s="24">
        <v>2.6790142000000003E-2</v>
      </c>
      <c r="E78" s="24">
        <v>6.0707927000000002E-2</v>
      </c>
      <c r="F78" s="24">
        <v>2.0440698E-2</v>
      </c>
      <c r="G78" s="24">
        <v>4.3033720000000004E-2</v>
      </c>
      <c r="H78" s="24">
        <v>3.7320614000000002E-2</v>
      </c>
      <c r="I78" s="24">
        <v>4.8555729999999998E-2</v>
      </c>
      <c r="J78" s="24">
        <v>2.5791883000000002E-2</v>
      </c>
      <c r="K78" s="24">
        <v>2.1623372999999998E-2</v>
      </c>
      <c r="L78" s="24">
        <v>6.1385630000000004E-2</v>
      </c>
      <c r="M78" s="24">
        <v>2.2894382000000001E-2</v>
      </c>
      <c r="N78" s="24">
        <v>2.7289867000000002E-2</v>
      </c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x14ac:dyDescent="0.35">
      <c r="A79" s="2">
        <v>44225</v>
      </c>
      <c r="B79" s="24">
        <v>-1.7844260000000001E-2</v>
      </c>
      <c r="C79" s="24">
        <v>-8.7645650000000002E-3</v>
      </c>
      <c r="D79" s="24">
        <v>-1.0669231E-2</v>
      </c>
      <c r="E79" s="24">
        <v>-2.2677838999999998E-2</v>
      </c>
      <c r="F79" s="24">
        <v>-4.9020052000000001E-3</v>
      </c>
      <c r="G79" s="24">
        <v>-1.9376457E-2</v>
      </c>
      <c r="H79" s="24">
        <v>-1.5498698E-2</v>
      </c>
      <c r="I79" s="24">
        <v>5.1125290000000002E-3</v>
      </c>
      <c r="J79" s="24">
        <v>-3.7419200000000001E-3</v>
      </c>
      <c r="K79" s="24">
        <v>-3.8872419999999998E-2</v>
      </c>
      <c r="L79" s="24">
        <v>1.6330480000000001E-2</v>
      </c>
      <c r="M79" s="24">
        <v>4.9394369999999996E-3</v>
      </c>
      <c r="N79" s="24">
        <v>-4.5133057000000004E-2</v>
      </c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x14ac:dyDescent="0.35">
      <c r="A80" s="2">
        <v>44253</v>
      </c>
      <c r="B80" s="24">
        <v>-7.6366304999999995E-2</v>
      </c>
      <c r="C80" s="24">
        <v>3.2000065000000001E-2</v>
      </c>
      <c r="D80" s="24">
        <v>5.1307080000000005E-2</v>
      </c>
      <c r="E80" s="24">
        <v>1.7482519000000002E-2</v>
      </c>
      <c r="F80" s="24">
        <v>1.8360972E-2</v>
      </c>
      <c r="G80" s="24">
        <v>-1.8169403000000001E-2</v>
      </c>
      <c r="H80" s="24">
        <v>3.9356708999999997E-2</v>
      </c>
      <c r="I80" s="24">
        <v>-1.3351440000000001E-3</v>
      </c>
      <c r="J80" s="24">
        <v>2.7805448E-2</v>
      </c>
      <c r="K80" s="24">
        <v>4.5693159999999997E-2</v>
      </c>
      <c r="L80" s="24">
        <v>4.0170193E-2</v>
      </c>
      <c r="M80" s="24">
        <v>3.2686234000000002E-2</v>
      </c>
      <c r="N80" s="24">
        <v>5.5379150000000002E-2</v>
      </c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x14ac:dyDescent="0.35">
      <c r="A81" s="2">
        <v>44284</v>
      </c>
      <c r="B81" s="24">
        <v>-5.5972933999999998E-3</v>
      </c>
      <c r="C81" s="24">
        <v>1.7543911999999998E-2</v>
      </c>
      <c r="D81" s="24">
        <v>5.8750509999999999E-2</v>
      </c>
      <c r="E81" s="24">
        <v>3.7488341000000001E-2</v>
      </c>
      <c r="F81" s="24">
        <v>2.1547914000000001E-2</v>
      </c>
      <c r="G81" s="24">
        <v>3.3078910000000003E-2</v>
      </c>
      <c r="H81" s="24">
        <v>3.6878466999999998E-2</v>
      </c>
      <c r="I81" s="24">
        <v>6.8800450000000004E-3</v>
      </c>
      <c r="J81" s="24">
        <v>4.3954371999999998E-2</v>
      </c>
      <c r="K81" s="24">
        <v>2.7753234000000002E-2</v>
      </c>
      <c r="L81" s="24">
        <v>4.4752359999999998E-2</v>
      </c>
      <c r="M81" s="24">
        <v>5.7829620000000005E-2</v>
      </c>
      <c r="N81" s="24">
        <v>5.1136373999999998E-2</v>
      </c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x14ac:dyDescent="0.35">
      <c r="A82" s="2">
        <v>44315</v>
      </c>
      <c r="B82" s="24">
        <v>5.0976157000000001E-2</v>
      </c>
      <c r="C82" s="24">
        <v>5.5733680000000001E-2</v>
      </c>
      <c r="D82" s="24">
        <v>5.695832E-2</v>
      </c>
      <c r="E82" s="24">
        <v>5.6007266E-2</v>
      </c>
      <c r="F82" s="24">
        <v>-2.3676276E-2</v>
      </c>
      <c r="G82" s="24">
        <v>4.81416E-2</v>
      </c>
      <c r="H82" s="24">
        <v>4.3505906999999996E-2</v>
      </c>
      <c r="I82" s="24">
        <v>7.6952340000000008E-2</v>
      </c>
      <c r="J82" s="24">
        <v>6.1347246000000001E-2</v>
      </c>
      <c r="K82" s="24">
        <v>8.0723879999999998E-2</v>
      </c>
      <c r="L82" s="24">
        <v>6.4796686000000006E-2</v>
      </c>
      <c r="M82" s="24">
        <v>6.9291233999999993E-2</v>
      </c>
      <c r="N82" s="24">
        <v>2.1939516000000003E-2</v>
      </c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x14ac:dyDescent="0.35">
      <c r="A83" s="2">
        <v>44344</v>
      </c>
      <c r="B83" s="24">
        <v>-5.6996465000000003E-2</v>
      </c>
      <c r="C83" s="24">
        <v>1.5571593999999999E-2</v>
      </c>
      <c r="D83" s="24">
        <v>5.1944375000000001E-2</v>
      </c>
      <c r="E83" s="24">
        <v>2.0245194000000001E-2</v>
      </c>
      <c r="F83" s="24">
        <v>7.9364776999999997E-3</v>
      </c>
      <c r="G83" s="24">
        <v>4.1016817000000004E-2</v>
      </c>
      <c r="H83" s="24">
        <v>2.8301954000000001E-2</v>
      </c>
      <c r="I83" s="24">
        <v>-1.8488049999999999E-2</v>
      </c>
      <c r="J83" s="24">
        <v>-4.7564507000000001E-5</v>
      </c>
      <c r="K83" s="24">
        <v>3.6151051999999996E-2</v>
      </c>
      <c r="L83" s="24">
        <v>1.0822891999999999E-2</v>
      </c>
      <c r="M83" s="24">
        <v>1.9777059999999999E-2</v>
      </c>
      <c r="N83" s="24">
        <v>4.2626022999999999E-2</v>
      </c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x14ac:dyDescent="0.35">
      <c r="A84" s="2">
        <v>44376</v>
      </c>
      <c r="B84" s="24">
        <v>2.0911694000000001E-3</v>
      </c>
      <c r="C84" s="24">
        <v>-6.9171190000000002E-3</v>
      </c>
      <c r="D84" s="24">
        <v>-8.4574819999999988E-3</v>
      </c>
      <c r="E84" s="24">
        <v>-5.1791069999999996E-3</v>
      </c>
      <c r="F84" s="24">
        <v>1.6115904000000001E-3</v>
      </c>
      <c r="G84" s="24">
        <v>2.7640699999999997E-2</v>
      </c>
      <c r="H84" s="24">
        <v>-1.2896894999999998E-2</v>
      </c>
      <c r="I84" s="24">
        <v>6.4291953999999998E-2</v>
      </c>
      <c r="J84" s="24">
        <v>2.1612763E-2</v>
      </c>
      <c r="K84" s="24">
        <v>-9.8417399999999999E-3</v>
      </c>
      <c r="L84" s="24">
        <v>-6.3924192999999995E-3</v>
      </c>
      <c r="M84" s="24">
        <v>-1.3869703000000001E-2</v>
      </c>
      <c r="N84" s="24">
        <v>-1.2575924E-2</v>
      </c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x14ac:dyDescent="0.35">
      <c r="A85" s="2">
        <v>44406</v>
      </c>
      <c r="B85" s="24">
        <v>4.4118166E-3</v>
      </c>
      <c r="C85" s="24">
        <v>-6.4910053999999995E-3</v>
      </c>
      <c r="D85" s="24">
        <v>3.2154322000000003E-3</v>
      </c>
      <c r="E85" s="24">
        <v>-5.4285525999999999E-3</v>
      </c>
      <c r="F85" s="24">
        <v>-4.9861072999999997E-3</v>
      </c>
      <c r="G85" s="24">
        <v>1.7490387E-2</v>
      </c>
      <c r="H85" s="24">
        <v>8.231759E-3</v>
      </c>
      <c r="I85" s="24">
        <v>3.2367110000000004E-2</v>
      </c>
      <c r="J85" s="24">
        <v>3.0278206000000002E-2</v>
      </c>
      <c r="K85" s="24">
        <v>6.8117380000000003E-3</v>
      </c>
      <c r="L85" s="24">
        <v>2.7629971999999999E-2</v>
      </c>
      <c r="M85" s="24">
        <v>4.5814633E-2</v>
      </c>
      <c r="N85" s="24">
        <v>3.0601024999999998E-4</v>
      </c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x14ac:dyDescent="0.35">
      <c r="A86" s="2">
        <v>44435</v>
      </c>
      <c r="B86" s="24">
        <v>2.2287249999999998E-2</v>
      </c>
      <c r="C86" s="24">
        <v>-3.8433074999999999E-4</v>
      </c>
      <c r="D86" s="24">
        <v>3.2051802000000002E-3</v>
      </c>
      <c r="E86" s="24">
        <v>6.0327052999999999E-3</v>
      </c>
      <c r="F86" s="24">
        <v>4.1267871999999999E-3</v>
      </c>
      <c r="G86" s="24">
        <v>2.2586464999999997E-2</v>
      </c>
      <c r="H86" s="24">
        <v>3.9310454999999999E-3</v>
      </c>
      <c r="I86" s="24">
        <v>2.6085972999999998E-2</v>
      </c>
      <c r="J86" s="24">
        <v>2.1785974999999999E-2</v>
      </c>
      <c r="K86" s="24">
        <v>2.3418664999999999E-3</v>
      </c>
      <c r="L86" s="24">
        <v>4.6405076999999996E-2</v>
      </c>
      <c r="M86" s="24">
        <v>-1.3510764E-2</v>
      </c>
      <c r="N86" s="24">
        <v>7.3393582999999995E-3</v>
      </c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x14ac:dyDescent="0.35">
      <c r="A87" s="2">
        <v>44468</v>
      </c>
      <c r="B87" s="24">
        <v>-2.2915304000000001E-2</v>
      </c>
      <c r="C87" s="24">
        <v>-5.1903129999999999E-2</v>
      </c>
      <c r="D87" s="24">
        <v>-3.3280074999999999E-2</v>
      </c>
      <c r="E87" s="24">
        <v>-5.3398013000000001E-2</v>
      </c>
      <c r="F87" s="24">
        <v>4.1978600000000005E-2</v>
      </c>
      <c r="G87" s="24">
        <v>-8.5613784999999998E-2</v>
      </c>
      <c r="H87" s="24">
        <v>-3.0120491999999999E-2</v>
      </c>
      <c r="I87" s="24">
        <v>-4.3488382999999999E-2</v>
      </c>
      <c r="J87" s="24">
        <v>-3.1969726000000004E-2</v>
      </c>
      <c r="K87" s="24">
        <v>-2.4922072999999999E-2</v>
      </c>
      <c r="L87" s="24">
        <v>-5.3673387000000003E-2</v>
      </c>
      <c r="M87" s="24">
        <v>-7.3459150000000001E-2</v>
      </c>
      <c r="N87" s="24">
        <v>-3.3697604999999999E-2</v>
      </c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x14ac:dyDescent="0.35">
      <c r="A88" s="2">
        <v>44498</v>
      </c>
      <c r="B88" s="24">
        <v>3.9739369999999996E-2</v>
      </c>
      <c r="C88" s="24">
        <v>7.2992682000000003E-2</v>
      </c>
      <c r="D88" s="24">
        <v>7.9041600000000004E-2</v>
      </c>
      <c r="E88" s="24">
        <v>1.8702864999999999E-2</v>
      </c>
      <c r="F88" s="24">
        <v>-3.6483942999999998E-2</v>
      </c>
      <c r="G88" s="24">
        <v>6.5198900000000004E-2</v>
      </c>
      <c r="H88" s="24">
        <v>4.596269E-2</v>
      </c>
      <c r="I88" s="24">
        <v>7.4677110000000005E-2</v>
      </c>
      <c r="J88" s="24">
        <v>5.7083607000000001E-2</v>
      </c>
      <c r="K88" s="24">
        <v>4.6592115999999996E-2</v>
      </c>
      <c r="L88" s="24">
        <v>4.7868012999999994E-2</v>
      </c>
      <c r="M88" s="24">
        <v>7.3012232999999996E-2</v>
      </c>
      <c r="N88" s="24">
        <v>5.1837920000000003E-2</v>
      </c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x14ac:dyDescent="0.35">
      <c r="A89" s="2">
        <v>44529</v>
      </c>
      <c r="B89" s="24">
        <v>-8.7719260000000007E-2</v>
      </c>
      <c r="C89" s="24">
        <v>-6.4625796999999999E-2</v>
      </c>
      <c r="D89" s="24">
        <v>-2.3226141999999998E-2</v>
      </c>
      <c r="E89" s="24">
        <v>-5.1525059999999998E-2</v>
      </c>
      <c r="F89" s="24">
        <v>-1.8274843999999998E-2</v>
      </c>
      <c r="G89" s="24">
        <v>-6.2211749999999998E-3</v>
      </c>
      <c r="H89" s="24">
        <v>-4.0083112999999997E-2</v>
      </c>
      <c r="I89" s="24">
        <v>3.5171389999999997E-2</v>
      </c>
      <c r="J89" s="24">
        <v>1.1649488999999999E-2</v>
      </c>
      <c r="K89" s="24">
        <v>-3.6886334E-2</v>
      </c>
      <c r="L89" s="24">
        <v>-4.664111E-2</v>
      </c>
      <c r="M89" s="24">
        <v>-5.1555036999999998E-2</v>
      </c>
      <c r="N89" s="24">
        <v>-5.2269993000000001E-2</v>
      </c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x14ac:dyDescent="0.35">
      <c r="A90" s="2">
        <v>44559</v>
      </c>
      <c r="B90" s="24">
        <v>2.5919317999999997E-2</v>
      </c>
      <c r="C90" s="24">
        <v>4.6524762999999997E-2</v>
      </c>
      <c r="D90" s="24">
        <v>9.2384814999999995E-3</v>
      </c>
      <c r="E90" s="24">
        <v>3.5168289999999998E-2</v>
      </c>
      <c r="F90" s="24">
        <v>1.2523055E-2</v>
      </c>
      <c r="G90" s="24">
        <v>7.0678473000000006E-2</v>
      </c>
      <c r="H90" s="24">
        <v>5.8040260000000003E-2</v>
      </c>
      <c r="I90" s="24">
        <v>5.9503317000000003E-3</v>
      </c>
      <c r="J90" s="24">
        <v>3.1379937999999996E-2</v>
      </c>
      <c r="K90" s="24">
        <v>5.7250259999999997E-2</v>
      </c>
      <c r="L90" s="24">
        <v>1.2816309999999999E-2</v>
      </c>
      <c r="M90" s="24">
        <v>6.0391190000000004E-2</v>
      </c>
      <c r="N90" s="24">
        <v>5.2916290000000005E-2</v>
      </c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x14ac:dyDescent="0.35">
      <c r="A91" s="2">
        <v>44589</v>
      </c>
      <c r="B91" s="24">
        <v>-0.12486708000000001</v>
      </c>
      <c r="C91" s="24">
        <v>-9.6864459999999999E-2</v>
      </c>
      <c r="D91" s="24">
        <v>-2.1243155E-2</v>
      </c>
      <c r="E91" s="24">
        <v>-4.2347136E-2</v>
      </c>
      <c r="F91" s="24">
        <v>-6.4828576999999998E-2</v>
      </c>
      <c r="G91" s="24">
        <v>-8.1855890000000001E-2</v>
      </c>
      <c r="H91" s="24">
        <v>1.3517618E-2</v>
      </c>
      <c r="I91" s="24">
        <v>-0.12389493</v>
      </c>
      <c r="J91" s="24">
        <v>-7.441151E-2</v>
      </c>
      <c r="K91" s="24">
        <v>-3.8510919000000005E-2</v>
      </c>
      <c r="L91" s="24">
        <v>-0.10055858000000001</v>
      </c>
      <c r="M91" s="24">
        <v>-0.11742126000000001</v>
      </c>
      <c r="N91" s="24">
        <v>-3.0358195000000001E-2</v>
      </c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x14ac:dyDescent="0.35">
      <c r="A92" s="2">
        <v>44620</v>
      </c>
      <c r="B92" s="24">
        <v>5.6310653999999995E-2</v>
      </c>
      <c r="C92" s="24">
        <v>6.557368999999999E-2</v>
      </c>
      <c r="D92" s="24">
        <v>2.41158E-2</v>
      </c>
      <c r="E92" s="24">
        <v>-7.623887E-2</v>
      </c>
      <c r="F92" s="24">
        <v>3.0279159999999999E-3</v>
      </c>
      <c r="G92" s="24">
        <v>-1.5201329999999999E-2</v>
      </c>
      <c r="H92" s="24">
        <v>-7.4096320000000002E-3</v>
      </c>
      <c r="I92" s="24">
        <v>-1.4212608E-2</v>
      </c>
      <c r="J92" s="24">
        <v>-1.2037575E-2</v>
      </c>
      <c r="K92" s="24">
        <v>-5.6608796000000003E-2</v>
      </c>
      <c r="L92" s="24">
        <v>-4.9911260000000006E-2</v>
      </c>
      <c r="M92" s="24">
        <v>-8.2706750000000009E-2</v>
      </c>
      <c r="N92" s="24">
        <v>-5.2911699999999999E-2</v>
      </c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x14ac:dyDescent="0.35">
      <c r="A93" s="2">
        <v>44649</v>
      </c>
      <c r="B93" s="24">
        <v>1.1580824999999999E-2</v>
      </c>
      <c r="C93" s="24">
        <v>0.10935556</v>
      </c>
      <c r="D93" s="24">
        <v>6.2009334999999999E-2</v>
      </c>
      <c r="E93" s="24">
        <v>1.6506194999999998E-2</v>
      </c>
      <c r="F93" s="24">
        <v>1.2711286999999999E-3</v>
      </c>
      <c r="G93" s="24">
        <v>3.7964106000000004E-2</v>
      </c>
      <c r="H93" s="24">
        <v>9.5551014E-3</v>
      </c>
      <c r="I93" s="24">
        <v>7.1654796999999992E-2</v>
      </c>
      <c r="J93" s="24">
        <v>6.0321927000000004E-2</v>
      </c>
      <c r="K93" s="24">
        <v>3.0568838000000001E-2</v>
      </c>
      <c r="L93" s="24">
        <v>3.1519890000000002E-2</v>
      </c>
      <c r="M93" s="24">
        <v>6.7160250000000005E-2</v>
      </c>
      <c r="N93" s="24">
        <v>-6.2810180000000002E-3</v>
      </c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x14ac:dyDescent="0.35">
      <c r="A94" s="2">
        <v>44680</v>
      </c>
      <c r="B94" s="24">
        <v>-9.2131560000000001E-2</v>
      </c>
      <c r="C94" s="24">
        <v>-7.8710674999999994E-2</v>
      </c>
      <c r="D94" s="24">
        <v>-8.721363E-2</v>
      </c>
      <c r="E94" s="24">
        <v>-0.12009472</v>
      </c>
      <c r="F94" s="24">
        <v>-0.10155511</v>
      </c>
      <c r="G94" s="24">
        <v>-6.7524076000000002E-2</v>
      </c>
      <c r="H94" s="24">
        <v>-4.4661403000000002E-2</v>
      </c>
      <c r="I94" s="24">
        <v>-0.15609259</v>
      </c>
      <c r="J94" s="24">
        <v>-0.10735565</v>
      </c>
      <c r="K94" s="24">
        <v>-9.502882E-2</v>
      </c>
      <c r="L94" s="24">
        <v>-0.13014935999999999</v>
      </c>
      <c r="M94" s="24">
        <v>-0.11025768</v>
      </c>
      <c r="N94" s="24">
        <v>-8.7491629999999987E-2</v>
      </c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x14ac:dyDescent="0.35">
      <c r="A95" s="2">
        <v>44708</v>
      </c>
      <c r="B95" s="24">
        <v>-4.1657330000000006E-2</v>
      </c>
      <c r="C95" s="24">
        <v>1.5052915E-2</v>
      </c>
      <c r="D95" s="24">
        <v>1.5384554999999999E-2</v>
      </c>
      <c r="E95" s="24">
        <v>5.1903129999999999E-2</v>
      </c>
      <c r="F95" s="24">
        <v>3.0377983999999997E-2</v>
      </c>
      <c r="G95" s="24">
        <v>-1.3577580000000001E-2</v>
      </c>
      <c r="H95" s="24">
        <v>2.8173327000000001E-2</v>
      </c>
      <c r="I95" s="24">
        <v>-1.3248204999999999E-2</v>
      </c>
      <c r="J95" s="24">
        <v>7.9126359999999989E-3</v>
      </c>
      <c r="K95" s="24">
        <v>4.8558353999999998E-2</v>
      </c>
      <c r="L95" s="24">
        <v>2.1857977000000001E-2</v>
      </c>
      <c r="M95" s="24">
        <v>1.7822266E-2</v>
      </c>
      <c r="N95" s="24">
        <v>5.6142925999999996E-2</v>
      </c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x14ac:dyDescent="0.35">
      <c r="A96" s="2">
        <v>44741</v>
      </c>
      <c r="B96" s="24">
        <v>-5.2479980000000002E-2</v>
      </c>
      <c r="C96" s="24">
        <v>-0.11209196</v>
      </c>
      <c r="D96" s="24">
        <v>-8.975612999999999E-2</v>
      </c>
      <c r="E96" s="24">
        <v>-0.12394380999999999</v>
      </c>
      <c r="F96" s="24">
        <v>-8.4202470000000001E-2</v>
      </c>
      <c r="G96" s="24">
        <v>-7.5684966999999992E-2</v>
      </c>
      <c r="H96" s="24">
        <v>-7.4246350000000003E-2</v>
      </c>
      <c r="I96" s="24">
        <v>-8.0127830000000011E-2</v>
      </c>
      <c r="J96" s="24">
        <v>-8.0144409999999999E-2</v>
      </c>
      <c r="K96" s="24">
        <v>-9.9525869999999989E-2</v>
      </c>
      <c r="L96" s="24">
        <v>-9.2938840000000009E-2</v>
      </c>
      <c r="M96" s="24">
        <v>-0.13095629</v>
      </c>
      <c r="N96" s="24">
        <v>-0.13118535000000001</v>
      </c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x14ac:dyDescent="0.35">
      <c r="A97" s="2">
        <v>44771</v>
      </c>
      <c r="B97" s="24">
        <v>7.2702885000000009E-2</v>
      </c>
      <c r="C97" s="24">
        <v>5.964589E-2</v>
      </c>
      <c r="D97" s="24">
        <v>3.8834930000000004E-2</v>
      </c>
      <c r="E97" s="24">
        <v>1.4193535E-2</v>
      </c>
      <c r="F97" s="24">
        <v>6.1236143E-2</v>
      </c>
      <c r="G97" s="24">
        <v>4.8962950000000005E-2</v>
      </c>
      <c r="H97" s="24">
        <v>2.3848891000000001E-2</v>
      </c>
      <c r="I97" s="24">
        <v>0.11155748000000001</v>
      </c>
      <c r="J97" s="24">
        <v>8.3214999999999997E-2</v>
      </c>
      <c r="K97" s="24">
        <v>5.7908654000000004E-2</v>
      </c>
      <c r="L97" s="24">
        <v>8.219564E-2</v>
      </c>
      <c r="M97" s="24">
        <v>0.10171676</v>
      </c>
      <c r="N97" s="24">
        <v>9.0090035999999991E-3</v>
      </c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x14ac:dyDescent="0.35">
      <c r="A98" s="2">
        <v>44802</v>
      </c>
      <c r="B98" s="24">
        <v>-3.0561267999999999E-2</v>
      </c>
      <c r="C98" s="24">
        <v>-1.6710579E-2</v>
      </c>
      <c r="D98" s="24">
        <v>-9.3458294999999997E-3</v>
      </c>
      <c r="E98" s="24">
        <v>-7.5487733000000001E-2</v>
      </c>
      <c r="F98" s="24">
        <v>-4.0249350000000003E-2</v>
      </c>
      <c r="G98" s="24">
        <v>-4.9896599999999999E-2</v>
      </c>
      <c r="H98" s="24">
        <v>-3.8175344E-2</v>
      </c>
      <c r="I98" s="24">
        <v>-3.5028160000000003E-2</v>
      </c>
      <c r="J98" s="24">
        <v>-2.2718965999999997E-2</v>
      </c>
      <c r="K98" s="24">
        <v>-5.9743523999999999E-2</v>
      </c>
      <c r="L98" s="24">
        <v>-8.2260190000000011E-2</v>
      </c>
      <c r="M98" s="24">
        <v>-0.10732132</v>
      </c>
      <c r="N98" s="24">
        <v>-4.5048655999999992E-2</v>
      </c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x14ac:dyDescent="0.35">
      <c r="A99" s="2">
        <v>44833</v>
      </c>
      <c r="B99" s="24">
        <v>-9.8005590000000004E-2</v>
      </c>
      <c r="C99" s="24">
        <v>-0.105545635</v>
      </c>
      <c r="D99" s="24">
        <v>-0.11149227</v>
      </c>
      <c r="E99" s="24">
        <v>-9.3577919999999995E-2</v>
      </c>
      <c r="F99" s="24">
        <v>-8.5915800000000001E-2</v>
      </c>
      <c r="G99" s="24">
        <v>-8.9787009999999987E-2</v>
      </c>
      <c r="H99" s="24">
        <v>-0.11940795</v>
      </c>
      <c r="I99" s="24">
        <v>-0.10530405999999999</v>
      </c>
      <c r="J99" s="24">
        <v>-9.52186E-2</v>
      </c>
      <c r="K99" s="24">
        <v>-0.10878241</v>
      </c>
      <c r="L99" s="24">
        <v>-0.12428402999999999</v>
      </c>
      <c r="M99" s="24">
        <v>-0.113307</v>
      </c>
      <c r="N99" s="24">
        <v>-8.6697869999999996E-2</v>
      </c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x14ac:dyDescent="0.35">
      <c r="A100" s="2">
        <v>44862</v>
      </c>
      <c r="B100" s="24">
        <v>2.4251103E-2</v>
      </c>
      <c r="C100" s="24">
        <v>3.9499998000000001E-2</v>
      </c>
      <c r="D100" s="24">
        <v>6.5636992000000005E-2</v>
      </c>
      <c r="E100" s="24">
        <v>0.12145746</v>
      </c>
      <c r="F100" s="24">
        <v>2.0706414999999999E-2</v>
      </c>
      <c r="G100" s="24">
        <v>4.626429E-2</v>
      </c>
      <c r="H100" s="24">
        <v>8.2123760000000004E-2</v>
      </c>
      <c r="I100" s="24">
        <v>3.4391403000000001E-2</v>
      </c>
      <c r="J100" s="24">
        <v>7.2300672999999996E-2</v>
      </c>
      <c r="K100" s="24">
        <v>0.12691295999999999</v>
      </c>
      <c r="L100" s="24">
        <v>8.5022929999999997E-2</v>
      </c>
      <c r="M100" s="24">
        <v>0.12109958999999999</v>
      </c>
      <c r="N100" s="24">
        <v>0.12936258</v>
      </c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x14ac:dyDescent="0.35">
      <c r="A101" s="2">
        <v>44894</v>
      </c>
      <c r="B101" s="24">
        <v>9.0993400000000002E-2</v>
      </c>
      <c r="C101" s="24">
        <v>0.10966801999999999</v>
      </c>
      <c r="D101" s="24">
        <v>4.4082165E-2</v>
      </c>
      <c r="E101" s="24">
        <v>0.12409746000000001</v>
      </c>
      <c r="F101" s="24">
        <v>9.7653149999999994E-2</v>
      </c>
      <c r="G101" s="24">
        <v>7.4205875000000004E-2</v>
      </c>
      <c r="H101" s="24">
        <v>9.3540430000000008E-2</v>
      </c>
      <c r="I101" s="24">
        <v>-2.3113489000000003E-3</v>
      </c>
      <c r="J101" s="24">
        <v>1.5963196999999998E-2</v>
      </c>
      <c r="K101" s="24">
        <v>9.5395800000000003E-2</v>
      </c>
      <c r="L101" s="24">
        <v>0.14315855</v>
      </c>
      <c r="M101" s="24">
        <v>8.9131829999999995E-2</v>
      </c>
      <c r="N101" s="24">
        <v>0.12649357</v>
      </c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x14ac:dyDescent="0.35">
      <c r="A102" s="2">
        <v>44924</v>
      </c>
      <c r="B102" s="24">
        <v>5.2016735000000001E-2</v>
      </c>
      <c r="C102" s="24">
        <v>-1.3168991000000001E-2</v>
      </c>
      <c r="D102" s="24">
        <v>-3.2372474999999998E-2</v>
      </c>
      <c r="E102" s="24">
        <v>5.9581994999999997E-3</v>
      </c>
      <c r="F102" s="24">
        <v>-3.5886168E-3</v>
      </c>
      <c r="G102" s="24">
        <v>6.8607329999999999E-3</v>
      </c>
      <c r="H102" s="24">
        <v>9.3933343999999998E-3</v>
      </c>
      <c r="I102" s="24">
        <v>-4.8054457000000002E-2</v>
      </c>
      <c r="J102" s="24">
        <v>-2.5321543000000002E-2</v>
      </c>
      <c r="K102" s="24">
        <v>1.6656517999999999E-2</v>
      </c>
      <c r="L102" s="24">
        <v>2.7613640000000001E-3</v>
      </c>
      <c r="M102" s="24">
        <v>4.1872263000000002E-3</v>
      </c>
      <c r="N102" s="24">
        <v>1.4294385999999999E-2</v>
      </c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x14ac:dyDescent="0.35">
      <c r="A103" s="2">
        <v>44953</v>
      </c>
      <c r="B103" s="24">
        <v>6.1451553999999999E-2</v>
      </c>
      <c r="C103" s="24">
        <v>0.11588371</v>
      </c>
      <c r="D103" s="24">
        <v>8.1564540000000005E-2</v>
      </c>
      <c r="E103" s="24">
        <v>0.11736525</v>
      </c>
      <c r="F103" s="24">
        <v>7.1988343999999996E-2</v>
      </c>
      <c r="G103" s="24">
        <v>5.7095884999999999E-2</v>
      </c>
      <c r="H103" s="24">
        <v>5.7448983000000002E-2</v>
      </c>
      <c r="I103" s="24">
        <v>0.11192012</v>
      </c>
      <c r="J103" s="24">
        <v>5.8001280000000002E-2</v>
      </c>
      <c r="K103" s="24">
        <v>9.9999900000000003E-2</v>
      </c>
      <c r="L103" s="24">
        <v>0.12275135000000001</v>
      </c>
      <c r="M103" s="24">
        <v>8.0743550000000011E-2</v>
      </c>
      <c r="N103" s="24">
        <v>9.8096610000000001E-2</v>
      </c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x14ac:dyDescent="0.35">
      <c r="A104" s="2">
        <v>44985</v>
      </c>
      <c r="B104" s="24">
        <v>-6.2799160000000007E-2</v>
      </c>
      <c r="C104" s="24">
        <v>-8.2598270000000001E-2</v>
      </c>
      <c r="D104" s="24">
        <v>-4.5416299999999993E-2</v>
      </c>
      <c r="E104" s="24">
        <v>-2.5008916999999999E-2</v>
      </c>
      <c r="F104" s="24">
        <v>-4.8962950000000005E-2</v>
      </c>
      <c r="G104" s="24">
        <v>-3.6008060000000001E-2</v>
      </c>
      <c r="H104" s="24">
        <v>-9.2082023999999988E-3</v>
      </c>
      <c r="I104" s="24">
        <v>-9.1136693999999997E-3</v>
      </c>
      <c r="J104" s="24">
        <v>-2.322024E-2</v>
      </c>
      <c r="K104" s="24">
        <v>-8.9551805999999994E-3</v>
      </c>
      <c r="L104" s="24">
        <v>-3.8642764000000003E-2</v>
      </c>
      <c r="M104" s="24">
        <v>-4.2289494999999998E-3</v>
      </c>
      <c r="N104" s="24">
        <v>3.3330917000000003E-4</v>
      </c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x14ac:dyDescent="0.35">
      <c r="A105" s="2">
        <v>45014</v>
      </c>
      <c r="B105" s="24">
        <v>4.4943094000000003E-3</v>
      </c>
      <c r="C105" s="24">
        <v>-1.3985991E-2</v>
      </c>
      <c r="D105" s="24">
        <v>-1.3215900000000001E-2</v>
      </c>
      <c r="E105" s="24">
        <v>2.1619557999999997E-2</v>
      </c>
      <c r="F105" s="24">
        <v>3.1641005999999999E-2</v>
      </c>
      <c r="G105" s="24">
        <v>2.6746629999999997E-2</v>
      </c>
      <c r="H105" s="24">
        <v>-1.2391567000000001E-2</v>
      </c>
      <c r="I105" s="24">
        <v>6.6911816999999998E-2</v>
      </c>
      <c r="J105" s="24">
        <v>1.6756892000000002E-2</v>
      </c>
      <c r="K105" s="24">
        <v>1.6976952999999999E-2</v>
      </c>
      <c r="L105" s="24">
        <v>1.5441179000000001E-2</v>
      </c>
      <c r="M105" s="24">
        <v>-2.9728174E-2</v>
      </c>
      <c r="N105" s="24">
        <v>2.6657579999999998E-3</v>
      </c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x14ac:dyDescent="0.35">
      <c r="A106" s="2">
        <v>45044</v>
      </c>
      <c r="B106" s="24">
        <v>1.5253186E-2</v>
      </c>
      <c r="C106" s="24">
        <v>2.5709270999999999E-2</v>
      </c>
      <c r="D106" s="24">
        <v>4.7619103999999995E-2</v>
      </c>
      <c r="E106" s="24">
        <v>5.4878115999999998E-2</v>
      </c>
      <c r="F106" s="24">
        <v>1.9580721999999998E-2</v>
      </c>
      <c r="G106" s="24">
        <v>7.9946160000000002E-2</v>
      </c>
      <c r="H106" s="24">
        <v>6.4303636999999997E-2</v>
      </c>
      <c r="I106" s="24">
        <v>3.1465887999999997E-2</v>
      </c>
      <c r="J106" s="24">
        <v>3.6327362000000002E-2</v>
      </c>
      <c r="K106" s="24">
        <v>6.5428139999999996E-2</v>
      </c>
      <c r="L106" s="24">
        <v>2.1481989999999999E-2</v>
      </c>
      <c r="M106" s="24">
        <v>8.5789320000000002E-2</v>
      </c>
      <c r="N106" s="24">
        <v>5.2176832999999999E-2</v>
      </c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x14ac:dyDescent="0.35">
      <c r="A107" s="2">
        <v>45072</v>
      </c>
      <c r="B107" s="24">
        <v>-3.0849278000000001E-2</v>
      </c>
      <c r="C107" s="24">
        <v>-3.1114936000000003E-2</v>
      </c>
      <c r="D107" s="24">
        <v>-4.0340960000000002E-2</v>
      </c>
      <c r="E107" s="24">
        <v>-2.8221666999999999E-2</v>
      </c>
      <c r="F107" s="24">
        <v>2.3963332E-2</v>
      </c>
      <c r="G107" s="24">
        <v>-1.5595734000000002E-2</v>
      </c>
      <c r="H107" s="24">
        <v>-4.3913960000000002E-2</v>
      </c>
      <c r="I107" s="24">
        <v>8.0109119999999992E-2</v>
      </c>
      <c r="J107" s="24">
        <v>9.8333359999999998E-3</v>
      </c>
      <c r="K107" s="24">
        <v>-4.0687379999999995E-2</v>
      </c>
      <c r="L107" s="24">
        <v>1.6304374E-2</v>
      </c>
      <c r="M107" s="24">
        <v>-6.0467599999999996E-2</v>
      </c>
      <c r="N107" s="24">
        <v>-3.7586868000000002E-2</v>
      </c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x14ac:dyDescent="0.35">
      <c r="A108" s="2">
        <v>45106</v>
      </c>
      <c r="B108" s="24">
        <v>8.2445144999999996E-4</v>
      </c>
      <c r="C108" s="24">
        <v>1.5266060999999999E-2</v>
      </c>
      <c r="D108" s="24">
        <v>3.4353614000000005E-2</v>
      </c>
      <c r="E108" s="24">
        <v>9.1241599999999992E-3</v>
      </c>
      <c r="F108" s="24">
        <v>2.8120280000000001E-2</v>
      </c>
      <c r="G108" s="24">
        <v>-1.5779077999999998E-2</v>
      </c>
      <c r="H108" s="24">
        <v>2.456069E-3</v>
      </c>
      <c r="I108" s="24">
        <v>4.5665025999999997E-2</v>
      </c>
      <c r="J108" s="24">
        <v>4.6958089999999994E-2</v>
      </c>
      <c r="K108" s="24">
        <v>2.235639E-2</v>
      </c>
      <c r="L108" s="24">
        <v>6.5014360000000002E-3</v>
      </c>
      <c r="M108" s="24">
        <v>-5.720854E-3</v>
      </c>
      <c r="N108" s="24">
        <v>5.5471779999999998E-2</v>
      </c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x14ac:dyDescent="0.35">
      <c r="A109" s="2">
        <v>45135</v>
      </c>
      <c r="B109" s="24">
        <v>2.4196862999999999E-2</v>
      </c>
      <c r="C109" s="24">
        <v>3.5362482000000001E-2</v>
      </c>
      <c r="D109" s="24">
        <v>3.4402966E-2</v>
      </c>
      <c r="E109" s="24">
        <v>4.8094034000000001E-2</v>
      </c>
      <c r="F109" s="24">
        <v>3.5603999999999997E-2</v>
      </c>
      <c r="G109" s="24">
        <v>4.9374580000000001E-2</v>
      </c>
      <c r="H109" s="24">
        <v>4.3260217000000004E-2</v>
      </c>
      <c r="I109" s="24">
        <v>5.4066777000000003E-2</v>
      </c>
      <c r="J109" s="24">
        <v>4.2934536999999995E-2</v>
      </c>
      <c r="K109" s="24">
        <v>3.2402515E-2</v>
      </c>
      <c r="L109" s="24">
        <v>5.1389812999999999E-2</v>
      </c>
      <c r="M109" s="24">
        <v>2.8768658999999999E-2</v>
      </c>
      <c r="N109" s="24">
        <v>6.2440275999999996E-2</v>
      </c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x14ac:dyDescent="0.35">
      <c r="A110" s="2">
        <v>45167</v>
      </c>
      <c r="B110" s="24">
        <v>-6.9450082999999996E-2</v>
      </c>
      <c r="C110" s="24">
        <v>-4.3666179999999999E-2</v>
      </c>
      <c r="D110" s="24">
        <v>-3.6333144000000005E-2</v>
      </c>
      <c r="E110" s="24">
        <v>-4.5207319999999995E-2</v>
      </c>
      <c r="F110" s="24">
        <v>-4.0816364000000001E-2</v>
      </c>
      <c r="G110" s="24">
        <v>-2.7185261000000002E-2</v>
      </c>
      <c r="H110" s="24">
        <v>-3.3653796E-2</v>
      </c>
      <c r="I110" s="24">
        <v>-2.2713125000000001E-2</v>
      </c>
      <c r="J110" s="24">
        <v>-1.6983271000000001E-2</v>
      </c>
      <c r="K110" s="24">
        <v>-2.5771855999999999E-2</v>
      </c>
      <c r="L110" s="24">
        <v>-7.3761406000000002E-2</v>
      </c>
      <c r="M110" s="24">
        <v>-5.3970814000000006E-2</v>
      </c>
      <c r="N110" s="24">
        <v>-2.7586162000000001E-2</v>
      </c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x14ac:dyDescent="0.35">
      <c r="A111" s="2">
        <v>45198</v>
      </c>
      <c r="B111" s="24">
        <v>-3.0641257999999998E-2</v>
      </c>
      <c r="C111" s="24">
        <v>-2.7576864E-2</v>
      </c>
      <c r="D111" s="24">
        <v>-2.9582381000000001E-2</v>
      </c>
      <c r="E111" s="24">
        <v>-6.7283688000000008E-2</v>
      </c>
      <c r="F111" s="24">
        <v>-1.3256907E-2</v>
      </c>
      <c r="G111" s="24">
        <v>-6.3413620000000004E-2</v>
      </c>
      <c r="H111" s="24">
        <v>-1.616919E-2</v>
      </c>
      <c r="I111" s="24">
        <v>-4.2645692999999998E-2</v>
      </c>
      <c r="J111" s="24">
        <v>-4.4869422999999999E-2</v>
      </c>
      <c r="K111" s="24">
        <v>-6.7836579999999994E-2</v>
      </c>
      <c r="L111" s="24">
        <v>-8.8030629999999999E-2</v>
      </c>
      <c r="M111" s="24">
        <v>-2.5421261999999997E-2</v>
      </c>
      <c r="N111" s="24">
        <v>-6.1979649999999997E-2</v>
      </c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x14ac:dyDescent="0.35">
      <c r="A112" s="2">
        <v>45226</v>
      </c>
      <c r="B112" s="24">
        <v>-7.3379993000000004E-2</v>
      </c>
      <c r="C112" s="24">
        <v>-4.4630470000000005E-2</v>
      </c>
      <c r="D112" s="24">
        <v>-5.9175133999999997E-2</v>
      </c>
      <c r="E112" s="24">
        <v>-5.4580153999999999E-2</v>
      </c>
      <c r="F112" s="24">
        <v>-4.0968657000000006E-2</v>
      </c>
      <c r="G112" s="24">
        <v>-4.4985055999999995E-2</v>
      </c>
      <c r="H112" s="24">
        <v>-4.5195936999999999E-2</v>
      </c>
      <c r="I112" s="24">
        <v>-3.6173820000000002E-2</v>
      </c>
      <c r="J112" s="24">
        <v>-3.9300144000000002E-2</v>
      </c>
      <c r="K112" s="24">
        <v>-5.1418961999999999E-2</v>
      </c>
      <c r="L112" s="24">
        <v>-3.3535004E-2</v>
      </c>
      <c r="M112" s="24">
        <v>-6.5817475E-2</v>
      </c>
      <c r="N112" s="24">
        <v>-4.4049980000000002E-2</v>
      </c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x14ac:dyDescent="0.35">
      <c r="A113" s="2">
        <v>45259</v>
      </c>
      <c r="B113" s="24">
        <v>0.12378168000000001</v>
      </c>
      <c r="C113" s="24">
        <v>9.0024359999999998E-2</v>
      </c>
      <c r="D113" s="24">
        <v>0.10101652</v>
      </c>
      <c r="E113" s="24">
        <v>0.15179657999999999</v>
      </c>
      <c r="F113" s="24">
        <v>8.0767989999999998E-2</v>
      </c>
      <c r="G113" s="24">
        <v>8.7238670000000004E-2</v>
      </c>
      <c r="H113" s="24">
        <v>7.1499466999999997E-2</v>
      </c>
      <c r="I113" s="24">
        <v>0.12886965</v>
      </c>
      <c r="J113" s="24">
        <v>0.10696887999999999</v>
      </c>
      <c r="K113" s="24">
        <v>0.114632845</v>
      </c>
      <c r="L113" s="24">
        <v>0.15199351</v>
      </c>
      <c r="M113" s="24">
        <v>0.18409098000000002</v>
      </c>
      <c r="N113" s="24">
        <v>0.13789547000000002</v>
      </c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x14ac:dyDescent="0.35">
      <c r="A114" s="2">
        <v>45289</v>
      </c>
      <c r="B114" s="24">
        <v>7.3377850000000008E-2</v>
      </c>
      <c r="C114" s="24">
        <v>0.10899495999999999</v>
      </c>
      <c r="D114" s="24">
        <v>7.2699665999999996E-2</v>
      </c>
      <c r="E114" s="24">
        <v>4.0713429999999995E-2</v>
      </c>
      <c r="F114" s="24">
        <v>4.0871263000000005E-2</v>
      </c>
      <c r="G114" s="24">
        <v>6.6976069999999999E-2</v>
      </c>
      <c r="H114" s="24">
        <v>4.451227E-2</v>
      </c>
      <c r="I114" s="24">
        <v>5.3201080000000005E-2</v>
      </c>
      <c r="J114" s="24">
        <v>4.9779654000000007E-2</v>
      </c>
      <c r="K114" s="24">
        <v>4.7971844999999999E-2</v>
      </c>
      <c r="L114" s="24">
        <v>6.2289475999999996E-2</v>
      </c>
      <c r="M114" s="24">
        <v>0.10898495000000001</v>
      </c>
      <c r="N114" s="24">
        <v>3.8321613999999997E-2</v>
      </c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x14ac:dyDescent="0.35">
      <c r="A115" s="2">
        <v>45320</v>
      </c>
      <c r="B115" s="24">
        <v>-2.6291310000000002E-2</v>
      </c>
      <c r="C115" s="24">
        <v>-1.9720614000000001E-2</v>
      </c>
      <c r="D115" s="24">
        <v>5.4526329999999993E-4</v>
      </c>
      <c r="E115" s="24">
        <v>-7.7467560000000005E-3</v>
      </c>
      <c r="F115" s="24">
        <v>3.1649469999999999E-2</v>
      </c>
      <c r="G115" s="24">
        <v>0</v>
      </c>
      <c r="H115" s="24">
        <v>-1.0589957000000001E-2</v>
      </c>
      <c r="I115" s="24">
        <v>4.5492290000000005E-2</v>
      </c>
      <c r="J115" s="24">
        <v>3.3578038000000004E-2</v>
      </c>
      <c r="K115" s="24">
        <v>-1.7865896000000001E-3</v>
      </c>
      <c r="L115" s="24">
        <v>3.2937407000000002E-2</v>
      </c>
      <c r="M115" s="24">
        <v>-5.295163E-2</v>
      </c>
      <c r="N115" s="24">
        <v>-2.0335972000000001E-2</v>
      </c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x14ac:dyDescent="0.35">
      <c r="A116" s="2">
        <v>45351</v>
      </c>
      <c r="B116" s="24">
        <v>-4.6166897000000005E-2</v>
      </c>
      <c r="C116" s="24">
        <v>2.5146007999999999E-3</v>
      </c>
      <c r="D116" s="24">
        <v>1.9073486000000001E-3</v>
      </c>
      <c r="E116" s="24">
        <v>4.0054319999999997E-2</v>
      </c>
      <c r="F116" s="24">
        <v>4.4582249999999997E-2</v>
      </c>
      <c r="G116" s="24">
        <v>-3.0039369999999999E-2</v>
      </c>
      <c r="H116" s="24">
        <v>1.5289783000000002E-3</v>
      </c>
      <c r="I116" s="24">
        <v>2.534163E-2</v>
      </c>
      <c r="J116" s="24">
        <v>3.4217477000000003E-2</v>
      </c>
      <c r="K116" s="24">
        <v>2.8125762999999998E-2</v>
      </c>
      <c r="L116" s="24">
        <v>3.5574913E-2</v>
      </c>
      <c r="M116" s="24">
        <v>5.7784915000000006E-2</v>
      </c>
      <c r="N116" s="24">
        <v>7.1901320000000005E-2</v>
      </c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x14ac:dyDescent="0.35">
      <c r="A117" s="2">
        <v>45379</v>
      </c>
      <c r="B117" s="24">
        <v>9.9911689999999994E-3</v>
      </c>
      <c r="C117" s="24">
        <v>3.0936479999999999E-2</v>
      </c>
      <c r="D117" s="24">
        <v>4.106605E-2</v>
      </c>
      <c r="E117" s="24">
        <v>3.6227226000000001E-2</v>
      </c>
      <c r="F117" s="24">
        <v>3.2262683E-2</v>
      </c>
      <c r="G117" s="24">
        <v>1.6659497999999998E-2</v>
      </c>
      <c r="H117" s="24">
        <v>4.4580099999999998E-2</v>
      </c>
      <c r="I117" s="24">
        <v>1.2738108999999999E-2</v>
      </c>
      <c r="J117" s="24">
        <v>3.2723903999999998E-2</v>
      </c>
      <c r="K117" s="24">
        <v>2.9843329999999998E-2</v>
      </c>
      <c r="L117" s="24">
        <v>3.6447406000000002E-2</v>
      </c>
      <c r="M117" s="24">
        <v>1.0622144E-2</v>
      </c>
      <c r="N117" s="24">
        <v>5.8658479999999999E-2</v>
      </c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x14ac:dyDescent="0.35">
      <c r="A118" s="2">
        <v>45411</v>
      </c>
      <c r="B118" s="24">
        <v>-3.7371516E-3</v>
      </c>
      <c r="C118" s="24">
        <v>-2.9602587E-2</v>
      </c>
      <c r="D118" s="24">
        <v>-1.5673935E-2</v>
      </c>
      <c r="E118" s="24">
        <v>-2.4251996999999997E-2</v>
      </c>
      <c r="F118" s="24">
        <v>-5.0595639999999997E-2</v>
      </c>
      <c r="G118" s="24">
        <v>-3.1932712000000002E-2</v>
      </c>
      <c r="H118" s="24">
        <v>2.2508024999999997E-2</v>
      </c>
      <c r="I118" s="24">
        <v>-2.535981E-2</v>
      </c>
      <c r="J118" s="24">
        <v>-2.4872421999999998E-2</v>
      </c>
      <c r="K118" s="24">
        <v>-1.9560516E-2</v>
      </c>
      <c r="L118" s="24">
        <v>-1.4551342E-2</v>
      </c>
      <c r="M118" s="24">
        <v>-1.5515505999999998E-2</v>
      </c>
      <c r="N118" s="24">
        <v>-1.0604500999999999E-2</v>
      </c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x14ac:dyDescent="0.35">
      <c r="A119" s="2">
        <v>45441</v>
      </c>
      <c r="B119" s="24">
        <v>-8.8261365999999994E-3</v>
      </c>
      <c r="C119" s="24">
        <v>1.1282921E-2</v>
      </c>
      <c r="D119" s="24">
        <v>-9.819507600000001E-3</v>
      </c>
      <c r="E119" s="24">
        <v>2.4531960000000002E-2</v>
      </c>
      <c r="F119" s="24">
        <v>-3.9857626000000005E-3</v>
      </c>
      <c r="G119" s="24">
        <v>3.5590290000000004E-2</v>
      </c>
      <c r="H119" s="24">
        <v>1.8867970000000001E-2</v>
      </c>
      <c r="I119" s="24">
        <v>5.4742930000000002E-2</v>
      </c>
      <c r="J119" s="24">
        <v>3.1447291000000002E-2</v>
      </c>
      <c r="K119" s="24">
        <v>1.2068987E-2</v>
      </c>
      <c r="L119" s="24">
        <v>4.4503690000000005E-2</v>
      </c>
      <c r="M119" s="24">
        <v>3.8637520000000002E-2</v>
      </c>
      <c r="N119" s="24">
        <v>2.1436213999999999E-2</v>
      </c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x14ac:dyDescent="0.35">
      <c r="A120" s="2">
        <v>45471</v>
      </c>
      <c r="B120" s="24">
        <v>1.9776225000000001E-2</v>
      </c>
      <c r="C120" s="24">
        <v>2.9175282E-2</v>
      </c>
      <c r="D120" s="24">
        <v>3.5158395999999995E-3</v>
      </c>
      <c r="E120" s="24">
        <v>-1.149118E-2</v>
      </c>
      <c r="F120" s="24">
        <v>1.8971324000000001E-2</v>
      </c>
      <c r="G120" s="24">
        <v>3.1460881000000003E-2</v>
      </c>
      <c r="H120" s="24">
        <v>-2.1585225999999997E-3</v>
      </c>
      <c r="I120" s="24">
        <v>5.1353454999999999E-2</v>
      </c>
      <c r="J120" s="24">
        <v>3.7783859999999996E-2</v>
      </c>
      <c r="K120" s="24">
        <v>-5.9195399999999995E-2</v>
      </c>
      <c r="L120" s="24">
        <v>-2.6182531999999997E-3</v>
      </c>
      <c r="M120" s="24">
        <v>9.4389915000000005E-4</v>
      </c>
      <c r="N120" s="24">
        <v>-3.6258220000000001E-2</v>
      </c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x14ac:dyDescent="0.35">
      <c r="A121" s="2">
        <v>45502</v>
      </c>
      <c r="B121" s="24">
        <v>-8.798897E-3</v>
      </c>
      <c r="C121" s="24">
        <v>3.2746792E-3</v>
      </c>
      <c r="D121" s="24">
        <v>3.0466437000000002E-2</v>
      </c>
      <c r="E121" s="24">
        <v>1.2736796999999999E-2</v>
      </c>
      <c r="F121" s="24">
        <v>8.9390279999999999E-3</v>
      </c>
      <c r="G121" s="24">
        <v>3.1321406000000003E-2</v>
      </c>
      <c r="H121" s="24">
        <v>2.8956413E-2</v>
      </c>
      <c r="I121" s="24">
        <v>-3.1746327999999997E-2</v>
      </c>
      <c r="J121" s="24">
        <v>9.922981E-4</v>
      </c>
      <c r="K121" s="24">
        <v>1.164639E-2</v>
      </c>
      <c r="L121" s="24">
        <v>-4.1409491999999999E-2</v>
      </c>
      <c r="M121" s="24">
        <v>-1.6397536000000001E-2</v>
      </c>
      <c r="N121" s="24">
        <v>3.5425425000000003E-2</v>
      </c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x14ac:dyDescent="0.35">
      <c r="A122" s="2">
        <v>45533</v>
      </c>
      <c r="B122" s="24">
        <v>8.2112669999999999E-2</v>
      </c>
      <c r="C122" s="24">
        <v>6.2831400000000009E-2</v>
      </c>
      <c r="D122" s="24">
        <v>5.2590250000000005E-2</v>
      </c>
      <c r="E122" s="24">
        <v>4.708159E-2</v>
      </c>
      <c r="F122" s="24">
        <v>3.9070487000000001E-2</v>
      </c>
      <c r="G122" s="24">
        <v>6.1544657000000003E-2</v>
      </c>
      <c r="H122" s="24">
        <v>4.6809672999999996E-2</v>
      </c>
      <c r="I122" s="24">
        <v>1.4572144E-2</v>
      </c>
      <c r="J122" s="24">
        <v>2.4946690000000001E-2</v>
      </c>
      <c r="K122" s="24">
        <v>4.2124509999999997E-2</v>
      </c>
      <c r="L122" s="24">
        <v>4.8598169999999996E-2</v>
      </c>
      <c r="M122" s="24">
        <v>6.2642097000000008E-2</v>
      </c>
      <c r="N122" s="50">
        <v>4.0678979999999997E-2</v>
      </c>
    </row>
    <row r="123" spans="1:26" x14ac:dyDescent="0.35">
      <c r="A123" s="2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</row>
    <row r="124" spans="1:26" x14ac:dyDescent="0.35">
      <c r="A124" s="2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</row>
    <row r="125" spans="1:26" x14ac:dyDescent="0.35"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</row>
    <row r="126" spans="1:26" x14ac:dyDescent="0.35">
      <c r="A126" t="s">
        <v>782</v>
      </c>
      <c r="B126" s="24" cm="1">
        <f t="array" ref="B126">MAX(_xlfn._xlws.FILTER(B1:B122, ISNUMBER(B1:B122)))</f>
        <v>0.16747151999999998</v>
      </c>
      <c r="C126" s="24" cm="1">
        <f t="array" ref="C126">MAX(_xlfn._xlws.FILTER(C1:C122, ISNUMBER(C1:C122)))</f>
        <v>0.18206893999999998</v>
      </c>
      <c r="D126" s="24" cm="1">
        <f t="array" ref="D126">MAX(_xlfn._xlws.FILTER(D1:D122, ISNUMBER(D1:D122)))</f>
        <v>0.21539211000000003</v>
      </c>
      <c r="E126" s="24" cm="1">
        <f t="array" ref="E126">MAX(_xlfn._xlws.FILTER(E1:E122, ISNUMBER(E1:E122)))</f>
        <v>0.16049849999999999</v>
      </c>
      <c r="F126" s="24" cm="1">
        <f t="array" ref="F126">MAX(_xlfn._xlws.FILTER(F1:F122, ISNUMBER(F1:F122)))</f>
        <v>0.13059067999999999</v>
      </c>
      <c r="G126" s="24" cm="1">
        <f t="array" ref="G126">MAX(_xlfn._xlws.FILTER(G1:G122, ISNUMBER(G1:G122)))</f>
        <v>0.10266256</v>
      </c>
      <c r="H126" s="24" cm="1">
        <f t="array" ref="H126">MAX(_xlfn._xlws.FILTER(H1:H122, ISNUMBER(H1:H122)))</f>
        <v>0.18606556000000002</v>
      </c>
      <c r="I126" s="24" cm="1">
        <f t="array" ref="I126">MAX(_xlfn._xlws.FILTER(I1:I122, ISNUMBER(I1:I122)))</f>
        <v>0.18186724000000001</v>
      </c>
      <c r="J126" s="24" cm="1">
        <f t="array" ref="J126">MAX(_xlfn._xlws.FILTER(J1:J122, ISNUMBER(J1:J122)))</f>
        <v>0.15701209999999999</v>
      </c>
      <c r="K126" s="24" cm="1">
        <f t="array" ref="K126">MAX(_xlfn._xlws.FILTER(K1:K122, ISNUMBER(K1:K122)))</f>
        <v>0.24343597</v>
      </c>
      <c r="L126" s="24" cm="1">
        <f t="array" ref="L126">MAX(_xlfn._xlws.FILTER(L1:L122, ISNUMBER(L1:L122)))</f>
        <v>0.15199351</v>
      </c>
      <c r="M126" s="24" cm="1">
        <f t="array" ref="M126">MAX(_xlfn._xlws.FILTER(M1:M122, ISNUMBER(M1:M122)))</f>
        <v>0.18409098000000002</v>
      </c>
      <c r="N126" s="24" cm="1">
        <f t="array" ref="N126">MAX(_xlfn._xlws.FILTER(N1:N122, ISNUMBER(N1:N122)))</f>
        <v>0.27471554000000004</v>
      </c>
    </row>
    <row r="127" spans="1:26" x14ac:dyDescent="0.35">
      <c r="A127" t="s">
        <v>85</v>
      </c>
      <c r="B127" s="24" cm="1">
        <f t="array" ref="B127">MIN(_xlfn._xlws.FILTER(B2:B122, ISNUMBER(B2:B122)))</f>
        <v>-0.18142986</v>
      </c>
      <c r="C127" s="24" cm="1">
        <f t="array" ref="C127">MIN(_xlfn._xlws.FILTER(C2:C122, ISNUMBER(C2:C122)))</f>
        <v>-0.27932410999999996</v>
      </c>
      <c r="D127" s="24" cm="1">
        <f t="array" ref="D127">MIN(_xlfn._xlws.FILTER(D2:D122, ISNUMBER(D2:D122)))</f>
        <v>-0.25117795999999998</v>
      </c>
      <c r="E127" s="24" cm="1">
        <f t="array" ref="E127">MIN(_xlfn._xlws.FILTER(E2:E122, ISNUMBER(E2:E122)))</f>
        <v>-0.19450796000000001</v>
      </c>
      <c r="F127" s="24" cm="1">
        <f t="array" ref="F127">MIN(_xlfn._xlws.FILTER(F2:F122, ISNUMBER(F2:F122)))</f>
        <v>-0.11223639000000001</v>
      </c>
      <c r="G127" s="24" cm="1">
        <f t="array" ref="G127">MIN(_xlfn._xlws.FILTER(G2:G122, ISNUMBER(G2:G122)))</f>
        <v>-8.9787009999999987E-2</v>
      </c>
      <c r="H127" s="24" cm="1">
        <f t="array" ref="H127">MIN(_xlfn._xlws.FILTER(H2:H122, ISNUMBER(H2:H122)))</f>
        <v>-0.20307165000000002</v>
      </c>
      <c r="I127" s="24" cm="1">
        <f t="array" ref="I127">MIN(_xlfn._xlws.FILTER(I2:I122, ISNUMBER(I2:I122)))</f>
        <v>-0.15609259</v>
      </c>
      <c r="J127" s="24" cm="1">
        <f t="array" ref="J127">MIN(_xlfn._xlws.FILTER(J2:J122, ISNUMBER(J2:J122)))</f>
        <v>-0.13934791999999999</v>
      </c>
      <c r="K127" s="24" cm="1">
        <f t="array" ref="K127">MIN(_xlfn._xlws.FILTER(K2:K122, ISNUMBER(K2:K122)))</f>
        <v>-0.18285519</v>
      </c>
      <c r="L127" s="24" cm="1">
        <f t="array" ref="L127">MIN(_xlfn._xlws.FILTER(L2:L122, ISNUMBER(L2:L122)))</f>
        <v>-0.1576873</v>
      </c>
      <c r="M127" s="24" cm="1">
        <f t="array" ref="M127">MIN(_xlfn._xlws.FILTER(M2:M122, ISNUMBER(M2:M122)))</f>
        <v>-0.18926924000000001</v>
      </c>
      <c r="N127" s="24" cm="1">
        <f t="array" ref="N127">MIN(_xlfn._xlws.FILTER(N2:N122, ISNUMBER(N2:N122)))</f>
        <v>-0.23861969</v>
      </c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9" spans="1:17" x14ac:dyDescent="0.35">
      <c r="A129" t="s">
        <v>87</v>
      </c>
      <c r="B129">
        <f>COUNTIF(B2:B122, "&lt;"&amp;Assumption!$E$50)</f>
        <v>21</v>
      </c>
      <c r="C129">
        <f>COUNTIF(C2:C122, "&lt;"&amp;Assumption!$E$50)</f>
        <v>19</v>
      </c>
      <c r="D129">
        <f>COUNTIF(D2:D122, "&lt;"&amp;Assumption!$E$50)</f>
        <v>15</v>
      </c>
      <c r="E129">
        <f>COUNTIF(E2:E122, "&lt;"&amp;Assumption!$E$50)</f>
        <v>21</v>
      </c>
      <c r="F129">
        <f>COUNTIF(F2:F122, "&lt;"&amp;Assumption!$E$50)</f>
        <v>12</v>
      </c>
      <c r="G129">
        <f>COUNTIF(G2:G122, "&lt;"&amp;Assumption!$E$50)</f>
        <v>15</v>
      </c>
      <c r="H129">
        <f>COUNTIF(H2:H122, "&lt;"&amp;Assumption!$E$50)</f>
        <v>14</v>
      </c>
      <c r="I129">
        <f>COUNTIF(I2:I122, "&lt;"&amp;Assumption!$E$50)</f>
        <v>13</v>
      </c>
      <c r="J129">
        <f>COUNTIF(J2:J122, "&lt;"&amp;Assumption!$E$50)</f>
        <v>12</v>
      </c>
      <c r="K129">
        <f>COUNTIF(K2:K122, "&lt;"&amp;Assumption!$E$50)</f>
        <v>21</v>
      </c>
      <c r="L129">
        <f>COUNTIF(L2:L122, "&lt;"&amp;Assumption!$E$50)</f>
        <v>16</v>
      </c>
      <c r="M129">
        <f>COUNTIF(M2:M122, "&lt;"&amp;Assumption!$E$50)</f>
        <v>21</v>
      </c>
      <c r="N129">
        <f>COUNTIF(N2:N122, "&lt;"&amp;Assumption!$E$50)</f>
        <v>21</v>
      </c>
    </row>
    <row r="130" spans="1:17" x14ac:dyDescent="0.35">
      <c r="A130" t="s">
        <v>86</v>
      </c>
      <c r="B130">
        <f t="shared" ref="B130:J130" si="0">COUNT(B1:B122)</f>
        <v>121</v>
      </c>
      <c r="C130">
        <f t="shared" si="0"/>
        <v>121</v>
      </c>
      <c r="D130">
        <f t="shared" si="0"/>
        <v>121</v>
      </c>
      <c r="E130">
        <f t="shared" si="0"/>
        <v>121</v>
      </c>
      <c r="F130">
        <f t="shared" si="0"/>
        <v>121</v>
      </c>
      <c r="G130">
        <f t="shared" si="0"/>
        <v>121</v>
      </c>
      <c r="H130">
        <f t="shared" si="0"/>
        <v>121</v>
      </c>
      <c r="I130">
        <f t="shared" si="0"/>
        <v>121</v>
      </c>
      <c r="J130">
        <f t="shared" si="0"/>
        <v>121</v>
      </c>
      <c r="K130">
        <f t="shared" ref="K130:N130" si="1">COUNT(K1:K122)</f>
        <v>121</v>
      </c>
      <c r="L130">
        <f t="shared" si="1"/>
        <v>121</v>
      </c>
      <c r="M130">
        <f t="shared" si="1"/>
        <v>121</v>
      </c>
      <c r="N130">
        <f t="shared" si="1"/>
        <v>121</v>
      </c>
    </row>
    <row r="132" spans="1:17" x14ac:dyDescent="0.35">
      <c r="A132" t="s">
        <v>88</v>
      </c>
      <c r="B132" s="9">
        <f t="shared" ref="B132:J132" si="2">B129/B130</f>
        <v>0.17355371900826447</v>
      </c>
      <c r="C132" s="9">
        <f t="shared" si="2"/>
        <v>0.15702479338842976</v>
      </c>
      <c r="D132" s="9">
        <f t="shared" si="2"/>
        <v>0.12396694214876033</v>
      </c>
      <c r="E132" s="9">
        <f t="shared" si="2"/>
        <v>0.17355371900826447</v>
      </c>
      <c r="F132" s="9">
        <f t="shared" si="2"/>
        <v>9.9173553719008267E-2</v>
      </c>
      <c r="G132" s="9">
        <f t="shared" si="2"/>
        <v>0.12396694214876033</v>
      </c>
      <c r="H132" s="9">
        <f t="shared" si="2"/>
        <v>0.11570247933884298</v>
      </c>
      <c r="I132" s="9">
        <f t="shared" si="2"/>
        <v>0.10743801652892562</v>
      </c>
      <c r="J132" s="9">
        <f t="shared" si="2"/>
        <v>9.9173553719008267E-2</v>
      </c>
      <c r="K132" s="9">
        <f t="shared" ref="K132:N132" si="3">K129/K130</f>
        <v>0.17355371900826447</v>
      </c>
      <c r="L132" s="9">
        <f t="shared" si="3"/>
        <v>0.13223140495867769</v>
      </c>
      <c r="M132" s="9">
        <f t="shared" si="3"/>
        <v>0.17355371900826447</v>
      </c>
      <c r="N132" s="9">
        <f t="shared" si="3"/>
        <v>0.17355371900826447</v>
      </c>
      <c r="O132" s="9"/>
      <c r="P132" s="9"/>
      <c r="Q132" s="9"/>
    </row>
    <row r="134" spans="1:17" x14ac:dyDescent="0.35">
      <c r="A134" t="s">
        <v>95</v>
      </c>
      <c r="B134" s="9" cm="1">
        <f t="array" ref="B134">_xlfn.PERCENTRANK.EXC(_xlfn._xlws.FILTER(B2:B122, ISNUMBER(B2:B122)),B122)</f>
        <v>0.90900000000000003</v>
      </c>
      <c r="C134" s="9" cm="1">
        <f t="array" ref="C134">_xlfn.PERCENTRANK.EXC(_xlfn._xlws.FILTER(C2:C122, ISNUMBER(C2:C122)),C122)</f>
        <v>0.86799999999999999</v>
      </c>
      <c r="D134" s="9" cm="1">
        <f t="array" ref="D134">_xlfn.PERCENTRANK.EXC(_xlfn._xlws.FILTER(D2:D122, ISNUMBER(D2:D122)),D122)</f>
        <v>0.85199999999999998</v>
      </c>
      <c r="E134" s="9" cm="1">
        <f t="array" ref="E134">_xlfn.PERCENTRANK.EXC(_xlfn._xlws.FILTER(E2:E122, ISNUMBER(E2:E122)),E122)</f>
        <v>0.77800000000000002</v>
      </c>
      <c r="F134" s="9" cm="1">
        <f t="array" ref="F134">_xlfn.PERCENTRANK.EXC(_xlfn._xlws.FILTER(F2:F122, ISNUMBER(F2:F122)),F122)</f>
        <v>0.83599999999999997</v>
      </c>
      <c r="G134" s="9" cm="1">
        <f t="array" ref="G134">_xlfn.PERCENTRANK.EXC(_xlfn._xlws.FILTER(G2:G122, ISNUMBER(G2:G122)),G122)</f>
        <v>0.90100000000000002</v>
      </c>
      <c r="H134" s="9" cm="1">
        <f t="array" ref="H134">_xlfn.PERCENTRANK.EXC(_xlfn._xlws.FILTER(H2:H122, ISNUMBER(H2:H122)),H122)</f>
        <v>0.877</v>
      </c>
      <c r="I134" s="9" cm="1">
        <f t="array" ref="I134">_xlfn.PERCENTRANK.EXC(_xlfn._xlws.FILTER(I2:I122, ISNUMBER(I2:I122)),I122)</f>
        <v>0.46700000000000003</v>
      </c>
      <c r="J134" s="9" cm="1">
        <f t="array" ref="J134">_xlfn.PERCENTRANK.EXC(_xlfn._xlws.FILTER(J2:J122, ISNUMBER(J2:J122)),J122)</f>
        <v>0.59799999999999998</v>
      </c>
      <c r="K134" s="9" cm="1">
        <f t="array" ref="K134">_xlfn.PERCENTRANK.EXC(_xlfn._xlws.FILTER(K2:K122, ISNUMBER(K2:K122)),K122)</f>
        <v>0.73699999999999999</v>
      </c>
      <c r="L134" s="9" cm="1">
        <f t="array" ref="L134">_xlfn.PERCENTRANK.EXC(_xlfn._xlws.FILTER(L2:L122, ISNUMBER(L2:L122)),L122)</f>
        <v>0.77800000000000002</v>
      </c>
      <c r="M134" s="9" cm="1">
        <f t="array" ref="M134">_xlfn.PERCENTRANK.EXC(_xlfn._xlws.FILTER(M2:M122, ISNUMBER(M2:M122)),M122)</f>
        <v>0.82699999999999996</v>
      </c>
      <c r="N134" s="9" cm="1">
        <f t="array" ref="N134">_xlfn.PERCENTRANK.EXC(_xlfn._xlws.FILTER(N2:N122, ISNUMBER(N2:N122)),N122)</f>
        <v>0.71299999999999997</v>
      </c>
      <c r="O134" s="9"/>
      <c r="P134" s="9"/>
      <c r="Q134" s="9"/>
    </row>
    <row r="136" spans="1:17" x14ac:dyDescent="0.35">
      <c r="A136" s="9"/>
      <c r="B136" s="9" cm="1">
        <f t="array" ref="B136">_xlfn.PERCENTRANK.EXC(_xlfn._xlws.FILTER(B4:B125, ISNUMBER(B4:B125)),B113)</f>
        <v>0.97499999999999998</v>
      </c>
      <c r="C136" s="9" cm="1">
        <f t="array" ref="C136">_xlfn.PERCENTRANK.EXC(_xlfn._xlws.FILTER(C4:C125, ISNUMBER(C4:C125)),C113)</f>
        <v>0.92500000000000004</v>
      </c>
      <c r="D136" s="9" cm="1">
        <f t="array" ref="D136">_xlfn.PERCENTRANK.EXC(_xlfn._xlws.FILTER(D4:D125, ISNUMBER(D4:D125)),D113)</f>
        <v>0.96599999999999997</v>
      </c>
      <c r="E136" s="9" cm="1">
        <f t="array" ref="E136">_xlfn.PERCENTRANK.EXC(_xlfn._xlws.FILTER(E4:E125, ISNUMBER(E4:E125)),E113)</f>
        <v>0.98299999999999998</v>
      </c>
      <c r="F136" s="9" cm="1">
        <f t="array" ref="F136">_xlfn.PERCENTRANK.EXC(_xlfn._xlws.FILTER(F4:F125, ISNUMBER(F4:F125)),F113)</f>
        <v>0.96599999999999997</v>
      </c>
      <c r="G136" s="9" cm="1">
        <f t="array" ref="G136">_xlfn.PERCENTRANK.EXC(_xlfn._xlws.FILTER(G4:G125, ISNUMBER(G4:G125)),G113)</f>
        <v>0.98299999999999998</v>
      </c>
      <c r="H136" s="9" cm="1">
        <f t="array" ref="H136">_xlfn.PERCENTRANK.EXC(_xlfn._xlws.FILTER(H4:H125, ISNUMBER(H4:H125)),H113)</f>
        <v>0.95</v>
      </c>
      <c r="I136" s="9" cm="1">
        <f t="array" ref="I136">_xlfn.PERCENTRANK.EXC(_xlfn._xlws.FILTER(I4:I125, ISNUMBER(I4:I125)),I113)</f>
        <v>0.97499999999999998</v>
      </c>
      <c r="J136" s="9" cm="1">
        <f t="array" ref="J136">_xlfn.PERCENTRANK.EXC(_xlfn._xlws.FILTER(J4:J125, ISNUMBER(J4:J125)),J113)</f>
        <v>0.97499999999999998</v>
      </c>
      <c r="K136" s="9" cm="1">
        <f t="array" ref="K136">_xlfn.PERCENTRANK.EXC(_xlfn._xlws.FILTER(K4:K125, ISNUMBER(K4:K125)),K113)</f>
        <v>0.97499999999999998</v>
      </c>
      <c r="L136" s="9" cm="1">
        <f t="array" ref="L136">_xlfn.PERCENTRANK.EXC(_xlfn._xlws.FILTER(L4:L125, ISNUMBER(L4:L125)),L113)</f>
        <v>0.99099999999999999</v>
      </c>
      <c r="M136" s="9" cm="1">
        <f t="array" ref="M136">_xlfn.PERCENTRANK.EXC(_xlfn._xlws.FILTER(M4:M125, ISNUMBER(M4:M125)),M113)</f>
        <v>0.99099999999999999</v>
      </c>
      <c r="N136" s="9" cm="1">
        <f t="array" ref="N136">_xlfn.PERCENTRANK.EXC(_xlfn._xlws.FILTER(N4:N125, ISNUMBER(N4:N125)),N113)</f>
        <v>0.98299999999999998</v>
      </c>
    </row>
    <row r="138" spans="1:17" x14ac:dyDescent="0.35">
      <c r="A138" t="s">
        <v>829</v>
      </c>
      <c r="B138">
        <f t="shared" ref="B138:J138" si="4">STDEV(B40:B122)</f>
        <v>5.875431777118318E-2</v>
      </c>
      <c r="C138">
        <f t="shared" si="4"/>
        <v>6.5860088335385342E-2</v>
      </c>
      <c r="D138">
        <f t="shared" si="4"/>
        <v>6.0671981562912675E-2</v>
      </c>
      <c r="E138">
        <f t="shared" si="4"/>
        <v>6.4289859167123972E-2</v>
      </c>
      <c r="F138">
        <f t="shared" si="4"/>
        <v>4.4372950899038095E-2</v>
      </c>
      <c r="G138">
        <f t="shared" si="4"/>
        <v>4.6635474875978217E-2</v>
      </c>
      <c r="H138">
        <f t="shared" si="4"/>
        <v>5.3365439158139745E-2</v>
      </c>
      <c r="I138">
        <f t="shared" si="4"/>
        <v>6.0922665161951099E-2</v>
      </c>
      <c r="J138">
        <f t="shared" si="4"/>
        <v>5.1149382941148493E-2</v>
      </c>
      <c r="K138">
        <f t="shared" ref="K138:N138" si="5">STDEV(K40:K122)</f>
        <v>6.1349163377875535E-2</v>
      </c>
      <c r="L138">
        <f t="shared" si="5"/>
        <v>6.26136712822319E-2</v>
      </c>
      <c r="M138">
        <f t="shared" si="5"/>
        <v>7.1271560257722313E-2</v>
      </c>
      <c r="N138">
        <f t="shared" si="5"/>
        <v>6.9494677642824035E-2</v>
      </c>
    </row>
    <row r="139" spans="1:17" x14ac:dyDescent="0.35">
      <c r="A139" t="s">
        <v>830</v>
      </c>
      <c r="B139" s="74">
        <f t="shared" ref="B139:J139" si="6">B138*SQRT(12)</f>
        <v>0.20353092708747253</v>
      </c>
      <c r="C139" s="74">
        <f t="shared" si="6"/>
        <v>0.22814603837572353</v>
      </c>
      <c r="D139" s="74">
        <f t="shared" si="6"/>
        <v>0.21017390932569385</v>
      </c>
      <c r="E139" s="74">
        <f t="shared" si="6"/>
        <v>0.22270660497781292</v>
      </c>
      <c r="F139" s="74">
        <f t="shared" si="6"/>
        <v>0.15371241087778614</v>
      </c>
      <c r="G139" s="74">
        <f t="shared" si="6"/>
        <v>0.16155002384059231</v>
      </c>
      <c r="H139" s="74">
        <f t="shared" si="6"/>
        <v>0.18486330398024745</v>
      </c>
      <c r="I139" s="74">
        <f t="shared" si="6"/>
        <v>0.21104230278601141</v>
      </c>
      <c r="J139" s="74">
        <f t="shared" si="6"/>
        <v>0.17718666005973199</v>
      </c>
      <c r="K139" s="74">
        <f t="shared" ref="K139:N139" si="7">K138*SQRT(12)</f>
        <v>0.21251973594464862</v>
      </c>
      <c r="L139" s="74">
        <f t="shared" si="7"/>
        <v>0.21690011981848395</v>
      </c>
      <c r="M139" s="74">
        <f t="shared" si="7"/>
        <v>0.24689192700216364</v>
      </c>
      <c r="N139" s="74">
        <f t="shared" si="7"/>
        <v>0.24073662506598434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613"/>
  <sheetViews>
    <sheetView zoomScaleNormal="100" workbookViewId="0">
      <pane ySplit="1" topLeftCell="A110" activePane="bottomLeft" state="frozen"/>
      <selection pane="bottomLeft" activeCell="B138" sqref="B138"/>
    </sheetView>
  </sheetViews>
  <sheetFormatPr defaultRowHeight="14.5" x14ac:dyDescent="0.35"/>
  <cols>
    <col min="1" max="1" width="24.54296875" customWidth="1"/>
    <col min="11" max="11" width="8.81640625" customWidth="1"/>
  </cols>
  <sheetData>
    <row r="1" spans="1:14" x14ac:dyDescent="0.35">
      <c r="A1" s="2" t="s">
        <v>388</v>
      </c>
      <c r="B1" s="3" t="s">
        <v>431</v>
      </c>
      <c r="C1" s="3" t="s">
        <v>44</v>
      </c>
      <c r="D1" s="3" t="s">
        <v>49</v>
      </c>
      <c r="E1" s="3" t="s">
        <v>11</v>
      </c>
      <c r="F1" s="3" t="s">
        <v>46</v>
      </c>
      <c r="G1" s="3" t="s">
        <v>42</v>
      </c>
      <c r="H1" s="3" t="s">
        <v>48</v>
      </c>
      <c r="I1" s="3" t="s">
        <v>51</v>
      </c>
      <c r="J1" s="3" t="s">
        <v>1</v>
      </c>
      <c r="K1" s="47" t="s">
        <v>865</v>
      </c>
      <c r="L1" s="47" t="s">
        <v>867</v>
      </c>
      <c r="M1" s="47" t="s">
        <v>864</v>
      </c>
      <c r="N1" s="47" t="s">
        <v>866</v>
      </c>
    </row>
    <row r="2" spans="1:14" x14ac:dyDescent="0.35">
      <c r="A2" s="2" cm="1">
        <f t="array" ref="A2:A122">_xll.FDS(B1,"JULIAN(P_PRICE_RETURNS_PR('52W',2,-10AY,0,AM).dates)")</f>
        <v>41880</v>
      </c>
      <c r="B2" s="7" cm="1">
        <f t="array" ref="B2:B122">_xll.FDS(B1,"P_PRICE_RETURNS_PR('52W',2,-10AY,0,AM)")</f>
        <v>25.006830000000001</v>
      </c>
      <c r="C2" s="7" cm="1">
        <f t="array" ref="C2:C122">_xll.FDS(C1,"P_PRICE_RETURNS_PR('52W',2,-10AY,0,AM)")</f>
        <v>20.751774000000001</v>
      </c>
      <c r="D2" s="7" cm="1">
        <f t="array" ref="D2:D122">_xll.FDS(D1,"P_PRICE_RETURNS_PR('52W',2,-10AY,0,AM)")</f>
        <v>22.249817</v>
      </c>
      <c r="E2" s="7" cm="1">
        <f t="array" ref="E2:E122">_xll.FDS(E1,"P_PRICE_RETURNS_PR('52W',2,-10AY,0,AM)")</f>
        <v>13.956749</v>
      </c>
      <c r="F2" s="7" cm="1">
        <f t="array" ref="F2:F122">_xll.FDS(F1,"P_PRICE_RETURNS_PR('52W',2,-10AY,0,AM)")</f>
        <v>7.9221605999999998</v>
      </c>
      <c r="G2" s="7" cm="1">
        <f t="array" ref="G2:G122">_xll.FDS(G1,"P_PRICE_RETURNS_PR('52W',2,-10AY,0,AM)")</f>
        <v>16.857576000000002</v>
      </c>
      <c r="H2" s="7" cm="1">
        <f t="array" ref="H2:H122">_xll.FDS(H1,"P_PRICE_RETURNS_PR('52W',2,-10AY,0,AM)")</f>
        <v>15.797376999999999</v>
      </c>
      <c r="I2" s="7" cm="1">
        <f t="array" ref="I2:I122">_xll.FDS(I1,"P_PRICE_RETURNS_PR('52W',2,-10AY,0,AM)")</f>
        <v>33.378599999999999</v>
      </c>
      <c r="J2" s="7" cm="1">
        <f t="array" ref="J2:J122">_xll.FDS(J1,"P_PRICE_RETURNS_PR('52W',2,-10AY,0,AM)")</f>
        <v>24.660957</v>
      </c>
      <c r="K2" s="158" cm="1">
        <f t="array" ref="K2:K122">_xll.FDS(K1,"P_PRICE_RETURNS_PR('52W',2,-10AY,0,AM)")</f>
        <v>11.927187</v>
      </c>
      <c r="L2" s="158" cm="1">
        <f t="array" ref="L2:L122">_xll.FDS(L1,"P_PRICE_RETURNS_PR('52W',2,-10AY,0,AM)")</f>
        <v>10.342561999999999</v>
      </c>
      <c r="M2" s="158" cm="1">
        <f t="array" ref="M2:M122">_xll.FDS(M1,"P_PRICE_RETURNS_PR('52W',2,-10AY,0,AM)")</f>
        <v>8.6934930000000001</v>
      </c>
      <c r="N2" s="158" cm="1">
        <f t="array" ref="N2:N122">_xll.FDS(N1,"P_PRICE_RETURNS_PR('52W',2,-10AY,0,AM)")</f>
        <v>23.475147</v>
      </c>
    </row>
    <row r="3" spans="1:14" x14ac:dyDescent="0.35">
      <c r="A3" s="2">
        <v>41911</v>
      </c>
      <c r="B3" s="40">
        <v>3.3031225000000002</v>
      </c>
      <c r="C3" s="40">
        <v>-3.2728313999999998</v>
      </c>
      <c r="D3" s="40">
        <v>10.847723</v>
      </c>
      <c r="E3" s="40">
        <v>1.0346055000000001</v>
      </c>
      <c r="F3" s="40">
        <v>-9.0354680000000007E-2</v>
      </c>
      <c r="G3" s="40">
        <v>5.8166859999999998</v>
      </c>
      <c r="H3" s="40">
        <v>5.241835</v>
      </c>
      <c r="I3" s="40">
        <v>26.601731999999998</v>
      </c>
      <c r="J3" s="40">
        <v>19.222593</v>
      </c>
      <c r="K3" s="47">
        <v>-5.7989359999999997E-2</v>
      </c>
      <c r="L3" s="47">
        <v>2.9472828</v>
      </c>
      <c r="M3" s="47">
        <v>-1.2727082000000001</v>
      </c>
      <c r="N3" s="47">
        <v>11.969721</v>
      </c>
    </row>
    <row r="4" spans="1:14" x14ac:dyDescent="0.35">
      <c r="A4" s="2">
        <v>41941</v>
      </c>
      <c r="B4" s="40">
        <v>4.6702979999999998</v>
      </c>
      <c r="C4" s="40">
        <v>-3.3245504000000001</v>
      </c>
      <c r="D4" s="40">
        <v>3.8608313000000001</v>
      </c>
      <c r="E4" s="40">
        <v>-8.1981900000000003</v>
      </c>
      <c r="F4" s="40">
        <v>-3.4013927000000002</v>
      </c>
      <c r="G4" s="40">
        <v>0.5669594</v>
      </c>
      <c r="H4" s="40">
        <v>-3.0560553000000001</v>
      </c>
      <c r="I4" s="40">
        <v>21.937263000000002</v>
      </c>
      <c r="J4" s="40">
        <v>13.991523000000001</v>
      </c>
      <c r="K4" s="47">
        <v>-8.8573160000000009</v>
      </c>
      <c r="L4" s="47">
        <v>-5.3401174999999999</v>
      </c>
      <c r="M4" s="47">
        <v>-4.2812229999999998</v>
      </c>
      <c r="N4" s="47">
        <v>-5.8421016000000003</v>
      </c>
    </row>
    <row r="5" spans="1:14" x14ac:dyDescent="0.35">
      <c r="A5" s="2">
        <v>41971</v>
      </c>
      <c r="B5" s="40">
        <v>9.2090239999999994</v>
      </c>
      <c r="C5" s="40">
        <v>-3.4360647000000002</v>
      </c>
      <c r="D5" s="40">
        <v>5.5058119999999997</v>
      </c>
      <c r="E5" s="40">
        <v>-3.3219813999999999</v>
      </c>
      <c r="F5" s="40">
        <v>-2.3529648999999999</v>
      </c>
      <c r="G5" s="40">
        <v>5.4105996999999997</v>
      </c>
      <c r="H5" s="40">
        <v>-0.92360973000000002</v>
      </c>
      <c r="I5" s="40">
        <v>26.229132</v>
      </c>
      <c r="J5" s="40">
        <v>16.621780000000001</v>
      </c>
      <c r="K5" s="47">
        <v>-3.2256423999999999</v>
      </c>
      <c r="L5" s="47">
        <v>0.87025165999999998</v>
      </c>
      <c r="M5" s="47">
        <v>0.86021422999999997</v>
      </c>
      <c r="N5" s="47">
        <v>-0.22152662000000001</v>
      </c>
    </row>
    <row r="6" spans="1:14" x14ac:dyDescent="0.35">
      <c r="A6" s="2">
        <v>42002</v>
      </c>
      <c r="B6" s="40">
        <v>12.749648000000001</v>
      </c>
      <c r="C6" s="40">
        <v>-2.5086879999999998</v>
      </c>
      <c r="D6" s="40">
        <v>2.1329760000000002</v>
      </c>
      <c r="E6" s="40">
        <v>-9.3143639999999994</v>
      </c>
      <c r="F6" s="40">
        <v>-3.5297215</v>
      </c>
      <c r="G6" s="40">
        <v>7.1918964000000002E-2</v>
      </c>
      <c r="H6" s="40">
        <v>-5.8556676000000003</v>
      </c>
      <c r="I6" s="40">
        <v>21.831835000000002</v>
      </c>
      <c r="J6" s="40">
        <v>15.747107</v>
      </c>
      <c r="K6" s="47">
        <v>-7.793647</v>
      </c>
      <c r="L6" s="47">
        <v>-3.6938727</v>
      </c>
      <c r="M6" s="47">
        <v>-5.5899979999999996</v>
      </c>
      <c r="N6" s="47">
        <v>-8.4891430000000003</v>
      </c>
    </row>
    <row r="7" spans="1:14" x14ac:dyDescent="0.35">
      <c r="A7" s="2">
        <v>42033</v>
      </c>
      <c r="B7" s="40">
        <v>7.6285360000000004</v>
      </c>
      <c r="C7" s="40">
        <v>0.73816775999999995</v>
      </c>
      <c r="D7" s="40">
        <v>-2.1379172999999998</v>
      </c>
      <c r="E7" s="40">
        <v>-3.7496328000000001</v>
      </c>
      <c r="F7" s="40">
        <v>1.8870233999999999</v>
      </c>
      <c r="G7" s="40">
        <v>2.0116925000000001</v>
      </c>
      <c r="H7" s="40">
        <v>-2.1706222999999998</v>
      </c>
      <c r="I7" s="40">
        <v>21.805405</v>
      </c>
      <c r="J7" s="40">
        <v>16.117322999999999</v>
      </c>
      <c r="K7" s="47">
        <v>-3.6643743999999998</v>
      </c>
      <c r="L7" s="47">
        <v>0.28851031999999999</v>
      </c>
      <c r="M7" s="47">
        <v>-2.3093224000000001</v>
      </c>
      <c r="N7" s="47">
        <v>-8.9858589999999996</v>
      </c>
    </row>
    <row r="8" spans="1:14" x14ac:dyDescent="0.35">
      <c r="A8" s="2">
        <v>42062</v>
      </c>
      <c r="B8" s="40">
        <v>8.312106</v>
      </c>
      <c r="C8" s="40">
        <v>-0.88799596000000003</v>
      </c>
      <c r="D8" s="40">
        <v>-1.3864278999999999</v>
      </c>
      <c r="E8" s="40">
        <v>-3.5980344</v>
      </c>
      <c r="F8" s="40">
        <v>8.2917690000000004</v>
      </c>
      <c r="G8" s="40">
        <v>0.13437271000000001</v>
      </c>
      <c r="H8" s="40">
        <v>-3.8355708000000002</v>
      </c>
      <c r="I8" s="40">
        <v>21.192778000000001</v>
      </c>
      <c r="J8" s="40">
        <v>15.581284999999999</v>
      </c>
      <c r="K8" s="47">
        <v>-5.8140219999999996</v>
      </c>
      <c r="L8" s="47">
        <v>2.1462916999999999</v>
      </c>
      <c r="M8" s="47">
        <v>-0.61775446000000001</v>
      </c>
      <c r="N8" s="47">
        <v>-7.9752026000000003</v>
      </c>
    </row>
    <row r="9" spans="1:14" x14ac:dyDescent="0.35">
      <c r="A9" s="2">
        <v>42090</v>
      </c>
      <c r="B9" s="40">
        <v>0.83146094999999998</v>
      </c>
      <c r="C9" s="40">
        <v>-4.1344585</v>
      </c>
      <c r="D9" s="40">
        <v>-5.4143132999999999</v>
      </c>
      <c r="E9" s="40">
        <v>-0.55955650000000001</v>
      </c>
      <c r="F9" s="40">
        <v>15.009366999999999</v>
      </c>
      <c r="G9" s="40">
        <v>1.8744350000000001</v>
      </c>
      <c r="H9" s="40">
        <v>-3.9558290999999999</v>
      </c>
      <c r="I9" s="40">
        <v>22.804749000000001</v>
      </c>
      <c r="J9" s="40">
        <v>13.639652</v>
      </c>
      <c r="K9" s="47">
        <v>-6.195468</v>
      </c>
      <c r="L9" s="47">
        <v>1.548028</v>
      </c>
      <c r="M9" s="47">
        <v>-2.9622077999999998</v>
      </c>
      <c r="N9" s="47">
        <v>-11.855668</v>
      </c>
    </row>
    <row r="10" spans="1:14" x14ac:dyDescent="0.35">
      <c r="A10" s="2">
        <v>42123</v>
      </c>
      <c r="B10" s="40">
        <v>0.47211647000000001</v>
      </c>
      <c r="C10" s="40">
        <v>-5.7632446000000002</v>
      </c>
      <c r="D10" s="40">
        <v>-0.69097876999999996</v>
      </c>
      <c r="E10" s="40">
        <v>-3.8252473</v>
      </c>
      <c r="F10" s="40">
        <v>20.329021000000001</v>
      </c>
      <c r="G10" s="40">
        <v>1.9739509</v>
      </c>
      <c r="H10" s="40">
        <v>-2.8189479999999998</v>
      </c>
      <c r="I10" s="40">
        <v>26.851832999999999</v>
      </c>
      <c r="J10" s="40">
        <v>14.343738999999999</v>
      </c>
      <c r="K10" s="47">
        <v>-6.7140636000000002</v>
      </c>
      <c r="L10" s="47">
        <v>4.7909617000000004</v>
      </c>
      <c r="M10" s="47">
        <v>-2.1174013999999999</v>
      </c>
      <c r="N10" s="47">
        <v>-13.607436</v>
      </c>
    </row>
    <row r="11" spans="1:14" x14ac:dyDescent="0.35">
      <c r="A11" s="2">
        <v>42153</v>
      </c>
      <c r="B11" s="40">
        <v>-5.0462666</v>
      </c>
      <c r="C11" s="40">
        <v>-11.657154</v>
      </c>
      <c r="D11" s="40">
        <v>-7.4305477</v>
      </c>
      <c r="E11" s="40">
        <v>-7.4564219999999999</v>
      </c>
      <c r="F11" s="40">
        <v>14.330780000000001</v>
      </c>
      <c r="G11" s="40">
        <v>2.6751995000000002</v>
      </c>
      <c r="H11" s="40">
        <v>-4.958558</v>
      </c>
      <c r="I11" s="40">
        <v>21.874952</v>
      </c>
      <c r="J11" s="40">
        <v>11.899710000000001</v>
      </c>
      <c r="K11" s="47">
        <v>-7.9083860000000001</v>
      </c>
      <c r="L11" s="47">
        <v>4.9106480000000001</v>
      </c>
      <c r="M11" s="47">
        <v>-4.9719930000000003</v>
      </c>
      <c r="N11" s="47">
        <v>-9.6781670000000002</v>
      </c>
    </row>
    <row r="12" spans="1:14" x14ac:dyDescent="0.35">
      <c r="A12" s="2">
        <v>42184</v>
      </c>
      <c r="B12" s="40">
        <v>-12.912416</v>
      </c>
      <c r="C12" s="40">
        <v>-16.375022999999999</v>
      </c>
      <c r="D12" s="40">
        <v>-14.9185295</v>
      </c>
      <c r="E12" s="40">
        <v>-8.3989860000000007</v>
      </c>
      <c r="F12" s="40">
        <v>7.5937986000000004</v>
      </c>
      <c r="G12" s="40">
        <v>-0.81125499999999995</v>
      </c>
      <c r="H12" s="40">
        <v>-8.6176630000000003</v>
      </c>
      <c r="I12" s="40">
        <v>15.023446</v>
      </c>
      <c r="J12" s="40">
        <v>6.9614289999999999</v>
      </c>
      <c r="K12" s="47">
        <v>-8.5351049999999997</v>
      </c>
      <c r="L12" s="47">
        <v>2.9629827</v>
      </c>
      <c r="M12" s="47">
        <v>-4.7272920000000003</v>
      </c>
      <c r="N12" s="47">
        <v>-12.362807999999999</v>
      </c>
    </row>
    <row r="13" spans="1:14" x14ac:dyDescent="0.35">
      <c r="A13" s="2">
        <v>42214</v>
      </c>
      <c r="B13" s="40">
        <v>-9.5348360000000003</v>
      </c>
      <c r="C13" s="40">
        <v>-18.298935</v>
      </c>
      <c r="D13" s="40">
        <v>-19.867266000000001</v>
      </c>
      <c r="E13" s="40">
        <v>-4.2050542999999996</v>
      </c>
      <c r="F13" s="40">
        <v>6.4124346000000001</v>
      </c>
      <c r="G13" s="40">
        <v>3.6418675999999999</v>
      </c>
      <c r="H13" s="40">
        <v>-8.2041149999999998</v>
      </c>
      <c r="I13" s="40">
        <v>16.714931</v>
      </c>
      <c r="J13" s="40">
        <v>9.1174839999999993</v>
      </c>
      <c r="K13" s="47">
        <v>-2.9277801999999999</v>
      </c>
      <c r="L13" s="47">
        <v>9.3655109999999997</v>
      </c>
      <c r="M13" s="47">
        <v>-4.9832879999999999</v>
      </c>
      <c r="N13" s="47">
        <v>-6.5526485000000001</v>
      </c>
    </row>
    <row r="14" spans="1:14" x14ac:dyDescent="0.35">
      <c r="A14" s="2">
        <v>42244</v>
      </c>
      <c r="B14" s="40">
        <v>-15.653503000000001</v>
      </c>
      <c r="C14" s="40">
        <v>-25.381613000000002</v>
      </c>
      <c r="D14" s="40">
        <v>-24.693715999999998</v>
      </c>
      <c r="E14" s="40">
        <v>-7.5578510000000003</v>
      </c>
      <c r="F14" s="40">
        <v>5.2869200000000003</v>
      </c>
      <c r="G14" s="40">
        <v>-2.8544784000000001</v>
      </c>
      <c r="H14" s="40">
        <v>-13.050632999999999</v>
      </c>
      <c r="I14" s="40">
        <v>7.3865889999999998</v>
      </c>
      <c r="J14" s="40">
        <v>1.5246153</v>
      </c>
      <c r="K14" s="47">
        <v>-6.7452009999999998</v>
      </c>
      <c r="L14" s="47">
        <v>0.86373089999999997</v>
      </c>
      <c r="M14" s="47">
        <v>-6.5965294999999999</v>
      </c>
      <c r="N14" s="47">
        <v>-4.5933960000000003</v>
      </c>
    </row>
    <row r="15" spans="1:14" x14ac:dyDescent="0.35">
      <c r="A15" s="2">
        <v>42276</v>
      </c>
      <c r="B15" s="40">
        <v>-12.323981</v>
      </c>
      <c r="C15" s="40">
        <v>-22.285907999999999</v>
      </c>
      <c r="D15" s="40">
        <v>-26.077006999999998</v>
      </c>
      <c r="E15" s="40">
        <v>-10.505051</v>
      </c>
      <c r="F15" s="40">
        <v>-4.4540644</v>
      </c>
      <c r="G15" s="40">
        <v>-5.6501029999999997</v>
      </c>
      <c r="H15" s="40">
        <v>-14.915979</v>
      </c>
      <c r="I15" s="40">
        <v>1.9219755999999999</v>
      </c>
      <c r="J15" s="40">
        <v>-2.8407513999999998</v>
      </c>
      <c r="K15" s="47">
        <v>-8.2655790000000007</v>
      </c>
      <c r="L15" s="47">
        <v>-3.0638933000000002</v>
      </c>
      <c r="M15" s="47">
        <v>-9.7564700000000002</v>
      </c>
      <c r="N15" s="47">
        <v>-8.1131100000000007</v>
      </c>
    </row>
    <row r="16" spans="1:14" x14ac:dyDescent="0.35">
      <c r="A16" s="2">
        <v>42306</v>
      </c>
      <c r="B16" s="40">
        <v>-3.4706771000000001</v>
      </c>
      <c r="C16" s="40">
        <v>-20.092200999999999</v>
      </c>
      <c r="D16" s="40">
        <v>-17.22467</v>
      </c>
      <c r="E16" s="40">
        <v>3.1076790000000001</v>
      </c>
      <c r="F16" s="40">
        <v>9.7866769999999992</v>
      </c>
      <c r="G16" s="40">
        <v>2.2281528000000002</v>
      </c>
      <c r="H16" s="40">
        <v>-2.9309810000000001</v>
      </c>
      <c r="I16" s="40">
        <v>15.290523</v>
      </c>
      <c r="J16" s="40">
        <v>7.5451255000000002</v>
      </c>
      <c r="K16" s="47">
        <v>5.7128069999999997</v>
      </c>
      <c r="L16" s="47">
        <v>9.2396969999999996</v>
      </c>
      <c r="M16" s="47">
        <v>-2.6905239000000001</v>
      </c>
      <c r="N16" s="47">
        <v>4.5127509999999997</v>
      </c>
    </row>
    <row r="17" spans="1:14" x14ac:dyDescent="0.35">
      <c r="A17" s="2">
        <v>42335</v>
      </c>
      <c r="B17" s="40">
        <v>-7.5551690000000002</v>
      </c>
      <c r="C17" s="40">
        <v>-16.712409999999998</v>
      </c>
      <c r="D17" s="40">
        <v>-23.69265</v>
      </c>
      <c r="E17" s="40">
        <v>-4.3545904000000002</v>
      </c>
      <c r="F17" s="40">
        <v>8.2056280000000008</v>
      </c>
      <c r="G17" s="40">
        <v>-4.9206553</v>
      </c>
      <c r="H17" s="40">
        <v>-7.8596114999999998</v>
      </c>
      <c r="I17" s="40">
        <v>9.5020530000000001</v>
      </c>
      <c r="J17" s="40">
        <v>2.9678464</v>
      </c>
      <c r="K17" s="47">
        <v>-2.4861157</v>
      </c>
      <c r="L17" s="47">
        <v>2.0985602999999999</v>
      </c>
      <c r="M17" s="47">
        <v>-7.7594700000000003</v>
      </c>
      <c r="N17" s="47">
        <v>-1.7036259</v>
      </c>
    </row>
    <row r="18" spans="1:14" x14ac:dyDescent="0.35">
      <c r="A18" s="2">
        <v>42367</v>
      </c>
      <c r="B18" s="40">
        <v>-1.6717434</v>
      </c>
      <c r="C18" s="40">
        <v>-10.277552</v>
      </c>
      <c r="D18" s="40">
        <v>-22.493708000000002</v>
      </c>
      <c r="E18" s="40">
        <v>-1.7876923</v>
      </c>
      <c r="F18" s="40">
        <v>8.9351059999999993</v>
      </c>
      <c r="G18" s="40">
        <v>1.0504007</v>
      </c>
      <c r="H18" s="40">
        <v>-6.6152214999999996</v>
      </c>
      <c r="I18" s="40">
        <v>9.9489800000000006</v>
      </c>
      <c r="J18" s="40">
        <v>1.4358401000000001</v>
      </c>
      <c r="K18" s="47">
        <v>0.19818543999999999</v>
      </c>
      <c r="L18" s="47">
        <v>2.4721264999999999</v>
      </c>
      <c r="M18" s="47">
        <v>-3.3637762000000002</v>
      </c>
      <c r="N18" s="47">
        <v>4.6542525000000001</v>
      </c>
    </row>
    <row r="19" spans="1:14" x14ac:dyDescent="0.35">
      <c r="A19" s="2">
        <v>42398</v>
      </c>
      <c r="B19" s="40">
        <v>-5.6719723000000002</v>
      </c>
      <c r="C19" s="40">
        <v>-15.7730465</v>
      </c>
      <c r="D19" s="40">
        <v>-19.649559</v>
      </c>
      <c r="E19" s="40">
        <v>-13.271772</v>
      </c>
      <c r="F19" s="40">
        <v>-0.40921570000000002</v>
      </c>
      <c r="G19" s="40">
        <v>-6.8441333999999996</v>
      </c>
      <c r="H19" s="40">
        <v>-13.161498</v>
      </c>
      <c r="I19" s="40">
        <v>3.2431483000000001</v>
      </c>
      <c r="J19" s="40">
        <v>-2.0977497000000001</v>
      </c>
      <c r="K19" s="47">
        <v>-6.5642414000000002</v>
      </c>
      <c r="L19" s="47">
        <v>-2.1361590000000001</v>
      </c>
      <c r="M19" s="47">
        <v>-13.091820999999999</v>
      </c>
      <c r="N19" s="47">
        <v>-11.686301</v>
      </c>
    </row>
    <row r="20" spans="1:14" x14ac:dyDescent="0.35">
      <c r="A20" s="2">
        <v>42429</v>
      </c>
      <c r="B20" s="40">
        <v>-7.7569666000000002</v>
      </c>
      <c r="C20" s="40">
        <v>-23.17136</v>
      </c>
      <c r="D20" s="40">
        <v>-21.154387</v>
      </c>
      <c r="E20" s="40">
        <v>-19.981808000000001</v>
      </c>
      <c r="F20" s="40">
        <v>-10.731804</v>
      </c>
      <c r="G20" s="40">
        <v>-12.945294000000001</v>
      </c>
      <c r="H20" s="40">
        <v>-19.090430999999999</v>
      </c>
      <c r="I20" s="40">
        <v>-4.4762076999999998</v>
      </c>
      <c r="J20" s="40">
        <v>-6.2048674000000004</v>
      </c>
      <c r="K20" s="47">
        <v>-12.573981</v>
      </c>
      <c r="L20" s="47">
        <v>-9.5374770000000009</v>
      </c>
      <c r="M20" s="47">
        <v>-18.114439999999998</v>
      </c>
      <c r="N20" s="47">
        <v>-22.62491</v>
      </c>
    </row>
    <row r="21" spans="1:14" x14ac:dyDescent="0.35">
      <c r="A21" s="2">
        <v>42458</v>
      </c>
      <c r="B21" s="40">
        <v>3.4760833</v>
      </c>
      <c r="C21" s="40">
        <v>-13.359349999999999</v>
      </c>
      <c r="D21" s="40">
        <v>-11.444807000000001</v>
      </c>
      <c r="E21" s="40">
        <v>-13.507961999999999</v>
      </c>
      <c r="F21" s="40">
        <v>-7.4321029999999997</v>
      </c>
      <c r="G21" s="40">
        <v>-9.8702369999999995</v>
      </c>
      <c r="H21" s="40">
        <v>-11.207342000000001</v>
      </c>
      <c r="I21" s="40">
        <v>4.2612313999999998</v>
      </c>
      <c r="J21" s="40">
        <v>1.8463134999999999</v>
      </c>
      <c r="K21" s="47">
        <v>-6.7851305000000002</v>
      </c>
      <c r="L21" s="47">
        <v>-1.4385699999999999</v>
      </c>
      <c r="M21" s="47">
        <v>-10.473542999999999</v>
      </c>
      <c r="N21" s="47">
        <v>-16.152494000000001</v>
      </c>
    </row>
    <row r="22" spans="1:14" x14ac:dyDescent="0.35">
      <c r="A22" s="2">
        <v>42489</v>
      </c>
      <c r="B22" s="40">
        <v>7.6375127000000003</v>
      </c>
      <c r="C22" s="40">
        <v>-11.872995</v>
      </c>
      <c r="D22" s="40">
        <v>-12.176168000000001</v>
      </c>
      <c r="E22" s="40">
        <v>-9.9385379999999994</v>
      </c>
      <c r="F22" s="40">
        <v>-12.41535</v>
      </c>
      <c r="G22" s="40">
        <v>-9.4188209999999994</v>
      </c>
      <c r="H22" s="40">
        <v>-12.776184000000001</v>
      </c>
      <c r="I22" s="40">
        <v>-2.2656261999999998</v>
      </c>
      <c r="J22" s="40">
        <v>9.7203255000000002E-2</v>
      </c>
      <c r="K22" s="47">
        <v>-6.7202687000000001</v>
      </c>
      <c r="L22" s="47">
        <v>-3.7667215000000001</v>
      </c>
      <c r="M22" s="47">
        <v>-8.6839790000000008</v>
      </c>
      <c r="N22" s="47">
        <v>-14.819402</v>
      </c>
    </row>
    <row r="23" spans="1:14" x14ac:dyDescent="0.35">
      <c r="A23" s="2">
        <v>42517</v>
      </c>
      <c r="B23" s="40">
        <v>12.448978</v>
      </c>
      <c r="C23" s="40">
        <v>-9.4662074999999994</v>
      </c>
      <c r="D23" s="40">
        <v>-9.5961630000000007</v>
      </c>
      <c r="E23" s="40">
        <v>-11.028528</v>
      </c>
      <c r="F23" s="40">
        <v>-10.306263</v>
      </c>
      <c r="G23" s="40">
        <v>-10.926437</v>
      </c>
      <c r="H23" s="40">
        <v>-12.646228000000001</v>
      </c>
      <c r="I23" s="40">
        <v>0.33400059999999998</v>
      </c>
      <c r="J23" s="40">
        <v>0.97230669999999997</v>
      </c>
      <c r="K23" s="47">
        <v>-8.0110969999999995</v>
      </c>
      <c r="L23" s="47">
        <v>-4.9966280000000003</v>
      </c>
      <c r="M23" s="47">
        <v>-10.385376000000001</v>
      </c>
      <c r="N23" s="47">
        <v>-20.105522000000001</v>
      </c>
    </row>
    <row r="24" spans="1:14" x14ac:dyDescent="0.35">
      <c r="A24" s="2">
        <v>42550</v>
      </c>
      <c r="B24" s="40">
        <v>26.236474999999999</v>
      </c>
      <c r="C24" s="40">
        <v>-4.6286582999999997</v>
      </c>
      <c r="D24" s="40">
        <v>-6.926596</v>
      </c>
      <c r="E24" s="40">
        <v>-13.603187</v>
      </c>
      <c r="F24" s="40">
        <v>-7.6300800000000004</v>
      </c>
      <c r="G24" s="40">
        <v>-9.9965390000000003</v>
      </c>
      <c r="H24" s="40">
        <v>-14.737330999999999</v>
      </c>
      <c r="I24" s="40">
        <v>0.76820849999999996</v>
      </c>
      <c r="J24" s="40">
        <v>2.8047680000000001</v>
      </c>
      <c r="K24" s="47">
        <v>-11.355513999999999</v>
      </c>
      <c r="L24" s="47">
        <v>-10.332345999999999</v>
      </c>
      <c r="M24" s="47">
        <v>-13.387613999999999</v>
      </c>
      <c r="N24" s="47">
        <v>-26.769596</v>
      </c>
    </row>
    <row r="25" spans="1:14" x14ac:dyDescent="0.35">
      <c r="A25" s="2">
        <v>42580</v>
      </c>
      <c r="B25" s="40">
        <v>37.026440000000001</v>
      </c>
      <c r="C25" s="40">
        <v>4.7514915000000002</v>
      </c>
      <c r="D25" s="40">
        <v>1.121378</v>
      </c>
      <c r="E25" s="40">
        <v>-6.8983374</v>
      </c>
      <c r="F25" s="40">
        <v>-4.4169369999999999</v>
      </c>
      <c r="G25" s="40">
        <v>-8.5126039999999996</v>
      </c>
      <c r="H25" s="40">
        <v>-11.29415</v>
      </c>
      <c r="I25" s="40">
        <v>4.4645904999999999</v>
      </c>
      <c r="J25" s="40">
        <v>5.2665829999999998</v>
      </c>
      <c r="K25" s="47">
        <v>-7.0959272000000002</v>
      </c>
      <c r="L25" s="47">
        <v>-6.7587320000000002</v>
      </c>
      <c r="M25" s="47">
        <v>-7.9949855999999997</v>
      </c>
      <c r="N25" s="47">
        <v>-24.699294999999999</v>
      </c>
    </row>
    <row r="26" spans="1:14" x14ac:dyDescent="0.35">
      <c r="A26" s="2">
        <v>42611</v>
      </c>
      <c r="B26" s="40">
        <v>47.633839999999999</v>
      </c>
      <c r="C26" s="40">
        <v>12.415862000000001</v>
      </c>
      <c r="D26" s="40">
        <v>8.2843780000000002</v>
      </c>
      <c r="E26" s="40">
        <v>2.0802497999999998</v>
      </c>
      <c r="F26" s="40">
        <v>1.1149049</v>
      </c>
      <c r="G26" s="40">
        <v>-2.3952841999999999</v>
      </c>
      <c r="H26" s="40">
        <v>-3.4086227</v>
      </c>
      <c r="I26" s="40">
        <v>11.967003</v>
      </c>
      <c r="J26" s="40">
        <v>11.972248</v>
      </c>
      <c r="K26" s="47">
        <v>-1.6913235</v>
      </c>
      <c r="L26" s="47">
        <v>3.4897208000000002</v>
      </c>
      <c r="M26" s="47">
        <v>-1.3747573</v>
      </c>
      <c r="N26" s="47">
        <v>-22.387049999999999</v>
      </c>
    </row>
    <row r="27" spans="1:14" x14ac:dyDescent="0.35">
      <c r="A27" s="2">
        <v>42642</v>
      </c>
      <c r="B27" s="40">
        <v>50.126052999999999</v>
      </c>
      <c r="C27" s="40">
        <v>23.621845</v>
      </c>
      <c r="D27" s="40">
        <v>17.169535</v>
      </c>
      <c r="E27" s="40">
        <v>7.7570079999999999</v>
      </c>
      <c r="F27" s="40">
        <v>13.957345999999999</v>
      </c>
      <c r="G27" s="40">
        <v>4.4800639999999996</v>
      </c>
      <c r="H27" s="40">
        <v>2.6869774</v>
      </c>
      <c r="I27" s="40">
        <v>19.809139999999999</v>
      </c>
      <c r="J27" s="40">
        <v>16.590382000000002</v>
      </c>
      <c r="K27" s="47">
        <v>3.6038755999999998</v>
      </c>
      <c r="L27" s="47">
        <v>9.1610189999999996</v>
      </c>
      <c r="M27" s="47">
        <v>5.2229165999999996</v>
      </c>
      <c r="N27" s="47">
        <v>-20.231819999999999</v>
      </c>
    </row>
    <row r="28" spans="1:14" x14ac:dyDescent="0.35">
      <c r="A28" s="2">
        <v>42671</v>
      </c>
      <c r="B28" s="40">
        <v>23.400258999999998</v>
      </c>
      <c r="C28" s="40">
        <v>8.3899500000000007</v>
      </c>
      <c r="D28" s="40">
        <v>7.0419669999999996</v>
      </c>
      <c r="E28" s="40">
        <v>-2.3649395000000002</v>
      </c>
      <c r="F28" s="40">
        <v>2.3382068</v>
      </c>
      <c r="G28" s="40">
        <v>-6.2692223</v>
      </c>
      <c r="H28" s="40">
        <v>-10.967625</v>
      </c>
      <c r="I28" s="40">
        <v>3.8640379999999999</v>
      </c>
      <c r="J28" s="40">
        <v>3.9212704</v>
      </c>
      <c r="K28" s="47">
        <v>-4.3629826999999999</v>
      </c>
      <c r="L28" s="47">
        <v>-0.31152368000000003</v>
      </c>
      <c r="M28" s="47">
        <v>-4.4159594000000002</v>
      </c>
      <c r="N28" s="47">
        <v>-22.044682000000002</v>
      </c>
    </row>
    <row r="29" spans="1:14" x14ac:dyDescent="0.35">
      <c r="A29" s="2">
        <v>42703</v>
      </c>
      <c r="B29" s="40">
        <v>23.708618000000001</v>
      </c>
      <c r="C29" s="40">
        <v>13.896751</v>
      </c>
      <c r="D29" s="40">
        <v>14.275836999999999</v>
      </c>
      <c r="E29" s="40">
        <v>-6.0524582999999996</v>
      </c>
      <c r="F29" s="40">
        <v>1.6289830000000001</v>
      </c>
      <c r="G29" s="40">
        <v>-5.363035</v>
      </c>
      <c r="H29" s="40">
        <v>-8.5961580000000009</v>
      </c>
      <c r="I29" s="40">
        <v>5.2284119999999996</v>
      </c>
      <c r="J29" s="40">
        <v>7.6993584999999998</v>
      </c>
      <c r="K29" s="47">
        <v>-3.7650584999999999</v>
      </c>
      <c r="L29" s="47">
        <v>-3.2224298</v>
      </c>
      <c r="M29" s="47">
        <v>-4.6659110000000004</v>
      </c>
      <c r="N29" s="47">
        <v>-23.258178999999998</v>
      </c>
    </row>
    <row r="30" spans="1:14" x14ac:dyDescent="0.35">
      <c r="A30" s="2">
        <v>42733</v>
      </c>
      <c r="B30" s="40">
        <v>11.597322999999999</v>
      </c>
      <c r="C30" s="40">
        <v>10.52928</v>
      </c>
      <c r="D30" s="40">
        <v>21.650124000000002</v>
      </c>
      <c r="E30" s="40">
        <v>-0.18740892000000001</v>
      </c>
      <c r="F30" s="40">
        <v>1.2301325999999999</v>
      </c>
      <c r="G30" s="40">
        <v>-5.0786733999999996</v>
      </c>
      <c r="H30" s="40">
        <v>-3.4887016000000002</v>
      </c>
      <c r="I30" s="40">
        <v>5.9031605999999996</v>
      </c>
      <c r="J30" s="40">
        <v>10.498905000000001</v>
      </c>
      <c r="K30" s="47">
        <v>1.906693</v>
      </c>
      <c r="L30" s="47">
        <v>1.2370585999999999</v>
      </c>
      <c r="M30" s="47">
        <v>-0.43517947000000001</v>
      </c>
      <c r="N30" s="47">
        <v>-11.731249</v>
      </c>
    </row>
    <row r="31" spans="1:14" x14ac:dyDescent="0.35">
      <c r="A31" s="2">
        <v>42762</v>
      </c>
      <c r="B31" s="40">
        <v>32.269108000000003</v>
      </c>
      <c r="C31" s="40">
        <v>30.390549</v>
      </c>
      <c r="D31" s="40">
        <v>38.340029999999999</v>
      </c>
      <c r="E31" s="40">
        <v>17.332339999999999</v>
      </c>
      <c r="F31" s="40">
        <v>15.598226</v>
      </c>
      <c r="G31" s="40">
        <v>9.2733270000000001</v>
      </c>
      <c r="H31" s="40">
        <v>10.536956999999999</v>
      </c>
      <c r="I31" s="40">
        <v>26.471817000000001</v>
      </c>
      <c r="J31" s="40">
        <v>24.325752000000001</v>
      </c>
      <c r="K31" s="47">
        <v>13.413107</v>
      </c>
      <c r="L31" s="47">
        <v>12.233817999999999</v>
      </c>
      <c r="M31" s="47">
        <v>14.757895</v>
      </c>
      <c r="N31" s="47">
        <v>4.9610734000000001</v>
      </c>
    </row>
    <row r="32" spans="1:14" x14ac:dyDescent="0.35">
      <c r="A32" s="2">
        <v>42794</v>
      </c>
      <c r="B32" s="40">
        <v>23.936032999999998</v>
      </c>
      <c r="C32" s="40">
        <v>32.118270000000003</v>
      </c>
      <c r="D32" s="40">
        <v>25.616014</v>
      </c>
      <c r="E32" s="40">
        <v>19.232199999999999</v>
      </c>
      <c r="F32" s="40">
        <v>18.088018000000002</v>
      </c>
      <c r="G32" s="40">
        <v>11.724615</v>
      </c>
      <c r="H32" s="40">
        <v>11.167657999999999</v>
      </c>
      <c r="I32" s="40">
        <v>27.112542999999999</v>
      </c>
      <c r="J32" s="40">
        <v>23.817910000000001</v>
      </c>
      <c r="K32" s="47">
        <v>12.671756999999999</v>
      </c>
      <c r="L32" s="47">
        <v>15.049099999999999</v>
      </c>
      <c r="M32" s="47">
        <v>14.393352999999999</v>
      </c>
      <c r="N32" s="47">
        <v>8.4287639999999993</v>
      </c>
    </row>
    <row r="33" spans="1:14" x14ac:dyDescent="0.35">
      <c r="A33" s="2">
        <v>42823</v>
      </c>
      <c r="B33" s="40">
        <v>8.1620810000000006</v>
      </c>
      <c r="C33" s="40">
        <v>23.126280000000001</v>
      </c>
      <c r="D33" s="40">
        <v>17.286110000000001</v>
      </c>
      <c r="E33" s="40">
        <v>15.238274000000001</v>
      </c>
      <c r="F33" s="40">
        <v>14.481711000000001</v>
      </c>
      <c r="G33" s="40">
        <v>11.428260999999999</v>
      </c>
      <c r="H33" s="40">
        <v>7.7955484000000004</v>
      </c>
      <c r="I33" s="40">
        <v>22.769760000000002</v>
      </c>
      <c r="J33" s="40">
        <v>17.208659999999998</v>
      </c>
      <c r="K33" s="47">
        <v>12.972916</v>
      </c>
      <c r="L33" s="47">
        <v>12.215529999999999</v>
      </c>
      <c r="M33" s="47">
        <v>13.211226</v>
      </c>
      <c r="N33" s="47">
        <v>9.2255479999999999</v>
      </c>
    </row>
    <row r="34" spans="1:14" x14ac:dyDescent="0.35">
      <c r="A34" s="2">
        <v>42853</v>
      </c>
      <c r="B34" s="40">
        <v>7.6562405</v>
      </c>
      <c r="C34" s="40">
        <v>17.702663000000001</v>
      </c>
      <c r="D34" s="40">
        <v>5.8313490000000003</v>
      </c>
      <c r="E34" s="40">
        <v>15.283023999999999</v>
      </c>
      <c r="F34" s="40">
        <v>14.766895</v>
      </c>
      <c r="G34" s="40">
        <v>11.479545</v>
      </c>
      <c r="H34" s="40">
        <v>5.2861213999999999</v>
      </c>
      <c r="I34" s="40">
        <v>29.270626</v>
      </c>
      <c r="J34" s="40">
        <v>17.143844999999999</v>
      </c>
      <c r="K34" s="47">
        <v>16.032768000000001</v>
      </c>
      <c r="L34" s="47">
        <v>16.296112000000001</v>
      </c>
      <c r="M34" s="47">
        <v>13.02272</v>
      </c>
      <c r="N34" s="47">
        <v>8.4305760000000003</v>
      </c>
    </row>
    <row r="35" spans="1:14" x14ac:dyDescent="0.35">
      <c r="A35" s="2">
        <v>42881</v>
      </c>
      <c r="B35" s="40">
        <v>12.167358</v>
      </c>
      <c r="C35" s="40">
        <v>15.362465</v>
      </c>
      <c r="D35" s="40">
        <v>8.6000440000000005</v>
      </c>
      <c r="E35" s="40">
        <v>20.970189999999999</v>
      </c>
      <c r="F35" s="40">
        <v>15.581142</v>
      </c>
      <c r="G35" s="40">
        <v>16.371845</v>
      </c>
      <c r="H35" s="40">
        <v>8.7434180000000001</v>
      </c>
      <c r="I35" s="40">
        <v>30.223274</v>
      </c>
      <c r="J35" s="40">
        <v>17.854773999999999</v>
      </c>
      <c r="K35" s="47">
        <v>21.672153000000002</v>
      </c>
      <c r="L35" s="47">
        <v>21.035803000000001</v>
      </c>
      <c r="M35" s="47">
        <v>18.985199000000001</v>
      </c>
      <c r="N35" s="47">
        <v>19.481743000000002</v>
      </c>
    </row>
    <row r="36" spans="1:14" x14ac:dyDescent="0.35">
      <c r="A36" s="2">
        <v>42915</v>
      </c>
      <c r="B36" s="40">
        <v>13.995801999999999</v>
      </c>
      <c r="C36" s="40">
        <v>19.639374</v>
      </c>
      <c r="D36" s="40">
        <v>11.944330000000001</v>
      </c>
      <c r="E36" s="40">
        <v>30.671835000000002</v>
      </c>
      <c r="F36" s="40">
        <v>17.339718000000001</v>
      </c>
      <c r="G36" s="40">
        <v>20.652972999999999</v>
      </c>
      <c r="H36" s="40">
        <v>15.326523999999999</v>
      </c>
      <c r="I36" s="40">
        <v>30.760824</v>
      </c>
      <c r="J36" s="40">
        <v>19.164287999999999</v>
      </c>
      <c r="K36" s="47">
        <v>31.043339</v>
      </c>
      <c r="L36" s="47">
        <v>30.57555</v>
      </c>
      <c r="M36" s="47">
        <v>28.921091000000001</v>
      </c>
      <c r="N36" s="47">
        <v>35.133232</v>
      </c>
    </row>
    <row r="37" spans="1:14" x14ac:dyDescent="0.35">
      <c r="A37" s="2">
        <v>42944</v>
      </c>
      <c r="B37" s="40">
        <v>9.9616889999999998</v>
      </c>
      <c r="C37" s="40">
        <v>15.164911</v>
      </c>
      <c r="D37" s="40">
        <v>13.735676</v>
      </c>
      <c r="E37" s="40">
        <v>23.125256</v>
      </c>
      <c r="F37" s="40">
        <v>17.248702999999999</v>
      </c>
      <c r="G37" s="40">
        <v>18.112862</v>
      </c>
      <c r="H37" s="40">
        <v>13.264298</v>
      </c>
      <c r="I37" s="40">
        <v>26.392782</v>
      </c>
      <c r="J37" s="40">
        <v>16.223717000000001</v>
      </c>
      <c r="K37" s="47">
        <v>26.598942000000001</v>
      </c>
      <c r="L37" s="47">
        <v>31.622160000000001</v>
      </c>
      <c r="M37" s="47">
        <v>26.029575000000001</v>
      </c>
      <c r="N37" s="47">
        <v>38.449109999999997</v>
      </c>
    </row>
    <row r="38" spans="1:14" x14ac:dyDescent="0.35">
      <c r="A38" s="2">
        <v>42976</v>
      </c>
      <c r="B38" s="40">
        <v>4.1524409999999996</v>
      </c>
      <c r="C38" s="40">
        <v>14.281237000000001</v>
      </c>
      <c r="D38" s="40">
        <v>9.7722890000000007</v>
      </c>
      <c r="E38" s="40">
        <v>19.335471999999999</v>
      </c>
      <c r="F38" s="40">
        <v>12.767029000000001</v>
      </c>
      <c r="G38" s="40">
        <v>15.289044000000001</v>
      </c>
      <c r="H38" s="40">
        <v>9.7083329999999997</v>
      </c>
      <c r="I38" s="40">
        <v>23.522686</v>
      </c>
      <c r="J38" s="40">
        <v>14.414406</v>
      </c>
      <c r="K38" s="47">
        <v>26.412928000000001</v>
      </c>
      <c r="L38" s="47">
        <v>26.114809000000001</v>
      </c>
      <c r="M38" s="47">
        <v>21.507549999999998</v>
      </c>
      <c r="N38" s="47">
        <v>38.973618000000002</v>
      </c>
    </row>
    <row r="39" spans="1:14" x14ac:dyDescent="0.35">
      <c r="A39" s="2">
        <v>43007</v>
      </c>
      <c r="B39" s="40">
        <v>7.3923706999999999</v>
      </c>
      <c r="C39" s="40">
        <v>13.532351999999999</v>
      </c>
      <c r="D39" s="40">
        <v>15.073109000000001</v>
      </c>
      <c r="E39" s="40">
        <v>28.738545999999999</v>
      </c>
      <c r="F39" s="40">
        <v>12.911022000000001</v>
      </c>
      <c r="G39" s="40">
        <v>17.535447999999999</v>
      </c>
      <c r="H39" s="40">
        <v>14.755737</v>
      </c>
      <c r="I39" s="40">
        <v>24.666858999999999</v>
      </c>
      <c r="J39" s="40">
        <v>19.394566000000001</v>
      </c>
      <c r="K39" s="47">
        <v>32.551310000000001</v>
      </c>
      <c r="L39" s="47">
        <v>30.671036000000001</v>
      </c>
      <c r="M39" s="47">
        <v>27.700603000000001</v>
      </c>
      <c r="N39" s="47">
        <v>49.053669999999997</v>
      </c>
    </row>
    <row r="40" spans="1:14" x14ac:dyDescent="0.35">
      <c r="A40" s="2">
        <v>43035</v>
      </c>
      <c r="B40" s="40">
        <v>12.532436000000001</v>
      </c>
      <c r="C40" s="40">
        <v>18.086672</v>
      </c>
      <c r="D40" s="40">
        <v>15.085101</v>
      </c>
      <c r="E40" s="40">
        <v>29.415057999999998</v>
      </c>
      <c r="F40" s="40">
        <v>18.027664000000001</v>
      </c>
      <c r="G40" s="40">
        <v>20.225037</v>
      </c>
      <c r="H40" s="40">
        <v>19.670057</v>
      </c>
      <c r="I40" s="40">
        <v>29.629539999999999</v>
      </c>
      <c r="J40" s="40">
        <v>23.341691999999998</v>
      </c>
      <c r="K40" s="47">
        <v>33.278239999999997</v>
      </c>
      <c r="L40" s="47">
        <v>32.305370000000003</v>
      </c>
      <c r="M40" s="47">
        <v>31.282055</v>
      </c>
      <c r="N40" s="47">
        <v>38.689210000000003</v>
      </c>
    </row>
    <row r="41" spans="1:14" x14ac:dyDescent="0.35">
      <c r="A41" s="2">
        <v>43068</v>
      </c>
      <c r="B41" s="40">
        <v>12.841832999999999</v>
      </c>
      <c r="C41" s="40">
        <v>15.283167000000001</v>
      </c>
      <c r="D41" s="40">
        <v>13.689602000000001</v>
      </c>
      <c r="E41" s="40">
        <v>35.581111999999997</v>
      </c>
      <c r="F41" s="40">
        <v>21.957242999999998</v>
      </c>
      <c r="G41" s="40">
        <v>25.576613999999999</v>
      </c>
      <c r="H41" s="40">
        <v>20.837582000000001</v>
      </c>
      <c r="I41" s="40">
        <v>30.655526999999999</v>
      </c>
      <c r="J41" s="40">
        <v>21.329355</v>
      </c>
      <c r="K41" s="47">
        <v>36.241912999999997</v>
      </c>
      <c r="L41" s="47">
        <v>36.388396999999998</v>
      </c>
      <c r="M41" s="47">
        <v>28.484916999999999</v>
      </c>
      <c r="N41" s="47">
        <v>48.17953</v>
      </c>
    </row>
    <row r="42" spans="1:14" x14ac:dyDescent="0.35">
      <c r="A42" s="2">
        <v>43098</v>
      </c>
      <c r="B42" s="40">
        <v>22.99831</v>
      </c>
      <c r="C42" s="40">
        <v>19.050550000000001</v>
      </c>
      <c r="D42" s="40">
        <v>15.656078000000001</v>
      </c>
      <c r="E42" s="40">
        <v>28.124655000000001</v>
      </c>
      <c r="F42" s="40">
        <v>24.223019000000001</v>
      </c>
      <c r="G42" s="40">
        <v>23.987507000000001</v>
      </c>
      <c r="H42" s="40">
        <v>22.385905999999999</v>
      </c>
      <c r="I42" s="40">
        <v>31.301425999999999</v>
      </c>
      <c r="J42" s="40">
        <v>21.255516</v>
      </c>
      <c r="K42" s="47">
        <v>30.07884</v>
      </c>
      <c r="L42" s="47">
        <v>34.362614000000001</v>
      </c>
      <c r="M42" s="47">
        <v>22.180641000000001</v>
      </c>
      <c r="N42" s="47">
        <v>29.315483</v>
      </c>
    </row>
    <row r="43" spans="1:14" x14ac:dyDescent="0.35">
      <c r="A43" s="2">
        <v>43129</v>
      </c>
      <c r="B43" s="40">
        <v>16.396093</v>
      </c>
      <c r="C43" s="40">
        <v>17.143965000000001</v>
      </c>
      <c r="D43" s="40">
        <v>12.529934000000001</v>
      </c>
      <c r="E43" s="40">
        <v>29.54036</v>
      </c>
      <c r="F43" s="40">
        <v>27.809275</v>
      </c>
      <c r="G43" s="40">
        <v>24.188745000000001</v>
      </c>
      <c r="H43" s="40">
        <v>23.637640000000001</v>
      </c>
      <c r="I43" s="40">
        <v>36.448143000000002</v>
      </c>
      <c r="J43" s="40">
        <v>26.742553999999998</v>
      </c>
      <c r="K43" s="47">
        <v>35.726143</v>
      </c>
      <c r="L43" s="47">
        <v>38.202379999999998</v>
      </c>
      <c r="M43" s="47">
        <v>23.96754</v>
      </c>
      <c r="N43" s="47">
        <v>43.258929999999999</v>
      </c>
    </row>
    <row r="44" spans="1:14" x14ac:dyDescent="0.35">
      <c r="A44" s="2">
        <v>43159</v>
      </c>
      <c r="B44" s="40">
        <v>16.050315999999999</v>
      </c>
      <c r="C44" s="40">
        <v>8.8655950000000008</v>
      </c>
      <c r="D44" s="40">
        <v>6.324649</v>
      </c>
      <c r="E44" s="40">
        <v>20.439768000000001</v>
      </c>
      <c r="F44" s="40">
        <v>20.779312000000001</v>
      </c>
      <c r="G44" s="40">
        <v>14.905346</v>
      </c>
      <c r="H44" s="40">
        <v>13.1853695</v>
      </c>
      <c r="I44" s="40">
        <v>29.776489999999999</v>
      </c>
      <c r="J44" s="40">
        <v>17.105639</v>
      </c>
      <c r="K44" s="47">
        <v>29.565083999999999</v>
      </c>
      <c r="L44" s="47">
        <v>27.238571</v>
      </c>
      <c r="M44" s="47">
        <v>15.597581999999999</v>
      </c>
      <c r="N44" s="47">
        <v>37.273919999999997</v>
      </c>
    </row>
    <row r="45" spans="1:14" x14ac:dyDescent="0.35">
      <c r="A45" s="2">
        <v>43188</v>
      </c>
      <c r="B45" s="40">
        <v>21.153248000000001</v>
      </c>
      <c r="C45" s="40">
        <v>1.3550639</v>
      </c>
      <c r="D45" s="40">
        <v>4.0798069999999997</v>
      </c>
      <c r="E45" s="40">
        <v>13.781881</v>
      </c>
      <c r="F45" s="40">
        <v>17.620241</v>
      </c>
      <c r="G45" s="40">
        <v>9.2248439999999992</v>
      </c>
      <c r="H45" s="40">
        <v>11.250126</v>
      </c>
      <c r="I45" s="40">
        <v>22.133815999999999</v>
      </c>
      <c r="J45" s="40">
        <v>13.848591000000001</v>
      </c>
      <c r="K45" s="47">
        <v>20.996893</v>
      </c>
      <c r="L45" s="47">
        <v>20.895588</v>
      </c>
      <c r="M45" s="47">
        <v>9.3364949999999993</v>
      </c>
      <c r="N45" s="47">
        <v>27.778578</v>
      </c>
    </row>
    <row r="46" spans="1:14" x14ac:dyDescent="0.35">
      <c r="A46" s="2">
        <v>43217</v>
      </c>
      <c r="B46" s="40">
        <v>17.193449000000001</v>
      </c>
      <c r="C46" s="40">
        <v>4.6216606999999996</v>
      </c>
      <c r="D46" s="40">
        <v>9.9081880000000009</v>
      </c>
      <c r="E46" s="40">
        <v>12.470091</v>
      </c>
      <c r="F46" s="40">
        <v>18.175816000000001</v>
      </c>
      <c r="G46" s="40">
        <v>4.7405242999999997</v>
      </c>
      <c r="H46" s="40">
        <v>13.993299499999999</v>
      </c>
      <c r="I46" s="40">
        <v>20.441268999999998</v>
      </c>
      <c r="J46" s="40">
        <v>13.844894999999999</v>
      </c>
      <c r="K46" s="47">
        <v>19.372236000000001</v>
      </c>
      <c r="L46" s="47">
        <v>17.284465999999998</v>
      </c>
      <c r="M46" s="47">
        <v>4.4814587000000001</v>
      </c>
      <c r="N46" s="47">
        <v>30.374468</v>
      </c>
    </row>
    <row r="47" spans="1:14" x14ac:dyDescent="0.35">
      <c r="A47" s="2">
        <v>43249</v>
      </c>
      <c r="B47" s="40">
        <v>11.4178295</v>
      </c>
      <c r="C47" s="40">
        <v>7.7111599999999996</v>
      </c>
      <c r="D47" s="40">
        <v>9.6644290000000002</v>
      </c>
      <c r="E47" s="40">
        <v>3.5325885000000001</v>
      </c>
      <c r="F47" s="40">
        <v>13.797617000000001</v>
      </c>
      <c r="G47" s="40">
        <v>-1.9907653000000001</v>
      </c>
      <c r="H47" s="40">
        <v>7.5587989999999996</v>
      </c>
      <c r="I47" s="40">
        <v>20.690287000000001</v>
      </c>
      <c r="J47" s="40">
        <v>13.417196000000001</v>
      </c>
      <c r="K47" s="47">
        <v>8.6044309999999999</v>
      </c>
      <c r="L47" s="47">
        <v>7.3622107999999997</v>
      </c>
      <c r="M47" s="47">
        <v>-2.4319289999999998</v>
      </c>
      <c r="N47" s="47">
        <v>4.152012</v>
      </c>
    </row>
    <row r="48" spans="1:14" x14ac:dyDescent="0.35">
      <c r="A48" s="2">
        <v>43280</v>
      </c>
      <c r="B48" s="40">
        <v>8.7419150000000005</v>
      </c>
      <c r="C48" s="40">
        <v>8.3479290000000006</v>
      </c>
      <c r="D48" s="40">
        <v>8.6390130000000003</v>
      </c>
      <c r="E48" s="40">
        <v>1.3211012</v>
      </c>
      <c r="F48" s="40">
        <v>9.8832609999999992</v>
      </c>
      <c r="G48" s="40">
        <v>-2.717781</v>
      </c>
      <c r="H48" s="40">
        <v>8.9164729999999999</v>
      </c>
      <c r="I48" s="40">
        <v>25.764441999999999</v>
      </c>
      <c r="J48" s="40">
        <v>14.497126</v>
      </c>
      <c r="K48" s="47">
        <v>8.5525400000000005</v>
      </c>
      <c r="L48" s="47">
        <v>8.1945305000000008</v>
      </c>
      <c r="M48" s="47">
        <v>-4.4122399999999997</v>
      </c>
      <c r="N48" s="47">
        <v>7.4223160000000004</v>
      </c>
    </row>
    <row r="49" spans="1:14" x14ac:dyDescent="0.35">
      <c r="A49" s="2">
        <v>43308</v>
      </c>
      <c r="B49" s="40">
        <v>5.4708360000000003</v>
      </c>
      <c r="C49" s="40">
        <v>4.8335670000000004</v>
      </c>
      <c r="D49" s="40">
        <v>6.7534923999999998</v>
      </c>
      <c r="E49" s="40">
        <v>4.9911620000000001</v>
      </c>
      <c r="F49" s="40">
        <v>10.798883</v>
      </c>
      <c r="G49" s="40">
        <v>2.8054475999999999</v>
      </c>
      <c r="H49" s="40">
        <v>6.7061185999999999</v>
      </c>
      <c r="I49" s="40">
        <v>24.380123000000001</v>
      </c>
      <c r="J49" s="40">
        <v>15.965985999999999</v>
      </c>
      <c r="K49" s="47">
        <v>9.2999220000000005</v>
      </c>
      <c r="L49" s="47">
        <v>6.0448766000000003</v>
      </c>
      <c r="M49" s="47">
        <v>-0.59842470000000003</v>
      </c>
      <c r="N49" s="47">
        <v>2.7049303</v>
      </c>
    </row>
    <row r="50" spans="1:14" x14ac:dyDescent="0.35">
      <c r="A50" s="2">
        <v>43341</v>
      </c>
      <c r="B50" s="40">
        <v>11.653269</v>
      </c>
      <c r="C50" s="40">
        <v>6.6030860000000002</v>
      </c>
      <c r="D50" s="40">
        <v>8.2505699999999997</v>
      </c>
      <c r="E50" s="40">
        <v>3.5413622999999999</v>
      </c>
      <c r="F50" s="40">
        <v>9.3046070000000007</v>
      </c>
      <c r="G50" s="40">
        <v>5.3867219999999998</v>
      </c>
      <c r="H50" s="40">
        <v>6.6760419999999998</v>
      </c>
      <c r="I50" s="40">
        <v>31.671990000000001</v>
      </c>
      <c r="J50" s="40">
        <v>21.264244000000001</v>
      </c>
      <c r="K50" s="47">
        <v>10.071516000000001</v>
      </c>
      <c r="L50" s="47">
        <v>5.9568880000000002</v>
      </c>
      <c r="M50" s="47">
        <v>-0.94363092999999998</v>
      </c>
      <c r="N50" s="47">
        <v>-4.2876424999999996</v>
      </c>
    </row>
    <row r="51" spans="1:14" x14ac:dyDescent="0.35">
      <c r="A51" s="2">
        <v>43371</v>
      </c>
      <c r="B51" s="40">
        <v>6.7557573</v>
      </c>
      <c r="C51" s="40">
        <v>3.3913373999999998</v>
      </c>
      <c r="D51" s="40">
        <v>1.5204667999999999</v>
      </c>
      <c r="E51" s="40">
        <v>-4.6081304999999997</v>
      </c>
      <c r="F51" s="40">
        <v>9.7099069999999994</v>
      </c>
      <c r="G51" s="40">
        <v>2.537191</v>
      </c>
      <c r="H51" s="40">
        <v>2.6582599</v>
      </c>
      <c r="I51" s="40">
        <v>29.643906000000001</v>
      </c>
      <c r="J51" s="40">
        <v>18.240929000000001</v>
      </c>
      <c r="K51" s="47">
        <v>5.1460623999999999</v>
      </c>
      <c r="L51" s="47">
        <v>-0.69320199999999998</v>
      </c>
      <c r="M51" s="47">
        <v>-2.5199413000000002</v>
      </c>
      <c r="N51" s="47">
        <v>-8.0644369999999999</v>
      </c>
    </row>
    <row r="52" spans="1:14" x14ac:dyDescent="0.35">
      <c r="A52" s="2">
        <v>43402</v>
      </c>
      <c r="B52" s="40">
        <v>0.27806760000000003</v>
      </c>
      <c r="C52" s="40">
        <v>-8.7751870000000007</v>
      </c>
      <c r="D52" s="40">
        <v>-8.112997</v>
      </c>
      <c r="E52" s="40">
        <v>-15.672713</v>
      </c>
      <c r="F52" s="40">
        <v>-7.1382523000000004</v>
      </c>
      <c r="G52" s="40">
        <v>-3.3936023999999998</v>
      </c>
      <c r="H52" s="40">
        <v>-6.0941877</v>
      </c>
      <c r="I52" s="40">
        <v>8.7577820000000006</v>
      </c>
      <c r="J52" s="40">
        <v>4.2516109999999996</v>
      </c>
      <c r="K52" s="47">
        <v>-8.2344474999999999</v>
      </c>
      <c r="L52" s="47">
        <v>-11.280298</v>
      </c>
      <c r="M52" s="47">
        <v>-15.024233000000001</v>
      </c>
      <c r="N52" s="47">
        <v>-15.440422</v>
      </c>
    </row>
    <row r="53" spans="1:14" x14ac:dyDescent="0.35">
      <c r="A53" s="2">
        <v>43433</v>
      </c>
      <c r="B53" s="40">
        <v>8.8684320000000003</v>
      </c>
      <c r="C53" s="40">
        <v>-3.8158774000000002</v>
      </c>
      <c r="D53" s="40">
        <v>-5.8031980000000001</v>
      </c>
      <c r="E53" s="40">
        <v>-16.076564999999999</v>
      </c>
      <c r="F53" s="40">
        <v>-6.2717200000000002</v>
      </c>
      <c r="G53" s="40">
        <v>-2.453363</v>
      </c>
      <c r="H53" s="40">
        <v>-5.6626320000000003</v>
      </c>
      <c r="I53" s="40">
        <v>10.128117</v>
      </c>
      <c r="J53" s="40">
        <v>6.1897992999999998</v>
      </c>
      <c r="K53" s="47">
        <v>-7.7557029999999996</v>
      </c>
      <c r="L53" s="47">
        <v>-7.1132660000000003</v>
      </c>
      <c r="M53" s="47">
        <v>-10.41854</v>
      </c>
      <c r="N53" s="47">
        <v>-14.6021</v>
      </c>
    </row>
    <row r="54" spans="1:14" x14ac:dyDescent="0.35">
      <c r="A54" s="2">
        <v>43462</v>
      </c>
      <c r="B54" s="40">
        <v>0.20328760000000001</v>
      </c>
      <c r="C54" s="40">
        <v>-12.100123999999999</v>
      </c>
      <c r="D54" s="40">
        <v>-17.481888000000001</v>
      </c>
      <c r="E54" s="40">
        <v>-22.053802000000001</v>
      </c>
      <c r="F54" s="40">
        <v>-13.783664</v>
      </c>
      <c r="G54" s="40">
        <v>-9.4943760000000008</v>
      </c>
      <c r="H54" s="40">
        <v>-13.686102999999999</v>
      </c>
      <c r="I54" s="40">
        <v>-1.5645564000000001</v>
      </c>
      <c r="J54" s="40">
        <v>-5.7425139999999999</v>
      </c>
      <c r="K54" s="47">
        <v>-13.676368999999999</v>
      </c>
      <c r="L54" s="47">
        <v>-15.912258</v>
      </c>
      <c r="M54" s="47">
        <v>-14.262128000000001</v>
      </c>
      <c r="N54" s="47">
        <v>-18.146222999999999</v>
      </c>
    </row>
    <row r="55" spans="1:14" x14ac:dyDescent="0.35">
      <c r="A55" s="2">
        <v>43494</v>
      </c>
      <c r="B55" s="40">
        <v>2.1306156999999999</v>
      </c>
      <c r="C55" s="40">
        <v>-9.9441590000000009</v>
      </c>
      <c r="D55" s="40">
        <v>-8.8104724999999995</v>
      </c>
      <c r="E55" s="40">
        <v>-21.872986000000001</v>
      </c>
      <c r="F55" s="40">
        <v>-15.130335000000001</v>
      </c>
      <c r="G55" s="40">
        <v>-9.0224270000000004</v>
      </c>
      <c r="H55" s="40">
        <v>-13.777775</v>
      </c>
      <c r="I55" s="40">
        <v>-4.2025924000000003</v>
      </c>
      <c r="J55" s="40">
        <v>-5.7022038000000004</v>
      </c>
      <c r="K55" s="47">
        <v>-14.861720999999999</v>
      </c>
      <c r="L55" s="47">
        <v>-14.797658</v>
      </c>
      <c r="M55" s="47">
        <v>-14.848221000000001</v>
      </c>
      <c r="N55" s="47">
        <v>-20.707100000000001</v>
      </c>
    </row>
    <row r="56" spans="1:14" x14ac:dyDescent="0.35">
      <c r="A56" s="2">
        <v>43524</v>
      </c>
      <c r="B56" s="40">
        <v>6.1311363999999999</v>
      </c>
      <c r="C56" s="40">
        <v>-1.2551844000000001</v>
      </c>
      <c r="D56" s="40">
        <v>2.7028799999999999</v>
      </c>
      <c r="E56" s="40">
        <v>-13.786173</v>
      </c>
      <c r="F56" s="40">
        <v>-9.5945060000000009</v>
      </c>
      <c r="G56" s="40">
        <v>1.4801979000000001</v>
      </c>
      <c r="H56" s="40">
        <v>-1.7200588999999999</v>
      </c>
      <c r="I56" s="40">
        <v>4.4618845</v>
      </c>
      <c r="J56" s="40">
        <v>4.5495749999999999</v>
      </c>
      <c r="K56" s="47">
        <v>-4.8342586000000001</v>
      </c>
      <c r="L56" s="47">
        <v>-4.850352</v>
      </c>
      <c r="M56" s="47">
        <v>-6.8861127</v>
      </c>
      <c r="N56" s="47">
        <v>-10.856366</v>
      </c>
    </row>
    <row r="57" spans="1:14" x14ac:dyDescent="0.35">
      <c r="A57" s="2">
        <v>43553</v>
      </c>
      <c r="B57" s="40">
        <v>10.915017000000001</v>
      </c>
      <c r="C57" s="40">
        <v>3.486383</v>
      </c>
      <c r="D57" s="40">
        <v>2.7791022999999999</v>
      </c>
      <c r="E57" s="40">
        <v>-13.951403000000001</v>
      </c>
      <c r="F57" s="40">
        <v>-8.4108940000000008</v>
      </c>
      <c r="G57" s="40">
        <v>5.4901004000000002</v>
      </c>
      <c r="H57" s="40">
        <v>-0.62168239999999997</v>
      </c>
      <c r="I57" s="40">
        <v>13.173866</v>
      </c>
      <c r="J57" s="40">
        <v>9.4400999999999993</v>
      </c>
      <c r="K57" s="47">
        <v>-3.7452459999999999</v>
      </c>
      <c r="L57" s="47">
        <v>-4.528016</v>
      </c>
      <c r="M57" s="47">
        <v>-5.4747224000000001</v>
      </c>
      <c r="N57" s="47">
        <v>-10.003762999999999</v>
      </c>
    </row>
    <row r="58" spans="1:14" x14ac:dyDescent="0.35">
      <c r="A58" s="2">
        <v>43584</v>
      </c>
      <c r="B58" s="40">
        <v>12.686896000000001</v>
      </c>
      <c r="C58" s="40">
        <v>3.6196947000000002</v>
      </c>
      <c r="D58" s="40">
        <v>3.6077857</v>
      </c>
      <c r="E58" s="40">
        <v>-9.9442959999999996</v>
      </c>
      <c r="F58" s="40">
        <v>-7.0576670000000004</v>
      </c>
      <c r="G58" s="40">
        <v>8.2008360000000007</v>
      </c>
      <c r="H58" s="40">
        <v>-3.3001125</v>
      </c>
      <c r="I58" s="40">
        <v>18.874894999999999</v>
      </c>
      <c r="J58" s="40">
        <v>12.396407</v>
      </c>
      <c r="K58" s="47">
        <v>-3.7614405</v>
      </c>
      <c r="L58" s="47">
        <v>-1.3260186</v>
      </c>
      <c r="M58" s="47">
        <v>1.4985919000000001</v>
      </c>
      <c r="N58" s="47">
        <v>-13.236808999999999</v>
      </c>
    </row>
    <row r="59" spans="1:14" x14ac:dyDescent="0.35">
      <c r="A59" s="2">
        <v>43614</v>
      </c>
      <c r="B59" s="40">
        <v>10.174942</v>
      </c>
      <c r="C59" s="40">
        <v>3.4205079999999999</v>
      </c>
      <c r="D59" s="40">
        <v>-0.44849515000000001</v>
      </c>
      <c r="E59" s="40">
        <v>-10.883998999999999</v>
      </c>
      <c r="F59" s="40">
        <v>-9.7938480000000006</v>
      </c>
      <c r="G59" s="40">
        <v>9.9499230000000001</v>
      </c>
      <c r="H59" s="40">
        <v>-6.4914940000000003</v>
      </c>
      <c r="I59" s="40">
        <v>5.0859329999999998</v>
      </c>
      <c r="J59" s="40">
        <v>5.4566382999999998</v>
      </c>
      <c r="K59" s="47">
        <v>-4.7577259999999999</v>
      </c>
      <c r="L59" s="47">
        <v>-2.3047863999999998</v>
      </c>
      <c r="M59" s="47">
        <v>-3.7986338000000002</v>
      </c>
      <c r="N59" s="47">
        <v>-4.8764824999999998</v>
      </c>
    </row>
    <row r="60" spans="1:14" x14ac:dyDescent="0.35">
      <c r="A60" s="2">
        <v>43644</v>
      </c>
      <c r="B60" s="40">
        <v>13.758813999999999</v>
      </c>
      <c r="C60" s="40">
        <v>6.2166930000000002</v>
      </c>
      <c r="D60" s="40">
        <v>4.4224620000000003</v>
      </c>
      <c r="E60" s="40">
        <v>-2.4084984999999999</v>
      </c>
      <c r="F60" s="40">
        <v>-4.4703720000000002</v>
      </c>
      <c r="G60" s="40">
        <v>19.376681999999999</v>
      </c>
      <c r="H60" s="40">
        <v>-1.8142223</v>
      </c>
      <c r="I60" s="40">
        <v>10.041022</v>
      </c>
      <c r="J60" s="40">
        <v>10.313547</v>
      </c>
      <c r="K60" s="47">
        <v>4.5194983000000004</v>
      </c>
      <c r="L60" s="47">
        <v>5.1014065999999998</v>
      </c>
      <c r="M60" s="47">
        <v>5.9779406000000002</v>
      </c>
      <c r="N60" s="47">
        <v>1.1313915000000001</v>
      </c>
    </row>
    <row r="61" spans="1:14" x14ac:dyDescent="0.35">
      <c r="A61" s="2">
        <v>43675</v>
      </c>
      <c r="B61" s="40">
        <v>17.886246</v>
      </c>
      <c r="C61" s="40">
        <v>5.7490587</v>
      </c>
      <c r="D61" s="40">
        <v>1.2203097000000001</v>
      </c>
      <c r="E61" s="40">
        <v>-9.2922689999999992</v>
      </c>
      <c r="F61" s="40">
        <v>-6.3344899999999997</v>
      </c>
      <c r="G61" s="40">
        <v>10.865045</v>
      </c>
      <c r="H61" s="40">
        <v>-3.1471013999999999</v>
      </c>
      <c r="I61" s="40">
        <v>10.532819999999999</v>
      </c>
      <c r="J61" s="40">
        <v>9.2518809999999991</v>
      </c>
      <c r="K61" s="47">
        <v>-0.34801959999999998</v>
      </c>
      <c r="L61" s="47">
        <v>2.2729992999999999</v>
      </c>
      <c r="M61" s="47">
        <v>-2.8357804</v>
      </c>
      <c r="N61" s="47">
        <v>-1.3710141</v>
      </c>
    </row>
    <row r="62" spans="1:14" x14ac:dyDescent="0.35">
      <c r="A62" s="2">
        <v>43706</v>
      </c>
      <c r="B62" s="40">
        <v>5.9624553000000002</v>
      </c>
      <c r="C62" s="40">
        <v>-0.99198819999999999</v>
      </c>
      <c r="D62" s="40">
        <v>-1.5309334000000001</v>
      </c>
      <c r="E62" s="40">
        <v>-13.200659</v>
      </c>
      <c r="F62" s="40">
        <v>-6.5823260000000001</v>
      </c>
      <c r="G62" s="40">
        <v>7.8634620000000002</v>
      </c>
      <c r="H62" s="40">
        <v>-7.8382133999999999</v>
      </c>
      <c r="I62" s="40">
        <v>1.5152454</v>
      </c>
      <c r="J62" s="40">
        <v>2.3740888</v>
      </c>
      <c r="K62" s="47">
        <v>-5.0330934999999997</v>
      </c>
      <c r="L62" s="47">
        <v>-0.98784565999999996</v>
      </c>
      <c r="M62" s="47">
        <v>-10.250574</v>
      </c>
      <c r="N62" s="47">
        <v>1.1341452999999999</v>
      </c>
    </row>
    <row r="63" spans="1:14" x14ac:dyDescent="0.35">
      <c r="A63" s="2">
        <v>43735</v>
      </c>
      <c r="B63" s="40">
        <v>10.067833</v>
      </c>
      <c r="C63" s="40">
        <v>6.7955613000000001</v>
      </c>
      <c r="D63" s="40">
        <v>2.9904603999999999</v>
      </c>
      <c r="E63" s="40">
        <v>-8.9991389999999996</v>
      </c>
      <c r="F63" s="40">
        <v>-4.8304320000000001</v>
      </c>
      <c r="G63" s="40">
        <v>10.272002000000001</v>
      </c>
      <c r="H63" s="40">
        <v>-4.5010924000000001</v>
      </c>
      <c r="I63" s="40">
        <v>1.5518546</v>
      </c>
      <c r="J63" s="40">
        <v>3.6529660000000002</v>
      </c>
      <c r="K63" s="47">
        <v>-2.7668357000000001</v>
      </c>
      <c r="L63" s="47">
        <v>4.9790619999999999</v>
      </c>
      <c r="M63" s="47">
        <v>-8.6004199999999997</v>
      </c>
      <c r="N63" s="47">
        <v>-0.16402006</v>
      </c>
    </row>
    <row r="64" spans="1:14" x14ac:dyDescent="0.35">
      <c r="A64" s="2">
        <v>43767</v>
      </c>
      <c r="B64" s="40">
        <v>22.279406000000002</v>
      </c>
      <c r="C64" s="40">
        <v>21.045159999999999</v>
      </c>
      <c r="D64" s="40">
        <v>14.063883000000001</v>
      </c>
      <c r="E64" s="40">
        <v>8.9303860000000004</v>
      </c>
      <c r="F64" s="40">
        <v>11.275757</v>
      </c>
      <c r="G64" s="40">
        <v>21.136892</v>
      </c>
      <c r="H64" s="40">
        <v>9.0719700000000003</v>
      </c>
      <c r="I64" s="40">
        <v>21.181726000000001</v>
      </c>
      <c r="J64" s="40">
        <v>17.211781999999999</v>
      </c>
      <c r="K64" s="47">
        <v>14.770317</v>
      </c>
      <c r="L64" s="47">
        <v>20.672643999999998</v>
      </c>
      <c r="M64" s="47">
        <v>13.513719999999999</v>
      </c>
      <c r="N64" s="47">
        <v>20.288157999999999</v>
      </c>
    </row>
    <row r="65" spans="1:14" x14ac:dyDescent="0.35">
      <c r="A65" s="2">
        <v>43798</v>
      </c>
      <c r="B65" s="40">
        <v>20.654178999999999</v>
      </c>
      <c r="C65" s="40">
        <v>15.106928</v>
      </c>
      <c r="D65" s="40">
        <v>14.156378</v>
      </c>
      <c r="E65" s="40">
        <v>9.7975139999999996</v>
      </c>
      <c r="F65" s="40">
        <v>9.3049409999999995</v>
      </c>
      <c r="G65" s="40">
        <v>19.468520999999999</v>
      </c>
      <c r="H65" s="40">
        <v>8.943892</v>
      </c>
      <c r="I65" s="40">
        <v>23.072565000000001</v>
      </c>
      <c r="J65" s="40">
        <v>17.014766999999999</v>
      </c>
      <c r="K65" s="47">
        <v>15.377844</v>
      </c>
      <c r="L65" s="47">
        <v>17.682780000000001</v>
      </c>
      <c r="M65" s="47">
        <v>12.098169</v>
      </c>
      <c r="N65" s="47">
        <v>18.874609</v>
      </c>
    </row>
    <row r="66" spans="1:14" x14ac:dyDescent="0.35">
      <c r="A66" s="2">
        <v>43826</v>
      </c>
      <c r="B66" s="40">
        <v>29.226099999999999</v>
      </c>
      <c r="C66" s="40">
        <v>23.908197000000001</v>
      </c>
      <c r="D66" s="40">
        <v>28.563427000000001</v>
      </c>
      <c r="E66" s="40">
        <v>21.335018000000002</v>
      </c>
      <c r="F66" s="40">
        <v>19.942701</v>
      </c>
      <c r="G66" s="40">
        <v>34.674230000000001</v>
      </c>
      <c r="H66" s="40">
        <v>22.283459000000001</v>
      </c>
      <c r="I66" s="40">
        <v>40.717112999999998</v>
      </c>
      <c r="J66" s="40">
        <v>32.611072999999998</v>
      </c>
      <c r="K66" s="47">
        <v>27.961003999999999</v>
      </c>
      <c r="L66" s="47">
        <v>33.301209999999998</v>
      </c>
      <c r="M66" s="47">
        <v>26.462292000000001</v>
      </c>
      <c r="N66" s="47">
        <v>27.327358</v>
      </c>
    </row>
    <row r="67" spans="1:14" x14ac:dyDescent="0.35">
      <c r="A67" s="2">
        <v>43859</v>
      </c>
      <c r="B67" s="40">
        <v>23.633469000000002</v>
      </c>
      <c r="C67" s="40">
        <v>16.76097</v>
      </c>
      <c r="D67" s="40">
        <v>15.147506999999999</v>
      </c>
      <c r="E67" s="40">
        <v>11.500083999999999</v>
      </c>
      <c r="F67" s="40">
        <v>12.034882</v>
      </c>
      <c r="G67" s="40">
        <v>26.937425999999999</v>
      </c>
      <c r="H67" s="40">
        <v>12.031185000000001</v>
      </c>
      <c r="I67" s="40">
        <v>38.413691999999998</v>
      </c>
      <c r="J67" s="40">
        <v>26.342762</v>
      </c>
      <c r="K67" s="47">
        <v>18.19867</v>
      </c>
      <c r="L67" s="47">
        <v>21.478092</v>
      </c>
      <c r="M67" s="47">
        <v>14.413392999999999</v>
      </c>
      <c r="N67" s="47">
        <v>18.805289999999999</v>
      </c>
    </row>
    <row r="68" spans="1:14" x14ac:dyDescent="0.35">
      <c r="A68" s="2">
        <v>43889</v>
      </c>
      <c r="B68" s="40">
        <v>10.86787</v>
      </c>
      <c r="C68" s="40">
        <v>-1.5908062000000001</v>
      </c>
      <c r="D68" s="40">
        <v>1.3009428999999999</v>
      </c>
      <c r="E68" s="40">
        <v>-1.3237475999999999</v>
      </c>
      <c r="F68" s="40">
        <v>-0.52337049999999996</v>
      </c>
      <c r="G68" s="40">
        <v>11.826515000000001</v>
      </c>
      <c r="H68" s="40">
        <v>-6.1158656999999996</v>
      </c>
      <c r="I68" s="40">
        <v>19.806743999999998</v>
      </c>
      <c r="J68" s="40">
        <v>8.3196049999999993</v>
      </c>
      <c r="K68" s="47">
        <v>1.2282014000000001</v>
      </c>
      <c r="L68" s="47">
        <v>5.6587459999999998</v>
      </c>
      <c r="M68" s="47">
        <v>5.2574395999999997</v>
      </c>
      <c r="N68" s="47">
        <v>4.5457840000000003</v>
      </c>
    </row>
    <row r="69" spans="1:14" x14ac:dyDescent="0.35">
      <c r="A69" s="2">
        <v>43917</v>
      </c>
      <c r="B69" s="40">
        <v>-12.229376999999999</v>
      </c>
      <c r="C69" s="40">
        <v>-28.844785999999999</v>
      </c>
      <c r="D69" s="40">
        <v>-23.206097</v>
      </c>
      <c r="E69" s="40">
        <v>-19.305157000000001</v>
      </c>
      <c r="F69" s="40">
        <v>-6.3652395999999998</v>
      </c>
      <c r="G69" s="40">
        <v>0.98102089999999997</v>
      </c>
      <c r="H69" s="40">
        <v>-26.490122</v>
      </c>
      <c r="I69" s="40">
        <v>5.0492406000000001</v>
      </c>
      <c r="J69" s="40">
        <v>-7.5033244999999997</v>
      </c>
      <c r="K69" s="47">
        <v>-17.338234</v>
      </c>
      <c r="L69" s="47">
        <v>-11.211990999999999</v>
      </c>
      <c r="M69" s="47">
        <v>-15.198785000000001</v>
      </c>
      <c r="N69" s="47">
        <v>-22.178046999999999</v>
      </c>
    </row>
    <row r="70" spans="1:14" x14ac:dyDescent="0.35">
      <c r="A70" s="2">
        <v>43950</v>
      </c>
      <c r="B70" s="40">
        <v>0.34964085</v>
      </c>
      <c r="C70" s="40">
        <v>-18.539691999999999</v>
      </c>
      <c r="D70" s="40">
        <v>-9.9706290000000006</v>
      </c>
      <c r="E70" s="40">
        <v>-14.150124999999999</v>
      </c>
      <c r="F70" s="40">
        <v>-2.2261500000000001</v>
      </c>
      <c r="G70" s="40">
        <v>5.7573319999999999</v>
      </c>
      <c r="H70" s="40">
        <v>-19.219662</v>
      </c>
      <c r="I70" s="40">
        <v>15.626848000000001</v>
      </c>
      <c r="J70" s="40">
        <v>1.8412113000000001</v>
      </c>
      <c r="K70" s="47">
        <v>-16.699922999999998</v>
      </c>
      <c r="L70" s="47">
        <v>-4.9206675999999998</v>
      </c>
      <c r="M70" s="47">
        <v>-9.2312700000000003</v>
      </c>
      <c r="N70" s="47">
        <v>-20.051252000000002</v>
      </c>
    </row>
    <row r="71" spans="1:14" x14ac:dyDescent="0.35">
      <c r="A71" s="2">
        <v>43980</v>
      </c>
      <c r="B71" s="40">
        <v>5.2528499999999996</v>
      </c>
      <c r="C71" s="40">
        <v>-13.654709</v>
      </c>
      <c r="D71" s="40">
        <v>-6.5877495000000001</v>
      </c>
      <c r="E71" s="40">
        <v>-2.3698092000000002</v>
      </c>
      <c r="F71" s="40">
        <v>6.6486359999999998</v>
      </c>
      <c r="G71" s="40">
        <v>8.9060190000000006</v>
      </c>
      <c r="H71" s="40">
        <v>-15.611762000000001</v>
      </c>
      <c r="I71" s="40">
        <v>33.700539999999997</v>
      </c>
      <c r="J71" s="40">
        <v>11.625695</v>
      </c>
      <c r="K71" s="47">
        <v>-8.2688869999999994</v>
      </c>
      <c r="L71" s="47">
        <v>6.3257099999999999</v>
      </c>
      <c r="M71" s="47">
        <v>6.6501140000000003</v>
      </c>
      <c r="N71" s="47">
        <v>-11.148809999999999</v>
      </c>
    </row>
    <row r="72" spans="1:14" x14ac:dyDescent="0.35">
      <c r="A72" s="2">
        <v>44011</v>
      </c>
      <c r="B72" s="40">
        <v>6.3682319999999999</v>
      </c>
      <c r="C72" s="40">
        <v>-12.05669</v>
      </c>
      <c r="D72" s="40">
        <v>-8.8033380000000001</v>
      </c>
      <c r="E72" s="40">
        <v>-2.7394889999999998</v>
      </c>
      <c r="F72" s="40">
        <v>3.6807299000000002</v>
      </c>
      <c r="G72" s="40">
        <v>5.1705002999999996</v>
      </c>
      <c r="H72" s="40">
        <v>-17.672294999999998</v>
      </c>
      <c r="I72" s="40">
        <v>31.088411000000001</v>
      </c>
      <c r="J72" s="40">
        <v>6.0159564000000003</v>
      </c>
      <c r="K72" s="47">
        <v>-9.8278820000000007</v>
      </c>
      <c r="L72" s="47">
        <v>6.7131042000000001</v>
      </c>
      <c r="M72" s="47">
        <v>2.6587486</v>
      </c>
      <c r="N72" s="47">
        <v>-10.696612999999999</v>
      </c>
    </row>
    <row r="73" spans="1:14" x14ac:dyDescent="0.35">
      <c r="A73" s="2">
        <v>44041</v>
      </c>
      <c r="B73" s="40">
        <v>10.605693</v>
      </c>
      <c r="C73" s="40">
        <v>-6.9805919999999997</v>
      </c>
      <c r="D73" s="40">
        <v>-1.3249099</v>
      </c>
      <c r="E73" s="40">
        <v>8.3674669999999995</v>
      </c>
      <c r="F73" s="40">
        <v>5.5018783000000004</v>
      </c>
      <c r="G73" s="40">
        <v>13.3062725</v>
      </c>
      <c r="H73" s="40">
        <v>-13.708109</v>
      </c>
      <c r="I73" s="40">
        <v>34.549759999999999</v>
      </c>
      <c r="J73" s="40">
        <v>10.032916</v>
      </c>
      <c r="K73" s="47">
        <v>-3.9260625999999998</v>
      </c>
      <c r="L73" s="47">
        <v>12.198448000000001</v>
      </c>
      <c r="M73" s="47">
        <v>18.674814000000001</v>
      </c>
      <c r="N73" s="47">
        <v>-4.4715879999999997</v>
      </c>
    </row>
    <row r="74" spans="1:14" x14ac:dyDescent="0.35">
      <c r="A74" s="2">
        <v>44071</v>
      </c>
      <c r="B74" s="40">
        <v>22.611640000000001</v>
      </c>
      <c r="C74" s="40">
        <v>1.7585754</v>
      </c>
      <c r="D74" s="40">
        <v>6.2859296999999996</v>
      </c>
      <c r="E74" s="40">
        <v>18.137025999999999</v>
      </c>
      <c r="F74" s="40">
        <v>11.038613</v>
      </c>
      <c r="G74" s="40">
        <v>15.126694000000001</v>
      </c>
      <c r="H74" s="40">
        <v>-7.1878614000000001</v>
      </c>
      <c r="I74" s="40">
        <v>59.319473000000002</v>
      </c>
      <c r="J74" s="40">
        <v>23.812151</v>
      </c>
      <c r="K74" s="47">
        <v>2.9198407999999998</v>
      </c>
      <c r="L74" s="47">
        <v>20.497762999999999</v>
      </c>
      <c r="M74" s="47">
        <v>32.149887</v>
      </c>
      <c r="N74" s="47">
        <v>-0.28297305</v>
      </c>
    </row>
    <row r="75" spans="1:14" x14ac:dyDescent="0.35">
      <c r="A75" s="2">
        <v>44103</v>
      </c>
      <c r="B75" s="40">
        <v>13.687265</v>
      </c>
      <c r="C75" s="40">
        <v>-7.8196405999999996</v>
      </c>
      <c r="D75" s="40">
        <v>-2.7841448999999998</v>
      </c>
      <c r="E75" s="40">
        <v>10.649848</v>
      </c>
      <c r="F75" s="40">
        <v>7.506907</v>
      </c>
      <c r="G75" s="40">
        <v>11.085272</v>
      </c>
      <c r="H75" s="40">
        <v>-15.957081000000001</v>
      </c>
      <c r="I75" s="40">
        <v>48.646796999999999</v>
      </c>
      <c r="J75" s="40">
        <v>14.726972999999999</v>
      </c>
      <c r="K75" s="47">
        <v>-5.4007110000000003</v>
      </c>
      <c r="L75" s="47">
        <v>13.35243</v>
      </c>
      <c r="M75" s="47">
        <v>22.693847999999999</v>
      </c>
      <c r="N75" s="47">
        <v>-8.8197530000000004</v>
      </c>
    </row>
    <row r="76" spans="1:14" x14ac:dyDescent="0.35">
      <c r="A76" s="2">
        <v>44133</v>
      </c>
      <c r="B76" s="40">
        <v>18.928850000000001</v>
      </c>
      <c r="C76" s="40">
        <v>-9.5527529999999992</v>
      </c>
      <c r="D76" s="40">
        <v>-5.5568036999999997</v>
      </c>
      <c r="E76" s="40">
        <v>-6.1517056999999999</v>
      </c>
      <c r="F76" s="40">
        <v>2.1208643999999999</v>
      </c>
      <c r="G76" s="40">
        <v>3.6967992999999999</v>
      </c>
      <c r="H76" s="40">
        <v>-22.426818999999998</v>
      </c>
      <c r="I76" s="40">
        <v>42.041110000000003</v>
      </c>
      <c r="J76" s="40">
        <v>10.968137</v>
      </c>
      <c r="K76" s="47">
        <v>-13.726877999999999</v>
      </c>
      <c r="L76" s="47">
        <v>8.398199</v>
      </c>
      <c r="M76" s="47">
        <v>9.1292139999999993</v>
      </c>
      <c r="N76" s="47">
        <v>-19.067561999999999</v>
      </c>
    </row>
    <row r="77" spans="1:14" x14ac:dyDescent="0.35">
      <c r="A77" s="2">
        <v>44162</v>
      </c>
      <c r="B77" s="40">
        <v>23.804545999999998</v>
      </c>
      <c r="C77" s="40">
        <v>4.9984454999999999</v>
      </c>
      <c r="D77" s="40">
        <v>5.2536370000000003</v>
      </c>
      <c r="E77" s="40">
        <v>6.7760350000000003</v>
      </c>
      <c r="F77" s="40">
        <v>12.5897045</v>
      </c>
      <c r="G77" s="40">
        <v>11.944604</v>
      </c>
      <c r="H77" s="40">
        <v>-9.9335970000000007</v>
      </c>
      <c r="I77" s="40">
        <v>46.207810000000002</v>
      </c>
      <c r="J77" s="40">
        <v>17.541122000000001</v>
      </c>
      <c r="K77" s="47">
        <v>5.1167727000000003</v>
      </c>
      <c r="L77" s="47">
        <v>21.550166999999998</v>
      </c>
      <c r="M77" s="47">
        <v>26.821745</v>
      </c>
      <c r="N77" s="47">
        <v>1.6799211999999999</v>
      </c>
    </row>
    <row r="78" spans="1:14" x14ac:dyDescent="0.35">
      <c r="A78" s="2">
        <v>44194</v>
      </c>
      <c r="B78" s="40">
        <v>21.116304</v>
      </c>
      <c r="C78" s="40">
        <v>7.7870010000000001</v>
      </c>
      <c r="D78" s="40">
        <v>6.113124</v>
      </c>
      <c r="E78" s="40">
        <v>11.419082</v>
      </c>
      <c r="F78" s="40">
        <v>14.343107</v>
      </c>
      <c r="G78" s="40">
        <v>12.034202000000001</v>
      </c>
      <c r="H78" s="40">
        <v>-10.314571000000001</v>
      </c>
      <c r="I78" s="40">
        <v>47.555256</v>
      </c>
      <c r="J78" s="40">
        <v>17.242754000000001</v>
      </c>
      <c r="K78" s="47">
        <v>4.3406487</v>
      </c>
      <c r="L78" s="47">
        <v>24.230076</v>
      </c>
      <c r="M78" s="47">
        <v>22.555530000000001</v>
      </c>
      <c r="N78" s="47">
        <v>2.1215440000000001</v>
      </c>
    </row>
    <row r="79" spans="1:14" x14ac:dyDescent="0.35">
      <c r="A79" s="2">
        <v>44225</v>
      </c>
      <c r="B79" s="40">
        <v>20.325232</v>
      </c>
      <c r="C79" s="40">
        <v>6.4212800000000003</v>
      </c>
      <c r="D79" s="40">
        <v>3.9695382000000001</v>
      </c>
      <c r="E79" s="40">
        <v>10.423923</v>
      </c>
      <c r="F79" s="40">
        <v>15.311586</v>
      </c>
      <c r="G79" s="40">
        <v>8.6106890000000007</v>
      </c>
      <c r="H79" s="40">
        <v>-9.5211620000000003</v>
      </c>
      <c r="I79" s="40">
        <v>42.826842999999997</v>
      </c>
      <c r="J79" s="40">
        <v>15.459394</v>
      </c>
      <c r="K79" s="47">
        <v>2.5445937999999999</v>
      </c>
      <c r="L79" s="47">
        <v>28.461217999999999</v>
      </c>
      <c r="M79" s="47">
        <v>27.317083</v>
      </c>
      <c r="N79" s="47">
        <v>-2.4545729999999999</v>
      </c>
    </row>
    <row r="80" spans="1:14" x14ac:dyDescent="0.35">
      <c r="A80" s="2">
        <v>44253</v>
      </c>
      <c r="B80" s="40">
        <v>15.762924999999999</v>
      </c>
      <c r="C80" s="40">
        <v>18.378640000000001</v>
      </c>
      <c r="D80" s="40">
        <v>13.449930999999999</v>
      </c>
      <c r="E80" s="40">
        <v>20.497834999999998</v>
      </c>
      <c r="F80" s="40">
        <v>25.749361</v>
      </c>
      <c r="G80" s="40">
        <v>11.961019500000001</v>
      </c>
      <c r="H80" s="40">
        <v>1.8073558999999999</v>
      </c>
      <c r="I80" s="40">
        <v>46.148014000000003</v>
      </c>
      <c r="J80" s="40">
        <v>24.429953000000001</v>
      </c>
      <c r="K80" s="47">
        <v>14.276338000000001</v>
      </c>
      <c r="L80" s="47">
        <v>40.022551999999997</v>
      </c>
      <c r="M80" s="47">
        <v>35.032069999999997</v>
      </c>
      <c r="N80" s="47">
        <v>9.4925639999999998</v>
      </c>
    </row>
    <row r="81" spans="1:14" x14ac:dyDescent="0.35">
      <c r="A81" s="2">
        <v>44284</v>
      </c>
      <c r="B81" s="40">
        <v>46.32152</v>
      </c>
      <c r="C81" s="40">
        <v>76.031130000000005</v>
      </c>
      <c r="D81" s="40">
        <v>68.603089999999995</v>
      </c>
      <c r="E81" s="40">
        <v>60.885894999999998</v>
      </c>
      <c r="F81" s="40">
        <v>40.542029999999997</v>
      </c>
      <c r="G81" s="40">
        <v>30.525742999999999</v>
      </c>
      <c r="H81" s="40">
        <v>38.473655999999998</v>
      </c>
      <c r="I81" s="40">
        <v>71.549710000000005</v>
      </c>
      <c r="J81" s="40">
        <v>58.695219999999999</v>
      </c>
      <c r="K81" s="47">
        <v>48.946156000000002</v>
      </c>
      <c r="L81" s="47">
        <v>81.035380000000004</v>
      </c>
      <c r="M81" s="47">
        <v>82.393289999999993</v>
      </c>
      <c r="N81" s="47">
        <v>54.491363999999997</v>
      </c>
    </row>
    <row r="82" spans="1:14" x14ac:dyDescent="0.35">
      <c r="A82" s="2">
        <v>44315</v>
      </c>
      <c r="B82" s="40">
        <v>31.720946999999999</v>
      </c>
      <c r="C82" s="40">
        <v>57.217551999999998</v>
      </c>
      <c r="D82" s="40">
        <v>46.624650000000003</v>
      </c>
      <c r="E82" s="40">
        <v>49.571407000000001</v>
      </c>
      <c r="F82" s="40">
        <v>29.279495000000001</v>
      </c>
      <c r="G82" s="40">
        <v>27.194046</v>
      </c>
      <c r="H82" s="40">
        <v>29.770385999999998</v>
      </c>
      <c r="I82" s="40">
        <v>56.321156000000002</v>
      </c>
      <c r="J82" s="40">
        <v>45.573880000000003</v>
      </c>
      <c r="K82" s="47">
        <v>52.517937000000003</v>
      </c>
      <c r="L82" s="47">
        <v>71.139786000000001</v>
      </c>
      <c r="M82" s="47">
        <v>70.522819999999996</v>
      </c>
      <c r="N82" s="47">
        <v>51.876080000000002</v>
      </c>
    </row>
    <row r="83" spans="1:14" x14ac:dyDescent="0.35">
      <c r="A83" s="2">
        <v>44344</v>
      </c>
      <c r="B83" s="40">
        <v>23.299658000000001</v>
      </c>
      <c r="C83" s="40">
        <v>48.008094999999997</v>
      </c>
      <c r="D83" s="40">
        <v>52.600119999999997</v>
      </c>
      <c r="E83" s="40">
        <v>42.224648000000002</v>
      </c>
      <c r="F83" s="40">
        <v>24.195969000000002</v>
      </c>
      <c r="G83" s="40">
        <v>30.047905</v>
      </c>
      <c r="H83" s="40">
        <v>33.289337000000003</v>
      </c>
      <c r="I83" s="40">
        <v>46.099426000000001</v>
      </c>
      <c r="J83" s="40">
        <v>40.877594000000002</v>
      </c>
      <c r="K83" s="47">
        <v>52.235092000000002</v>
      </c>
      <c r="L83" s="47">
        <v>64.342410000000001</v>
      </c>
      <c r="M83" s="47">
        <v>62.799239999999998</v>
      </c>
      <c r="N83" s="47">
        <v>52.548026999999998</v>
      </c>
    </row>
    <row r="84" spans="1:14" x14ac:dyDescent="0.35">
      <c r="A84" s="2">
        <v>44376</v>
      </c>
      <c r="B84" s="40">
        <v>13.123918</v>
      </c>
      <c r="C84" s="40">
        <v>39.845350000000003</v>
      </c>
      <c r="D84" s="40">
        <v>49.096702999999998</v>
      </c>
      <c r="E84" s="40">
        <v>33.493125999999997</v>
      </c>
      <c r="F84" s="40">
        <v>24.296496999999999</v>
      </c>
      <c r="G84" s="40">
        <v>28.899145000000001</v>
      </c>
      <c r="H84" s="40">
        <v>30.964172000000001</v>
      </c>
      <c r="I84" s="40">
        <v>47.011723000000003</v>
      </c>
      <c r="J84" s="40">
        <v>42.586838</v>
      </c>
      <c r="K84" s="47">
        <v>41.559936999999998</v>
      </c>
      <c r="L84" s="47">
        <v>51.456023999999999</v>
      </c>
      <c r="M84" s="47">
        <v>54.492972999999999</v>
      </c>
      <c r="N84" s="47">
        <v>37.973010000000002</v>
      </c>
    </row>
    <row r="85" spans="1:14" x14ac:dyDescent="0.35">
      <c r="A85" s="2">
        <v>44406</v>
      </c>
      <c r="B85" s="40">
        <v>5.8589815999999999</v>
      </c>
      <c r="C85" s="40">
        <v>29.914797</v>
      </c>
      <c r="D85" s="40">
        <v>38.095260000000003</v>
      </c>
      <c r="E85" s="40">
        <v>21.147273999999999</v>
      </c>
      <c r="F85" s="40">
        <v>21.186602000000001</v>
      </c>
      <c r="G85" s="40">
        <v>21.931159999999998</v>
      </c>
      <c r="H85" s="40">
        <v>26.681840000000001</v>
      </c>
      <c r="I85" s="40">
        <v>41.87876</v>
      </c>
      <c r="J85" s="40">
        <v>37.568984999999998</v>
      </c>
      <c r="K85" s="47">
        <v>34.382759999999998</v>
      </c>
      <c r="L85" s="47">
        <v>44.83793</v>
      </c>
      <c r="M85" s="47">
        <v>43.154299999999999</v>
      </c>
      <c r="N85" s="47">
        <v>28.601455999999999</v>
      </c>
    </row>
    <row r="86" spans="1:14" x14ac:dyDescent="0.35">
      <c r="A86" s="2">
        <v>44435</v>
      </c>
      <c r="B86" s="40">
        <v>5.7263016999999996</v>
      </c>
      <c r="C86" s="40">
        <v>27.744114</v>
      </c>
      <c r="D86" s="40">
        <v>32.173264000000003</v>
      </c>
      <c r="E86" s="40">
        <v>19.852900999999999</v>
      </c>
      <c r="F86" s="40">
        <v>19.22307</v>
      </c>
      <c r="G86" s="40">
        <v>24.685144000000001</v>
      </c>
      <c r="H86" s="40">
        <v>27.846468000000002</v>
      </c>
      <c r="I86" s="40">
        <v>29.933917999999998</v>
      </c>
      <c r="J86" s="40">
        <v>31.199825000000001</v>
      </c>
      <c r="K86" s="47">
        <v>33.594154000000003</v>
      </c>
      <c r="L86" s="47">
        <v>48.463486000000003</v>
      </c>
      <c r="M86" s="47">
        <v>38.890839999999997</v>
      </c>
      <c r="N86" s="47">
        <v>30.856407000000001</v>
      </c>
    </row>
    <row r="87" spans="1:14" x14ac:dyDescent="0.35">
      <c r="A87" s="2">
        <v>44468</v>
      </c>
      <c r="B87" s="40">
        <v>9.6800329999999999</v>
      </c>
      <c r="C87" s="40">
        <v>27.032195999999999</v>
      </c>
      <c r="D87" s="40">
        <v>34.854996</v>
      </c>
      <c r="E87" s="40">
        <v>16.234266000000002</v>
      </c>
      <c r="F87" s="40">
        <v>20.596838000000002</v>
      </c>
      <c r="G87" s="40">
        <v>15.6422615</v>
      </c>
      <c r="H87" s="40">
        <v>29.67596</v>
      </c>
      <c r="I87" s="40">
        <v>30.894112</v>
      </c>
      <c r="J87" s="40">
        <v>32.567120000000003</v>
      </c>
      <c r="K87" s="47">
        <v>35.972774999999999</v>
      </c>
      <c r="L87" s="47">
        <v>43.835293</v>
      </c>
      <c r="M87" s="47">
        <v>29.484425999999999</v>
      </c>
      <c r="N87" s="47">
        <v>32.588566</v>
      </c>
    </row>
    <row r="88" spans="1:14" x14ac:dyDescent="0.35">
      <c r="A88" s="2">
        <v>44498</v>
      </c>
      <c r="B88" s="40">
        <v>7.7408669999999997</v>
      </c>
      <c r="C88" s="40">
        <v>36.167408000000002</v>
      </c>
      <c r="D88" s="40">
        <v>49.941887000000001</v>
      </c>
      <c r="E88" s="40">
        <v>31.331135</v>
      </c>
      <c r="F88" s="40">
        <v>18.081356</v>
      </c>
      <c r="G88" s="40">
        <v>29.993915999999999</v>
      </c>
      <c r="H88" s="40">
        <v>41.97334</v>
      </c>
      <c r="I88" s="40">
        <v>40.444980000000001</v>
      </c>
      <c r="J88" s="40">
        <v>41.149509999999999</v>
      </c>
      <c r="K88" s="47">
        <v>49.834454000000001</v>
      </c>
      <c r="L88" s="47">
        <v>53.177570000000003</v>
      </c>
      <c r="M88" s="47">
        <v>46.175170000000001</v>
      </c>
      <c r="N88" s="47">
        <v>49.466799999999999</v>
      </c>
    </row>
    <row r="89" spans="1:14" x14ac:dyDescent="0.35">
      <c r="A89" s="2">
        <v>44529</v>
      </c>
      <c r="B89" s="40">
        <v>-10.053337000000001</v>
      </c>
      <c r="C89" s="40">
        <v>8.6176870000000001</v>
      </c>
      <c r="D89" s="40">
        <v>27.827787000000001</v>
      </c>
      <c r="E89" s="40">
        <v>7.3368789999999997</v>
      </c>
      <c r="F89" s="40">
        <v>2.5335193</v>
      </c>
      <c r="G89" s="40">
        <v>17.157518</v>
      </c>
      <c r="H89" s="40">
        <v>14.903105</v>
      </c>
      <c r="I89" s="40">
        <v>34.386313999999999</v>
      </c>
      <c r="J89" s="40">
        <v>29.565560999999999</v>
      </c>
      <c r="K89" s="47">
        <v>16.055524999999999</v>
      </c>
      <c r="L89" s="47">
        <v>27.445125999999998</v>
      </c>
      <c r="M89" s="47">
        <v>17.467796</v>
      </c>
      <c r="N89" s="47">
        <v>11.126089</v>
      </c>
    </row>
    <row r="90" spans="1:14" x14ac:dyDescent="0.35">
      <c r="A90" s="2">
        <v>44559</v>
      </c>
      <c r="B90" s="40">
        <v>-12.534052000000001</v>
      </c>
      <c r="C90" s="40">
        <v>9.6097710000000003</v>
      </c>
      <c r="D90" s="40">
        <v>25.64274</v>
      </c>
      <c r="E90" s="40">
        <v>4.7524214000000002</v>
      </c>
      <c r="F90" s="40">
        <v>1.7379522000000001</v>
      </c>
      <c r="G90" s="40">
        <v>20.26266</v>
      </c>
      <c r="H90" s="40">
        <v>17.198193</v>
      </c>
      <c r="I90" s="40">
        <v>28.925872999999999</v>
      </c>
      <c r="J90" s="40">
        <v>30.271362</v>
      </c>
      <c r="K90" s="47">
        <v>20.102727999999999</v>
      </c>
      <c r="L90" s="47">
        <v>21.613216000000001</v>
      </c>
      <c r="M90" s="47">
        <v>21.773862999999999</v>
      </c>
      <c r="N90" s="47">
        <v>13.898206</v>
      </c>
    </row>
    <row r="91" spans="1:14" x14ac:dyDescent="0.35">
      <c r="A91" s="2">
        <v>44589</v>
      </c>
      <c r="B91" s="40">
        <v>-23.020119000000001</v>
      </c>
      <c r="C91" s="40">
        <v>-3.1103014999999998</v>
      </c>
      <c r="D91" s="40">
        <v>22.144376999999999</v>
      </c>
      <c r="E91" s="40">
        <v>1.2601614000000001</v>
      </c>
      <c r="F91" s="40">
        <v>-6.4145620000000001</v>
      </c>
      <c r="G91" s="40">
        <v>9.6128459999999993</v>
      </c>
      <c r="H91" s="40">
        <v>17.593800999999999</v>
      </c>
      <c r="I91" s="40">
        <v>10.013843</v>
      </c>
      <c r="J91" s="40">
        <v>18.607579999999999</v>
      </c>
      <c r="K91" s="47">
        <v>17.784213999999999</v>
      </c>
      <c r="L91" s="47">
        <v>5.7031393000000001</v>
      </c>
      <c r="M91" s="47">
        <v>5.163443</v>
      </c>
      <c r="N91" s="47">
        <v>13.420189000000001</v>
      </c>
    </row>
    <row r="92" spans="1:14" x14ac:dyDescent="0.35">
      <c r="A92" s="2">
        <v>44620</v>
      </c>
      <c r="B92" s="40">
        <v>-10.869854999999999</v>
      </c>
      <c r="C92" s="40">
        <v>3.1167506999999999</v>
      </c>
      <c r="D92" s="40">
        <v>21.08494</v>
      </c>
      <c r="E92" s="40">
        <v>-6.8104624999999999</v>
      </c>
      <c r="F92" s="40">
        <v>-5.8284817000000002</v>
      </c>
      <c r="G92" s="40">
        <v>12.940645</v>
      </c>
      <c r="H92" s="40">
        <v>15.223575</v>
      </c>
      <c r="I92" s="40">
        <v>10.929001</v>
      </c>
      <c r="J92" s="40">
        <v>16.338802000000001</v>
      </c>
      <c r="K92" s="47">
        <v>8.3936449999999994</v>
      </c>
      <c r="L92" s="47">
        <v>-1.6943455000000001</v>
      </c>
      <c r="M92" s="47">
        <v>-5.0035295</v>
      </c>
      <c r="N92" s="47">
        <v>3.7928223999999999</v>
      </c>
    </row>
    <row r="93" spans="1:14" x14ac:dyDescent="0.35">
      <c r="A93" s="2">
        <v>44649</v>
      </c>
      <c r="B93" s="40">
        <v>-9.3301529999999993</v>
      </c>
      <c r="C93" s="40">
        <v>12.420856000000001</v>
      </c>
      <c r="D93" s="40">
        <v>21.457650000000001</v>
      </c>
      <c r="E93" s="40">
        <v>-8.6951260000000001</v>
      </c>
      <c r="F93" s="40">
        <v>-7.6977133999999996</v>
      </c>
      <c r="G93" s="40">
        <v>13.474714000000001</v>
      </c>
      <c r="H93" s="40">
        <v>12.187253999999999</v>
      </c>
      <c r="I93" s="40">
        <v>18.065297999999999</v>
      </c>
      <c r="J93" s="40">
        <v>18.162786000000001</v>
      </c>
      <c r="K93" s="47">
        <v>8.6905839999999994</v>
      </c>
      <c r="L93" s="47">
        <v>-2.9394627</v>
      </c>
      <c r="M93" s="47">
        <v>-4.1656016999999999</v>
      </c>
      <c r="N93" s="47">
        <v>-1.8767715</v>
      </c>
    </row>
    <row r="94" spans="1:14" x14ac:dyDescent="0.35">
      <c r="A94" s="2">
        <v>44680</v>
      </c>
      <c r="B94" s="40">
        <v>-21.676349999999999</v>
      </c>
      <c r="C94" s="40">
        <v>-1.8955945999999999</v>
      </c>
      <c r="D94" s="40">
        <v>4.8905015000000001</v>
      </c>
      <c r="E94" s="40">
        <v>-23.921309999999998</v>
      </c>
      <c r="F94" s="40">
        <v>-15.060425</v>
      </c>
      <c r="G94" s="40">
        <v>0.95244645999999999</v>
      </c>
      <c r="H94" s="40">
        <v>2.7083993</v>
      </c>
      <c r="I94" s="40">
        <v>-7.4832020000000004</v>
      </c>
      <c r="J94" s="40">
        <v>-0.61937569999999997</v>
      </c>
      <c r="K94" s="47">
        <v>-8.9852150000000002</v>
      </c>
      <c r="L94" s="47">
        <v>-20.709579999999999</v>
      </c>
      <c r="M94" s="47">
        <v>-20.257550999999999</v>
      </c>
      <c r="N94" s="47">
        <v>-12.383991</v>
      </c>
    </row>
    <row r="95" spans="1:14" x14ac:dyDescent="0.35">
      <c r="A95" s="2">
        <v>44708</v>
      </c>
      <c r="B95" s="40">
        <v>-21.011150000000001</v>
      </c>
      <c r="C95" s="40">
        <v>-1.9457042</v>
      </c>
      <c r="D95" s="40">
        <v>1.4057398000000001</v>
      </c>
      <c r="E95" s="40">
        <v>-21.252490000000002</v>
      </c>
      <c r="F95" s="40">
        <v>-12.774981</v>
      </c>
      <c r="G95" s="40">
        <v>-4.1648506999999997</v>
      </c>
      <c r="H95" s="40">
        <v>2.4227500000000002</v>
      </c>
      <c r="I95" s="40">
        <v>-6.6959143000000001</v>
      </c>
      <c r="J95" s="40">
        <v>0.35094023000000002</v>
      </c>
      <c r="K95" s="47">
        <v>-7.5395640000000004</v>
      </c>
      <c r="L95" s="47">
        <v>-19.322431999999999</v>
      </c>
      <c r="M95" s="47">
        <v>-20.37754</v>
      </c>
      <c r="N95" s="47">
        <v>-11.168587</v>
      </c>
    </row>
    <row r="96" spans="1:14" x14ac:dyDescent="0.35">
      <c r="A96" s="2">
        <v>44741</v>
      </c>
      <c r="B96" s="40">
        <v>-24.736982000000001</v>
      </c>
      <c r="C96" s="40">
        <v>-12.330378</v>
      </c>
      <c r="D96" s="40">
        <v>-7.0562180000000003</v>
      </c>
      <c r="E96" s="40">
        <v>-30.924939999999999</v>
      </c>
      <c r="F96" s="40">
        <v>-20.60858</v>
      </c>
      <c r="G96" s="40">
        <v>-13.959932</v>
      </c>
      <c r="H96" s="40">
        <v>-3.6870718</v>
      </c>
      <c r="I96" s="40">
        <v>-19.610453</v>
      </c>
      <c r="J96" s="40">
        <v>-9.8058040000000002</v>
      </c>
      <c r="K96" s="47">
        <v>-16.23779</v>
      </c>
      <c r="L96" s="47">
        <v>-26.825827</v>
      </c>
      <c r="M96" s="47">
        <v>-29.860341999999999</v>
      </c>
      <c r="N96" s="47">
        <v>-21.908987</v>
      </c>
    </row>
    <row r="97" spans="1:14" x14ac:dyDescent="0.35">
      <c r="A97" s="2">
        <v>44771</v>
      </c>
      <c r="B97" s="40">
        <v>-19.619762000000001</v>
      </c>
      <c r="C97" s="40">
        <v>-6.4942956000000001</v>
      </c>
      <c r="D97" s="40">
        <v>-3.7562131999999999</v>
      </c>
      <c r="E97" s="40">
        <v>-29.562145000000001</v>
      </c>
      <c r="F97" s="40">
        <v>-15.324754</v>
      </c>
      <c r="G97" s="40">
        <v>-11.298579</v>
      </c>
      <c r="H97" s="40">
        <v>-2.1952212000000002</v>
      </c>
      <c r="I97" s="40">
        <v>-13.443970999999999</v>
      </c>
      <c r="J97" s="40">
        <v>-5.1715192999999999</v>
      </c>
      <c r="K97" s="47">
        <v>-11.986751</v>
      </c>
      <c r="L97" s="47">
        <v>-22.940372</v>
      </c>
      <c r="M97" s="47">
        <v>-26.111149000000001</v>
      </c>
      <c r="N97" s="47">
        <v>-21.229569999999999</v>
      </c>
    </row>
    <row r="98" spans="1:14" x14ac:dyDescent="0.35">
      <c r="A98" s="2">
        <v>44802</v>
      </c>
      <c r="B98" s="40">
        <v>-23.775130999999998</v>
      </c>
      <c r="C98" s="40">
        <v>-8.0214800000000004</v>
      </c>
      <c r="D98" s="40">
        <v>-4.9603166999999999</v>
      </c>
      <c r="E98" s="40">
        <v>-35.269832999999998</v>
      </c>
      <c r="F98" s="40">
        <v>-19.066870000000002</v>
      </c>
      <c r="G98" s="40">
        <v>-17.585922</v>
      </c>
      <c r="H98" s="40">
        <v>-6.2973021999999998</v>
      </c>
      <c r="I98" s="40">
        <v>-18.599288999999999</v>
      </c>
      <c r="J98" s="40">
        <v>-9.3018769999999993</v>
      </c>
      <c r="K98" s="47">
        <v>-17.438321999999999</v>
      </c>
      <c r="L98" s="47">
        <v>-32.415579999999999</v>
      </c>
      <c r="M98" s="47">
        <v>-33.137638000000003</v>
      </c>
      <c r="N98" s="47">
        <v>-25.326134</v>
      </c>
    </row>
    <row r="99" spans="1:14" x14ac:dyDescent="0.35">
      <c r="A99" s="2">
        <v>44833</v>
      </c>
      <c r="B99" s="40">
        <v>-29.633109999999999</v>
      </c>
      <c r="C99" s="40">
        <v>-13.225543999999999</v>
      </c>
      <c r="D99" s="40">
        <v>-12.649470000000001</v>
      </c>
      <c r="E99" s="40">
        <v>-38.017403000000002</v>
      </c>
      <c r="F99" s="40">
        <v>-29.000748000000002</v>
      </c>
      <c r="G99" s="40">
        <v>-17.962057000000001</v>
      </c>
      <c r="H99" s="40">
        <v>-14.923609000000001</v>
      </c>
      <c r="I99" s="40">
        <v>-23.859912999999999</v>
      </c>
      <c r="J99" s="40">
        <v>-15.227895999999999</v>
      </c>
      <c r="K99" s="47">
        <v>-24.538929</v>
      </c>
      <c r="L99" s="47">
        <v>-37.458427</v>
      </c>
      <c r="M99" s="47">
        <v>-36.013199999999998</v>
      </c>
      <c r="N99" s="47">
        <v>-29.421885</v>
      </c>
    </row>
    <row r="100" spans="1:14" x14ac:dyDescent="0.35">
      <c r="A100" s="2">
        <v>44862</v>
      </c>
      <c r="B100" s="40">
        <v>-30.397856000000001</v>
      </c>
      <c r="C100" s="40">
        <v>-17.155218000000001</v>
      </c>
      <c r="D100" s="40">
        <v>-14.649528500000001</v>
      </c>
      <c r="E100" s="40">
        <v>-32.386023999999999</v>
      </c>
      <c r="F100" s="40">
        <v>-24.896324</v>
      </c>
      <c r="G100" s="40">
        <v>-19.774532000000001</v>
      </c>
      <c r="H100" s="40">
        <v>-12.733757000000001</v>
      </c>
      <c r="I100" s="40">
        <v>-26.353628</v>
      </c>
      <c r="J100" s="40">
        <v>-13.833076</v>
      </c>
      <c r="K100" s="47">
        <v>-19.015471999999999</v>
      </c>
      <c r="L100" s="47">
        <v>-35.795403</v>
      </c>
      <c r="M100" s="47">
        <v>-33.849780000000003</v>
      </c>
      <c r="N100" s="47">
        <v>-24.647617</v>
      </c>
    </row>
    <row r="101" spans="1:14" x14ac:dyDescent="0.35">
      <c r="A101" s="2">
        <v>44894</v>
      </c>
      <c r="B101" s="40">
        <v>-17.10202</v>
      </c>
      <c r="C101" s="40">
        <v>-0.26964545000000001</v>
      </c>
      <c r="D101" s="40">
        <v>-7.7901483000000002</v>
      </c>
      <c r="E101" s="40">
        <v>-19.130790000000001</v>
      </c>
      <c r="F101" s="40">
        <v>-15.904866999999999</v>
      </c>
      <c r="G101" s="40">
        <v>-12.898987999999999</v>
      </c>
      <c r="H101" s="40">
        <v>0.26998519999999998</v>
      </c>
      <c r="I101" s="40">
        <v>-29.367739</v>
      </c>
      <c r="J101" s="40">
        <v>-13.640886</v>
      </c>
      <c r="K101" s="47">
        <v>-7.5877786</v>
      </c>
      <c r="L101" s="47">
        <v>-22.348267</v>
      </c>
      <c r="M101" s="47">
        <v>-23.228819000000001</v>
      </c>
      <c r="N101" s="47">
        <v>-9.9261464999999998</v>
      </c>
    </row>
    <row r="102" spans="1:14" x14ac:dyDescent="0.35">
      <c r="A102" s="2">
        <v>44924</v>
      </c>
      <c r="B102" s="40">
        <v>-14.993275000000001</v>
      </c>
      <c r="C102" s="40">
        <v>-5.9582709999999999</v>
      </c>
      <c r="D102" s="40">
        <v>-11.591953</v>
      </c>
      <c r="E102" s="40">
        <v>-21.412737</v>
      </c>
      <c r="F102" s="40">
        <v>-17.243010000000002</v>
      </c>
      <c r="G102" s="40">
        <v>-18.090641000000002</v>
      </c>
      <c r="H102" s="40">
        <v>-4.3402615000000004</v>
      </c>
      <c r="I102" s="40">
        <v>-33.159660000000002</v>
      </c>
      <c r="J102" s="40">
        <v>-18.388580000000001</v>
      </c>
      <c r="K102" s="47">
        <v>-11.136006999999999</v>
      </c>
      <c r="L102" s="47">
        <v>-23.11918</v>
      </c>
      <c r="M102" s="47">
        <v>-27.297920000000001</v>
      </c>
      <c r="N102" s="47">
        <v>-13.230138999999999</v>
      </c>
    </row>
    <row r="103" spans="1:14" x14ac:dyDescent="0.35">
      <c r="A103" s="2">
        <v>44953</v>
      </c>
      <c r="B103" s="40">
        <v>0.30043124999999998</v>
      </c>
      <c r="C103" s="40">
        <v>16.711891000000001</v>
      </c>
      <c r="D103" s="40">
        <v>-1.5671492</v>
      </c>
      <c r="E103" s="40">
        <v>-8.1312660000000001</v>
      </c>
      <c r="F103" s="40">
        <v>-4.7713099999999997</v>
      </c>
      <c r="G103" s="40">
        <v>-4.9328623</v>
      </c>
      <c r="H103" s="40">
        <v>-0.34154057999999998</v>
      </c>
      <c r="I103" s="40">
        <v>-12.507635000000001</v>
      </c>
      <c r="J103" s="40">
        <v>-4.3966292999999999</v>
      </c>
      <c r="K103" s="47">
        <v>1.9378304</v>
      </c>
      <c r="L103" s="47">
        <v>-3.1506538000000002</v>
      </c>
      <c r="M103" s="47">
        <v>-10.211963000000001</v>
      </c>
      <c r="N103" s="47">
        <v>-1.5193403000000001</v>
      </c>
    </row>
    <row r="104" spans="1:14" x14ac:dyDescent="0.35">
      <c r="A104" s="2">
        <v>44985</v>
      </c>
      <c r="B104" s="40">
        <v>-8.5211935000000008</v>
      </c>
      <c r="C104" s="40">
        <v>3.7443638000000001E-2</v>
      </c>
      <c r="D104" s="40">
        <v>-8.9385805000000005</v>
      </c>
      <c r="E104" s="40">
        <v>-3.2212138000000001</v>
      </c>
      <c r="F104" s="40">
        <v>-10.052728999999999</v>
      </c>
      <c r="G104" s="40">
        <v>-7.6869670000000001</v>
      </c>
      <c r="H104" s="40">
        <v>-0.37469864000000003</v>
      </c>
      <c r="I104" s="40">
        <v>-14.729929</v>
      </c>
      <c r="J104" s="40">
        <v>-7.7693224000000001</v>
      </c>
      <c r="K104" s="47">
        <v>6.801069</v>
      </c>
      <c r="L104" s="47">
        <v>-2.8932630000000001</v>
      </c>
      <c r="M104" s="47">
        <v>-3.3576787000000001</v>
      </c>
      <c r="N104" s="47">
        <v>3.7892579999999998</v>
      </c>
    </row>
    <row r="105" spans="1:14" x14ac:dyDescent="0.35">
      <c r="A105" s="2">
        <v>45014</v>
      </c>
      <c r="B105" s="40">
        <v>-9.1620450000000009</v>
      </c>
      <c r="C105" s="40">
        <v>-11.085015</v>
      </c>
      <c r="D105" s="40">
        <v>-15.388738999999999</v>
      </c>
      <c r="E105" s="40">
        <v>-2.734381</v>
      </c>
      <c r="F105" s="40">
        <v>-7.3244930000000004</v>
      </c>
      <c r="G105" s="40">
        <v>-8.6846169999999994</v>
      </c>
      <c r="H105" s="40">
        <v>-2.5404513</v>
      </c>
      <c r="I105" s="40">
        <v>-15.107309000000001</v>
      </c>
      <c r="J105" s="40">
        <v>-11.558764999999999</v>
      </c>
      <c r="K105" s="47">
        <v>5.3925036999999998</v>
      </c>
      <c r="L105" s="47">
        <v>-4.406911</v>
      </c>
      <c r="M105" s="47">
        <v>-12.131924</v>
      </c>
      <c r="N105" s="47">
        <v>4.7237039999999997</v>
      </c>
    </row>
    <row r="106" spans="1:14" x14ac:dyDescent="0.35">
      <c r="A106" s="2">
        <v>45044</v>
      </c>
      <c r="B106" s="40">
        <v>0.11956691999999999</v>
      </c>
      <c r="C106" s="40">
        <v>-2.5924623000000002</v>
      </c>
      <c r="D106" s="40">
        <v>-5.0181509999999996</v>
      </c>
      <c r="E106" s="40">
        <v>15.233874</v>
      </c>
      <c r="F106" s="40">
        <v>3.9226770000000002</v>
      </c>
      <c r="G106" s="40">
        <v>4.4067382999999998</v>
      </c>
      <c r="H106" s="40">
        <v>8.0405119999999997</v>
      </c>
      <c r="I106" s="40">
        <v>-0.90897083000000001</v>
      </c>
      <c r="J106" s="40">
        <v>-1.1174797999999999</v>
      </c>
      <c r="K106" s="47">
        <v>22.224544999999999</v>
      </c>
      <c r="L106" s="47">
        <v>10.616099999999999</v>
      </c>
      <c r="M106" s="47">
        <v>6.2526107</v>
      </c>
      <c r="N106" s="47">
        <v>19.618880999999998</v>
      </c>
    </row>
    <row r="107" spans="1:14" x14ac:dyDescent="0.35">
      <c r="A107" s="2">
        <v>45072</v>
      </c>
      <c r="B107" s="40">
        <v>3.4167051000000002</v>
      </c>
      <c r="C107" s="40">
        <v>-3.4985542000000001</v>
      </c>
      <c r="D107" s="40">
        <v>-6.7575035000000003</v>
      </c>
      <c r="E107" s="40">
        <v>9.2829230000000003</v>
      </c>
      <c r="F107" s="40">
        <v>5.1468369999999997</v>
      </c>
      <c r="G107" s="40">
        <v>6.9660425000000004</v>
      </c>
      <c r="H107" s="40">
        <v>1.4520168</v>
      </c>
      <c r="I107" s="40">
        <v>17.284012000000001</v>
      </c>
      <c r="J107" s="40">
        <v>5.3981184999999998</v>
      </c>
      <c r="K107" s="47">
        <v>15.524710000000001</v>
      </c>
      <c r="L107" s="47">
        <v>13.938796999999999</v>
      </c>
      <c r="M107" s="47">
        <v>0.99829435</v>
      </c>
      <c r="N107" s="47">
        <v>10.455645000000001</v>
      </c>
    </row>
    <row r="108" spans="1:14" x14ac:dyDescent="0.35">
      <c r="A108" s="2">
        <v>45106</v>
      </c>
      <c r="B108" s="40">
        <v>8.5072759999999992</v>
      </c>
      <c r="C108" s="40">
        <v>8.0434800000000006</v>
      </c>
      <c r="D108" s="40">
        <v>4.294181</v>
      </c>
      <c r="E108" s="40">
        <v>24.088000999999998</v>
      </c>
      <c r="F108" s="40">
        <v>17.334938000000001</v>
      </c>
      <c r="G108" s="40">
        <v>12.380659</v>
      </c>
      <c r="H108" s="40">
        <v>9.3284610000000008</v>
      </c>
      <c r="I108" s="40">
        <v>29.108597</v>
      </c>
      <c r="J108" s="40">
        <v>17.087268999999999</v>
      </c>
      <c r="K108" s="47">
        <v>28.883611999999999</v>
      </c>
      <c r="L108" s="47">
        <v>23.886382999999999</v>
      </c>
      <c r="M108" s="47">
        <v>13.244973999999999</v>
      </c>
      <c r="N108" s="47">
        <v>33.676563000000002</v>
      </c>
    </row>
    <row r="109" spans="1:14" x14ac:dyDescent="0.35">
      <c r="A109" s="2">
        <v>45135</v>
      </c>
      <c r="B109" s="40">
        <v>4.7109839999999998</v>
      </c>
      <c r="C109" s="40">
        <v>6.9311857000000003</v>
      </c>
      <c r="D109" s="40">
        <v>5.1898119999999999</v>
      </c>
      <c r="E109" s="40">
        <v>30.957104000000001</v>
      </c>
      <c r="F109" s="40">
        <v>15.571224000000001</v>
      </c>
      <c r="G109" s="40">
        <v>13.468397</v>
      </c>
      <c r="H109" s="40">
        <v>12.898731</v>
      </c>
      <c r="I109" s="40">
        <v>24.663757</v>
      </c>
      <c r="J109" s="40">
        <v>14.376760000000001</v>
      </c>
      <c r="K109" s="47">
        <v>28.304600000000001</v>
      </c>
      <c r="L109" s="47">
        <v>21.832705000000001</v>
      </c>
      <c r="M109" s="47">
        <v>8.8841680000000007</v>
      </c>
      <c r="N109" s="47">
        <v>44.569004</v>
      </c>
    </row>
    <row r="110" spans="1:14" x14ac:dyDescent="0.35">
      <c r="A110" s="2">
        <v>45167</v>
      </c>
      <c r="B110" s="40">
        <v>-0.55519339999999995</v>
      </c>
      <c r="C110" s="40">
        <v>2.6735066999999999</v>
      </c>
      <c r="D110" s="40">
        <v>1.0201931</v>
      </c>
      <c r="E110" s="40">
        <v>32.435870000000001</v>
      </c>
      <c r="F110" s="40">
        <v>14.433299999999999</v>
      </c>
      <c r="G110" s="40">
        <v>15.112173</v>
      </c>
      <c r="H110" s="40">
        <v>11.924911</v>
      </c>
      <c r="I110" s="40">
        <v>23.993444</v>
      </c>
      <c r="J110" s="40">
        <v>13.394880000000001</v>
      </c>
      <c r="K110" s="47">
        <v>30.320549</v>
      </c>
      <c r="L110" s="47">
        <v>21.474419999999999</v>
      </c>
      <c r="M110" s="47">
        <v>12.066554999999999</v>
      </c>
      <c r="N110" s="47">
        <v>43.329192999999997</v>
      </c>
    </row>
    <row r="111" spans="1:14" x14ac:dyDescent="0.35">
      <c r="A111" s="2">
        <v>45198</v>
      </c>
      <c r="B111" s="40">
        <v>6.8717240000000004</v>
      </c>
      <c r="C111" s="40">
        <v>11.623466499999999</v>
      </c>
      <c r="D111" s="40">
        <v>10.333061000000001</v>
      </c>
      <c r="E111" s="40">
        <v>36.277664000000001</v>
      </c>
      <c r="F111" s="40">
        <v>23.529387</v>
      </c>
      <c r="G111" s="40">
        <v>18.447541999999999</v>
      </c>
      <c r="H111" s="40">
        <v>25.046766000000002</v>
      </c>
      <c r="I111" s="40">
        <v>32.677100000000003</v>
      </c>
      <c r="J111" s="40">
        <v>19.705069000000002</v>
      </c>
      <c r="K111" s="47">
        <v>36.307969999999997</v>
      </c>
      <c r="L111" s="47">
        <v>26.503312999999999</v>
      </c>
      <c r="M111" s="47">
        <v>23.174189999999999</v>
      </c>
      <c r="N111" s="47">
        <v>47.208331999999999</v>
      </c>
    </row>
    <row r="112" spans="1:14" x14ac:dyDescent="0.35">
      <c r="A112" s="2">
        <v>45226</v>
      </c>
      <c r="B112" s="40">
        <v>-2.4090886</v>
      </c>
      <c r="C112" s="40">
        <v>2.7376412999999999</v>
      </c>
      <c r="D112" s="40">
        <v>-2.2058010000000001</v>
      </c>
      <c r="E112" s="40">
        <v>15.932202</v>
      </c>
      <c r="F112" s="40">
        <v>17.301727</v>
      </c>
      <c r="G112" s="40">
        <v>9.1154689999999992</v>
      </c>
      <c r="H112" s="40">
        <v>11.475205000000001</v>
      </c>
      <c r="I112" s="40">
        <v>27.409018</v>
      </c>
      <c r="J112" s="40">
        <v>9.7981090000000002</v>
      </c>
      <c r="K112" s="47">
        <v>16.473579999999998</v>
      </c>
      <c r="L112" s="47">
        <v>13.812530499999999</v>
      </c>
      <c r="M112" s="47">
        <v>4.4020413999999999</v>
      </c>
      <c r="N112" s="47">
        <v>25.64001</v>
      </c>
    </row>
    <row r="113" spans="1:14" x14ac:dyDescent="0.35">
      <c r="A113" s="2">
        <v>45259</v>
      </c>
      <c r="B113" s="40">
        <v>-0.40950775</v>
      </c>
      <c r="C113" s="40">
        <v>0.77332259999999997</v>
      </c>
      <c r="D113" s="40">
        <v>2.7221799999999998</v>
      </c>
      <c r="E113" s="40">
        <v>17.71679</v>
      </c>
      <c r="F113" s="40">
        <v>14.279806000000001</v>
      </c>
      <c r="G113" s="40">
        <v>9.4289419999999993</v>
      </c>
      <c r="H113" s="40">
        <v>8.1102609999999995</v>
      </c>
      <c r="I113" s="40">
        <v>39.880943000000002</v>
      </c>
      <c r="J113" s="40">
        <v>16.853332999999999</v>
      </c>
      <c r="K113" s="47">
        <v>16.752445000000002</v>
      </c>
      <c r="L113" s="47">
        <v>13.551450000000001</v>
      </c>
      <c r="M113" s="47">
        <v>11.586558999999999</v>
      </c>
      <c r="N113" s="47">
        <v>25.865839999999999</v>
      </c>
    </row>
    <row r="114" spans="1:14" x14ac:dyDescent="0.35">
      <c r="A114" s="2">
        <v>45289</v>
      </c>
      <c r="B114" s="40">
        <v>1.6126632999999999</v>
      </c>
      <c r="C114" s="40">
        <v>13.248480000000001</v>
      </c>
      <c r="D114" s="40">
        <v>13.87651</v>
      </c>
      <c r="E114" s="40">
        <v>21.783829000000001</v>
      </c>
      <c r="F114" s="40">
        <v>19.378971</v>
      </c>
      <c r="G114" s="40">
        <v>15.962481500000001</v>
      </c>
      <c r="H114" s="40">
        <v>11.871648</v>
      </c>
      <c r="I114" s="40">
        <v>54.759644000000002</v>
      </c>
      <c r="J114" s="40">
        <v>25.857161999999999</v>
      </c>
      <c r="K114" s="47">
        <v>20.348692</v>
      </c>
      <c r="L114" s="47">
        <v>20.292355000000001</v>
      </c>
      <c r="M114" s="47">
        <v>23.231815000000001</v>
      </c>
      <c r="N114" s="47">
        <v>28.84742</v>
      </c>
    </row>
    <row r="115" spans="1:14" x14ac:dyDescent="0.35">
      <c r="A115" s="2">
        <v>45320</v>
      </c>
      <c r="B115" s="40">
        <v>-6.7869479999999998</v>
      </c>
      <c r="C115" s="40">
        <v>-0.51369069999999994</v>
      </c>
      <c r="D115" s="40">
        <v>5.3461074999999996</v>
      </c>
      <c r="E115" s="40">
        <v>8.1476209999999991</v>
      </c>
      <c r="F115" s="40">
        <v>14.886761</v>
      </c>
      <c r="G115" s="40">
        <v>9.6991180000000004</v>
      </c>
      <c r="H115" s="40">
        <v>4.6735405999999999</v>
      </c>
      <c r="I115" s="40">
        <v>45.514060000000001</v>
      </c>
      <c r="J115" s="40">
        <v>22.951841000000002</v>
      </c>
      <c r="K115" s="47">
        <v>9.2124349999999993</v>
      </c>
      <c r="L115" s="47">
        <v>10.669637</v>
      </c>
      <c r="M115" s="47">
        <v>7.9872370000000004</v>
      </c>
      <c r="N115" s="47">
        <v>14.950884</v>
      </c>
    </row>
    <row r="116" spans="1:14" x14ac:dyDescent="0.35">
      <c r="A116" s="2">
        <v>45351</v>
      </c>
      <c r="B116" s="40">
        <v>-5.1327230000000004</v>
      </c>
      <c r="C116" s="40">
        <v>8.7162609999999994</v>
      </c>
      <c r="D116" s="40">
        <v>10.568655</v>
      </c>
      <c r="E116" s="40">
        <v>15.364552</v>
      </c>
      <c r="F116" s="40">
        <v>26.187156999999999</v>
      </c>
      <c r="G116" s="40">
        <v>10.378337</v>
      </c>
      <c r="H116" s="40">
        <v>5.8078884999999998</v>
      </c>
      <c r="I116" s="40">
        <v>50.573900000000002</v>
      </c>
      <c r="J116" s="40">
        <v>30.181789999999999</v>
      </c>
      <c r="K116" s="47">
        <v>13.298714</v>
      </c>
      <c r="L116" s="47">
        <v>19.213438</v>
      </c>
      <c r="M116" s="47">
        <v>14.712393</v>
      </c>
      <c r="N116" s="47">
        <v>23.174942000000001</v>
      </c>
    </row>
    <row r="117" spans="1:14" x14ac:dyDescent="0.35">
      <c r="A117" s="2">
        <v>45379</v>
      </c>
      <c r="B117" s="40">
        <v>-4.6717643999999998</v>
      </c>
      <c r="C117" s="40">
        <v>14.737356</v>
      </c>
      <c r="D117" s="40">
        <v>18.091916999999999</v>
      </c>
      <c r="E117" s="40">
        <v>18.630993</v>
      </c>
      <c r="F117" s="40">
        <v>26.746368</v>
      </c>
      <c r="G117" s="40">
        <v>10.912919</v>
      </c>
      <c r="H117" s="40">
        <v>13.225675000000001</v>
      </c>
      <c r="I117" s="40">
        <v>45.534480000000002</v>
      </c>
      <c r="J117" s="40">
        <v>34.148049999999998</v>
      </c>
      <c r="K117" s="47">
        <v>16.743874000000002</v>
      </c>
      <c r="L117" s="47">
        <v>24.658382</v>
      </c>
      <c r="M117" s="47">
        <v>21.216059000000001</v>
      </c>
      <c r="N117" s="47">
        <v>31.894515999999999</v>
      </c>
    </row>
    <row r="118" spans="1:14" x14ac:dyDescent="0.35">
      <c r="A118" s="2">
        <v>45411</v>
      </c>
      <c r="B118" s="40">
        <v>-6.3977956999999996</v>
      </c>
      <c r="C118" s="40">
        <v>7.5396656999999996</v>
      </c>
      <c r="D118" s="40">
        <v>9.6033209999999993</v>
      </c>
      <c r="E118" s="40">
        <v>8.2364560000000004</v>
      </c>
      <c r="F118" s="40">
        <v>17.572652999999999</v>
      </c>
      <c r="G118" s="40">
        <v>-2.0285427999999999</v>
      </c>
      <c r="H118" s="40">
        <v>7.5167774999999999</v>
      </c>
      <c r="I118" s="40">
        <v>35.054099999999998</v>
      </c>
      <c r="J118" s="40">
        <v>24.417614</v>
      </c>
      <c r="K118" s="47">
        <v>5.5800080000000003</v>
      </c>
      <c r="L118" s="47">
        <v>17.387271999999999</v>
      </c>
      <c r="M118" s="47">
        <v>8.3350539999999995</v>
      </c>
      <c r="N118" s="47">
        <v>22.29346</v>
      </c>
    </row>
    <row r="119" spans="1:14" x14ac:dyDescent="0.35">
      <c r="A119" s="2">
        <v>45441</v>
      </c>
      <c r="B119" s="40">
        <v>-4.2707680000000003</v>
      </c>
      <c r="C119" s="40">
        <v>12.245536</v>
      </c>
      <c r="D119" s="40">
        <v>13.089204000000001</v>
      </c>
      <c r="E119" s="40">
        <v>14.112139000000001</v>
      </c>
      <c r="F119" s="40">
        <v>14.363526999999999</v>
      </c>
      <c r="G119" s="40">
        <v>3.0656815000000002</v>
      </c>
      <c r="H119" s="40">
        <v>14.576912</v>
      </c>
      <c r="I119" s="40">
        <v>31.882380999999999</v>
      </c>
      <c r="J119" s="40">
        <v>27.080559000000001</v>
      </c>
      <c r="K119" s="47">
        <v>11.386274999999999</v>
      </c>
      <c r="L119" s="47">
        <v>20.644401999999999</v>
      </c>
      <c r="M119" s="47">
        <v>19.762611</v>
      </c>
      <c r="N119" s="47">
        <v>29.793512</v>
      </c>
    </row>
    <row r="120" spans="1:14" x14ac:dyDescent="0.35">
      <c r="A120" s="2">
        <v>45471</v>
      </c>
      <c r="B120" s="40">
        <v>-1.4715075</v>
      </c>
      <c r="C120" s="40">
        <v>14.397812</v>
      </c>
      <c r="D120" s="40">
        <v>10.419917</v>
      </c>
      <c r="E120" s="40">
        <v>11.226201</v>
      </c>
      <c r="F120" s="40">
        <v>12.77746</v>
      </c>
      <c r="G120" s="40">
        <v>7.7524423999999996</v>
      </c>
      <c r="H120" s="40">
        <v>13.799787</v>
      </c>
      <c r="I120" s="40">
        <v>32.334282000000002</v>
      </c>
      <c r="J120" s="40">
        <v>26.463471999999999</v>
      </c>
      <c r="K120" s="47">
        <v>2.5551796000000002</v>
      </c>
      <c r="L120" s="47">
        <v>19.467545000000001</v>
      </c>
      <c r="M120" s="47">
        <v>20.565391999999999</v>
      </c>
      <c r="N120" s="47">
        <v>19.349765999999999</v>
      </c>
    </row>
    <row r="121" spans="1:14" x14ac:dyDescent="0.35">
      <c r="A121" s="2">
        <v>45502</v>
      </c>
      <c r="B121" s="40">
        <v>-5.6004642999999996</v>
      </c>
      <c r="C121" s="40">
        <v>10.256957999999999</v>
      </c>
      <c r="D121" s="40">
        <v>9.3000769999999999</v>
      </c>
      <c r="E121" s="40">
        <v>8.0100300000000004</v>
      </c>
      <c r="F121" s="40">
        <v>10.427379999999999</v>
      </c>
      <c r="G121" s="40">
        <v>6.1543226000000004</v>
      </c>
      <c r="H121" s="40">
        <v>12.485802</v>
      </c>
      <c r="I121" s="40">
        <v>21.804677999999999</v>
      </c>
      <c r="J121" s="40">
        <v>20.901154999999999</v>
      </c>
      <c r="K121" s="47">
        <v>0.44040679999999999</v>
      </c>
      <c r="L121" s="47">
        <v>8.9992640000000002</v>
      </c>
      <c r="M121" s="47">
        <v>15.272176999999999</v>
      </c>
      <c r="N121" s="47">
        <v>15.499841999999999</v>
      </c>
    </row>
    <row r="122" spans="1:14" x14ac:dyDescent="0.35">
      <c r="A122" s="2">
        <v>45533</v>
      </c>
      <c r="B122">
        <v>9.7748039999999996</v>
      </c>
      <c r="C122">
        <v>22.535181000000001</v>
      </c>
      <c r="D122">
        <v>19.385850000000001</v>
      </c>
      <c r="E122">
        <v>18.450129</v>
      </c>
      <c r="F122">
        <v>19.624472000000001</v>
      </c>
      <c r="G122">
        <v>15.836584</v>
      </c>
      <c r="H122">
        <v>21.852015999999999</v>
      </c>
      <c r="I122">
        <v>26.451741999999999</v>
      </c>
      <c r="J122">
        <v>26.058138</v>
      </c>
      <c r="K122" s="47">
        <v>7.4403404999999996</v>
      </c>
      <c r="L122" s="47">
        <v>23.398458000000002</v>
      </c>
      <c r="M122" s="47">
        <v>29.481280000000002</v>
      </c>
      <c r="N122" s="47">
        <v>23.608111999999998</v>
      </c>
    </row>
    <row r="123" spans="1:14" x14ac:dyDescent="0.35">
      <c r="A123" s="2"/>
    </row>
    <row r="124" spans="1:14" x14ac:dyDescent="0.35">
      <c r="A124" s="2"/>
    </row>
    <row r="125" spans="1:14" x14ac:dyDescent="0.35">
      <c r="A125" s="2"/>
    </row>
    <row r="126" spans="1:14" x14ac:dyDescent="0.35">
      <c r="A126" s="2" t="s">
        <v>85</v>
      </c>
      <c r="B126" s="40" cm="1">
        <f t="array" ref="B126">MIN(_xlfn._xlws.FILTER(B2:B122, ISNUMBER(B2:B122)))</f>
        <v>-30.397856000000001</v>
      </c>
      <c r="C126" s="40" cm="1">
        <f t="array" ref="C126">MIN(_xlfn._xlws.FILTER(C2:C122, ISNUMBER(C2:C122)))</f>
        <v>-28.844785999999999</v>
      </c>
      <c r="D126" s="40" cm="1">
        <f t="array" ref="D126">MIN(_xlfn._xlws.FILTER(D2:D122, ISNUMBER(D2:D122)))</f>
        <v>-26.077006999999998</v>
      </c>
      <c r="E126" s="40" cm="1">
        <f t="array" ref="E126">MIN(_xlfn._xlws.FILTER(E2:E122, ISNUMBER(E2:E122)))</f>
        <v>-38.017403000000002</v>
      </c>
      <c r="F126" s="40" cm="1">
        <f t="array" ref="F126">MIN(_xlfn._xlws.FILTER(F2:F122, ISNUMBER(F2:F122)))</f>
        <v>-29.000748000000002</v>
      </c>
      <c r="G126" s="40" cm="1">
        <f t="array" ref="G126">MIN(_xlfn._xlws.FILTER(G2:G122, ISNUMBER(G2:G122)))</f>
        <v>-19.774532000000001</v>
      </c>
      <c r="H126" s="40" cm="1">
        <f t="array" ref="H126">MIN(_xlfn._xlws.FILTER(H2:H122, ISNUMBER(H2:H122)))</f>
        <v>-26.490122</v>
      </c>
      <c r="I126" s="40" cm="1">
        <f t="array" ref="I126">MIN(_xlfn._xlws.FILTER(I2:I122, ISNUMBER(I2:I122)))</f>
        <v>-33.159660000000002</v>
      </c>
      <c r="J126" s="40" cm="1">
        <f t="array" ref="J126">MIN(_xlfn._xlws.FILTER(J2:J122, ISNUMBER(J2:J122)))</f>
        <v>-18.388580000000001</v>
      </c>
      <c r="K126" s="40" cm="1">
        <f t="array" ref="K126">MIN(_xlfn._xlws.FILTER(K2:K122, ISNUMBER(K2:K122)))</f>
        <v>-24.538929</v>
      </c>
      <c r="L126" s="40" cm="1">
        <f t="array" ref="L126">MIN(_xlfn._xlws.FILTER(L2:L122, ISNUMBER(L2:L122)))</f>
        <v>-37.458427</v>
      </c>
      <c r="M126" s="40" cm="1">
        <f t="array" ref="M126">MIN(_xlfn._xlws.FILTER(M2:M122, ISNUMBER(M2:M122)))</f>
        <v>-36.013199999999998</v>
      </c>
      <c r="N126" s="40" cm="1">
        <f t="array" ref="N126">MIN(_xlfn._xlws.FILTER(N2:N122, ISNUMBER(N2:N122)))</f>
        <v>-29.421885</v>
      </c>
    </row>
    <row r="127" spans="1:14" x14ac:dyDescent="0.35">
      <c r="A127" s="2" t="s">
        <v>393</v>
      </c>
      <c r="B127" s="42" cm="1">
        <f t="array" ref="B127">MAX(_xlfn._xlws.FILTER(B1:B122, ISNUMBER(B1:B122)))</f>
        <v>50.126052999999999</v>
      </c>
      <c r="C127" s="42" cm="1">
        <f t="array" ref="C127">MAX(_xlfn._xlws.FILTER(C1:C122, ISNUMBER(C1:C122)))</f>
        <v>76.031130000000005</v>
      </c>
      <c r="D127" s="42" cm="1">
        <f t="array" ref="D127">MAX(_xlfn._xlws.FILTER(D1:D122, ISNUMBER(D1:D122)))</f>
        <v>68.603089999999995</v>
      </c>
      <c r="E127" s="42" cm="1">
        <f t="array" ref="E127">MAX(_xlfn._xlws.FILTER(E1:E122, ISNUMBER(E1:E122)))</f>
        <v>60.885894999999998</v>
      </c>
      <c r="F127" s="42" cm="1">
        <f t="array" ref="F127">MAX(_xlfn._xlws.FILTER(F1:F122, ISNUMBER(F1:F122)))</f>
        <v>40.542029999999997</v>
      </c>
      <c r="G127" s="42" cm="1">
        <f t="array" ref="G127">MAX(_xlfn._xlws.FILTER(G1:G122, ISNUMBER(G1:G122)))</f>
        <v>34.674230000000001</v>
      </c>
      <c r="H127" s="42" cm="1">
        <f t="array" ref="H127">MAX(_xlfn._xlws.FILTER(H1:H122, ISNUMBER(H1:H122)))</f>
        <v>41.97334</v>
      </c>
      <c r="I127" s="42" cm="1">
        <f t="array" ref="I127">MAX(_xlfn._xlws.FILTER(I1:I122, ISNUMBER(I1:I122)))</f>
        <v>71.549710000000005</v>
      </c>
      <c r="J127" s="42" cm="1">
        <f t="array" ref="J127">MAX(_xlfn._xlws.FILTER(J1:J122, ISNUMBER(J1:J122)))</f>
        <v>58.695219999999999</v>
      </c>
      <c r="K127" s="42" cm="1">
        <f t="array" ref="K127">MAX(_xlfn._xlws.FILTER(K1:K122, ISNUMBER(K1:K122)))</f>
        <v>52.517937000000003</v>
      </c>
      <c r="L127" s="42" cm="1">
        <f t="array" ref="L127">MAX(_xlfn._xlws.FILTER(L1:L122, ISNUMBER(L1:L122)))</f>
        <v>81.035380000000004</v>
      </c>
      <c r="M127" s="42" cm="1">
        <f t="array" ref="M127">MAX(_xlfn._xlws.FILTER(M1:M122, ISNUMBER(M1:M122)))</f>
        <v>82.393289999999993</v>
      </c>
      <c r="N127" s="42" cm="1">
        <f t="array" ref="N127">MAX(_xlfn._xlws.FILTER(N1:N122, ISNUMBER(N1:N122)))</f>
        <v>54.491363999999997</v>
      </c>
    </row>
    <row r="128" spans="1:14" x14ac:dyDescent="0.35">
      <c r="A128" s="2" t="s">
        <v>394</v>
      </c>
      <c r="B128" s="40" cm="1">
        <f t="array" ref="B128">MEDIAN(_xlfn._xlws.FILTER(B1:B122, ISNUMBER(B1:B122)))</f>
        <v>6.8717240000000004</v>
      </c>
      <c r="C128" s="40" cm="1">
        <f t="array" ref="C128">MEDIAN(_xlfn._xlws.FILTER(C1:C122, ISNUMBER(C1:C122)))</f>
        <v>3.6196947000000002</v>
      </c>
      <c r="D128" s="40" cm="1">
        <f t="array" ref="D128">MEDIAN(_xlfn._xlws.FILTER(D1:D122, ISNUMBER(D1:D122)))</f>
        <v>4.4224620000000003</v>
      </c>
      <c r="E128" s="40" cm="1">
        <f t="array" ref="E128">MEDIAN(_xlfn._xlws.FILTER(E1:E122, ISNUMBER(E1:E122)))</f>
        <v>2.0802497999999998</v>
      </c>
      <c r="F128" s="40" cm="1">
        <f t="array" ref="F128">MEDIAN(_xlfn._xlws.FILTER(F1:F122, ISNUMBER(F1:F122)))</f>
        <v>8.2056280000000008</v>
      </c>
      <c r="G128" s="40" cm="1">
        <f t="array" ref="G128">MEDIAN(_xlfn._xlws.FILTER(G1:G122, ISNUMBER(G1:G122)))</f>
        <v>6.9660425000000004</v>
      </c>
      <c r="H128" s="40" cm="1">
        <f t="array" ref="H128">MEDIAN(_xlfn._xlws.FILTER(H1:H122, ISNUMBER(H1:H122)))</f>
        <v>1.4520168</v>
      </c>
      <c r="I128" s="40" cm="1">
        <f t="array" ref="I128">MEDIAN(_xlfn._xlws.FILTER(I1:I122, ISNUMBER(I1:I122)))</f>
        <v>22.133815999999999</v>
      </c>
      <c r="J128" s="40" cm="1">
        <f t="array" ref="J128">MEDIAN(_xlfn._xlws.FILTER(J1:J122, ISNUMBER(J1:J122)))</f>
        <v>14.376760000000001</v>
      </c>
      <c r="K128" s="40" cm="1">
        <f t="array" ref="K128">MEDIAN(_xlfn._xlws.FILTER(K1:K122, ISNUMBER(K1:K122)))</f>
        <v>4.3406487</v>
      </c>
      <c r="L128" s="40" cm="1">
        <f t="array" ref="L128">MEDIAN(_xlfn._xlws.FILTER(L1:L122, ISNUMBER(L1:L122)))</f>
        <v>7.3622107999999997</v>
      </c>
      <c r="M128" s="40" cm="1">
        <f t="array" ref="M128">MEDIAN(_xlfn._xlws.FILTER(M1:M122, ISNUMBER(M1:M122)))</f>
        <v>2.6587486</v>
      </c>
      <c r="N128" s="40" cm="1">
        <f t="array" ref="N128">MEDIAN(_xlfn._xlws.FILTER(N1:N122, ISNUMBER(N1:N122)))</f>
        <v>2.1215440000000001</v>
      </c>
    </row>
    <row r="129" spans="1:14" x14ac:dyDescent="0.35">
      <c r="A129" s="2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</row>
    <row r="130" spans="1:14" x14ac:dyDescent="0.35">
      <c r="A130" s="2" t="s">
        <v>87</v>
      </c>
      <c r="B130">
        <f>COUNTIF(B2:B122, "&lt;"&amp;Assumption!$F$50)</f>
        <v>17</v>
      </c>
      <c r="C130">
        <f>COUNTIF(C2:C122, "&lt;"&amp;Assumption!$F$50)</f>
        <v>21</v>
      </c>
      <c r="D130">
        <f>COUNTIF(D2:D122, "&lt;"&amp;Assumption!$F$50)</f>
        <v>17</v>
      </c>
      <c r="E130">
        <f>COUNTIF(E2:E122, "&lt;"&amp;Assumption!$F$50)</f>
        <v>25</v>
      </c>
      <c r="F130">
        <f>COUNTIF(F2:F122, "&lt;"&amp;Assumption!$F$50)</f>
        <v>15</v>
      </c>
      <c r="G130">
        <f>COUNTIF(G2:G122, "&lt;"&amp;Assumption!$F$50)</f>
        <v>9</v>
      </c>
      <c r="H130">
        <f>COUNTIF(H2:H122, "&lt;"&amp;Assumption!$F$50)</f>
        <v>22</v>
      </c>
      <c r="I130">
        <f>COUNTIF(I2:I122, "&lt;"&amp;Assumption!$F$50)</f>
        <v>10</v>
      </c>
      <c r="J130">
        <f>COUNTIF(J2:J122, "&lt;"&amp;Assumption!$F$50)</f>
        <v>5</v>
      </c>
      <c r="K130">
        <f>COUNTIF(K2:K122, "&lt;"&amp;Assumption!$F$50)</f>
        <v>13</v>
      </c>
      <c r="L130">
        <f>COUNTIF(L2:L122, "&lt;"&amp;Assumption!$F$50)</f>
        <v>14</v>
      </c>
      <c r="M130">
        <f>COUNTIF(M2:M122, "&lt;"&amp;Assumption!$F$50)</f>
        <v>22</v>
      </c>
      <c r="N130">
        <f>COUNTIF(N2:N122, "&lt;"&amp;Assumption!$F$50)</f>
        <v>35</v>
      </c>
    </row>
    <row r="131" spans="1:14" x14ac:dyDescent="0.35">
      <c r="A131" s="2" t="s">
        <v>86</v>
      </c>
      <c r="B131">
        <f t="shared" ref="B131:J131" si="0">COUNT(B1:B122)</f>
        <v>121</v>
      </c>
      <c r="C131">
        <f t="shared" si="0"/>
        <v>121</v>
      </c>
      <c r="D131">
        <f t="shared" si="0"/>
        <v>121</v>
      </c>
      <c r="E131">
        <f t="shared" si="0"/>
        <v>121</v>
      </c>
      <c r="F131">
        <f t="shared" si="0"/>
        <v>121</v>
      </c>
      <c r="G131">
        <f t="shared" si="0"/>
        <v>121</v>
      </c>
      <c r="H131">
        <f t="shared" si="0"/>
        <v>121</v>
      </c>
      <c r="I131">
        <f t="shared" si="0"/>
        <v>121</v>
      </c>
      <c r="J131">
        <f t="shared" si="0"/>
        <v>121</v>
      </c>
      <c r="K131">
        <f t="shared" ref="K131:N131" si="1">COUNT(K1:K122)</f>
        <v>121</v>
      </c>
      <c r="L131">
        <f t="shared" si="1"/>
        <v>121</v>
      </c>
      <c r="M131">
        <f t="shared" si="1"/>
        <v>121</v>
      </c>
      <c r="N131">
        <f t="shared" si="1"/>
        <v>121</v>
      </c>
    </row>
    <row r="132" spans="1:14" x14ac:dyDescent="0.35">
      <c r="A132" s="2"/>
    </row>
    <row r="133" spans="1:14" x14ac:dyDescent="0.35">
      <c r="A133" s="2" t="s">
        <v>397</v>
      </c>
      <c r="B133" s="9">
        <f t="shared" ref="B133:J133" si="2">B130/B131</f>
        <v>0.14049586776859505</v>
      </c>
      <c r="C133" s="9">
        <f t="shared" si="2"/>
        <v>0.17355371900826447</v>
      </c>
      <c r="D133" s="9">
        <f t="shared" si="2"/>
        <v>0.14049586776859505</v>
      </c>
      <c r="E133" s="9">
        <f t="shared" si="2"/>
        <v>0.20661157024793389</v>
      </c>
      <c r="F133" s="9">
        <f t="shared" si="2"/>
        <v>0.12396694214876033</v>
      </c>
      <c r="G133" s="9">
        <f t="shared" si="2"/>
        <v>7.43801652892562E-2</v>
      </c>
      <c r="H133" s="9">
        <f t="shared" si="2"/>
        <v>0.18181818181818182</v>
      </c>
      <c r="I133" s="9">
        <f t="shared" si="2"/>
        <v>8.2644628099173556E-2</v>
      </c>
      <c r="J133" s="9">
        <f t="shared" si="2"/>
        <v>4.1322314049586778E-2</v>
      </c>
      <c r="K133" s="9">
        <f t="shared" ref="K133:N133" si="3">K130/K131</f>
        <v>0.10743801652892562</v>
      </c>
      <c r="L133" s="9">
        <f t="shared" si="3"/>
        <v>0.11570247933884298</v>
      </c>
      <c r="M133" s="9">
        <f t="shared" si="3"/>
        <v>0.18181818181818182</v>
      </c>
      <c r="N133" s="9">
        <f t="shared" si="3"/>
        <v>0.28925619834710742</v>
      </c>
    </row>
    <row r="134" spans="1:14" x14ac:dyDescent="0.35">
      <c r="A134" s="2"/>
    </row>
    <row r="135" spans="1:14" x14ac:dyDescent="0.35">
      <c r="A135" s="2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x14ac:dyDescent="0.35">
      <c r="A136" s="2" t="s">
        <v>400</v>
      </c>
      <c r="B136" s="40" cm="1">
        <f t="array" ref="B136">_xlfn.PERCENTRANK.EXC(_xlfn._xlws.FILTER(B2:B122, ISNUMBER(B2:B122)),B120)</f>
        <v>0.28599999999999998</v>
      </c>
      <c r="C136" s="40" cm="1">
        <f t="array" ref="C136">_xlfn.PERCENTRANK.EXC(_xlfn._xlws.FILTER(C2:C122, ISNUMBER(C2:C122)),C120)</f>
        <v>0.754</v>
      </c>
      <c r="D136" s="40" cm="1">
        <f t="array" ref="D136">_xlfn.PERCENTRANK.EXC(_xlfn._xlws.FILTER(D2:D122, ISNUMBER(D2:D122)),D120)</f>
        <v>0.68</v>
      </c>
      <c r="E136" s="40" cm="1">
        <f t="array" ref="E136">_xlfn.PERCENTRANK.EXC(_xlfn._xlws.FILTER(E2:E122, ISNUMBER(E2:E122)),E120)</f>
        <v>0.64700000000000002</v>
      </c>
      <c r="F136" s="40" cm="1">
        <f t="array" ref="F136">_xlfn.PERCENTRANK.EXC(_xlfn._xlws.FILTER(F2:F122, ISNUMBER(F2:F122)),F120)</f>
        <v>0.622</v>
      </c>
      <c r="G136" s="40" cm="1">
        <f t="array" ref="G136">_xlfn.PERCENTRANK.EXC(_xlfn._xlws.FILTER(G2:G122, ISNUMBER(G2:G122)),G120)</f>
        <v>0.50800000000000001</v>
      </c>
      <c r="H136" s="40" cm="1">
        <f t="array" ref="H136">_xlfn.PERCENTRANK.EXC(_xlfn._xlws.FILTER(H2:H122, ISNUMBER(H2:H122)),H120)</f>
        <v>0.79500000000000004</v>
      </c>
      <c r="I136" s="40" cm="1">
        <f t="array" ref="I136">_xlfn.PERCENTRANK.EXC(_xlfn._xlws.FILTER(I2:I122, ISNUMBER(I2:I122)),I120)</f>
        <v>0.77</v>
      </c>
      <c r="J136" s="40" cm="1">
        <f t="array" ref="J136">_xlfn.PERCENTRANK.EXC(_xlfn._xlws.FILTER(J2:J122, ISNUMBER(J2:J122)),J120)</f>
        <v>0.86799999999999999</v>
      </c>
      <c r="K136" s="40" cm="1">
        <f t="array" ref="K136">_xlfn.PERCENTRANK.EXC(_xlfn._xlws.FILTER(K2:K122, ISNUMBER(K2:K122)),K120)</f>
        <v>0.47499999999999998</v>
      </c>
      <c r="L136" s="40" cm="1">
        <f t="array" ref="L136">_xlfn.PERCENTRANK.EXC(_xlfn._xlws.FILTER(L2:L122, ISNUMBER(L2:L122)),L120)</f>
        <v>0.68799999999999994</v>
      </c>
      <c r="M136" s="40" cm="1">
        <f t="array" ref="M136">_xlfn.PERCENTRANK.EXC(_xlfn._xlws.FILTER(M2:M122, ISNUMBER(M2:M122)),M120)</f>
        <v>0.76200000000000001</v>
      </c>
      <c r="N136" s="40" cm="1">
        <f t="array" ref="N136">_xlfn.PERCENTRANK.EXC(_xlfn._xlws.FILTER(N2:N122, ISNUMBER(N2:N122)),N120)</f>
        <v>0.69599999999999995</v>
      </c>
    </row>
    <row r="137" spans="1:14" x14ac:dyDescent="0.35">
      <c r="A137" s="2" t="s">
        <v>399</v>
      </c>
      <c r="B137" s="40" cm="1">
        <f t="array" ref="B137">_xlfn.PERCENTRANK.EXC(_xlfn._xlws.FILTER(B2:B122, ISNUMBER(B2:B122)),B121)</f>
        <v>0.221</v>
      </c>
      <c r="C137" s="40" cm="1">
        <f t="array" ref="C137">_xlfn.PERCENTRANK.EXC(_xlfn._xlws.FILTER(C2:C122, ISNUMBER(C2:C122)),C121)</f>
        <v>0.67200000000000004</v>
      </c>
      <c r="D137" s="40" cm="1">
        <f t="array" ref="D137">_xlfn.PERCENTRANK.EXC(_xlfn._xlws.FILTER(D2:D122, ISNUMBER(D2:D122)),D121)</f>
        <v>0.63100000000000001</v>
      </c>
      <c r="E137" s="40" cm="1">
        <f t="array" ref="E137">_xlfn.PERCENTRANK.EXC(_xlfn._xlws.FILTER(E2:E122, ISNUMBER(E2:E122)),E121)</f>
        <v>0.57299999999999995</v>
      </c>
      <c r="F137" s="40" cm="1">
        <f t="array" ref="F137">_xlfn.PERCENTRANK.EXC(_xlfn._xlws.FILTER(F2:F122, ISNUMBER(F2:F122)),F121)</f>
        <v>0.56499999999999995</v>
      </c>
      <c r="G137" s="40" cm="1">
        <f t="array" ref="G137">_xlfn.PERCENTRANK.EXC(_xlfn._xlws.FILTER(G2:G122, ISNUMBER(G2:G122)),G121)</f>
        <v>0.49099999999999999</v>
      </c>
      <c r="H137" s="40" cm="1">
        <f t="array" ref="H137">_xlfn.PERCENTRANK.EXC(_xlfn._xlws.FILTER(H2:H122, ISNUMBER(H2:H122)),H121)</f>
        <v>0.754</v>
      </c>
      <c r="I137" s="40" cm="1">
        <f t="array" ref="I137">_xlfn.PERCENTRANK.EXC(_xlfn._xlws.FILTER(I2:I122, ISNUMBER(I2:I122)),I121)</f>
        <v>0.45900000000000002</v>
      </c>
      <c r="J137" s="40" cm="1">
        <f t="array" ref="J137">_xlfn.PERCENTRANK.EXC(_xlfn._xlws.FILTER(J2:J122, ISNUMBER(J2:J122)),J121)</f>
        <v>0.745</v>
      </c>
      <c r="K137" s="40" cm="1">
        <f t="array" ref="K137">_xlfn.PERCENTRANK.EXC(_xlfn._xlws.FILTER(K2:K122, ISNUMBER(K2:K122)),K121)</f>
        <v>0.434</v>
      </c>
      <c r="L137" s="40" cm="1">
        <f t="array" ref="L137">_xlfn.PERCENTRANK.EXC(_xlfn._xlws.FILTER(L2:L122, ISNUMBER(L2:L122)),L121)</f>
        <v>0.52400000000000002</v>
      </c>
      <c r="M137" s="40" cm="1">
        <f t="array" ref="M137">_xlfn.PERCENTRANK.EXC(_xlfn._xlws.FILTER(M2:M122, ISNUMBER(M2:M122)),M121)</f>
        <v>0.71299999999999997</v>
      </c>
      <c r="N137" s="40" cm="1">
        <f t="array" ref="N137">_xlfn.PERCENTRANK.EXC(_xlfn._xlws.FILTER(N2:N122, ISNUMBER(N2:N122)),N121)</f>
        <v>0.67200000000000004</v>
      </c>
    </row>
    <row r="138" spans="1:14" x14ac:dyDescent="0.35">
      <c r="A138" s="2" t="s">
        <v>401</v>
      </c>
      <c r="B138" s="40" cm="1">
        <f t="array" ref="B138">_xlfn.PERCENTRANK.EXC(_xlfn._xlws.FILTER(B2:B122, ISNUMBER(B2:B122)),B122)</f>
        <v>0.60599999999999998</v>
      </c>
      <c r="C138" s="40" cm="1">
        <f t="array" ref="C138">_xlfn.PERCENTRANK.EXC(_xlfn._xlws.FILTER(C2:C122, ISNUMBER(C2:C122)),C122)</f>
        <v>0.88500000000000001</v>
      </c>
      <c r="D138" s="40" cm="1">
        <f t="array" ref="D138">_xlfn.PERCENTRANK.EXC(_xlfn._xlws.FILTER(D2:D122, ISNUMBER(D2:D122)),D122)</f>
        <v>0.84399999999999997</v>
      </c>
      <c r="E138" s="40" cm="1">
        <f t="array" ref="E138">_xlfn.PERCENTRANK.EXC(_xlfn._xlws.FILTER(E2:E122, ISNUMBER(E2:E122)),E122)</f>
        <v>0.77800000000000002</v>
      </c>
      <c r="F138" s="40" cm="1">
        <f t="array" ref="F138">_xlfn.PERCENTRANK.EXC(_xlfn._xlws.FILTER(F2:F122, ISNUMBER(F2:F122)),F122)</f>
        <v>0.86</v>
      </c>
      <c r="G138" s="40" cm="1">
        <f t="array" ref="G138">_xlfn.PERCENTRANK.EXC(_xlfn._xlws.FILTER(G2:G122, ISNUMBER(G2:G122)),G122)</f>
        <v>0.78600000000000003</v>
      </c>
      <c r="H138" s="40" cm="1">
        <f t="array" ref="H138">_xlfn.PERCENTRANK.EXC(_xlfn._xlws.FILTER(H2:H122, ISNUMBER(H2:H122)),H122)</f>
        <v>0.89300000000000002</v>
      </c>
      <c r="I138" s="40" cm="1">
        <f t="array" ref="I138">_xlfn.PERCENTRANK.EXC(_xlfn._xlws.FILTER(I2:I122, ISNUMBER(I2:I122)),I122)</f>
        <v>0.59799999999999998</v>
      </c>
      <c r="J138" s="40" cm="1">
        <f t="array" ref="J138">_xlfn.PERCENTRANK.EXC(_xlfn._xlws.FILTER(J2:J122, ISNUMBER(J2:J122)),J122)</f>
        <v>0.85199999999999998</v>
      </c>
      <c r="K138" s="40" cm="1">
        <f t="array" ref="K138">_xlfn.PERCENTRANK.EXC(_xlfn._xlws.FILTER(K2:K122, ISNUMBER(K2:K122)),K122)</f>
        <v>0.56499999999999995</v>
      </c>
      <c r="L138" s="40" cm="1">
        <f t="array" ref="L138">_xlfn.PERCENTRANK.EXC(_xlfn._xlws.FILTER(L2:L122, ISNUMBER(L2:L122)),L122)</f>
        <v>0.78600000000000003</v>
      </c>
      <c r="M138" s="40" cm="1">
        <f t="array" ref="M138">_xlfn.PERCENTRANK.EXC(_xlfn._xlws.FILTER(M2:M122, ISNUMBER(M2:M122)),M122)</f>
        <v>0.90100000000000002</v>
      </c>
      <c r="N138" s="40" cm="1">
        <f t="array" ref="N138">_xlfn.PERCENTRANK.EXC(_xlfn._xlws.FILTER(N2:N122, ISNUMBER(N2:N122)),N122)</f>
        <v>0.754</v>
      </c>
    </row>
    <row r="139" spans="1:14" x14ac:dyDescent="0.35">
      <c r="A139" s="2"/>
      <c r="B139" s="40"/>
      <c r="C139" s="40"/>
      <c r="D139" s="40"/>
      <c r="E139" s="40"/>
      <c r="F139" s="40"/>
      <c r="G139" s="40"/>
      <c r="H139" s="40"/>
      <c r="I139" s="40"/>
      <c r="J139" s="40"/>
      <c r="K139" s="40"/>
      <c r="L139" s="40"/>
      <c r="M139" s="40"/>
      <c r="N139" s="40"/>
    </row>
    <row r="140" spans="1:14" x14ac:dyDescent="0.35">
      <c r="A140" s="2" t="s">
        <v>463</v>
      </c>
      <c r="B140" s="40">
        <f t="shared" ref="B140:J140" si="4">AVERAGE(B136:B138)</f>
        <v>0.371</v>
      </c>
      <c r="C140" s="40">
        <f t="shared" si="4"/>
        <v>0.77033333333333331</v>
      </c>
      <c r="D140" s="40">
        <f t="shared" si="4"/>
        <v>0.71833333333333327</v>
      </c>
      <c r="E140" s="40">
        <f t="shared" si="4"/>
        <v>0.66600000000000004</v>
      </c>
      <c r="F140" s="40">
        <f t="shared" si="4"/>
        <v>0.68233333333333324</v>
      </c>
      <c r="G140" s="40">
        <f t="shared" si="4"/>
        <v>0.59500000000000008</v>
      </c>
      <c r="H140" s="40">
        <f t="shared" si="4"/>
        <v>0.81400000000000006</v>
      </c>
      <c r="I140" s="40">
        <f t="shared" si="4"/>
        <v>0.60899999999999999</v>
      </c>
      <c r="J140" s="40">
        <f t="shared" si="4"/>
        <v>0.82166666666666666</v>
      </c>
      <c r="K140" s="40">
        <f t="shared" ref="K140:N140" si="5">AVERAGE(K136:K138)</f>
        <v>0.49133333333333334</v>
      </c>
      <c r="L140" s="40">
        <f t="shared" si="5"/>
        <v>0.66600000000000004</v>
      </c>
      <c r="M140" s="40">
        <f t="shared" si="5"/>
        <v>0.79200000000000015</v>
      </c>
      <c r="N140" s="40">
        <f t="shared" si="5"/>
        <v>0.70733333333333326</v>
      </c>
    </row>
    <row r="141" spans="1:14" x14ac:dyDescent="0.35">
      <c r="A141" s="2"/>
    </row>
    <row r="142" spans="1:14" x14ac:dyDescent="0.35">
      <c r="A142" s="2"/>
    </row>
    <row r="143" spans="1:14" x14ac:dyDescent="0.35">
      <c r="A143" s="2"/>
    </row>
    <row r="144" spans="1:14" x14ac:dyDescent="0.35">
      <c r="A144" s="2"/>
    </row>
    <row r="145" spans="1:1" x14ac:dyDescent="0.35">
      <c r="A145" s="2"/>
    </row>
    <row r="146" spans="1:1" x14ac:dyDescent="0.35">
      <c r="A146" s="2"/>
    </row>
    <row r="147" spans="1:1" x14ac:dyDescent="0.35">
      <c r="A147" s="2"/>
    </row>
    <row r="148" spans="1:1" x14ac:dyDescent="0.35">
      <c r="A148" s="2"/>
    </row>
    <row r="149" spans="1:1" x14ac:dyDescent="0.35">
      <c r="A149" s="2"/>
    </row>
    <row r="150" spans="1:1" x14ac:dyDescent="0.35">
      <c r="A150" s="2"/>
    </row>
    <row r="151" spans="1:1" x14ac:dyDescent="0.35">
      <c r="A151" s="2"/>
    </row>
    <row r="152" spans="1:1" x14ac:dyDescent="0.35">
      <c r="A152" s="2"/>
    </row>
    <row r="153" spans="1:1" x14ac:dyDescent="0.35">
      <c r="A153" s="2"/>
    </row>
    <row r="154" spans="1:1" x14ac:dyDescent="0.35">
      <c r="A154" s="2"/>
    </row>
    <row r="155" spans="1:1" x14ac:dyDescent="0.35">
      <c r="A155" s="2"/>
    </row>
    <row r="156" spans="1:1" x14ac:dyDescent="0.35">
      <c r="A156" s="2"/>
    </row>
    <row r="157" spans="1:1" x14ac:dyDescent="0.35">
      <c r="A157" s="2"/>
    </row>
    <row r="158" spans="1:1" x14ac:dyDescent="0.35">
      <c r="A158" s="2"/>
    </row>
    <row r="159" spans="1:1" x14ac:dyDescent="0.35">
      <c r="A159" s="2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2"/>
    </row>
    <row r="164" spans="1:1" x14ac:dyDescent="0.35">
      <c r="A164" s="2"/>
    </row>
    <row r="165" spans="1:1" x14ac:dyDescent="0.35">
      <c r="A165" s="2"/>
    </row>
    <row r="166" spans="1:1" x14ac:dyDescent="0.35">
      <c r="A166" s="2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2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2"/>
    </row>
    <row r="184" spans="1:1" x14ac:dyDescent="0.35">
      <c r="A184" s="2"/>
    </row>
    <row r="185" spans="1:1" x14ac:dyDescent="0.35">
      <c r="A185" s="2"/>
    </row>
    <row r="186" spans="1:1" x14ac:dyDescent="0.35">
      <c r="A186" s="2"/>
    </row>
    <row r="187" spans="1:1" x14ac:dyDescent="0.35">
      <c r="A187" s="2"/>
    </row>
    <row r="188" spans="1:1" x14ac:dyDescent="0.35">
      <c r="A188" s="2"/>
    </row>
    <row r="189" spans="1:1" x14ac:dyDescent="0.35">
      <c r="A189" s="2"/>
    </row>
    <row r="190" spans="1:1" x14ac:dyDescent="0.35">
      <c r="A190" s="2"/>
    </row>
    <row r="191" spans="1:1" x14ac:dyDescent="0.35">
      <c r="A191" s="2"/>
    </row>
    <row r="192" spans="1:1" x14ac:dyDescent="0.35">
      <c r="A192" s="2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2"/>
    </row>
    <row r="198" spans="1:1" x14ac:dyDescent="0.35">
      <c r="A198" s="2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2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2"/>
    </row>
    <row r="208" spans="1:1" x14ac:dyDescent="0.35">
      <c r="A208" s="2"/>
    </row>
    <row r="209" spans="1:1" x14ac:dyDescent="0.35">
      <c r="A209" s="2"/>
    </row>
    <row r="210" spans="1:1" x14ac:dyDescent="0.35">
      <c r="A210" s="2"/>
    </row>
    <row r="211" spans="1:1" x14ac:dyDescent="0.35">
      <c r="A211" s="2"/>
    </row>
    <row r="212" spans="1:1" x14ac:dyDescent="0.35">
      <c r="A212" s="2"/>
    </row>
    <row r="213" spans="1:1" x14ac:dyDescent="0.35">
      <c r="A213" s="2"/>
    </row>
    <row r="214" spans="1:1" x14ac:dyDescent="0.35">
      <c r="A214" s="2"/>
    </row>
    <row r="215" spans="1:1" x14ac:dyDescent="0.35">
      <c r="A215" s="2"/>
    </row>
    <row r="216" spans="1:1" x14ac:dyDescent="0.35">
      <c r="A216" s="2"/>
    </row>
    <row r="217" spans="1:1" x14ac:dyDescent="0.35">
      <c r="A217" s="2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2"/>
    </row>
    <row r="225" spans="1:1" x14ac:dyDescent="0.35">
      <c r="A225" s="2"/>
    </row>
    <row r="226" spans="1:1" x14ac:dyDescent="0.35">
      <c r="A226" s="2"/>
    </row>
    <row r="227" spans="1:1" x14ac:dyDescent="0.35">
      <c r="A227" s="2"/>
    </row>
    <row r="228" spans="1:1" x14ac:dyDescent="0.35">
      <c r="A228" s="2"/>
    </row>
    <row r="229" spans="1:1" x14ac:dyDescent="0.35">
      <c r="A229" s="2"/>
    </row>
    <row r="230" spans="1:1" x14ac:dyDescent="0.35">
      <c r="A230" s="2"/>
    </row>
    <row r="231" spans="1:1" x14ac:dyDescent="0.35">
      <c r="A231" s="2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2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2"/>
    </row>
    <row r="242" spans="1:1" x14ac:dyDescent="0.35">
      <c r="A242" s="2"/>
    </row>
    <row r="243" spans="1:1" x14ac:dyDescent="0.35">
      <c r="A243" s="2"/>
    </row>
    <row r="244" spans="1:1" x14ac:dyDescent="0.35">
      <c r="A244" s="2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2"/>
    </row>
    <row r="252" spans="1:1" x14ac:dyDescent="0.35">
      <c r="A252" s="2"/>
    </row>
    <row r="253" spans="1:1" x14ac:dyDescent="0.35">
      <c r="A253" s="2"/>
    </row>
    <row r="254" spans="1:1" x14ac:dyDescent="0.35">
      <c r="A254" s="2"/>
    </row>
    <row r="255" spans="1:1" x14ac:dyDescent="0.35">
      <c r="A255" s="2"/>
    </row>
    <row r="256" spans="1:1" x14ac:dyDescent="0.35">
      <c r="A256" s="2"/>
    </row>
    <row r="257" spans="1:1" x14ac:dyDescent="0.35">
      <c r="A257" s="2"/>
    </row>
    <row r="258" spans="1:1" x14ac:dyDescent="0.35">
      <c r="A258" s="2"/>
    </row>
    <row r="259" spans="1:1" x14ac:dyDescent="0.35">
      <c r="A259" s="2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2"/>
    </row>
    <row r="266" spans="1:1" x14ac:dyDescent="0.35">
      <c r="A266" s="2"/>
    </row>
    <row r="267" spans="1:1" x14ac:dyDescent="0.35">
      <c r="A267" s="2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2"/>
    </row>
    <row r="274" spans="1:1" x14ac:dyDescent="0.35">
      <c r="A274" s="2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2"/>
    </row>
    <row r="279" spans="1:1" x14ac:dyDescent="0.35">
      <c r="A279" s="2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2"/>
    </row>
    <row r="284" spans="1:1" x14ac:dyDescent="0.35">
      <c r="A284" s="2"/>
    </row>
    <row r="285" spans="1:1" x14ac:dyDescent="0.35">
      <c r="A285" s="2"/>
    </row>
    <row r="286" spans="1:1" x14ac:dyDescent="0.35">
      <c r="A286" s="2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2"/>
    </row>
    <row r="292" spans="1:1" x14ac:dyDescent="0.35">
      <c r="A292" s="2"/>
    </row>
    <row r="293" spans="1:1" x14ac:dyDescent="0.35">
      <c r="A293" s="2"/>
    </row>
    <row r="294" spans="1:1" x14ac:dyDescent="0.35">
      <c r="A294" s="2"/>
    </row>
    <row r="295" spans="1:1" x14ac:dyDescent="0.35">
      <c r="A295" s="2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2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2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2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2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2"/>
    </row>
    <row r="344" spans="1:1" x14ac:dyDescent="0.35">
      <c r="A344" s="2"/>
    </row>
    <row r="345" spans="1:1" x14ac:dyDescent="0.35">
      <c r="A345" s="2"/>
    </row>
    <row r="346" spans="1:1" x14ac:dyDescent="0.35">
      <c r="A346" s="2"/>
    </row>
    <row r="347" spans="1:1" x14ac:dyDescent="0.35">
      <c r="A347" s="2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2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2"/>
    </row>
    <row r="360" spans="1:1" x14ac:dyDescent="0.35">
      <c r="A360" s="2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2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2"/>
    </row>
    <row r="375" spans="1:1" x14ac:dyDescent="0.35">
      <c r="A375" s="2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2"/>
    </row>
    <row r="380" spans="1:1" x14ac:dyDescent="0.35">
      <c r="A380" s="2"/>
    </row>
    <row r="381" spans="1:1" x14ac:dyDescent="0.35">
      <c r="A381" s="2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2"/>
    </row>
    <row r="386" spans="1:1" x14ac:dyDescent="0.35">
      <c r="A386" s="2"/>
    </row>
    <row r="387" spans="1:1" x14ac:dyDescent="0.35">
      <c r="A387" s="2"/>
    </row>
    <row r="388" spans="1:1" x14ac:dyDescent="0.35">
      <c r="A388" s="2"/>
    </row>
    <row r="389" spans="1:1" x14ac:dyDescent="0.35">
      <c r="A389" s="2"/>
    </row>
    <row r="390" spans="1:1" x14ac:dyDescent="0.35">
      <c r="A390" s="2"/>
    </row>
    <row r="391" spans="1:1" x14ac:dyDescent="0.35">
      <c r="A391" s="2"/>
    </row>
    <row r="392" spans="1:1" x14ac:dyDescent="0.35">
      <c r="A392" s="2"/>
    </row>
    <row r="393" spans="1:1" x14ac:dyDescent="0.35">
      <c r="A393" s="2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2"/>
    </row>
    <row r="399" spans="1:1" x14ac:dyDescent="0.35">
      <c r="A399" s="2"/>
    </row>
    <row r="400" spans="1:1" x14ac:dyDescent="0.35">
      <c r="A400" s="2"/>
    </row>
    <row r="401" spans="1:1" x14ac:dyDescent="0.35">
      <c r="A401" s="2"/>
    </row>
    <row r="402" spans="1:1" x14ac:dyDescent="0.35">
      <c r="A402" s="2"/>
    </row>
    <row r="403" spans="1:1" x14ac:dyDescent="0.35">
      <c r="A403" s="2"/>
    </row>
    <row r="404" spans="1:1" x14ac:dyDescent="0.35">
      <c r="A404" s="2"/>
    </row>
    <row r="405" spans="1:1" x14ac:dyDescent="0.35">
      <c r="A405" s="2"/>
    </row>
    <row r="406" spans="1:1" x14ac:dyDescent="0.35">
      <c r="A406" s="2"/>
    </row>
    <row r="407" spans="1:1" x14ac:dyDescent="0.35">
      <c r="A407" s="2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2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2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2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2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2"/>
    </row>
    <row r="441" spans="1:1" x14ac:dyDescent="0.35">
      <c r="A441" s="2"/>
    </row>
    <row r="442" spans="1:1" x14ac:dyDescent="0.35">
      <c r="A442" s="2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2"/>
    </row>
    <row r="447" spans="1:1" x14ac:dyDescent="0.35">
      <c r="A447" s="2"/>
    </row>
    <row r="448" spans="1:1" x14ac:dyDescent="0.35">
      <c r="A448" s="2"/>
    </row>
    <row r="449" spans="1:1" x14ac:dyDescent="0.35">
      <c r="A449" s="2"/>
    </row>
    <row r="450" spans="1:1" x14ac:dyDescent="0.35">
      <c r="A450" s="2"/>
    </row>
    <row r="451" spans="1:1" x14ac:dyDescent="0.35">
      <c r="A451" s="2"/>
    </row>
    <row r="452" spans="1:1" x14ac:dyDescent="0.35">
      <c r="A452" s="2"/>
    </row>
    <row r="453" spans="1:1" x14ac:dyDescent="0.35">
      <c r="A453" s="2"/>
    </row>
    <row r="454" spans="1:1" x14ac:dyDescent="0.35">
      <c r="A454" s="2"/>
    </row>
    <row r="455" spans="1:1" x14ac:dyDescent="0.35">
      <c r="A455" s="2"/>
    </row>
    <row r="456" spans="1:1" x14ac:dyDescent="0.35">
      <c r="A456" s="2"/>
    </row>
    <row r="457" spans="1:1" x14ac:dyDescent="0.35">
      <c r="A457" s="2"/>
    </row>
    <row r="458" spans="1:1" x14ac:dyDescent="0.35">
      <c r="A458" s="2"/>
    </row>
    <row r="459" spans="1:1" x14ac:dyDescent="0.35">
      <c r="A459" s="2"/>
    </row>
    <row r="460" spans="1:1" x14ac:dyDescent="0.35">
      <c r="A460" s="2"/>
    </row>
    <row r="461" spans="1:1" x14ac:dyDescent="0.35">
      <c r="A461" s="2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2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2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2"/>
    </row>
    <row r="474" spans="1:1" x14ac:dyDescent="0.35">
      <c r="A474" s="2"/>
    </row>
    <row r="475" spans="1:1" x14ac:dyDescent="0.35">
      <c r="A475" s="2"/>
    </row>
    <row r="476" spans="1:1" x14ac:dyDescent="0.35">
      <c r="A476" s="2"/>
    </row>
    <row r="477" spans="1:1" x14ac:dyDescent="0.35">
      <c r="A477" s="2"/>
    </row>
    <row r="478" spans="1:1" x14ac:dyDescent="0.35">
      <c r="A478" s="2"/>
    </row>
    <row r="479" spans="1:1" x14ac:dyDescent="0.35">
      <c r="A479" s="2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2"/>
    </row>
    <row r="485" spans="1:1" x14ac:dyDescent="0.35">
      <c r="A485" s="2"/>
    </row>
    <row r="486" spans="1:1" x14ac:dyDescent="0.35">
      <c r="A486" s="2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2"/>
    </row>
    <row r="497" spans="1:1" x14ac:dyDescent="0.35">
      <c r="A497" s="2"/>
    </row>
    <row r="498" spans="1:1" x14ac:dyDescent="0.35">
      <c r="A498" s="2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2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2"/>
    </row>
    <row r="514" spans="1:1" x14ac:dyDescent="0.35">
      <c r="A514" s="2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2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2"/>
    </row>
    <row r="525" spans="1:1" x14ac:dyDescent="0.35">
      <c r="A525" s="2"/>
    </row>
    <row r="526" spans="1:1" x14ac:dyDescent="0.35">
      <c r="A526" s="2"/>
    </row>
    <row r="527" spans="1:1" x14ac:dyDescent="0.35">
      <c r="A527" s="2"/>
    </row>
    <row r="528" spans="1:1" x14ac:dyDescent="0.35">
      <c r="A528" s="2"/>
    </row>
    <row r="529" spans="1:1" x14ac:dyDescent="0.35">
      <c r="A529" s="2"/>
    </row>
    <row r="530" spans="1:1" x14ac:dyDescent="0.35">
      <c r="A530" s="2"/>
    </row>
    <row r="531" spans="1:1" x14ac:dyDescent="0.35">
      <c r="A531" s="2"/>
    </row>
    <row r="532" spans="1:1" x14ac:dyDescent="0.35">
      <c r="A532" s="2"/>
    </row>
    <row r="533" spans="1:1" x14ac:dyDescent="0.35">
      <c r="A533" s="2"/>
    </row>
    <row r="534" spans="1:1" x14ac:dyDescent="0.35">
      <c r="A534" s="2"/>
    </row>
    <row r="535" spans="1:1" x14ac:dyDescent="0.35">
      <c r="A535" s="2"/>
    </row>
    <row r="536" spans="1:1" x14ac:dyDescent="0.35">
      <c r="A536" s="2"/>
    </row>
    <row r="537" spans="1:1" x14ac:dyDescent="0.35">
      <c r="A537" s="2"/>
    </row>
    <row r="538" spans="1:1" x14ac:dyDescent="0.35">
      <c r="A538" s="2"/>
    </row>
    <row r="539" spans="1:1" x14ac:dyDescent="0.35">
      <c r="A539" s="2"/>
    </row>
    <row r="540" spans="1:1" x14ac:dyDescent="0.35">
      <c r="A540" s="2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2"/>
    </row>
    <row r="550" spans="1:1" x14ac:dyDescent="0.35">
      <c r="A550" s="2"/>
    </row>
    <row r="551" spans="1:1" x14ac:dyDescent="0.35">
      <c r="A551" s="2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2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2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2"/>
    </row>
    <row r="574" spans="1:1" x14ac:dyDescent="0.35">
      <c r="A574" s="2"/>
    </row>
    <row r="575" spans="1:1" x14ac:dyDescent="0.35">
      <c r="A575" s="2"/>
    </row>
    <row r="576" spans="1:1" x14ac:dyDescent="0.35">
      <c r="A576" s="2"/>
    </row>
    <row r="577" spans="1:1" x14ac:dyDescent="0.35">
      <c r="A577" s="2"/>
    </row>
    <row r="578" spans="1:1" x14ac:dyDescent="0.35">
      <c r="A578" s="2"/>
    </row>
    <row r="579" spans="1:1" x14ac:dyDescent="0.35">
      <c r="A579" s="2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2"/>
    </row>
    <row r="593" spans="1:1" x14ac:dyDescent="0.35">
      <c r="A593" s="2"/>
    </row>
    <row r="594" spans="1:1" x14ac:dyDescent="0.35">
      <c r="A594" s="2"/>
    </row>
    <row r="595" spans="1:1" x14ac:dyDescent="0.35">
      <c r="A595" s="2"/>
    </row>
    <row r="596" spans="1:1" x14ac:dyDescent="0.35">
      <c r="A596" s="2"/>
    </row>
    <row r="597" spans="1:1" x14ac:dyDescent="0.35">
      <c r="A597" s="2"/>
    </row>
    <row r="598" spans="1:1" x14ac:dyDescent="0.35">
      <c r="A598" s="2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2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2"/>
    </row>
    <row r="611" spans="1:1" x14ac:dyDescent="0.35">
      <c r="A611" s="2"/>
    </row>
    <row r="612" spans="1:1" x14ac:dyDescent="0.35">
      <c r="A612" s="2"/>
    </row>
    <row r="613" spans="1:1" x14ac:dyDescent="0.35">
      <c r="A613" s="2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2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2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2"/>
    </row>
    <row r="630" spans="1:1" x14ac:dyDescent="0.35">
      <c r="A630" s="2"/>
    </row>
    <row r="631" spans="1:1" x14ac:dyDescent="0.35">
      <c r="A631" s="2"/>
    </row>
    <row r="632" spans="1:1" x14ac:dyDescent="0.35">
      <c r="A632" s="2"/>
    </row>
    <row r="633" spans="1:1" x14ac:dyDescent="0.35">
      <c r="A633" s="2"/>
    </row>
    <row r="634" spans="1:1" x14ac:dyDescent="0.35">
      <c r="A634" s="2"/>
    </row>
    <row r="635" spans="1:1" x14ac:dyDescent="0.35">
      <c r="A635" s="2"/>
    </row>
    <row r="636" spans="1:1" x14ac:dyDescent="0.35">
      <c r="A636" s="2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2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2"/>
    </row>
    <row r="647" spans="1:1" x14ac:dyDescent="0.35">
      <c r="A647" s="2"/>
    </row>
    <row r="648" spans="1:1" x14ac:dyDescent="0.35">
      <c r="A648" s="2"/>
    </row>
    <row r="649" spans="1:1" x14ac:dyDescent="0.35">
      <c r="A649" s="2"/>
    </row>
    <row r="650" spans="1:1" x14ac:dyDescent="0.35">
      <c r="A650" s="2"/>
    </row>
    <row r="651" spans="1:1" x14ac:dyDescent="0.35">
      <c r="A651" s="2"/>
    </row>
    <row r="652" spans="1:1" x14ac:dyDescent="0.35">
      <c r="A652" s="2"/>
    </row>
    <row r="653" spans="1:1" x14ac:dyDescent="0.35">
      <c r="A653" s="2"/>
    </row>
    <row r="654" spans="1:1" x14ac:dyDescent="0.35">
      <c r="A654" s="2"/>
    </row>
    <row r="655" spans="1:1" x14ac:dyDescent="0.35">
      <c r="A655" s="2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2"/>
    </row>
    <row r="662" spans="1:1" x14ac:dyDescent="0.35">
      <c r="A662" s="2"/>
    </row>
    <row r="663" spans="1:1" x14ac:dyDescent="0.35">
      <c r="A663" s="2"/>
    </row>
    <row r="664" spans="1:1" x14ac:dyDescent="0.35">
      <c r="A664" s="2"/>
    </row>
    <row r="665" spans="1:1" x14ac:dyDescent="0.35">
      <c r="A665" s="2"/>
    </row>
    <row r="666" spans="1:1" x14ac:dyDescent="0.35">
      <c r="A666" s="2"/>
    </row>
    <row r="667" spans="1:1" x14ac:dyDescent="0.35">
      <c r="A667" s="2"/>
    </row>
    <row r="668" spans="1:1" x14ac:dyDescent="0.35">
      <c r="A668" s="2"/>
    </row>
    <row r="669" spans="1:1" x14ac:dyDescent="0.35">
      <c r="A669" s="2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2"/>
    </row>
    <row r="679" spans="1:1" x14ac:dyDescent="0.35">
      <c r="A679" s="2"/>
    </row>
    <row r="680" spans="1:1" x14ac:dyDescent="0.35">
      <c r="A680" s="2"/>
    </row>
    <row r="681" spans="1:1" x14ac:dyDescent="0.35">
      <c r="A681" s="2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2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2"/>
    </row>
    <row r="694" spans="1:1" x14ac:dyDescent="0.35">
      <c r="A694" s="2"/>
    </row>
    <row r="695" spans="1:1" x14ac:dyDescent="0.35">
      <c r="A695" s="2"/>
    </row>
    <row r="696" spans="1:1" x14ac:dyDescent="0.35">
      <c r="A696" s="2"/>
    </row>
    <row r="697" spans="1:1" x14ac:dyDescent="0.35">
      <c r="A697" s="2"/>
    </row>
    <row r="698" spans="1:1" x14ac:dyDescent="0.35">
      <c r="A698" s="2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2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2"/>
    </row>
    <row r="718" spans="1:1" x14ac:dyDescent="0.35">
      <c r="A718" s="2"/>
    </row>
    <row r="719" spans="1:1" x14ac:dyDescent="0.35">
      <c r="A719" s="2"/>
    </row>
    <row r="720" spans="1:1" x14ac:dyDescent="0.35">
      <c r="A720" s="2"/>
    </row>
    <row r="721" spans="1:1" x14ac:dyDescent="0.35">
      <c r="A721" s="2"/>
    </row>
    <row r="722" spans="1:1" x14ac:dyDescent="0.35">
      <c r="A722" s="2"/>
    </row>
    <row r="723" spans="1:1" x14ac:dyDescent="0.35">
      <c r="A723" s="2"/>
    </row>
    <row r="724" spans="1:1" x14ac:dyDescent="0.35">
      <c r="A724" s="2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2"/>
    </row>
    <row r="731" spans="1:1" x14ac:dyDescent="0.35">
      <c r="A731" s="2"/>
    </row>
    <row r="732" spans="1:1" x14ac:dyDescent="0.35">
      <c r="A732" s="2"/>
    </row>
    <row r="733" spans="1:1" x14ac:dyDescent="0.35">
      <c r="A733" s="2"/>
    </row>
    <row r="734" spans="1:1" x14ac:dyDescent="0.35">
      <c r="A734" s="2"/>
    </row>
    <row r="735" spans="1:1" x14ac:dyDescent="0.35">
      <c r="A735" s="2"/>
    </row>
    <row r="736" spans="1:1" x14ac:dyDescent="0.35">
      <c r="A736" s="2"/>
    </row>
    <row r="737" spans="1:1" x14ac:dyDescent="0.35">
      <c r="A737" s="2"/>
    </row>
    <row r="738" spans="1:1" x14ac:dyDescent="0.35">
      <c r="A738" s="2"/>
    </row>
    <row r="739" spans="1:1" x14ac:dyDescent="0.35">
      <c r="A739" s="2"/>
    </row>
    <row r="740" spans="1:1" x14ac:dyDescent="0.35">
      <c r="A740" s="2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2"/>
    </row>
    <row r="747" spans="1:1" x14ac:dyDescent="0.35">
      <c r="A747" s="2"/>
    </row>
    <row r="748" spans="1:1" x14ac:dyDescent="0.35">
      <c r="A748" s="2"/>
    </row>
    <row r="749" spans="1:1" x14ac:dyDescent="0.35">
      <c r="A749" s="2"/>
    </row>
    <row r="750" spans="1:1" x14ac:dyDescent="0.35">
      <c r="A750" s="2"/>
    </row>
    <row r="751" spans="1:1" x14ac:dyDescent="0.35">
      <c r="A751" s="2"/>
    </row>
    <row r="752" spans="1:1" x14ac:dyDescent="0.35">
      <c r="A752" s="2"/>
    </row>
    <row r="753" spans="1:1" x14ac:dyDescent="0.35">
      <c r="A753" s="2"/>
    </row>
    <row r="754" spans="1:1" x14ac:dyDescent="0.35">
      <c r="A754" s="2"/>
    </row>
    <row r="755" spans="1:1" x14ac:dyDescent="0.35">
      <c r="A755" s="2"/>
    </row>
    <row r="756" spans="1:1" x14ac:dyDescent="0.35">
      <c r="A756" s="2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2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2"/>
    </row>
    <row r="766" spans="1:1" x14ac:dyDescent="0.35">
      <c r="A766" s="2"/>
    </row>
    <row r="767" spans="1:1" x14ac:dyDescent="0.35">
      <c r="A767" s="2"/>
    </row>
    <row r="768" spans="1:1" x14ac:dyDescent="0.35">
      <c r="A768" s="2"/>
    </row>
    <row r="769" spans="1:1" x14ac:dyDescent="0.35">
      <c r="A769" s="2"/>
    </row>
    <row r="770" spans="1:1" x14ac:dyDescent="0.35">
      <c r="A770" s="2"/>
    </row>
    <row r="771" spans="1:1" x14ac:dyDescent="0.35">
      <c r="A771" s="2"/>
    </row>
    <row r="772" spans="1:1" x14ac:dyDescent="0.35">
      <c r="A772" s="2"/>
    </row>
    <row r="773" spans="1:1" x14ac:dyDescent="0.35">
      <c r="A773" s="2"/>
    </row>
    <row r="774" spans="1:1" x14ac:dyDescent="0.35">
      <c r="A774" s="2"/>
    </row>
    <row r="775" spans="1:1" x14ac:dyDescent="0.35">
      <c r="A775" s="2"/>
    </row>
    <row r="776" spans="1:1" x14ac:dyDescent="0.35">
      <c r="A776" s="2"/>
    </row>
    <row r="777" spans="1:1" x14ac:dyDescent="0.35">
      <c r="A777" s="2"/>
    </row>
    <row r="778" spans="1:1" x14ac:dyDescent="0.35">
      <c r="A778" s="2"/>
    </row>
    <row r="779" spans="1:1" x14ac:dyDescent="0.35">
      <c r="A779" s="2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2"/>
    </row>
    <row r="785" spans="1:1" x14ac:dyDescent="0.35">
      <c r="A785" s="2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2"/>
    </row>
    <row r="790" spans="1:1" x14ac:dyDescent="0.35">
      <c r="A790" s="2"/>
    </row>
    <row r="791" spans="1:1" x14ac:dyDescent="0.35">
      <c r="A791" s="2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2"/>
    </row>
    <row r="796" spans="1:1" x14ac:dyDescent="0.35">
      <c r="A796" s="2"/>
    </row>
    <row r="797" spans="1:1" x14ac:dyDescent="0.35">
      <c r="A797" s="2"/>
    </row>
    <row r="798" spans="1:1" x14ac:dyDescent="0.35">
      <c r="A798" s="2"/>
    </row>
    <row r="799" spans="1:1" x14ac:dyDescent="0.35">
      <c r="A799" s="2"/>
    </row>
    <row r="800" spans="1:1" x14ac:dyDescent="0.35">
      <c r="A800" s="2"/>
    </row>
    <row r="801" spans="1:1" x14ac:dyDescent="0.35">
      <c r="A801" s="2"/>
    </row>
    <row r="802" spans="1:1" x14ac:dyDescent="0.35">
      <c r="A802" s="2"/>
    </row>
    <row r="803" spans="1:1" x14ac:dyDescent="0.35">
      <c r="A803" s="2"/>
    </row>
    <row r="804" spans="1:1" x14ac:dyDescent="0.35">
      <c r="A804" s="2"/>
    </row>
    <row r="805" spans="1:1" x14ac:dyDescent="0.35">
      <c r="A805" s="2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2"/>
    </row>
    <row r="813" spans="1:1" x14ac:dyDescent="0.35">
      <c r="A813" s="2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2"/>
    </row>
    <row r="819" spans="1:1" x14ac:dyDescent="0.35">
      <c r="A819" s="2"/>
    </row>
    <row r="820" spans="1:1" x14ac:dyDescent="0.35">
      <c r="A820" s="2"/>
    </row>
    <row r="821" spans="1:1" x14ac:dyDescent="0.35">
      <c r="A821" s="2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2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2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2"/>
    </row>
    <row r="844" spans="1:1" x14ac:dyDescent="0.35">
      <c r="A844" s="2"/>
    </row>
    <row r="845" spans="1:1" x14ac:dyDescent="0.35">
      <c r="A845" s="2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2"/>
    </row>
    <row r="855" spans="1:1" x14ac:dyDescent="0.35">
      <c r="A855" s="2"/>
    </row>
    <row r="856" spans="1:1" x14ac:dyDescent="0.35">
      <c r="A856" s="2"/>
    </row>
    <row r="857" spans="1:1" x14ac:dyDescent="0.35">
      <c r="A857" s="2"/>
    </row>
    <row r="858" spans="1:1" x14ac:dyDescent="0.35">
      <c r="A858" s="2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2"/>
    </row>
    <row r="894" spans="1:1" x14ac:dyDescent="0.35">
      <c r="A894" s="2"/>
    </row>
    <row r="895" spans="1:1" x14ac:dyDescent="0.35">
      <c r="A895" s="2"/>
    </row>
    <row r="896" spans="1:1" x14ac:dyDescent="0.35">
      <c r="A896" s="2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2"/>
    </row>
    <row r="902" spans="1:1" x14ac:dyDescent="0.35">
      <c r="A902" s="2"/>
    </row>
    <row r="903" spans="1:1" x14ac:dyDescent="0.35">
      <c r="A903" s="2"/>
    </row>
    <row r="904" spans="1:1" x14ac:dyDescent="0.35">
      <c r="A904" s="2"/>
    </row>
    <row r="905" spans="1:1" x14ac:dyDescent="0.35">
      <c r="A905" s="2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2"/>
    </row>
    <row r="910" spans="1:1" x14ac:dyDescent="0.35">
      <c r="A910" s="2"/>
    </row>
    <row r="911" spans="1:1" x14ac:dyDescent="0.35">
      <c r="A911" s="2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2"/>
    </row>
    <row r="925" spans="1:1" x14ac:dyDescent="0.35">
      <c r="A925" s="2"/>
    </row>
    <row r="926" spans="1:1" x14ac:dyDescent="0.35">
      <c r="A926" s="2"/>
    </row>
    <row r="927" spans="1:1" x14ac:dyDescent="0.35">
      <c r="A927" s="2"/>
    </row>
    <row r="928" spans="1:1" x14ac:dyDescent="0.35">
      <c r="A928" s="2"/>
    </row>
    <row r="929" spans="1:1" x14ac:dyDescent="0.35">
      <c r="A929" s="2"/>
    </row>
    <row r="930" spans="1:1" x14ac:dyDescent="0.35">
      <c r="A930" s="2"/>
    </row>
    <row r="931" spans="1:1" x14ac:dyDescent="0.35">
      <c r="A931" s="2"/>
    </row>
    <row r="932" spans="1:1" x14ac:dyDescent="0.35">
      <c r="A932" s="2"/>
    </row>
    <row r="933" spans="1:1" x14ac:dyDescent="0.35">
      <c r="A933" s="2"/>
    </row>
    <row r="934" spans="1:1" x14ac:dyDescent="0.35">
      <c r="A934" s="2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2"/>
    </row>
    <row r="940" spans="1:1" x14ac:dyDescent="0.35">
      <c r="A940" s="2"/>
    </row>
    <row r="941" spans="1:1" x14ac:dyDescent="0.35">
      <c r="A941" s="2"/>
    </row>
    <row r="942" spans="1:1" x14ac:dyDescent="0.35">
      <c r="A942" s="2"/>
    </row>
    <row r="943" spans="1:1" x14ac:dyDescent="0.35">
      <c r="A943" s="2"/>
    </row>
    <row r="944" spans="1:1" x14ac:dyDescent="0.35">
      <c r="A944" s="2"/>
    </row>
    <row r="945" spans="1:1" x14ac:dyDescent="0.35">
      <c r="A945" s="2"/>
    </row>
    <row r="946" spans="1:1" x14ac:dyDescent="0.35">
      <c r="A946" s="2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2"/>
    </row>
    <row r="953" spans="1:1" x14ac:dyDescent="0.35">
      <c r="A953" s="2"/>
    </row>
    <row r="954" spans="1:1" x14ac:dyDescent="0.35">
      <c r="A954" s="2"/>
    </row>
    <row r="955" spans="1:1" x14ac:dyDescent="0.35">
      <c r="A955" s="2"/>
    </row>
    <row r="956" spans="1:1" x14ac:dyDescent="0.35">
      <c r="A956" s="2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2"/>
    </row>
    <row r="964" spans="1:1" x14ac:dyDescent="0.35">
      <c r="A964" s="2"/>
    </row>
    <row r="965" spans="1:1" x14ac:dyDescent="0.35">
      <c r="A965" s="2"/>
    </row>
    <row r="966" spans="1:1" x14ac:dyDescent="0.35">
      <c r="A966" s="2"/>
    </row>
    <row r="967" spans="1:1" x14ac:dyDescent="0.35">
      <c r="A967" s="2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2"/>
    </row>
    <row r="977" spans="1:1" x14ac:dyDescent="0.35">
      <c r="A977" s="2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2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2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2"/>
    </row>
    <row r="997" spans="1:1" x14ac:dyDescent="0.35">
      <c r="A997" s="2"/>
    </row>
    <row r="998" spans="1:1" x14ac:dyDescent="0.35">
      <c r="A998" s="2"/>
    </row>
    <row r="999" spans="1:1" x14ac:dyDescent="0.35">
      <c r="A999" s="2"/>
    </row>
    <row r="1000" spans="1:1" x14ac:dyDescent="0.35">
      <c r="A1000" s="2"/>
    </row>
    <row r="1001" spans="1:1" x14ac:dyDescent="0.35">
      <c r="A1001" s="2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2"/>
    </row>
    <row r="1010" spans="1:1" x14ac:dyDescent="0.35">
      <c r="A1010" s="2"/>
    </row>
    <row r="1011" spans="1:1" x14ac:dyDescent="0.35">
      <c r="A1011" s="2"/>
    </row>
    <row r="1012" spans="1:1" x14ac:dyDescent="0.35">
      <c r="A1012" s="2"/>
    </row>
    <row r="1013" spans="1:1" x14ac:dyDescent="0.35">
      <c r="A1013" s="2"/>
    </row>
    <row r="1014" spans="1:1" x14ac:dyDescent="0.35">
      <c r="A1014" s="2"/>
    </row>
    <row r="1015" spans="1:1" x14ac:dyDescent="0.35">
      <c r="A1015" s="2"/>
    </row>
    <row r="1016" spans="1:1" x14ac:dyDescent="0.35">
      <c r="A1016" s="2"/>
    </row>
    <row r="1017" spans="1:1" x14ac:dyDescent="0.35">
      <c r="A1017" s="2"/>
    </row>
    <row r="1018" spans="1:1" x14ac:dyDescent="0.35">
      <c r="A1018" s="2"/>
    </row>
    <row r="1019" spans="1:1" x14ac:dyDescent="0.35">
      <c r="A1019" s="2"/>
    </row>
    <row r="1020" spans="1:1" x14ac:dyDescent="0.35">
      <c r="A1020" s="2"/>
    </row>
    <row r="1021" spans="1:1" x14ac:dyDescent="0.35">
      <c r="A1021" s="2"/>
    </row>
    <row r="1022" spans="1:1" x14ac:dyDescent="0.35">
      <c r="A1022" s="2"/>
    </row>
    <row r="1023" spans="1:1" x14ac:dyDescent="0.35">
      <c r="A1023" s="2"/>
    </row>
    <row r="1024" spans="1:1" x14ac:dyDescent="0.35">
      <c r="A1024" s="2"/>
    </row>
    <row r="1025" spans="1:1" x14ac:dyDescent="0.35">
      <c r="A1025" s="2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2"/>
    </row>
    <row r="1030" spans="1:1" x14ac:dyDescent="0.35">
      <c r="A1030" s="2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2"/>
    </row>
    <row r="1035" spans="1:1" x14ac:dyDescent="0.35">
      <c r="A1035" s="2"/>
    </row>
    <row r="1036" spans="1:1" x14ac:dyDescent="0.35">
      <c r="A1036" s="2"/>
    </row>
    <row r="1037" spans="1:1" x14ac:dyDescent="0.35">
      <c r="A1037" s="2"/>
    </row>
    <row r="1038" spans="1:1" x14ac:dyDescent="0.35">
      <c r="A1038" s="2"/>
    </row>
    <row r="1039" spans="1:1" x14ac:dyDescent="0.35">
      <c r="A1039" s="2"/>
    </row>
    <row r="1040" spans="1:1" x14ac:dyDescent="0.35">
      <c r="A1040" s="2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2"/>
    </row>
    <row r="1048" spans="1:1" x14ac:dyDescent="0.35">
      <c r="A1048" s="2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2"/>
    </row>
    <row r="1057" spans="1:1" x14ac:dyDescent="0.35">
      <c r="A1057" s="2"/>
    </row>
    <row r="1058" spans="1:1" x14ac:dyDescent="0.35">
      <c r="A1058" s="2"/>
    </row>
    <row r="1059" spans="1:1" x14ac:dyDescent="0.35">
      <c r="A1059" s="2"/>
    </row>
    <row r="1060" spans="1:1" x14ac:dyDescent="0.35">
      <c r="A1060" s="2"/>
    </row>
    <row r="1061" spans="1:1" x14ac:dyDescent="0.35">
      <c r="A1061" s="2"/>
    </row>
    <row r="1062" spans="1:1" x14ac:dyDescent="0.35">
      <c r="A1062" s="2"/>
    </row>
    <row r="1063" spans="1:1" x14ac:dyDescent="0.35">
      <c r="A1063" s="2"/>
    </row>
    <row r="1064" spans="1:1" x14ac:dyDescent="0.35">
      <c r="A1064" s="2"/>
    </row>
    <row r="1065" spans="1:1" x14ac:dyDescent="0.35">
      <c r="A1065" s="2"/>
    </row>
    <row r="1066" spans="1:1" x14ac:dyDescent="0.35">
      <c r="A1066" s="2"/>
    </row>
    <row r="1067" spans="1:1" x14ac:dyDescent="0.35">
      <c r="A1067" s="2"/>
    </row>
    <row r="1068" spans="1:1" x14ac:dyDescent="0.35">
      <c r="A1068" s="2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2"/>
    </row>
    <row r="1080" spans="1:1" x14ac:dyDescent="0.35">
      <c r="A1080" s="2"/>
    </row>
    <row r="1081" spans="1:1" x14ac:dyDescent="0.35">
      <c r="A1081" s="2"/>
    </row>
    <row r="1082" spans="1:1" x14ac:dyDescent="0.35">
      <c r="A1082" s="2"/>
    </row>
    <row r="1083" spans="1:1" x14ac:dyDescent="0.35">
      <c r="A1083" s="2"/>
    </row>
    <row r="1084" spans="1:1" x14ac:dyDescent="0.35">
      <c r="A1084" s="2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2"/>
    </row>
    <row r="1092" spans="1:1" x14ac:dyDescent="0.35">
      <c r="A1092" s="2"/>
    </row>
    <row r="1093" spans="1:1" x14ac:dyDescent="0.35">
      <c r="A1093" s="2"/>
    </row>
    <row r="1094" spans="1:1" x14ac:dyDescent="0.35">
      <c r="A1094" s="2"/>
    </row>
    <row r="1095" spans="1:1" x14ac:dyDescent="0.35">
      <c r="A1095" s="2"/>
    </row>
    <row r="1096" spans="1:1" x14ac:dyDescent="0.35">
      <c r="A1096" s="2"/>
    </row>
    <row r="1097" spans="1:1" x14ac:dyDescent="0.35">
      <c r="A1097" s="2"/>
    </row>
    <row r="1098" spans="1:1" x14ac:dyDescent="0.35">
      <c r="A1098" s="2"/>
    </row>
    <row r="1099" spans="1:1" x14ac:dyDescent="0.35">
      <c r="A1099" s="2"/>
    </row>
    <row r="1100" spans="1:1" x14ac:dyDescent="0.35">
      <c r="A1100" s="2"/>
    </row>
    <row r="1101" spans="1:1" x14ac:dyDescent="0.35">
      <c r="A1101" s="2"/>
    </row>
    <row r="1102" spans="1:1" x14ac:dyDescent="0.35">
      <c r="A1102" s="2"/>
    </row>
    <row r="1103" spans="1:1" x14ac:dyDescent="0.35">
      <c r="A1103" s="2"/>
    </row>
    <row r="1104" spans="1:1" x14ac:dyDescent="0.35">
      <c r="A1104" s="2"/>
    </row>
    <row r="1105" spans="1:1" x14ac:dyDescent="0.35">
      <c r="A1105" s="2"/>
    </row>
    <row r="1106" spans="1:1" x14ac:dyDescent="0.35">
      <c r="A1106" s="2"/>
    </row>
    <row r="1107" spans="1:1" x14ac:dyDescent="0.35">
      <c r="A1107" s="2"/>
    </row>
    <row r="1108" spans="1:1" x14ac:dyDescent="0.35">
      <c r="A1108" s="2"/>
    </row>
    <row r="1109" spans="1:1" x14ac:dyDescent="0.35">
      <c r="A1109" s="2"/>
    </row>
    <row r="1110" spans="1:1" x14ac:dyDescent="0.35">
      <c r="A1110" s="2"/>
    </row>
    <row r="1111" spans="1:1" x14ac:dyDescent="0.35">
      <c r="A1111" s="2"/>
    </row>
    <row r="1112" spans="1:1" x14ac:dyDescent="0.35">
      <c r="A1112" s="2"/>
    </row>
    <row r="1113" spans="1:1" x14ac:dyDescent="0.35">
      <c r="A1113" s="2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2"/>
    </row>
    <row r="1119" spans="1:1" x14ac:dyDescent="0.35">
      <c r="A1119" s="2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2"/>
    </row>
    <row r="1127" spans="1:1" x14ac:dyDescent="0.35">
      <c r="A1127" s="2"/>
    </row>
    <row r="1128" spans="1:1" x14ac:dyDescent="0.35">
      <c r="A1128" s="2"/>
    </row>
    <row r="1129" spans="1:1" x14ac:dyDescent="0.35">
      <c r="A1129" s="2"/>
    </row>
    <row r="1130" spans="1:1" x14ac:dyDescent="0.35">
      <c r="A1130" s="2"/>
    </row>
    <row r="1131" spans="1:1" x14ac:dyDescent="0.35">
      <c r="A1131" s="2"/>
    </row>
    <row r="1132" spans="1:1" x14ac:dyDescent="0.35">
      <c r="A1132" s="2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2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2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2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2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2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2"/>
    </row>
    <row r="1169" spans="1:1" x14ac:dyDescent="0.35">
      <c r="A1169" s="2"/>
    </row>
    <row r="1170" spans="1:1" x14ac:dyDescent="0.35">
      <c r="A1170" s="2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2"/>
    </row>
    <row r="1176" spans="1:1" x14ac:dyDescent="0.35">
      <c r="A1176" s="2"/>
    </row>
    <row r="1177" spans="1:1" x14ac:dyDescent="0.35">
      <c r="A1177" s="2"/>
    </row>
    <row r="1178" spans="1:1" x14ac:dyDescent="0.35">
      <c r="A1178" s="2"/>
    </row>
    <row r="1179" spans="1:1" x14ac:dyDescent="0.35">
      <c r="A1179" s="2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2"/>
    </row>
    <row r="1185" spans="1:1" x14ac:dyDescent="0.35">
      <c r="A1185" s="2"/>
    </row>
    <row r="1186" spans="1:1" x14ac:dyDescent="0.35">
      <c r="A1186" s="2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2"/>
    </row>
    <row r="1192" spans="1:1" x14ac:dyDescent="0.35">
      <c r="A1192" s="2"/>
    </row>
    <row r="1193" spans="1:1" x14ac:dyDescent="0.35">
      <c r="A1193" s="2"/>
    </row>
    <row r="1194" spans="1:1" x14ac:dyDescent="0.35">
      <c r="A1194" s="2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2"/>
    </row>
    <row r="1200" spans="1:1" x14ac:dyDescent="0.35">
      <c r="A1200" s="2"/>
    </row>
    <row r="1201" spans="1:1" x14ac:dyDescent="0.35">
      <c r="A1201" s="2"/>
    </row>
    <row r="1202" spans="1:1" x14ac:dyDescent="0.35">
      <c r="A1202" s="2"/>
    </row>
    <row r="1203" spans="1:1" x14ac:dyDescent="0.35">
      <c r="A1203" s="2"/>
    </row>
    <row r="1204" spans="1:1" x14ac:dyDescent="0.35">
      <c r="A1204" s="2"/>
    </row>
    <row r="1205" spans="1:1" x14ac:dyDescent="0.35">
      <c r="A1205" s="2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2"/>
    </row>
    <row r="1210" spans="1:1" x14ac:dyDescent="0.35">
      <c r="A1210" s="2"/>
    </row>
    <row r="1211" spans="1:1" x14ac:dyDescent="0.35">
      <c r="A1211" s="2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2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2"/>
    </row>
    <row r="1223" spans="1:1" x14ac:dyDescent="0.35">
      <c r="A1223" s="2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2"/>
    </row>
    <row r="1229" spans="1:1" x14ac:dyDescent="0.35">
      <c r="A1229" s="2"/>
    </row>
    <row r="1230" spans="1:1" x14ac:dyDescent="0.35">
      <c r="A1230" s="2"/>
    </row>
    <row r="1231" spans="1:1" x14ac:dyDescent="0.35">
      <c r="A1231" s="2"/>
    </row>
    <row r="1232" spans="1:1" x14ac:dyDescent="0.35">
      <c r="A1232" s="2"/>
    </row>
    <row r="1233" spans="1:1" x14ac:dyDescent="0.35">
      <c r="A1233" s="2"/>
    </row>
    <row r="1234" spans="1:1" x14ac:dyDescent="0.35">
      <c r="A1234" s="2"/>
    </row>
    <row r="1235" spans="1:1" x14ac:dyDescent="0.35">
      <c r="A1235" s="2"/>
    </row>
    <row r="1236" spans="1:1" x14ac:dyDescent="0.35">
      <c r="A1236" s="2"/>
    </row>
    <row r="1237" spans="1:1" x14ac:dyDescent="0.35">
      <c r="A1237" s="2"/>
    </row>
    <row r="1238" spans="1:1" x14ac:dyDescent="0.35">
      <c r="A1238" s="2"/>
    </row>
    <row r="1239" spans="1:1" x14ac:dyDescent="0.35">
      <c r="A1239" s="2"/>
    </row>
    <row r="1240" spans="1:1" x14ac:dyDescent="0.35">
      <c r="A1240" s="2"/>
    </row>
    <row r="1241" spans="1:1" x14ac:dyDescent="0.35">
      <c r="A1241" s="2"/>
    </row>
    <row r="1242" spans="1:1" x14ac:dyDescent="0.35">
      <c r="A1242" s="2"/>
    </row>
    <row r="1243" spans="1:1" x14ac:dyDescent="0.35">
      <c r="A1243" s="2"/>
    </row>
    <row r="1244" spans="1:1" x14ac:dyDescent="0.35">
      <c r="A1244" s="2"/>
    </row>
    <row r="1245" spans="1:1" x14ac:dyDescent="0.35">
      <c r="A1245" s="2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2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2"/>
    </row>
    <row r="1256" spans="1:1" x14ac:dyDescent="0.35">
      <c r="A1256" s="2"/>
    </row>
    <row r="1257" spans="1:1" x14ac:dyDescent="0.35">
      <c r="A1257" s="2"/>
    </row>
    <row r="1258" spans="1:1" x14ac:dyDescent="0.35">
      <c r="A1258" s="2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2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2"/>
    </row>
    <row r="1275" spans="1:1" x14ac:dyDescent="0.35">
      <c r="A1275" s="2"/>
    </row>
    <row r="1276" spans="1:1" x14ac:dyDescent="0.35">
      <c r="A1276" s="2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2"/>
    </row>
    <row r="1281" spans="1:1" x14ac:dyDescent="0.35">
      <c r="A1281" s="2"/>
    </row>
    <row r="1282" spans="1:1" x14ac:dyDescent="0.35">
      <c r="A1282" s="2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2"/>
    </row>
    <row r="1290" spans="1:1" x14ac:dyDescent="0.35">
      <c r="A1290" s="2"/>
    </row>
    <row r="1291" spans="1:1" x14ac:dyDescent="0.35">
      <c r="A1291" s="2"/>
    </row>
    <row r="1292" spans="1:1" x14ac:dyDescent="0.35">
      <c r="A1292" s="2"/>
    </row>
    <row r="1293" spans="1:1" x14ac:dyDescent="0.35">
      <c r="A1293" s="2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2"/>
    </row>
    <row r="1300" spans="1:1" x14ac:dyDescent="0.35">
      <c r="A1300" s="2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2"/>
    </row>
    <row r="1306" spans="1:1" x14ac:dyDescent="0.35">
      <c r="A1306" s="2"/>
    </row>
    <row r="1307" spans="1:1" x14ac:dyDescent="0.35">
      <c r="A1307" s="2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2"/>
    </row>
    <row r="1318" spans="1:1" x14ac:dyDescent="0.35">
      <c r="A1318" s="2"/>
    </row>
    <row r="1319" spans="1:1" x14ac:dyDescent="0.35">
      <c r="A1319" s="2"/>
    </row>
    <row r="1320" spans="1:1" x14ac:dyDescent="0.35">
      <c r="A1320" s="2"/>
    </row>
    <row r="1321" spans="1:1" x14ac:dyDescent="0.35">
      <c r="A1321" s="2"/>
    </row>
    <row r="1322" spans="1:1" x14ac:dyDescent="0.35">
      <c r="A1322" s="2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2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2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2"/>
    </row>
    <row r="1344" spans="1:1" x14ac:dyDescent="0.35">
      <c r="A1344" s="2"/>
    </row>
    <row r="1345" spans="1:1" x14ac:dyDescent="0.35">
      <c r="A1345" s="2"/>
    </row>
    <row r="1346" spans="1:1" x14ac:dyDescent="0.35">
      <c r="A1346" s="2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2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2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2"/>
    </row>
    <row r="1379" spans="1:1" x14ac:dyDescent="0.35">
      <c r="A1379" s="2"/>
    </row>
    <row r="1380" spans="1:1" x14ac:dyDescent="0.35">
      <c r="A1380" s="2"/>
    </row>
    <row r="1381" spans="1:1" x14ac:dyDescent="0.35">
      <c r="A1381" s="2"/>
    </row>
    <row r="1382" spans="1:1" x14ac:dyDescent="0.35">
      <c r="A1382" s="2"/>
    </row>
    <row r="1383" spans="1:1" x14ac:dyDescent="0.35">
      <c r="A1383" s="2"/>
    </row>
    <row r="1384" spans="1:1" x14ac:dyDescent="0.35">
      <c r="A1384" s="2"/>
    </row>
    <row r="1385" spans="1:1" x14ac:dyDescent="0.35">
      <c r="A1385" s="2"/>
    </row>
    <row r="1386" spans="1:1" x14ac:dyDescent="0.35">
      <c r="A1386" s="2"/>
    </row>
    <row r="1387" spans="1:1" x14ac:dyDescent="0.35">
      <c r="A1387" s="2"/>
    </row>
    <row r="1388" spans="1:1" x14ac:dyDescent="0.35">
      <c r="A1388" s="2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2"/>
    </row>
    <row r="1394" spans="1:1" x14ac:dyDescent="0.35">
      <c r="A1394" s="2"/>
    </row>
    <row r="1395" spans="1:1" x14ac:dyDescent="0.35">
      <c r="A1395" s="2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2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2"/>
    </row>
    <row r="1408" spans="1:1" x14ac:dyDescent="0.35">
      <c r="A1408" s="2"/>
    </row>
    <row r="1409" spans="1:1" x14ac:dyDescent="0.35">
      <c r="A1409" s="2"/>
    </row>
    <row r="1410" spans="1:1" x14ac:dyDescent="0.35">
      <c r="A1410" s="2"/>
    </row>
    <row r="1411" spans="1:1" x14ac:dyDescent="0.35">
      <c r="A1411" s="2"/>
    </row>
    <row r="1412" spans="1:1" x14ac:dyDescent="0.35">
      <c r="A1412" s="2"/>
    </row>
    <row r="1413" spans="1:1" x14ac:dyDescent="0.35">
      <c r="A1413" s="2"/>
    </row>
    <row r="1414" spans="1:1" x14ac:dyDescent="0.35">
      <c r="A1414" s="2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2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2"/>
    </row>
    <row r="1444" spans="1:1" x14ac:dyDescent="0.35">
      <c r="A1444" s="2"/>
    </row>
    <row r="1445" spans="1:1" x14ac:dyDescent="0.35">
      <c r="A1445" s="2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2"/>
    </row>
    <row r="1451" spans="1:1" x14ac:dyDescent="0.35">
      <c r="A1451" s="2"/>
    </row>
    <row r="1452" spans="1:1" x14ac:dyDescent="0.35">
      <c r="A1452" s="2"/>
    </row>
    <row r="1453" spans="1:1" x14ac:dyDescent="0.35">
      <c r="A1453" s="2"/>
    </row>
    <row r="1454" spans="1:1" x14ac:dyDescent="0.35">
      <c r="A1454" s="2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2"/>
    </row>
    <row r="1460" spans="1:1" x14ac:dyDescent="0.35">
      <c r="A1460" s="2"/>
    </row>
    <row r="1461" spans="1:1" x14ac:dyDescent="0.35">
      <c r="A1461" s="2"/>
    </row>
    <row r="1462" spans="1:1" x14ac:dyDescent="0.35">
      <c r="A1462" s="2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2"/>
    </row>
    <row r="1468" spans="1:1" x14ac:dyDescent="0.35">
      <c r="A1468" s="2"/>
    </row>
    <row r="1469" spans="1:1" x14ac:dyDescent="0.35">
      <c r="A1469" s="2"/>
    </row>
    <row r="1470" spans="1:1" x14ac:dyDescent="0.35">
      <c r="A1470" s="2"/>
    </row>
    <row r="1471" spans="1:1" x14ac:dyDescent="0.35">
      <c r="A1471" s="2"/>
    </row>
    <row r="1472" spans="1:1" x14ac:dyDescent="0.35">
      <c r="A1472" s="2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2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2"/>
    </row>
    <row r="1482" spans="1:1" x14ac:dyDescent="0.35">
      <c r="A1482" s="2"/>
    </row>
    <row r="1483" spans="1:1" x14ac:dyDescent="0.35">
      <c r="A1483" s="2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2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2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2"/>
    </row>
    <row r="1500" spans="1:1" x14ac:dyDescent="0.35">
      <c r="A1500" s="2"/>
    </row>
    <row r="1501" spans="1:1" x14ac:dyDescent="0.35">
      <c r="A1501" s="2"/>
    </row>
    <row r="1502" spans="1:1" x14ac:dyDescent="0.35">
      <c r="A1502" s="2"/>
    </row>
    <row r="1503" spans="1:1" x14ac:dyDescent="0.35">
      <c r="A1503" s="2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2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2"/>
    </row>
    <row r="1513" spans="1:1" x14ac:dyDescent="0.35">
      <c r="A1513" s="2"/>
    </row>
    <row r="1514" spans="1:1" x14ac:dyDescent="0.35">
      <c r="A1514" s="2"/>
    </row>
    <row r="1515" spans="1:1" x14ac:dyDescent="0.35">
      <c r="A1515" s="2"/>
    </row>
    <row r="1516" spans="1:1" x14ac:dyDescent="0.35">
      <c r="A1516" s="2"/>
    </row>
    <row r="1517" spans="1:1" x14ac:dyDescent="0.35">
      <c r="A1517" s="2"/>
    </row>
    <row r="1518" spans="1:1" x14ac:dyDescent="0.35">
      <c r="A1518" s="2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2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2"/>
    </row>
    <row r="1532" spans="1:1" x14ac:dyDescent="0.35">
      <c r="A1532" s="2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2"/>
    </row>
    <row r="1546" spans="1:1" x14ac:dyDescent="0.35">
      <c r="A1546" s="2"/>
    </row>
    <row r="1547" spans="1:1" x14ac:dyDescent="0.35">
      <c r="A1547" s="2"/>
    </row>
    <row r="1548" spans="1:1" x14ac:dyDescent="0.35">
      <c r="A1548" s="2"/>
    </row>
    <row r="1549" spans="1:1" x14ac:dyDescent="0.35">
      <c r="A1549" s="2"/>
    </row>
    <row r="1550" spans="1:1" x14ac:dyDescent="0.35">
      <c r="A1550" s="2"/>
    </row>
    <row r="1551" spans="1:1" x14ac:dyDescent="0.35">
      <c r="A1551" s="2"/>
    </row>
    <row r="1552" spans="1:1" x14ac:dyDescent="0.35">
      <c r="A1552" s="2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2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2"/>
    </row>
    <row r="1565" spans="1:1" x14ac:dyDescent="0.35">
      <c r="A1565" s="2"/>
    </row>
    <row r="1566" spans="1:1" x14ac:dyDescent="0.35">
      <c r="A1566" s="2"/>
    </row>
    <row r="1567" spans="1:1" x14ac:dyDescent="0.35">
      <c r="A1567" s="2"/>
    </row>
    <row r="1568" spans="1:1" x14ac:dyDescent="0.35">
      <c r="A1568" s="2"/>
    </row>
    <row r="1569" spans="1:1" x14ac:dyDescent="0.35">
      <c r="A1569" s="2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2"/>
    </row>
    <row r="1575" spans="1:1" x14ac:dyDescent="0.35">
      <c r="A1575" s="2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2"/>
    </row>
    <row r="1582" spans="1:1" x14ac:dyDescent="0.35">
      <c r="A1582" s="2"/>
    </row>
    <row r="1583" spans="1:1" x14ac:dyDescent="0.35">
      <c r="A1583" s="2"/>
    </row>
    <row r="1584" spans="1:1" x14ac:dyDescent="0.35">
      <c r="A1584" s="2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2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2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2"/>
    </row>
    <row r="1603" spans="1:1" x14ac:dyDescent="0.35">
      <c r="A1603" s="2"/>
    </row>
    <row r="1604" spans="1:1" x14ac:dyDescent="0.35">
      <c r="A1604" s="2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2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2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2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2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2"/>
    </row>
    <row r="1637" spans="1:1" x14ac:dyDescent="0.35">
      <c r="A1637" s="2"/>
    </row>
    <row r="1638" spans="1:1" x14ac:dyDescent="0.35">
      <c r="A1638" s="2"/>
    </row>
    <row r="1639" spans="1:1" x14ac:dyDescent="0.35">
      <c r="A1639" s="2"/>
    </row>
    <row r="1640" spans="1:1" x14ac:dyDescent="0.35">
      <c r="A1640" s="2"/>
    </row>
    <row r="1641" spans="1:1" x14ac:dyDescent="0.35">
      <c r="A1641" s="2"/>
    </row>
    <row r="1642" spans="1:1" x14ac:dyDescent="0.35">
      <c r="A1642" s="2"/>
    </row>
    <row r="1643" spans="1:1" x14ac:dyDescent="0.35">
      <c r="A1643" s="2"/>
    </row>
    <row r="1644" spans="1:1" x14ac:dyDescent="0.35">
      <c r="A1644" s="2"/>
    </row>
    <row r="1645" spans="1:1" x14ac:dyDescent="0.35">
      <c r="A1645" s="2"/>
    </row>
    <row r="1646" spans="1:1" x14ac:dyDescent="0.35">
      <c r="A1646" s="2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2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2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2"/>
    </row>
    <row r="1663" spans="1:1" x14ac:dyDescent="0.35">
      <c r="A1663" s="2"/>
    </row>
    <row r="1664" spans="1:1" x14ac:dyDescent="0.35">
      <c r="A1664" s="2"/>
    </row>
    <row r="1665" spans="1:1" x14ac:dyDescent="0.35">
      <c r="A1665" s="2"/>
    </row>
    <row r="1666" spans="1:1" x14ac:dyDescent="0.35">
      <c r="A1666" s="2"/>
    </row>
    <row r="1667" spans="1:1" x14ac:dyDescent="0.35">
      <c r="A1667" s="2"/>
    </row>
    <row r="1668" spans="1:1" x14ac:dyDescent="0.35">
      <c r="A1668" s="2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2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2"/>
    </row>
    <row r="1683" spans="1:1" x14ac:dyDescent="0.35">
      <c r="A1683" s="2"/>
    </row>
    <row r="1684" spans="1:1" x14ac:dyDescent="0.35">
      <c r="A1684" s="2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2"/>
    </row>
    <row r="1689" spans="1:1" x14ac:dyDescent="0.35">
      <c r="A1689" s="2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2"/>
    </row>
    <row r="1695" spans="1:1" x14ac:dyDescent="0.35">
      <c r="A1695" s="2"/>
    </row>
    <row r="1696" spans="1:1" x14ac:dyDescent="0.35">
      <c r="A1696" s="2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2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2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2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2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2"/>
    </row>
    <row r="1731" spans="1:1" x14ac:dyDescent="0.35">
      <c r="A1731" s="2"/>
    </row>
    <row r="1732" spans="1:1" x14ac:dyDescent="0.35">
      <c r="A1732" s="2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2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2"/>
    </row>
    <row r="1744" spans="1:1" x14ac:dyDescent="0.35">
      <c r="A1744" s="2"/>
    </row>
    <row r="1745" spans="1:1" x14ac:dyDescent="0.35">
      <c r="A1745" s="2"/>
    </row>
    <row r="1746" spans="1:1" x14ac:dyDescent="0.35">
      <c r="A1746" s="2"/>
    </row>
    <row r="1747" spans="1:1" x14ac:dyDescent="0.35">
      <c r="A1747" s="2"/>
    </row>
    <row r="1748" spans="1:1" x14ac:dyDescent="0.35">
      <c r="A1748" s="2"/>
    </row>
    <row r="1749" spans="1:1" x14ac:dyDescent="0.35">
      <c r="A1749" s="2"/>
    </row>
    <row r="1750" spans="1:1" x14ac:dyDescent="0.35">
      <c r="A1750" s="2"/>
    </row>
    <row r="1751" spans="1:1" x14ac:dyDescent="0.35">
      <c r="A1751" s="2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2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2"/>
    </row>
    <row r="1766" spans="1:1" x14ac:dyDescent="0.35">
      <c r="A1766" s="2"/>
    </row>
    <row r="1767" spans="1:1" x14ac:dyDescent="0.35">
      <c r="A1767" s="2"/>
    </row>
    <row r="1768" spans="1:1" x14ac:dyDescent="0.35">
      <c r="A1768" s="2"/>
    </row>
    <row r="1769" spans="1:1" x14ac:dyDescent="0.35">
      <c r="A1769" s="2"/>
    </row>
    <row r="1770" spans="1:1" x14ac:dyDescent="0.35">
      <c r="A1770" s="2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2"/>
    </row>
    <row r="1777" spans="1:1" x14ac:dyDescent="0.35">
      <c r="A1777" s="2"/>
    </row>
    <row r="1778" spans="1:1" x14ac:dyDescent="0.35">
      <c r="A1778" s="2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2"/>
    </row>
    <row r="1790" spans="1:1" x14ac:dyDescent="0.35">
      <c r="A1790" s="2"/>
    </row>
    <row r="1791" spans="1:1" x14ac:dyDescent="0.35">
      <c r="A1791" s="2"/>
    </row>
    <row r="1792" spans="1:1" x14ac:dyDescent="0.35">
      <c r="A1792" s="2"/>
    </row>
    <row r="1793" spans="1:1" x14ac:dyDescent="0.35">
      <c r="A1793" s="2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2"/>
    </row>
    <row r="1802" spans="1:1" x14ac:dyDescent="0.35">
      <c r="A1802" s="2"/>
    </row>
    <row r="1803" spans="1:1" x14ac:dyDescent="0.35">
      <c r="A1803" s="2"/>
    </row>
    <row r="1804" spans="1:1" x14ac:dyDescent="0.35">
      <c r="A1804" s="2"/>
    </row>
    <row r="1805" spans="1:1" x14ac:dyDescent="0.35">
      <c r="A1805" s="2"/>
    </row>
    <row r="1806" spans="1:1" x14ac:dyDescent="0.35">
      <c r="A1806" s="2"/>
    </row>
    <row r="1807" spans="1:1" x14ac:dyDescent="0.35">
      <c r="A1807" s="2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2"/>
    </row>
    <row r="1816" spans="1:1" x14ac:dyDescent="0.35">
      <c r="A1816" s="2"/>
    </row>
    <row r="1817" spans="1:1" x14ac:dyDescent="0.35">
      <c r="A1817" s="2"/>
    </row>
    <row r="1818" spans="1:1" x14ac:dyDescent="0.35">
      <c r="A1818" s="2"/>
    </row>
    <row r="1819" spans="1:1" x14ac:dyDescent="0.35">
      <c r="A1819" s="2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2"/>
    </row>
    <row r="1827" spans="1:1" x14ac:dyDescent="0.35">
      <c r="A1827" s="2"/>
    </row>
    <row r="1828" spans="1:1" x14ac:dyDescent="0.35">
      <c r="A1828" s="2"/>
    </row>
    <row r="1829" spans="1:1" x14ac:dyDescent="0.35">
      <c r="A1829" s="2"/>
    </row>
    <row r="1830" spans="1:1" x14ac:dyDescent="0.35">
      <c r="A1830" s="2"/>
    </row>
    <row r="1831" spans="1:1" x14ac:dyDescent="0.35">
      <c r="A1831" s="2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2"/>
    </row>
    <row r="1840" spans="1:1" x14ac:dyDescent="0.35">
      <c r="A1840" s="2"/>
    </row>
    <row r="1841" spans="1:1" x14ac:dyDescent="0.35">
      <c r="A1841" s="2"/>
    </row>
    <row r="1842" spans="1:1" x14ac:dyDescent="0.35">
      <c r="A1842" s="2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2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2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2"/>
    </row>
    <row r="1876" spans="1:1" x14ac:dyDescent="0.35">
      <c r="A1876" s="2"/>
    </row>
    <row r="1877" spans="1:1" x14ac:dyDescent="0.35">
      <c r="A1877" s="2"/>
    </row>
    <row r="1878" spans="1:1" x14ac:dyDescent="0.35">
      <c r="A1878" s="2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2"/>
    </row>
    <row r="1888" spans="1:1" x14ac:dyDescent="0.35">
      <c r="A1888" s="2"/>
    </row>
    <row r="1889" spans="1:1" x14ac:dyDescent="0.35">
      <c r="A1889" s="2"/>
    </row>
    <row r="1890" spans="1:1" x14ac:dyDescent="0.35">
      <c r="A1890" s="2"/>
    </row>
    <row r="1891" spans="1:1" x14ac:dyDescent="0.35">
      <c r="A1891" s="2"/>
    </row>
    <row r="1892" spans="1:1" x14ac:dyDescent="0.35">
      <c r="A1892" s="2"/>
    </row>
    <row r="1893" spans="1:1" x14ac:dyDescent="0.35">
      <c r="A1893" s="2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2"/>
    </row>
    <row r="1898" spans="1:1" x14ac:dyDescent="0.35">
      <c r="A1898" s="2"/>
    </row>
    <row r="1899" spans="1:1" x14ac:dyDescent="0.35">
      <c r="A1899" s="2"/>
    </row>
    <row r="1900" spans="1:1" x14ac:dyDescent="0.35">
      <c r="A1900" s="2"/>
    </row>
    <row r="1901" spans="1:1" x14ac:dyDescent="0.35">
      <c r="A1901" s="2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2"/>
    </row>
    <row r="1911" spans="1:1" x14ac:dyDescent="0.35">
      <c r="A1911" s="2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2"/>
    </row>
    <row r="1927" spans="1:1" x14ac:dyDescent="0.35">
      <c r="A1927" s="2"/>
    </row>
    <row r="1928" spans="1:1" x14ac:dyDescent="0.35">
      <c r="A1928" s="2"/>
    </row>
    <row r="1929" spans="1:1" x14ac:dyDescent="0.35">
      <c r="A1929" s="2"/>
    </row>
    <row r="1930" spans="1:1" x14ac:dyDescent="0.35">
      <c r="A1930" s="2"/>
    </row>
    <row r="1931" spans="1:1" x14ac:dyDescent="0.35">
      <c r="A1931" s="2"/>
    </row>
    <row r="1932" spans="1:1" x14ac:dyDescent="0.35">
      <c r="A1932" s="2"/>
    </row>
    <row r="1933" spans="1:1" x14ac:dyDescent="0.35">
      <c r="A1933" s="2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2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2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2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2"/>
    </row>
    <row r="1957" spans="1:1" x14ac:dyDescent="0.35">
      <c r="A1957" s="2"/>
    </row>
    <row r="1958" spans="1:1" x14ac:dyDescent="0.35">
      <c r="A1958" s="2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2"/>
    </row>
    <row r="1965" spans="1:1" x14ac:dyDescent="0.35">
      <c r="A1965" s="2"/>
    </row>
    <row r="1966" spans="1:1" x14ac:dyDescent="0.35">
      <c r="A1966" s="2"/>
    </row>
    <row r="1967" spans="1:1" x14ac:dyDescent="0.35">
      <c r="A1967" s="2"/>
    </row>
    <row r="1968" spans="1:1" x14ac:dyDescent="0.35">
      <c r="A1968" s="2"/>
    </row>
    <row r="1969" spans="1:1" x14ac:dyDescent="0.35">
      <c r="A1969" s="2"/>
    </row>
    <row r="1970" spans="1:1" x14ac:dyDescent="0.35">
      <c r="A1970" s="2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2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2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2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2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2"/>
    </row>
    <row r="2005" spans="1:1" x14ac:dyDescent="0.35">
      <c r="A2005" s="2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2"/>
    </row>
    <row r="2030" spans="1:1" x14ac:dyDescent="0.35">
      <c r="A2030" s="2"/>
    </row>
    <row r="2031" spans="1:1" x14ac:dyDescent="0.35">
      <c r="A2031" s="2"/>
    </row>
    <row r="2032" spans="1:1" x14ac:dyDescent="0.35">
      <c r="A2032" s="2"/>
    </row>
    <row r="2033" spans="1:1" x14ac:dyDescent="0.35">
      <c r="A2033" s="2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2"/>
    </row>
    <row r="2042" spans="1:1" x14ac:dyDescent="0.35">
      <c r="A2042" s="2"/>
    </row>
    <row r="2043" spans="1:1" x14ac:dyDescent="0.35">
      <c r="A2043" s="2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2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2"/>
    </row>
    <row r="2052" spans="1:1" x14ac:dyDescent="0.35">
      <c r="A2052" s="2"/>
    </row>
    <row r="2053" spans="1:1" x14ac:dyDescent="0.35">
      <c r="A2053" s="2"/>
    </row>
    <row r="2054" spans="1:1" x14ac:dyDescent="0.35">
      <c r="A2054" s="2"/>
    </row>
    <row r="2055" spans="1:1" x14ac:dyDescent="0.35">
      <c r="A2055" s="2"/>
    </row>
    <row r="2056" spans="1:1" x14ac:dyDescent="0.35">
      <c r="A2056" s="2"/>
    </row>
    <row r="2057" spans="1:1" x14ac:dyDescent="0.35">
      <c r="A2057" s="2"/>
    </row>
    <row r="2058" spans="1:1" x14ac:dyDescent="0.35">
      <c r="A2058" s="2"/>
    </row>
    <row r="2059" spans="1:1" x14ac:dyDescent="0.35">
      <c r="A2059" s="2"/>
    </row>
    <row r="2060" spans="1:1" x14ac:dyDescent="0.35">
      <c r="A2060" s="2"/>
    </row>
    <row r="2061" spans="1:1" x14ac:dyDescent="0.35">
      <c r="A2061" s="2"/>
    </row>
    <row r="2062" spans="1:1" x14ac:dyDescent="0.35">
      <c r="A2062" s="2"/>
    </row>
    <row r="2063" spans="1:1" x14ac:dyDescent="0.35">
      <c r="A2063" s="2"/>
    </row>
    <row r="2064" spans="1:1" x14ac:dyDescent="0.35">
      <c r="A2064" s="2"/>
    </row>
    <row r="2065" spans="1:1" x14ac:dyDescent="0.35">
      <c r="A2065" s="2"/>
    </row>
    <row r="2066" spans="1:1" x14ac:dyDescent="0.35">
      <c r="A2066" s="2"/>
    </row>
    <row r="2067" spans="1:1" x14ac:dyDescent="0.35">
      <c r="A2067" s="2"/>
    </row>
    <row r="2068" spans="1:1" x14ac:dyDescent="0.35">
      <c r="A2068" s="2"/>
    </row>
    <row r="2069" spans="1:1" x14ac:dyDescent="0.35">
      <c r="A2069" s="2"/>
    </row>
    <row r="2070" spans="1:1" x14ac:dyDescent="0.35">
      <c r="A2070" s="2"/>
    </row>
    <row r="2071" spans="1:1" x14ac:dyDescent="0.35">
      <c r="A2071" s="2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2"/>
    </row>
    <row r="2082" spans="1:1" x14ac:dyDescent="0.35">
      <c r="A2082" s="2"/>
    </row>
    <row r="2083" spans="1:1" x14ac:dyDescent="0.35">
      <c r="A2083" s="2"/>
    </row>
    <row r="2084" spans="1:1" x14ac:dyDescent="0.35">
      <c r="A2084" s="2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2"/>
    </row>
    <row r="2102" spans="1:1" x14ac:dyDescent="0.35">
      <c r="A2102" s="2"/>
    </row>
    <row r="2103" spans="1:1" x14ac:dyDescent="0.35">
      <c r="A2103" s="2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2"/>
    </row>
    <row r="2120" spans="1:1" x14ac:dyDescent="0.35">
      <c r="A2120" s="2"/>
    </row>
    <row r="2121" spans="1:1" x14ac:dyDescent="0.35">
      <c r="A2121" s="2"/>
    </row>
    <row r="2122" spans="1:1" x14ac:dyDescent="0.35">
      <c r="A2122" s="2"/>
    </row>
    <row r="2123" spans="1:1" x14ac:dyDescent="0.35">
      <c r="A2123" s="2"/>
    </row>
    <row r="2124" spans="1:1" x14ac:dyDescent="0.35">
      <c r="A2124" s="2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2"/>
    </row>
    <row r="2135" spans="1:1" x14ac:dyDescent="0.35">
      <c r="A2135" s="2"/>
    </row>
    <row r="2136" spans="1:1" x14ac:dyDescent="0.35">
      <c r="A2136" s="2"/>
    </row>
    <row r="2137" spans="1:1" x14ac:dyDescent="0.35">
      <c r="A2137" s="2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2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2"/>
    </row>
    <row r="2161" spans="1:1" x14ac:dyDescent="0.35">
      <c r="A2161" s="2"/>
    </row>
    <row r="2162" spans="1:1" x14ac:dyDescent="0.35">
      <c r="A2162" s="2"/>
    </row>
    <row r="2163" spans="1:1" x14ac:dyDescent="0.35">
      <c r="A2163" s="2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2"/>
    </row>
    <row r="2168" spans="1:1" x14ac:dyDescent="0.35">
      <c r="A2168" s="2"/>
    </row>
    <row r="2169" spans="1:1" x14ac:dyDescent="0.35">
      <c r="A2169" s="2"/>
    </row>
    <row r="2170" spans="1:1" x14ac:dyDescent="0.35">
      <c r="A2170" s="2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2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2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2"/>
    </row>
    <row r="2185" spans="1:1" x14ac:dyDescent="0.35">
      <c r="A2185" s="2"/>
    </row>
    <row r="2186" spans="1:1" x14ac:dyDescent="0.35">
      <c r="A2186" s="2"/>
    </row>
    <row r="2187" spans="1:1" x14ac:dyDescent="0.35">
      <c r="A2187" s="2"/>
    </row>
    <row r="2188" spans="1:1" x14ac:dyDescent="0.35">
      <c r="A2188" s="2"/>
    </row>
    <row r="2189" spans="1:1" x14ac:dyDescent="0.35">
      <c r="A2189" s="2"/>
    </row>
    <row r="2190" spans="1:1" x14ac:dyDescent="0.35">
      <c r="A2190" s="2"/>
    </row>
    <row r="2191" spans="1:1" x14ac:dyDescent="0.35">
      <c r="A2191" s="2"/>
    </row>
    <row r="2192" spans="1:1" x14ac:dyDescent="0.35">
      <c r="A2192" s="2"/>
    </row>
    <row r="2193" spans="1:1" x14ac:dyDescent="0.35">
      <c r="A2193" s="2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2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2"/>
    </row>
    <row r="2207" spans="1:1" x14ac:dyDescent="0.35">
      <c r="A2207" s="2"/>
    </row>
    <row r="2208" spans="1:1" x14ac:dyDescent="0.35">
      <c r="A2208" s="2"/>
    </row>
    <row r="2209" spans="1:1" x14ac:dyDescent="0.35">
      <c r="A2209" s="2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2"/>
    </row>
    <row r="2214" spans="1:1" x14ac:dyDescent="0.35">
      <c r="A2214" s="2"/>
    </row>
    <row r="2215" spans="1:1" x14ac:dyDescent="0.35">
      <c r="A2215" s="2"/>
    </row>
    <row r="2216" spans="1:1" x14ac:dyDescent="0.35">
      <c r="A2216" s="2"/>
    </row>
    <row r="2217" spans="1:1" x14ac:dyDescent="0.35">
      <c r="A2217" s="2"/>
    </row>
    <row r="2218" spans="1:1" x14ac:dyDescent="0.35">
      <c r="A2218" s="2"/>
    </row>
    <row r="2219" spans="1:1" x14ac:dyDescent="0.35">
      <c r="A2219" s="2"/>
    </row>
    <row r="2220" spans="1:1" x14ac:dyDescent="0.35">
      <c r="A2220" s="2"/>
    </row>
    <row r="2221" spans="1:1" x14ac:dyDescent="0.35">
      <c r="A2221" s="2"/>
    </row>
    <row r="2222" spans="1:1" x14ac:dyDescent="0.35">
      <c r="A2222" s="2"/>
    </row>
    <row r="2223" spans="1:1" x14ac:dyDescent="0.35">
      <c r="A2223" s="2"/>
    </row>
    <row r="2224" spans="1:1" x14ac:dyDescent="0.35">
      <c r="A2224" s="2"/>
    </row>
    <row r="2225" spans="1:1" x14ac:dyDescent="0.35">
      <c r="A2225" s="2"/>
    </row>
    <row r="2226" spans="1:1" x14ac:dyDescent="0.35">
      <c r="A2226" s="2"/>
    </row>
    <row r="2227" spans="1:1" x14ac:dyDescent="0.35">
      <c r="A2227" s="2"/>
    </row>
    <row r="2228" spans="1:1" x14ac:dyDescent="0.35">
      <c r="A2228" s="2"/>
    </row>
    <row r="2229" spans="1:1" x14ac:dyDescent="0.35">
      <c r="A2229" s="2"/>
    </row>
    <row r="2230" spans="1:1" x14ac:dyDescent="0.35">
      <c r="A2230" s="2"/>
    </row>
    <row r="2231" spans="1:1" x14ac:dyDescent="0.35">
      <c r="A2231" s="2"/>
    </row>
    <row r="2232" spans="1:1" x14ac:dyDescent="0.35">
      <c r="A2232" s="2"/>
    </row>
    <row r="2233" spans="1:1" x14ac:dyDescent="0.35">
      <c r="A2233" s="2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2"/>
    </row>
    <row r="2249" spans="1:1" x14ac:dyDescent="0.35">
      <c r="A2249" s="2"/>
    </row>
    <row r="2250" spans="1:1" x14ac:dyDescent="0.35">
      <c r="A2250" s="2"/>
    </row>
    <row r="2251" spans="1:1" x14ac:dyDescent="0.35">
      <c r="A2251" s="2"/>
    </row>
    <row r="2252" spans="1:1" x14ac:dyDescent="0.35">
      <c r="A2252" s="2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2"/>
    </row>
    <row r="2257" spans="1:1" x14ac:dyDescent="0.35">
      <c r="A2257" s="2"/>
    </row>
    <row r="2258" spans="1:1" x14ac:dyDescent="0.35">
      <c r="A2258" s="2"/>
    </row>
    <row r="2259" spans="1:1" x14ac:dyDescent="0.35">
      <c r="A2259" s="2"/>
    </row>
    <row r="2260" spans="1:1" x14ac:dyDescent="0.35">
      <c r="A2260" s="2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2"/>
    </row>
    <row r="2265" spans="1:1" x14ac:dyDescent="0.35">
      <c r="A2265" s="2"/>
    </row>
    <row r="2266" spans="1:1" x14ac:dyDescent="0.35">
      <c r="A2266" s="2"/>
    </row>
    <row r="2267" spans="1:1" x14ac:dyDescent="0.35">
      <c r="A2267" s="2"/>
    </row>
    <row r="2268" spans="1:1" x14ac:dyDescent="0.35">
      <c r="A2268" s="2"/>
    </row>
    <row r="2269" spans="1:1" x14ac:dyDescent="0.35">
      <c r="A2269" s="2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2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2"/>
    </row>
    <row r="2284" spans="1:1" x14ac:dyDescent="0.35">
      <c r="A2284" s="2"/>
    </row>
    <row r="2285" spans="1:1" x14ac:dyDescent="0.35">
      <c r="A2285" s="2"/>
    </row>
    <row r="2286" spans="1:1" x14ac:dyDescent="0.35">
      <c r="A2286" s="2"/>
    </row>
    <row r="2287" spans="1:1" x14ac:dyDescent="0.35">
      <c r="A2287" s="2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2"/>
    </row>
    <row r="2293" spans="1:1" x14ac:dyDescent="0.35">
      <c r="A2293" s="2"/>
    </row>
    <row r="2294" spans="1:1" x14ac:dyDescent="0.35">
      <c r="A2294" s="2"/>
    </row>
    <row r="2295" spans="1:1" x14ac:dyDescent="0.35">
      <c r="A2295" s="2"/>
    </row>
    <row r="2296" spans="1:1" x14ac:dyDescent="0.35">
      <c r="A2296" s="2"/>
    </row>
    <row r="2297" spans="1:1" x14ac:dyDescent="0.35">
      <c r="A2297" s="2"/>
    </row>
    <row r="2298" spans="1:1" x14ac:dyDescent="0.35">
      <c r="A2298" s="2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2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2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2"/>
    </row>
    <row r="2319" spans="1:1" x14ac:dyDescent="0.35">
      <c r="A2319" s="2"/>
    </row>
    <row r="2320" spans="1:1" x14ac:dyDescent="0.35">
      <c r="A2320" s="2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2"/>
    </row>
    <row r="2327" spans="1:1" x14ac:dyDescent="0.35">
      <c r="A2327" s="2"/>
    </row>
    <row r="2328" spans="1:1" x14ac:dyDescent="0.35">
      <c r="A2328" s="2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2"/>
    </row>
    <row r="2337" spans="1:1" x14ac:dyDescent="0.35">
      <c r="A2337" s="2"/>
    </row>
    <row r="2338" spans="1:1" x14ac:dyDescent="0.35">
      <c r="A2338" s="2"/>
    </row>
    <row r="2339" spans="1:1" x14ac:dyDescent="0.35">
      <c r="A2339" s="2"/>
    </row>
    <row r="2340" spans="1:1" x14ac:dyDescent="0.35">
      <c r="A2340" s="2"/>
    </row>
    <row r="2341" spans="1:1" x14ac:dyDescent="0.35">
      <c r="A2341" s="2"/>
    </row>
    <row r="2342" spans="1:1" x14ac:dyDescent="0.35">
      <c r="A2342" s="2"/>
    </row>
    <row r="2343" spans="1:1" x14ac:dyDescent="0.35">
      <c r="A2343" s="2"/>
    </row>
    <row r="2344" spans="1:1" x14ac:dyDescent="0.35">
      <c r="A2344" s="2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2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2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2"/>
    </row>
    <row r="2364" spans="1:1" x14ac:dyDescent="0.35">
      <c r="A2364" s="2"/>
    </row>
    <row r="2365" spans="1:1" x14ac:dyDescent="0.35">
      <c r="A2365" s="2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2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2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2"/>
    </row>
    <row r="2382" spans="1:1" x14ac:dyDescent="0.35">
      <c r="A2382" s="2"/>
    </row>
    <row r="2383" spans="1:1" x14ac:dyDescent="0.35">
      <c r="A2383" s="2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2"/>
    </row>
    <row r="2388" spans="1:1" x14ac:dyDescent="0.35">
      <c r="A2388" s="2"/>
    </row>
    <row r="2389" spans="1:1" x14ac:dyDescent="0.35">
      <c r="A2389" s="2"/>
    </row>
    <row r="2390" spans="1:1" x14ac:dyDescent="0.35">
      <c r="A2390" s="2"/>
    </row>
    <row r="2391" spans="1:1" x14ac:dyDescent="0.35">
      <c r="A2391" s="2"/>
    </row>
    <row r="2392" spans="1:1" x14ac:dyDescent="0.35">
      <c r="A2392" s="2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2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2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2"/>
    </row>
    <row r="2413" spans="1:1" x14ac:dyDescent="0.35">
      <c r="A2413" s="2"/>
    </row>
    <row r="2414" spans="1:1" x14ac:dyDescent="0.35">
      <c r="A2414" s="2"/>
    </row>
    <row r="2415" spans="1:1" x14ac:dyDescent="0.35">
      <c r="A2415" s="2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2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2"/>
    </row>
    <row r="2426" spans="1:1" x14ac:dyDescent="0.35">
      <c r="A2426" s="2"/>
    </row>
    <row r="2427" spans="1:1" x14ac:dyDescent="0.35">
      <c r="A2427" s="2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2"/>
    </row>
    <row r="2432" spans="1:1" x14ac:dyDescent="0.35">
      <c r="A2432" s="2"/>
    </row>
    <row r="2433" spans="1:1" x14ac:dyDescent="0.35">
      <c r="A2433" s="2"/>
    </row>
    <row r="2434" spans="1:1" x14ac:dyDescent="0.35">
      <c r="A2434" s="2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2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2"/>
    </row>
    <row r="2443" spans="1:1" x14ac:dyDescent="0.35">
      <c r="A2443" s="2"/>
    </row>
    <row r="2444" spans="1:1" x14ac:dyDescent="0.35">
      <c r="A2444" s="2"/>
    </row>
    <row r="2445" spans="1:1" x14ac:dyDescent="0.35">
      <c r="A2445" s="2"/>
    </row>
    <row r="2446" spans="1:1" x14ac:dyDescent="0.35">
      <c r="A2446" s="2"/>
    </row>
    <row r="2447" spans="1:1" x14ac:dyDescent="0.35">
      <c r="A2447" s="2"/>
    </row>
    <row r="2448" spans="1:1" x14ac:dyDescent="0.35">
      <c r="A2448" s="2"/>
    </row>
    <row r="2449" spans="1:1" x14ac:dyDescent="0.35">
      <c r="A2449" s="2"/>
    </row>
    <row r="2450" spans="1:1" x14ac:dyDescent="0.35">
      <c r="A2450" s="2"/>
    </row>
    <row r="2451" spans="1:1" x14ac:dyDescent="0.35">
      <c r="A2451" s="2"/>
    </row>
    <row r="2452" spans="1:1" x14ac:dyDescent="0.35">
      <c r="A2452" s="2"/>
    </row>
    <row r="2453" spans="1:1" x14ac:dyDescent="0.35">
      <c r="A2453" s="2"/>
    </row>
    <row r="2454" spans="1:1" x14ac:dyDescent="0.35">
      <c r="A2454" s="2"/>
    </row>
    <row r="2455" spans="1:1" x14ac:dyDescent="0.35">
      <c r="A2455" s="2"/>
    </row>
    <row r="2456" spans="1:1" x14ac:dyDescent="0.35">
      <c r="A2456" s="2"/>
    </row>
    <row r="2457" spans="1:1" x14ac:dyDescent="0.35">
      <c r="A2457" s="2"/>
    </row>
    <row r="2458" spans="1:1" x14ac:dyDescent="0.35">
      <c r="A2458" s="2"/>
    </row>
    <row r="2459" spans="1:1" x14ac:dyDescent="0.35">
      <c r="A2459" s="2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2"/>
    </row>
    <row r="2465" spans="1:1" x14ac:dyDescent="0.35">
      <c r="A2465" s="2"/>
    </row>
    <row r="2466" spans="1:1" x14ac:dyDescent="0.35">
      <c r="A2466" s="2"/>
    </row>
    <row r="2467" spans="1:1" x14ac:dyDescent="0.35">
      <c r="A2467" s="2"/>
    </row>
    <row r="2468" spans="1:1" x14ac:dyDescent="0.35">
      <c r="A2468" s="2"/>
    </row>
    <row r="2469" spans="1:1" x14ac:dyDescent="0.35">
      <c r="A2469" s="2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2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2"/>
    </row>
    <row r="2492" spans="1:1" x14ac:dyDescent="0.35">
      <c r="A2492" s="2"/>
    </row>
    <row r="2493" spans="1:1" x14ac:dyDescent="0.35">
      <c r="A2493" s="2"/>
    </row>
    <row r="2494" spans="1:1" x14ac:dyDescent="0.35">
      <c r="A2494" s="2"/>
    </row>
    <row r="2495" spans="1:1" x14ac:dyDescent="0.35">
      <c r="A2495" s="2"/>
    </row>
    <row r="2496" spans="1:1" x14ac:dyDescent="0.35">
      <c r="A2496" s="2"/>
    </row>
    <row r="2497" spans="1:1" x14ac:dyDescent="0.35">
      <c r="A2497" s="2"/>
    </row>
    <row r="2498" spans="1:1" x14ac:dyDescent="0.35">
      <c r="A2498" s="2"/>
    </row>
    <row r="2499" spans="1:1" x14ac:dyDescent="0.35">
      <c r="A2499" s="2"/>
    </row>
    <row r="2500" spans="1:1" x14ac:dyDescent="0.35">
      <c r="A2500" s="2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2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2"/>
    </row>
    <row r="2513" spans="1:1" x14ac:dyDescent="0.35">
      <c r="A2513" s="2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2"/>
    </row>
    <row r="2520" spans="1:1" x14ac:dyDescent="0.35">
      <c r="A2520" s="2"/>
    </row>
    <row r="2521" spans="1:1" x14ac:dyDescent="0.35">
      <c r="A2521" s="2"/>
    </row>
    <row r="2522" spans="1:1" x14ac:dyDescent="0.35">
      <c r="A2522" s="2"/>
    </row>
    <row r="2523" spans="1:1" x14ac:dyDescent="0.35">
      <c r="A2523" s="2"/>
    </row>
    <row r="2524" spans="1:1" x14ac:dyDescent="0.35">
      <c r="A2524" s="2"/>
    </row>
    <row r="2525" spans="1:1" x14ac:dyDescent="0.35">
      <c r="A2525" s="2"/>
    </row>
    <row r="2526" spans="1:1" x14ac:dyDescent="0.35">
      <c r="A2526" s="2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2"/>
    </row>
    <row r="2532" spans="1:1" x14ac:dyDescent="0.35">
      <c r="A2532" s="2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2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2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2"/>
    </row>
    <row r="2554" spans="1:1" x14ac:dyDescent="0.35">
      <c r="A2554" s="2"/>
    </row>
    <row r="2555" spans="1:1" x14ac:dyDescent="0.35">
      <c r="A2555" s="2"/>
    </row>
    <row r="2556" spans="1:1" x14ac:dyDescent="0.35">
      <c r="A2556" s="2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2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2"/>
    </row>
    <row r="2568" spans="1:1" x14ac:dyDescent="0.35">
      <c r="A2568" s="2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2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2"/>
    </row>
    <row r="2586" spans="1:1" x14ac:dyDescent="0.35">
      <c r="A2586" s="2"/>
    </row>
    <row r="2587" spans="1:1" x14ac:dyDescent="0.35">
      <c r="A2587" s="2"/>
    </row>
    <row r="2588" spans="1:1" x14ac:dyDescent="0.35">
      <c r="A2588" s="2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2"/>
    </row>
    <row r="2595" spans="1:1" x14ac:dyDescent="0.35">
      <c r="A2595" s="2"/>
    </row>
    <row r="2596" spans="1:1" x14ac:dyDescent="0.35">
      <c r="A2596" s="2"/>
    </row>
    <row r="2597" spans="1:1" x14ac:dyDescent="0.35">
      <c r="A2597" s="2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2"/>
    </row>
    <row r="2602" spans="1:1" x14ac:dyDescent="0.35">
      <c r="A2602" s="2"/>
    </row>
    <row r="2603" spans="1:1" x14ac:dyDescent="0.35">
      <c r="A2603" s="2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2"/>
    </row>
    <row r="2611" spans="1:1" x14ac:dyDescent="0.35">
      <c r="A2611" s="2"/>
    </row>
    <row r="2612" spans="1:1" x14ac:dyDescent="0.35">
      <c r="A2612" s="2"/>
    </row>
    <row r="2613" spans="1:1" x14ac:dyDescent="0.35">
      <c r="A261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25"/>
  <sheetViews>
    <sheetView topLeftCell="A16" workbookViewId="0">
      <selection activeCell="N27" sqref="N27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x14ac:dyDescent="0.35">
      <c r="A2" s="2" cm="1">
        <f t="array" ref="A2:A21">_xll.FDSB(C1,"JULIAN(FMA_EPS(NTMA,-20AY,0,CY,,""PORTAGG"",""MEANR"").dates)")</f>
        <v>38352</v>
      </c>
      <c r="B2" t="str" cm="1">
        <f t="array" ref="B2:B21">_xll.FDSB(B1,"FMA_EPS(NTMA,-20AY,0,CY,,""PORTAGG"",""MEANR"")")</f>
        <v/>
      </c>
      <c r="C2" cm="1">
        <f t="array" ref="C2:C21">_xll.FDSB(C1,"FMA_EPS(NTMA,-20AY,0,CY,,""PORTAGG"",""MEANR"")")</f>
        <v>1.18421421757289</v>
      </c>
      <c r="D2" cm="1">
        <f t="array" ref="D2:D21">_xll.FDSB(D1,"FMA_EPS(NTMA,-20AY,0,CY,,""PORTAGG"",""MEANR"")")</f>
        <v>1.2030920356358299</v>
      </c>
      <c r="E2" cm="1">
        <f t="array" ref="E2:E21">_xll.FDSB(E1,"FMA_EPS(NTMA,-20AY,0,CY,,""PORTAGG"",""MEANR"")")</f>
        <v>1.5206641104358301</v>
      </c>
      <c r="F2" cm="1">
        <f t="array" ref="F2:F21">_xll.FDSB(F1,"FMA_EPS(NTMA,-20AY,0,CY,,""PORTAGG"",""MEANR"")")</f>
        <v>2.8357200583240298</v>
      </c>
      <c r="G2" cm="1">
        <f t="array" ref="G2:G21">_xll.FDSB(G1,"FMA_EPS(NTMA,-20AY,0,CY,,""PORTAGG"",""MEANR"")")</f>
        <v>1.1516797861463699</v>
      </c>
      <c r="H2" cm="1">
        <f t="array" ref="H2:H21">_xll.FDSB(H1,"FMA_EPS(NTMA,-20AY,0,CY,,""PORTAGG"",""MEANR"")")</f>
        <v>2.78829402631307</v>
      </c>
      <c r="I2" cm="1">
        <f t="array" ref="I2:I21">_xll.FDSB(I1,"FMA_EPS(NTMA,-20AY,0,CY,,""PORTAGG"",""MEANR"")")</f>
        <v>1.4194312135232301</v>
      </c>
      <c r="J2" cm="1">
        <f t="array" ref="J2:J21">_xll.FDSB(J1,"FMA_EPS(NTMA,-20AY,0,CY,,""PORTAGG"",""MEANR"")")</f>
        <v>7.6074243913976698</v>
      </c>
      <c r="K2" cm="1">
        <f t="array" ref="K2:K21">_xll.FDSB(K1,"FMA_EPS(NTMA,-20AY,0,CY,,""PORTAGG"",""MEANR"")")</f>
        <v>2.0229379462087902</v>
      </c>
      <c r="L2" cm="1">
        <f t="array" ref="L2:L21">_xll.FDSB(L1,"FMA_EPS(NTMA,-20AY,0,CY,,""PORTAGG"",""MEANR"")")</f>
        <v>1.49109929215903</v>
      </c>
      <c r="M2" cm="1">
        <f t="array" ref="M2:M21">_xll.FDSB(M1,"FMA_EPS(NTMA,-20AY,0,CY,,""PORTAGG"",""MEANR"")")</f>
        <v>1.55275820794805</v>
      </c>
      <c r="N2" cm="1">
        <f t="array" ref="N2:N21">_xll.FDSB(N1,"FMA_EPS(NTMA,-20AY,0,CY,,""PORTAGG"",""MEANR"")")</f>
        <v>3.1691683391169998</v>
      </c>
    </row>
    <row r="3" spans="1:14" x14ac:dyDescent="0.35">
      <c r="A3" s="2">
        <v>38716</v>
      </c>
      <c r="B3" t="str">
        <v/>
      </c>
      <c r="C3">
        <v>1.3562293603437101</v>
      </c>
      <c r="D3">
        <v>1.5111635725994299</v>
      </c>
      <c r="E3">
        <v>1.60643474084628</v>
      </c>
      <c r="F3">
        <v>2.8483033593434901</v>
      </c>
      <c r="G3">
        <v>1.184604896687</v>
      </c>
      <c r="H3">
        <v>2.9493248466797501</v>
      </c>
      <c r="I3">
        <v>1.68578719870209</v>
      </c>
      <c r="J3">
        <v>8.8394289215288495</v>
      </c>
      <c r="K3">
        <v>2.0933820421534701</v>
      </c>
      <c r="L3">
        <v>1.5900517234347999</v>
      </c>
      <c r="M3">
        <v>1.5458174452232101</v>
      </c>
      <c r="N3">
        <v>3.1240599327945802</v>
      </c>
    </row>
    <row r="4" spans="1:14" x14ac:dyDescent="0.35">
      <c r="A4" s="2">
        <v>39080</v>
      </c>
      <c r="B4" t="str">
        <v/>
      </c>
      <c r="C4">
        <v>1.6822321953850301</v>
      </c>
      <c r="D4">
        <v>1.75142389864603</v>
      </c>
      <c r="E4">
        <v>2.1190990076223799</v>
      </c>
      <c r="F4">
        <v>3.2915693248682101</v>
      </c>
      <c r="G4">
        <v>1.51903625271091</v>
      </c>
      <c r="H4">
        <v>3.75488864741091</v>
      </c>
      <c r="I4">
        <v>1.9402737172403599</v>
      </c>
      <c r="J4">
        <v>9.8457810486035093</v>
      </c>
      <c r="K4">
        <v>2.6974001835861601</v>
      </c>
      <c r="L4">
        <v>2.1562573900311501</v>
      </c>
      <c r="M4">
        <v>2.1888616104008198</v>
      </c>
      <c r="N4">
        <v>5.0498128206668396</v>
      </c>
    </row>
    <row r="5" spans="1:14" x14ac:dyDescent="0.35">
      <c r="A5" s="2">
        <v>39447</v>
      </c>
      <c r="B5" t="str">
        <v/>
      </c>
      <c r="C5">
        <v>2.0121821176223702</v>
      </c>
      <c r="D5">
        <v>2.1316745003828599</v>
      </c>
      <c r="E5">
        <v>2.8066160833919702</v>
      </c>
      <c r="F5">
        <v>3.6677851567473598</v>
      </c>
      <c r="G5">
        <v>1.8333506194415199</v>
      </c>
      <c r="H5">
        <v>4.07523919059458</v>
      </c>
      <c r="I5">
        <v>2.3766956310061902</v>
      </c>
      <c r="J5">
        <v>10.5833561911057</v>
      </c>
      <c r="K5">
        <v>3.1669085058650999</v>
      </c>
      <c r="L5">
        <v>2.6269706848040699</v>
      </c>
      <c r="M5">
        <v>2.5443961056503102</v>
      </c>
      <c r="N5">
        <v>5.5622478487538798</v>
      </c>
    </row>
    <row r="6" spans="1:14" x14ac:dyDescent="0.35">
      <c r="A6" s="2">
        <v>39813</v>
      </c>
      <c r="B6" t="str">
        <v/>
      </c>
      <c r="C6">
        <v>1.47822239950882</v>
      </c>
      <c r="D6">
        <v>1.7197421838740601</v>
      </c>
      <c r="E6">
        <v>1.99715132688841</v>
      </c>
      <c r="F6">
        <v>2.7439300910939699</v>
      </c>
      <c r="G6">
        <v>1.66417500457453</v>
      </c>
      <c r="H6">
        <v>2.8187073838579999</v>
      </c>
      <c r="I6">
        <v>2.1704263725021899</v>
      </c>
      <c r="J6">
        <v>8.05373941846298</v>
      </c>
      <c r="K6">
        <v>2.36664992614361</v>
      </c>
      <c r="L6">
        <v>1.79921066251297</v>
      </c>
      <c r="M6">
        <v>1.5502793356884601</v>
      </c>
      <c r="N6">
        <v>4.1762479088087296</v>
      </c>
    </row>
    <row r="7" spans="1:14" x14ac:dyDescent="0.35">
      <c r="A7" s="2">
        <v>40178</v>
      </c>
      <c r="B7" t="str">
        <v/>
      </c>
      <c r="C7">
        <v>1.49861477471222</v>
      </c>
      <c r="D7">
        <v>1.7955182742496401</v>
      </c>
      <c r="E7">
        <v>1.7430087032969499</v>
      </c>
      <c r="F7">
        <v>1.93733358061505</v>
      </c>
      <c r="G7">
        <v>1.62932904763549</v>
      </c>
      <c r="H7">
        <v>2.6972177795125001</v>
      </c>
      <c r="I7">
        <v>2.6068713006048601</v>
      </c>
      <c r="J7">
        <v>8.0229753288056198</v>
      </c>
      <c r="K7">
        <v>2.07401175960449</v>
      </c>
      <c r="L7">
        <v>1.65442974417331</v>
      </c>
      <c r="M7">
        <v>1.3636179959986701</v>
      </c>
      <c r="N7">
        <v>3.0889280805206698</v>
      </c>
    </row>
    <row r="8" spans="1:14" x14ac:dyDescent="0.35">
      <c r="A8" s="2">
        <v>40543</v>
      </c>
      <c r="B8">
        <v>2.40890596176463</v>
      </c>
      <c r="C8">
        <v>2.0483223094466698</v>
      </c>
      <c r="D8">
        <v>2.0975427600624101</v>
      </c>
      <c r="E8">
        <v>2.1739080898383101</v>
      </c>
      <c r="F8">
        <v>3.1772932255046702</v>
      </c>
      <c r="G8">
        <v>1.9678735381535299</v>
      </c>
      <c r="H8">
        <v>3.3649566588267601</v>
      </c>
      <c r="I8">
        <v>3.6076350541358502</v>
      </c>
      <c r="J8">
        <v>9.85143912569227</v>
      </c>
      <c r="K8">
        <v>2.3625891780050199</v>
      </c>
      <c r="L8">
        <v>2.1135843669068999</v>
      </c>
      <c r="M8">
        <v>2.2720793258351502</v>
      </c>
      <c r="N8">
        <v>3.3235934809766499</v>
      </c>
    </row>
    <row r="9" spans="1:14" x14ac:dyDescent="0.35">
      <c r="A9" s="2">
        <v>40907</v>
      </c>
      <c r="B9">
        <v>2.2411742980394602</v>
      </c>
      <c r="C9">
        <v>2.08841813329258</v>
      </c>
      <c r="D9">
        <v>2.2894893869441</v>
      </c>
      <c r="E9">
        <v>2.1750966873773998</v>
      </c>
      <c r="F9">
        <v>3.0945812419319201</v>
      </c>
      <c r="G9">
        <v>1.8666865904430201</v>
      </c>
      <c r="H9">
        <v>3.4346817054560899</v>
      </c>
      <c r="I9">
        <v>4.63179037237028</v>
      </c>
      <c r="J9">
        <v>10.933615493869301</v>
      </c>
      <c r="K9">
        <v>2.15605314606315</v>
      </c>
      <c r="L9">
        <v>1.8405065939071099</v>
      </c>
      <c r="M9">
        <v>2.1825351702399201</v>
      </c>
      <c r="N9">
        <v>2.9871276586162501</v>
      </c>
    </row>
    <row r="10" spans="1:14" x14ac:dyDescent="0.35">
      <c r="A10" s="2">
        <v>41274</v>
      </c>
      <c r="B10">
        <v>2.40285148565594</v>
      </c>
      <c r="C10">
        <v>1.8915836506348001</v>
      </c>
      <c r="D10">
        <v>2.2176153002393399</v>
      </c>
      <c r="E10">
        <v>2.2735850086051101</v>
      </c>
      <c r="F10">
        <v>2.8747287105460999</v>
      </c>
      <c r="G10">
        <v>1.99956682614325</v>
      </c>
      <c r="H10">
        <v>3.30605625416888</v>
      </c>
      <c r="I10">
        <v>4.9723936001799096</v>
      </c>
      <c r="J10">
        <v>11.5093609233453</v>
      </c>
      <c r="K10">
        <v>2.1576437709053802</v>
      </c>
      <c r="L10">
        <v>1.84155905202006</v>
      </c>
      <c r="M10">
        <v>2.32063293486455</v>
      </c>
      <c r="N10">
        <v>2.8309927567607298</v>
      </c>
    </row>
    <row r="11" spans="1:14" x14ac:dyDescent="0.35">
      <c r="A11" s="2">
        <v>41639</v>
      </c>
      <c r="B11">
        <v>2.3121080896186399</v>
      </c>
      <c r="C11">
        <v>1.7190934434154901</v>
      </c>
      <c r="D11">
        <v>2.0201754576244202</v>
      </c>
      <c r="E11">
        <v>2.4061601417357799</v>
      </c>
      <c r="F11">
        <v>3.2749607108541601</v>
      </c>
      <c r="G11">
        <v>2.1608376401624301</v>
      </c>
      <c r="H11">
        <v>3.2321816852227601</v>
      </c>
      <c r="I11">
        <v>5.0145346891852203</v>
      </c>
      <c r="J11">
        <v>12.296272619920099</v>
      </c>
      <c r="K11">
        <v>2.1576872496622901</v>
      </c>
      <c r="L11">
        <v>1.8569478460726301</v>
      </c>
      <c r="M11">
        <v>2.3154506600636799</v>
      </c>
      <c r="N11">
        <v>2.5170904257716198</v>
      </c>
    </row>
    <row r="12" spans="1:14" x14ac:dyDescent="0.35">
      <c r="A12" s="2">
        <v>42004</v>
      </c>
      <c r="B12">
        <v>2.1949219382035401</v>
      </c>
      <c r="C12">
        <v>1.5192022293630101</v>
      </c>
      <c r="D12">
        <v>1.8613047681228401</v>
      </c>
      <c r="E12">
        <v>2.1341589481486198</v>
      </c>
      <c r="F12">
        <v>3.1445630178853601</v>
      </c>
      <c r="G12">
        <v>2.0213760812425501</v>
      </c>
      <c r="H12">
        <v>2.6058975174152499</v>
      </c>
      <c r="I12">
        <v>5.9189477139169897</v>
      </c>
      <c r="J12">
        <v>12.8692035676989</v>
      </c>
      <c r="K12">
        <v>1.78907537429816</v>
      </c>
      <c r="L12">
        <v>1.61003576125895</v>
      </c>
      <c r="M12">
        <v>2.0287242581820202</v>
      </c>
      <c r="N12">
        <v>2.2045107232016301</v>
      </c>
    </row>
    <row r="13" spans="1:14" x14ac:dyDescent="0.35">
      <c r="A13" s="2">
        <v>42369</v>
      </c>
      <c r="B13">
        <v>2.0494367160174898</v>
      </c>
      <c r="C13">
        <v>1.2032144758029399</v>
      </c>
      <c r="D13">
        <v>1.52246252495242</v>
      </c>
      <c r="E13">
        <v>1.9616560154156799</v>
      </c>
      <c r="F13">
        <v>3.4482751508906899</v>
      </c>
      <c r="G13">
        <v>1.8389835562691099</v>
      </c>
      <c r="H13">
        <v>2.1229420291538199</v>
      </c>
      <c r="I13">
        <v>6.0599751605653802</v>
      </c>
      <c r="J13">
        <v>12.748703211791501</v>
      </c>
      <c r="K13">
        <v>1.6636313733196599</v>
      </c>
      <c r="L13">
        <v>1.5506283745409</v>
      </c>
      <c r="M13">
        <v>1.9485788892231399</v>
      </c>
      <c r="N13">
        <v>1.95489186317479</v>
      </c>
    </row>
    <row r="14" spans="1:14" x14ac:dyDescent="0.35">
      <c r="A14" s="2">
        <v>42734</v>
      </c>
      <c r="B14">
        <v>2.1496284508732901</v>
      </c>
      <c r="C14">
        <v>1.2820159486904501</v>
      </c>
      <c r="D14">
        <v>1.6615707453978601</v>
      </c>
      <c r="E14">
        <v>1.94158660997406</v>
      </c>
      <c r="F14">
        <v>3.3316070942703102</v>
      </c>
      <c r="G14">
        <v>1.75546716180555</v>
      </c>
      <c r="H14">
        <v>2.123898319152</v>
      </c>
      <c r="I14">
        <v>6.56529580140728</v>
      </c>
      <c r="J14">
        <v>13.3024280719142</v>
      </c>
      <c r="K14">
        <v>1.6931958240998899</v>
      </c>
      <c r="L14">
        <v>1.60511092021475</v>
      </c>
      <c r="M14">
        <v>1.75138174890933</v>
      </c>
      <c r="N14">
        <v>1.78844259381098</v>
      </c>
    </row>
    <row r="15" spans="1:14" x14ac:dyDescent="0.35">
      <c r="A15" s="2">
        <v>43098</v>
      </c>
      <c r="B15">
        <v>2.2670681016107199</v>
      </c>
      <c r="C15">
        <v>1.4458070152700899</v>
      </c>
      <c r="D15">
        <v>1.86172454535832</v>
      </c>
      <c r="E15">
        <v>2.4036287780635099</v>
      </c>
      <c r="F15">
        <v>4.07233312791291</v>
      </c>
      <c r="G15">
        <v>2.01138269666406</v>
      </c>
      <c r="H15">
        <v>2.42405089418043</v>
      </c>
      <c r="I15">
        <v>7.4909851965595502</v>
      </c>
      <c r="J15">
        <v>14.724037692001801</v>
      </c>
      <c r="K15">
        <v>2.10907755629154</v>
      </c>
      <c r="L15">
        <v>1.99467947715871</v>
      </c>
      <c r="M15">
        <v>2.1039018689376099</v>
      </c>
      <c r="N15">
        <v>2.3512953608173301</v>
      </c>
    </row>
    <row r="16" spans="1:14" x14ac:dyDescent="0.35">
      <c r="A16" s="2">
        <v>43465</v>
      </c>
      <c r="B16">
        <v>2.29721148308571</v>
      </c>
      <c r="C16">
        <v>1.3789495760516599</v>
      </c>
      <c r="D16">
        <v>1.9774050981912601</v>
      </c>
      <c r="E16">
        <v>2.3211607230687301</v>
      </c>
      <c r="F16">
        <v>4.56488250158257</v>
      </c>
      <c r="G16">
        <v>2.1751987947225402</v>
      </c>
      <c r="H16">
        <v>2.5773222742994899</v>
      </c>
      <c r="I16">
        <v>8.9443858601639104</v>
      </c>
      <c r="J16">
        <v>17.355846469554798</v>
      </c>
      <c r="K16">
        <v>2.23155948612122</v>
      </c>
      <c r="L16">
        <v>2.0095545823588901</v>
      </c>
      <c r="M16">
        <v>2.1154389610009998</v>
      </c>
      <c r="N16">
        <v>2.6492475649665401</v>
      </c>
    </row>
    <row r="17" spans="1:14" x14ac:dyDescent="0.35">
      <c r="A17" s="2">
        <v>43830</v>
      </c>
      <c r="B17">
        <v>2.2473256441274398</v>
      </c>
      <c r="C17">
        <v>1.3179969848114801</v>
      </c>
      <c r="D17">
        <v>2.0739392179922902</v>
      </c>
      <c r="E17">
        <v>2.0881582961298202</v>
      </c>
      <c r="F17">
        <v>4.0763823276408404</v>
      </c>
      <c r="G17">
        <v>2.28084252382763</v>
      </c>
      <c r="H17">
        <v>2.5348223379569501</v>
      </c>
      <c r="I17">
        <v>9.3523184782613296</v>
      </c>
      <c r="J17">
        <v>17.7294354415451</v>
      </c>
      <c r="K17">
        <v>2.1970597068808599</v>
      </c>
      <c r="L17">
        <v>1.9908579954138399</v>
      </c>
      <c r="M17">
        <v>2.0450009261645601</v>
      </c>
      <c r="N17">
        <v>2.59251661571796</v>
      </c>
    </row>
    <row r="18" spans="1:14" x14ac:dyDescent="0.35">
      <c r="A18" s="2">
        <v>44196</v>
      </c>
      <c r="B18">
        <v>1.98522618259249</v>
      </c>
      <c r="C18">
        <v>1.26256164176903</v>
      </c>
      <c r="D18">
        <v>1.9578408739872699</v>
      </c>
      <c r="E18">
        <v>1.98003612030208</v>
      </c>
      <c r="F18">
        <v>3.6778954431728401</v>
      </c>
      <c r="G18">
        <v>2.3686407868237098</v>
      </c>
      <c r="H18">
        <v>2.0350756238413701</v>
      </c>
      <c r="I18">
        <v>10.426078296822199</v>
      </c>
      <c r="J18">
        <v>16.661770328992599</v>
      </c>
      <c r="K18">
        <v>1.8510975044778899</v>
      </c>
      <c r="L18">
        <v>2.0089294605542301</v>
      </c>
      <c r="M18">
        <v>2.2131087379995402</v>
      </c>
      <c r="N18">
        <v>1.9971174572949799</v>
      </c>
    </row>
    <row r="19" spans="1:14" x14ac:dyDescent="0.35">
      <c r="A19" s="2">
        <v>44561</v>
      </c>
      <c r="B19">
        <v>1.8209368887947699</v>
      </c>
      <c r="C19">
        <v>1.41909398824033</v>
      </c>
      <c r="D19">
        <v>2.6644833781776298</v>
      </c>
      <c r="E19">
        <v>2.4494459059837599</v>
      </c>
      <c r="F19">
        <v>4.6161385443947696</v>
      </c>
      <c r="G19">
        <v>2.66234515884581</v>
      </c>
      <c r="H19">
        <v>2.71427224340631</v>
      </c>
      <c r="I19">
        <v>13.6402697448185</v>
      </c>
      <c r="J19">
        <v>22.2767073851685</v>
      </c>
      <c r="K19">
        <v>2.4608174875049298</v>
      </c>
      <c r="L19">
        <v>2.4360180794544801</v>
      </c>
      <c r="M19">
        <v>2.4898156523483901</v>
      </c>
      <c r="N19">
        <v>2.9640029759690898</v>
      </c>
    </row>
    <row r="20" spans="1:14" x14ac:dyDescent="0.35">
      <c r="A20" s="2">
        <v>44925</v>
      </c>
      <c r="B20">
        <v>2.1103784647633299</v>
      </c>
      <c r="C20">
        <v>1.5685033677051301</v>
      </c>
      <c r="D20">
        <v>2.7492045610204201</v>
      </c>
      <c r="E20">
        <v>2.36386839889078</v>
      </c>
      <c r="F20">
        <v>4.4608954004815304</v>
      </c>
      <c r="G20">
        <v>2.5838872063229701</v>
      </c>
      <c r="H20">
        <v>3.1276012144278602</v>
      </c>
      <c r="I20">
        <v>12.750313440204</v>
      </c>
      <c r="J20">
        <v>22.968710461533099</v>
      </c>
      <c r="K20">
        <v>2.8026651908005</v>
      </c>
      <c r="L20">
        <v>2.4294142632387001</v>
      </c>
      <c r="M20">
        <v>2.56381617192707</v>
      </c>
      <c r="N20">
        <v>3.5473670886293198</v>
      </c>
    </row>
    <row r="21" spans="1:14" x14ac:dyDescent="0.35">
      <c r="A21" s="2">
        <v>45289</v>
      </c>
      <c r="B21">
        <v>2.11106621771878</v>
      </c>
      <c r="C21">
        <v>1.47895581929429</v>
      </c>
      <c r="D21">
        <v>2.6830121629805901</v>
      </c>
      <c r="E21">
        <v>2.6563834912307702</v>
      </c>
      <c r="F21">
        <v>4.5667318566591204</v>
      </c>
      <c r="G21">
        <v>2.8647085842717601</v>
      </c>
      <c r="H21">
        <v>3.0026988691271801</v>
      </c>
      <c r="I21">
        <v>16.324300082232199</v>
      </c>
      <c r="J21">
        <v>24.344986761993699</v>
      </c>
      <c r="K21">
        <v>2.92070467991761</v>
      </c>
      <c r="L21">
        <v>2.9556075049707502</v>
      </c>
      <c r="M21">
        <v>2.5100925867761599</v>
      </c>
      <c r="N21">
        <v>3.8118027168384301</v>
      </c>
    </row>
    <row r="23" spans="1:14" x14ac:dyDescent="0.35">
      <c r="B23" s="8">
        <f t="shared" ref="B23:N23" si="0">COUNT(B1:B21)</f>
        <v>14</v>
      </c>
      <c r="C23" s="8">
        <f t="shared" si="0"/>
        <v>20</v>
      </c>
      <c r="D23" s="8">
        <f t="shared" si="0"/>
        <v>20</v>
      </c>
      <c r="E23" s="8">
        <f t="shared" si="0"/>
        <v>20</v>
      </c>
      <c r="F23" s="8">
        <f t="shared" si="0"/>
        <v>20</v>
      </c>
      <c r="G23" s="8">
        <f t="shared" si="0"/>
        <v>20</v>
      </c>
      <c r="H23" s="8">
        <f t="shared" si="0"/>
        <v>20</v>
      </c>
      <c r="I23" s="8">
        <f t="shared" si="0"/>
        <v>20</v>
      </c>
      <c r="J23" s="8">
        <f t="shared" si="0"/>
        <v>20</v>
      </c>
      <c r="K23" s="8">
        <f t="shared" si="0"/>
        <v>20</v>
      </c>
      <c r="L23" s="8">
        <f t="shared" si="0"/>
        <v>20</v>
      </c>
      <c r="M23" s="8">
        <f t="shared" si="0"/>
        <v>20</v>
      </c>
      <c r="N23" s="8">
        <f t="shared" si="0"/>
        <v>20</v>
      </c>
    </row>
    <row r="25" spans="1:14" x14ac:dyDescent="0.35">
      <c r="A25" t="s">
        <v>90</v>
      </c>
      <c r="B25" s="48" cm="1">
        <f t="array" ref="B25">(B21/INDEX(B2:B21,MATCH(TRUE,INDEX(ISNUMBER(B2:B21),0),0)))^(1/B23)-1</f>
        <v>-9.3828148339384354E-3</v>
      </c>
      <c r="C25" s="48" cm="1">
        <f t="array" ref="C25">(C21/INDEX(C2:C21,MATCH(TRUE,INDEX(ISNUMBER(C2:C21),0),0)))^(1/C23)-1</f>
        <v>1.1174820218081027E-2</v>
      </c>
      <c r="D25" s="48" cm="1">
        <f t="array" ref="D25">(D21/INDEX(D2:D21,MATCH(TRUE,INDEX(ISNUMBER(D2:D21),0),0)))^(1/D23)-1</f>
        <v>4.091721115481306E-2</v>
      </c>
      <c r="E25" s="48" cm="1">
        <f t="array" ref="E25">(E21/INDEX(E2:E21,MATCH(TRUE,INDEX(ISNUMBER(E2:E21),0),0)))^(1/E23)-1</f>
        <v>2.8283515901657452E-2</v>
      </c>
      <c r="F25" s="48" cm="1">
        <f t="array" ref="F25">(F21/INDEX(F2:F21,MATCH(TRUE,INDEX(ISNUMBER(F2:F21),0),0)))^(1/F23)-1</f>
        <v>2.4111181364210088E-2</v>
      </c>
      <c r="G25" s="48" cm="1">
        <f t="array" ref="G25">(G21/INDEX(G2:G21,MATCH(TRUE,INDEX(ISNUMBER(G2:G21),0),0)))^(1/G23)-1</f>
        <v>4.6616158051884682E-2</v>
      </c>
      <c r="H25" s="48" cm="1">
        <f t="array" ref="H25">(H21/INDEX(H2:H21,MATCH(TRUE,INDEX(ISNUMBER(H2:H21),0),0)))^(1/H23)-1</f>
        <v>3.7109465036002653E-3</v>
      </c>
      <c r="I25" s="48" cm="1">
        <f t="array" ref="I25">(I21/INDEX(I2:I21,MATCH(TRUE,INDEX(ISNUMBER(I2:I21),0),0)))^(1/I23)-1</f>
        <v>0.12988959921025178</v>
      </c>
      <c r="J25" s="48" cm="1">
        <f t="array" ref="J25">(J21/INDEX(J2:J21,MATCH(TRUE,INDEX(ISNUMBER(J2:J21),0),0)))^(1/J23)-1</f>
        <v>5.9884631603759342E-2</v>
      </c>
      <c r="K25" s="48" cm="1">
        <f t="array" ref="K25">(K21/INDEX(K2:K21,MATCH(TRUE,INDEX(ISNUMBER(K2:K21),0),0)))^(1/K23)-1</f>
        <v>1.8533351259146347E-2</v>
      </c>
      <c r="L25" s="48" cm="1">
        <f t="array" ref="L25">(L21/INDEX(L2:L21,MATCH(TRUE,INDEX(ISNUMBER(L2:L21),0),0)))^(1/L23)-1</f>
        <v>3.4801405293916954E-2</v>
      </c>
      <c r="M25" s="48" cm="1">
        <f t="array" ref="M25">(M21/INDEX(M2:M21,MATCH(TRUE,INDEX(ISNUMBER(M2:M21),0),0)))^(1/M23)-1</f>
        <v>2.4305006375947347E-2</v>
      </c>
      <c r="N25" s="48" cm="1">
        <f t="array" ref="N25">(N21/INDEX(N2:N21,MATCH(TRUE,INDEX(ISNUMBER(N2:N21),0),0)))^(1/N23)-1</f>
        <v>9.2743946932130061E-3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7635-C0F8-4F42-A699-C7CDB2FB7F02}">
  <dimension ref="A1:X165"/>
  <sheetViews>
    <sheetView workbookViewId="0">
      <selection activeCell="B86" sqref="B86"/>
    </sheetView>
  </sheetViews>
  <sheetFormatPr defaultRowHeight="14.5" x14ac:dyDescent="0.35"/>
  <cols>
    <col min="1" max="1" width="15" customWidth="1"/>
    <col min="2" max="2" width="17.54296875" customWidth="1"/>
    <col min="3" max="3" width="16.1796875" customWidth="1"/>
    <col min="4" max="4" width="14" customWidth="1"/>
    <col min="5" max="5" width="14.54296875" customWidth="1"/>
    <col min="6" max="6" width="15.453125" style="110" customWidth="1"/>
    <col min="23" max="23" width="9.453125" customWidth="1"/>
  </cols>
  <sheetData>
    <row r="1" spans="1:24" ht="18.5" x14ac:dyDescent="0.45">
      <c r="A1" s="82" t="s">
        <v>556</v>
      </c>
      <c r="B1" s="83"/>
      <c r="C1" s="80"/>
      <c r="D1" s="80"/>
      <c r="E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</row>
    <row r="2" spans="1:24" x14ac:dyDescent="0.35">
      <c r="A2" s="80"/>
      <c r="B2" s="83"/>
      <c r="C2" s="80"/>
      <c r="D2" s="80"/>
      <c r="E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</row>
    <row r="3" spans="1:24" ht="21" x14ac:dyDescent="0.5">
      <c r="A3" s="84" t="s">
        <v>727</v>
      </c>
      <c r="B3" s="85"/>
      <c r="C3" s="80"/>
      <c r="D3" s="80"/>
      <c r="E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0"/>
      <c r="U3" s="80"/>
      <c r="V3" s="80"/>
    </row>
    <row r="4" spans="1:24" x14ac:dyDescent="0.35">
      <c r="A4" s="102" t="s">
        <v>557</v>
      </c>
      <c r="B4" s="85"/>
      <c r="C4" s="80"/>
      <c r="D4" s="80"/>
      <c r="E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</row>
    <row r="5" spans="1:24" x14ac:dyDescent="0.35">
      <c r="A5" s="80"/>
      <c r="B5" s="83"/>
      <c r="C5" s="80"/>
      <c r="D5" s="80"/>
      <c r="E5" s="80"/>
      <c r="G5" s="80"/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</row>
    <row r="6" spans="1:24" x14ac:dyDescent="0.35">
      <c r="A6" s="92"/>
      <c r="B6" s="95"/>
      <c r="C6" s="80"/>
      <c r="D6" s="80"/>
      <c r="E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</row>
    <row r="7" spans="1:24" x14ac:dyDescent="0.35">
      <c r="A7" s="216"/>
      <c r="B7" s="216"/>
      <c r="C7" s="80"/>
      <c r="D7" s="80"/>
      <c r="E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</row>
    <row r="8" spans="1:24" x14ac:dyDescent="0.35">
      <c r="A8" s="100"/>
      <c r="B8" s="100"/>
      <c r="C8" s="217" t="s">
        <v>558</v>
      </c>
      <c r="D8" s="218"/>
      <c r="E8" s="219"/>
      <c r="G8" s="80"/>
      <c r="H8" s="80"/>
      <c r="I8" s="80"/>
      <c r="J8" s="80"/>
      <c r="K8" s="80"/>
      <c r="L8" s="217" t="s">
        <v>559</v>
      </c>
      <c r="M8" s="218"/>
      <c r="N8" s="218"/>
      <c r="O8" s="218"/>
      <c r="P8" s="218"/>
      <c r="Q8" s="218"/>
      <c r="R8" s="218"/>
      <c r="S8" s="218"/>
      <c r="T8" s="218"/>
      <c r="U8" s="218"/>
      <c r="V8" s="219"/>
    </row>
    <row r="9" spans="1:24" ht="43.5" x14ac:dyDescent="0.35">
      <c r="A9" s="86" t="s">
        <v>560</v>
      </c>
      <c r="B9" s="86" t="s">
        <v>561</v>
      </c>
      <c r="C9" s="104" t="s">
        <v>562</v>
      </c>
      <c r="D9" s="105" t="s">
        <v>563</v>
      </c>
      <c r="E9" s="106" t="s">
        <v>564</v>
      </c>
      <c r="F9" s="110" t="s">
        <v>732</v>
      </c>
      <c r="G9" s="96" t="s">
        <v>728</v>
      </c>
      <c r="H9" s="98" t="s">
        <v>729</v>
      </c>
      <c r="I9" s="98" t="s">
        <v>730</v>
      </c>
      <c r="J9" s="97" t="s">
        <v>731</v>
      </c>
      <c r="K9" s="99"/>
      <c r="L9" s="109">
        <v>2012</v>
      </c>
      <c r="M9" s="87">
        <v>2013</v>
      </c>
      <c r="N9" s="87">
        <v>2014</v>
      </c>
      <c r="O9" s="87">
        <v>2015</v>
      </c>
      <c r="P9" s="87">
        <v>2016</v>
      </c>
      <c r="Q9" s="87">
        <v>2017</v>
      </c>
      <c r="R9" s="87">
        <v>2018</v>
      </c>
      <c r="S9" s="87">
        <v>2019</v>
      </c>
      <c r="T9" s="87">
        <v>2020</v>
      </c>
      <c r="U9" s="87">
        <v>2021</v>
      </c>
      <c r="V9" s="88">
        <v>2022</v>
      </c>
      <c r="W9" s="97" t="s">
        <v>738</v>
      </c>
      <c r="X9" s="97" t="s">
        <v>739</v>
      </c>
    </row>
    <row r="10" spans="1:24" x14ac:dyDescent="0.35">
      <c r="A10" s="81" t="s">
        <v>565</v>
      </c>
      <c r="B10" s="81" t="s">
        <v>566</v>
      </c>
      <c r="C10" s="89">
        <v>-6.330015897488761</v>
      </c>
      <c r="D10" s="90">
        <v>-1.9803203632740796</v>
      </c>
      <c r="E10" s="91">
        <v>1.4438839505667156</v>
      </c>
      <c r="G10" s="103" t="s">
        <v>567</v>
      </c>
      <c r="H10" s="101">
        <v>34.781666666666666</v>
      </c>
      <c r="I10" s="93">
        <v>154</v>
      </c>
      <c r="J10" s="94">
        <v>32</v>
      </c>
      <c r="K10" s="81"/>
      <c r="L10" s="89">
        <v>19.865459911417584</v>
      </c>
      <c r="M10" s="90">
        <v>9.8957883924851959</v>
      </c>
      <c r="N10" s="90">
        <v>6.5854081038949879</v>
      </c>
      <c r="O10" s="90">
        <v>0.98799999999999999</v>
      </c>
      <c r="P10" s="90">
        <v>2.1640000000000001</v>
      </c>
      <c r="Q10" s="90">
        <v>2.6469999999999998</v>
      </c>
      <c r="R10" s="90">
        <v>1.1890000000000001</v>
      </c>
      <c r="S10" s="90">
        <v>3.9119999999999999</v>
      </c>
      <c r="T10" s="90">
        <v>-2.351</v>
      </c>
      <c r="U10" s="90">
        <v>-2.4</v>
      </c>
      <c r="V10" s="91">
        <v>-5</v>
      </c>
      <c r="W10" s="91">
        <f>AVERAGE(D10,E10)</f>
        <v>-0.26821820635368199</v>
      </c>
    </row>
    <row r="11" spans="1:24" x14ac:dyDescent="0.35">
      <c r="A11" s="81" t="s">
        <v>227</v>
      </c>
      <c r="B11" s="81" t="s">
        <v>568</v>
      </c>
      <c r="C11" s="89">
        <v>2.8369230771995602</v>
      </c>
      <c r="D11" s="90">
        <v>2.527708680261509</v>
      </c>
      <c r="E11" s="91">
        <v>2.499335307066497</v>
      </c>
      <c r="G11" s="103" t="s">
        <v>398</v>
      </c>
      <c r="H11" s="101">
        <v>71.94876523650197</v>
      </c>
      <c r="I11" s="93">
        <v>80</v>
      </c>
      <c r="J11" s="94">
        <v>40</v>
      </c>
      <c r="K11" s="81"/>
      <c r="L11" s="89">
        <v>1.4329514555018943</v>
      </c>
      <c r="M11" s="90">
        <v>1.0096624423848639</v>
      </c>
      <c r="N11" s="90">
        <v>1.7987489151280414</v>
      </c>
      <c r="O11" s="90">
        <v>2.2189999999999999</v>
      </c>
      <c r="P11" s="90">
        <v>3.3149999999999999</v>
      </c>
      <c r="Q11" s="90">
        <v>3.802</v>
      </c>
      <c r="R11" s="90">
        <v>4.0190000000000001</v>
      </c>
      <c r="S11" s="90">
        <v>2.0880000000000001</v>
      </c>
      <c r="T11" s="90">
        <v>-3.4820000000000002</v>
      </c>
      <c r="U11" s="90">
        <v>8.516</v>
      </c>
      <c r="V11" s="91">
        <v>3.74</v>
      </c>
      <c r="W11" s="91">
        <f t="shared" ref="W11:W74" si="0">AVERAGE(D11,E11)</f>
        <v>2.513521993664003</v>
      </c>
    </row>
    <row r="12" spans="1:24" x14ac:dyDescent="0.35">
      <c r="A12" s="81" t="s">
        <v>569</v>
      </c>
      <c r="B12" s="81" t="s">
        <v>570</v>
      </c>
      <c r="C12" s="89">
        <v>0.36545353196819619</v>
      </c>
      <c r="D12" s="90">
        <v>0.98216884294510809</v>
      </c>
      <c r="E12" s="91">
        <v>1.9643097765769557</v>
      </c>
      <c r="G12" s="103" t="s">
        <v>571</v>
      </c>
      <c r="H12" s="101">
        <v>77.429986450518911</v>
      </c>
      <c r="I12" s="93">
        <v>59</v>
      </c>
      <c r="J12" s="94">
        <v>2</v>
      </c>
      <c r="K12" s="81"/>
      <c r="L12" s="89">
        <v>3.3999999982054412</v>
      </c>
      <c r="M12" s="90">
        <v>2.8000000002529002</v>
      </c>
      <c r="N12" s="90">
        <v>3.8000000007790273</v>
      </c>
      <c r="O12" s="90">
        <v>3.7</v>
      </c>
      <c r="P12" s="90">
        <v>3.2</v>
      </c>
      <c r="Q12" s="90">
        <v>1.4</v>
      </c>
      <c r="R12" s="90">
        <v>1.2</v>
      </c>
      <c r="S12" s="90">
        <v>1</v>
      </c>
      <c r="T12" s="90">
        <v>-5.0999999999999996</v>
      </c>
      <c r="U12" s="90">
        <v>3.4</v>
      </c>
      <c r="V12" s="91">
        <v>2.931</v>
      </c>
      <c r="W12" s="91">
        <f t="shared" si="0"/>
        <v>1.4732393097610319</v>
      </c>
    </row>
    <row r="13" spans="1:24" x14ac:dyDescent="0.35">
      <c r="A13" s="81" t="s">
        <v>569</v>
      </c>
      <c r="B13" s="81" t="s">
        <v>572</v>
      </c>
      <c r="C13" s="89">
        <v>-0.62057485054567429</v>
      </c>
      <c r="D13" s="90">
        <v>-0.7759815069387388</v>
      </c>
      <c r="E13" s="91">
        <v>0.38358743648301274</v>
      </c>
      <c r="G13" s="103" t="s">
        <v>567</v>
      </c>
      <c r="H13" s="101">
        <v>43.142397643089645</v>
      </c>
      <c r="I13" s="93">
        <v>147</v>
      </c>
      <c r="J13" s="94">
        <v>42</v>
      </c>
      <c r="K13" s="81"/>
      <c r="L13" s="89">
        <v>8.5421473366219605</v>
      </c>
      <c r="M13" s="90">
        <v>4.9545904703972692</v>
      </c>
      <c r="N13" s="90">
        <v>4.8226255512268246</v>
      </c>
      <c r="O13" s="90">
        <v>0.94399999999999995</v>
      </c>
      <c r="P13" s="90">
        <v>-2.58</v>
      </c>
      <c r="Q13" s="90">
        <v>-0.15</v>
      </c>
      <c r="R13" s="90">
        <v>-1.3160000000000001</v>
      </c>
      <c r="S13" s="90">
        <v>-0.70199999999999996</v>
      </c>
      <c r="T13" s="90">
        <v>-5.6379999999999999</v>
      </c>
      <c r="U13" s="90">
        <v>1.0920000000000001</v>
      </c>
      <c r="V13" s="91">
        <v>2.8410000000000002</v>
      </c>
      <c r="W13" s="91">
        <f t="shared" si="0"/>
        <v>-0.19619703522786303</v>
      </c>
    </row>
    <row r="14" spans="1:24" x14ac:dyDescent="0.35">
      <c r="A14" s="81" t="s">
        <v>573</v>
      </c>
      <c r="B14" s="81" t="s">
        <v>574</v>
      </c>
      <c r="C14" s="89">
        <v>1.5213184649000233</v>
      </c>
      <c r="D14" s="90">
        <v>2.4231703477095579E-4</v>
      </c>
      <c r="E14" s="91">
        <v>0.30638889849419204</v>
      </c>
      <c r="G14" s="103" t="s">
        <v>422</v>
      </c>
      <c r="H14" s="101">
        <v>63.902477118742887</v>
      </c>
      <c r="I14" s="93">
        <v>116</v>
      </c>
      <c r="J14" s="94">
        <v>16</v>
      </c>
      <c r="K14" s="81"/>
      <c r="L14" s="89">
        <v>-1.0264204544320839</v>
      </c>
      <c r="M14" s="90">
        <v>2.4053237807943506</v>
      </c>
      <c r="N14" s="90">
        <v>-2.5126153208139428</v>
      </c>
      <c r="O14" s="90">
        <v>2.7309999999999999</v>
      </c>
      <c r="P14" s="90">
        <v>-2.08</v>
      </c>
      <c r="Q14" s="90">
        <v>2.819</v>
      </c>
      <c r="R14" s="90">
        <v>-2.617</v>
      </c>
      <c r="S14" s="90">
        <v>-2.0009999999999999</v>
      </c>
      <c r="T14" s="90">
        <v>-9.9429999999999996</v>
      </c>
      <c r="U14" s="90">
        <v>10.398</v>
      </c>
      <c r="V14" s="91">
        <v>5.2430000000000003</v>
      </c>
      <c r="W14" s="91">
        <f t="shared" si="0"/>
        <v>0.1533156077644815</v>
      </c>
    </row>
    <row r="15" spans="1:24" x14ac:dyDescent="0.35">
      <c r="A15" s="81" t="s">
        <v>227</v>
      </c>
      <c r="B15" s="81" t="s">
        <v>575</v>
      </c>
      <c r="C15" s="89">
        <v>3.3694630969417716</v>
      </c>
      <c r="D15" s="90">
        <v>4.5685193344935815</v>
      </c>
      <c r="E15" s="91">
        <v>4.0499977792169295</v>
      </c>
      <c r="G15" s="103" t="s">
        <v>571</v>
      </c>
      <c r="H15" s="101">
        <v>81.866330149150926</v>
      </c>
      <c r="I15" s="93">
        <v>42</v>
      </c>
      <c r="J15" s="94">
        <v>28</v>
      </c>
      <c r="K15" s="81"/>
      <c r="L15" s="89">
        <v>7.200000000964871</v>
      </c>
      <c r="M15" s="90">
        <v>3.2999999999999674</v>
      </c>
      <c r="N15" s="90">
        <v>3.6000000005899464</v>
      </c>
      <c r="O15" s="90">
        <v>3.254</v>
      </c>
      <c r="P15" s="90">
        <v>0.19500000000000001</v>
      </c>
      <c r="Q15" s="90">
        <v>7.5179999999999998</v>
      </c>
      <c r="R15" s="90">
        <v>5.2249999999999996</v>
      </c>
      <c r="S15" s="90">
        <v>7.6310000000000002</v>
      </c>
      <c r="T15" s="90">
        <v>-7.1509999999999998</v>
      </c>
      <c r="U15" s="90">
        <v>5.6840000000000002</v>
      </c>
      <c r="V15" s="91">
        <v>12.603999999999999</v>
      </c>
      <c r="W15" s="91">
        <f t="shared" si="0"/>
        <v>4.3092585568552551</v>
      </c>
    </row>
    <row r="16" spans="1:24" x14ac:dyDescent="0.35">
      <c r="A16" s="81" t="s">
        <v>565</v>
      </c>
      <c r="B16" s="81" t="s">
        <v>576</v>
      </c>
      <c r="C16" s="89">
        <v>1.9372779726990919</v>
      </c>
      <c r="D16" s="90">
        <v>1.9542949107595797</v>
      </c>
      <c r="E16" s="91">
        <v>2.221593328352145</v>
      </c>
      <c r="G16" s="103" t="s">
        <v>415</v>
      </c>
      <c r="H16" s="101">
        <v>96.36744549025839</v>
      </c>
      <c r="I16" s="93">
        <v>11</v>
      </c>
      <c r="J16" s="94">
        <v>3</v>
      </c>
      <c r="K16" s="81"/>
      <c r="L16" s="89">
        <v>3.9181617722068416</v>
      </c>
      <c r="M16" s="90">
        <v>2.5848751108311681</v>
      </c>
      <c r="N16" s="90">
        <v>2.5331154467594699</v>
      </c>
      <c r="O16" s="90">
        <v>2.2829999999999999</v>
      </c>
      <c r="P16" s="90">
        <v>2.6909999999999998</v>
      </c>
      <c r="Q16" s="90">
        <v>2.383</v>
      </c>
      <c r="R16" s="90">
        <v>2.8149999999999999</v>
      </c>
      <c r="S16" s="90">
        <v>1.9430000000000001</v>
      </c>
      <c r="T16" s="90">
        <v>-1.8140000000000001</v>
      </c>
      <c r="U16" s="90">
        <v>5.1959999999999997</v>
      </c>
      <c r="V16" s="91">
        <v>3.661</v>
      </c>
      <c r="W16" s="91">
        <f t="shared" si="0"/>
        <v>2.0879441195558623</v>
      </c>
    </row>
    <row r="17" spans="1:23" x14ac:dyDescent="0.35">
      <c r="A17" s="81" t="s">
        <v>227</v>
      </c>
      <c r="B17" s="81" t="s">
        <v>577</v>
      </c>
      <c r="C17" s="89">
        <v>0.89080434606740866</v>
      </c>
      <c r="D17" s="90">
        <v>1.1485693717847134</v>
      </c>
      <c r="E17" s="91">
        <v>1.1982825816158282</v>
      </c>
      <c r="G17" s="103" t="s">
        <v>415</v>
      </c>
      <c r="H17" s="101">
        <v>95.913594407477049</v>
      </c>
      <c r="I17" s="93">
        <v>15</v>
      </c>
      <c r="J17" s="94">
        <v>10</v>
      </c>
      <c r="K17" s="81"/>
      <c r="L17" s="89">
        <v>0.68044557681670037</v>
      </c>
      <c r="M17" s="90">
        <v>2.5504712197222973E-2</v>
      </c>
      <c r="N17" s="90">
        <v>0.66127284885259119</v>
      </c>
      <c r="O17" s="90">
        <v>1.0149999999999999</v>
      </c>
      <c r="P17" s="90">
        <v>1.9890000000000001</v>
      </c>
      <c r="Q17" s="90">
        <v>2.2589999999999999</v>
      </c>
      <c r="R17" s="90">
        <v>2.4249999999999998</v>
      </c>
      <c r="S17" s="90">
        <v>1.5169999999999999</v>
      </c>
      <c r="T17" s="90">
        <v>-6.4539999999999997</v>
      </c>
      <c r="U17" s="90">
        <v>4.5570000000000004</v>
      </c>
      <c r="V17" s="91">
        <v>4.9969999999999999</v>
      </c>
      <c r="W17" s="91">
        <f t="shared" si="0"/>
        <v>1.1734259767002708</v>
      </c>
    </row>
    <row r="18" spans="1:23" x14ac:dyDescent="0.35">
      <c r="A18" s="81" t="s">
        <v>565</v>
      </c>
      <c r="B18" s="81" t="s">
        <v>578</v>
      </c>
      <c r="C18" s="89">
        <v>1.8824891899037688</v>
      </c>
      <c r="D18" s="90">
        <v>1.9289874111129146</v>
      </c>
      <c r="E18" s="91">
        <v>1.6182050869221642</v>
      </c>
      <c r="G18" s="103" t="s">
        <v>422</v>
      </c>
      <c r="H18" s="101">
        <v>66.732349416312132</v>
      </c>
      <c r="I18" s="93">
        <v>106</v>
      </c>
      <c r="J18" s="94">
        <v>20</v>
      </c>
      <c r="K18" s="81"/>
      <c r="L18" s="89">
        <v>2.1652394301296014</v>
      </c>
      <c r="M18" s="90">
        <v>5.8098009451315624</v>
      </c>
      <c r="N18" s="90">
        <v>2.7505070296654104</v>
      </c>
      <c r="O18" s="90">
        <v>1.05</v>
      </c>
      <c r="P18" s="90">
        <v>-3.0640000000000001</v>
      </c>
      <c r="Q18" s="90">
        <v>0.154</v>
      </c>
      <c r="R18" s="90">
        <v>1.5</v>
      </c>
      <c r="S18" s="90">
        <v>2.48</v>
      </c>
      <c r="T18" s="90">
        <v>-4.1989999999999998</v>
      </c>
      <c r="U18" s="90">
        <v>5.6</v>
      </c>
      <c r="V18" s="91">
        <v>4.6459999999999999</v>
      </c>
      <c r="W18" s="91">
        <f t="shared" si="0"/>
        <v>1.7735962490175394</v>
      </c>
    </row>
    <row r="19" spans="1:23" x14ac:dyDescent="0.35">
      <c r="A19" s="81" t="s">
        <v>573</v>
      </c>
      <c r="B19" s="81" t="s">
        <v>579</v>
      </c>
      <c r="C19" s="89">
        <v>-1.3025041762945944</v>
      </c>
      <c r="D19" s="90">
        <v>-5.1450420089638182E-2</v>
      </c>
      <c r="E19" s="91">
        <v>0.16369977541730307</v>
      </c>
      <c r="G19" s="103" t="s">
        <v>571</v>
      </c>
      <c r="H19" s="101">
        <v>79.378460082017611</v>
      </c>
      <c r="I19" s="93">
        <v>54</v>
      </c>
      <c r="J19" s="94">
        <v>8</v>
      </c>
      <c r="K19" s="81"/>
      <c r="L19" s="89">
        <v>3.0868791768834938</v>
      </c>
      <c r="M19" s="90">
        <v>-3.5838746627962172</v>
      </c>
      <c r="N19" s="90">
        <v>2.2881473175630553</v>
      </c>
      <c r="O19" s="90">
        <v>0.997</v>
      </c>
      <c r="P19" s="90">
        <v>-0.85799999999999998</v>
      </c>
      <c r="Q19" s="90">
        <v>3.05</v>
      </c>
      <c r="R19" s="90">
        <v>1.831</v>
      </c>
      <c r="S19" s="90">
        <v>1.8959999999999999</v>
      </c>
      <c r="T19" s="90">
        <v>-23.823</v>
      </c>
      <c r="U19" s="90">
        <v>13.72</v>
      </c>
      <c r="V19" s="91">
        <v>10.983000000000001</v>
      </c>
      <c r="W19" s="91">
        <f t="shared" si="0"/>
        <v>5.6124677663832445E-2</v>
      </c>
    </row>
    <row r="20" spans="1:23" x14ac:dyDescent="0.35">
      <c r="A20" s="81" t="s">
        <v>580</v>
      </c>
      <c r="B20" s="81" t="s">
        <v>581</v>
      </c>
      <c r="C20" s="89">
        <v>0.41671802598486352</v>
      </c>
      <c r="D20" s="90">
        <v>1.1307360567982316</v>
      </c>
      <c r="E20" s="91">
        <v>2.5452347834856504</v>
      </c>
      <c r="G20" s="103" t="s">
        <v>571</v>
      </c>
      <c r="H20" s="101">
        <v>77.128033983685327</v>
      </c>
      <c r="I20" s="93">
        <v>60</v>
      </c>
      <c r="J20" s="94">
        <v>7</v>
      </c>
      <c r="K20" s="81"/>
      <c r="L20" s="89">
        <v>3.7281084304601642</v>
      </c>
      <c r="M20" s="90">
        <v>5.41683981012069</v>
      </c>
      <c r="N20" s="90">
        <v>4.3503908525296939</v>
      </c>
      <c r="O20" s="90">
        <v>2.4849999999999999</v>
      </c>
      <c r="P20" s="90">
        <v>3.5579999999999998</v>
      </c>
      <c r="Q20" s="90">
        <v>4.2919999999999998</v>
      </c>
      <c r="R20" s="90">
        <v>2.11</v>
      </c>
      <c r="S20" s="90">
        <v>2.1669999999999998</v>
      </c>
      <c r="T20" s="90">
        <v>-4.6449999999999996</v>
      </c>
      <c r="U20" s="90">
        <v>2.67</v>
      </c>
      <c r="V20" s="91">
        <v>4.194</v>
      </c>
      <c r="W20" s="91">
        <f t="shared" si="0"/>
        <v>1.837985420141941</v>
      </c>
    </row>
    <row r="21" spans="1:23" x14ac:dyDescent="0.35">
      <c r="A21" s="81" t="s">
        <v>565</v>
      </c>
      <c r="B21" s="81" t="s">
        <v>582</v>
      </c>
      <c r="C21" s="89">
        <v>8.4780836054535911</v>
      </c>
      <c r="D21" s="90">
        <v>9.4495577005361255</v>
      </c>
      <c r="E21" s="91">
        <v>9.0902336923363691</v>
      </c>
      <c r="G21" s="103" t="s">
        <v>422</v>
      </c>
      <c r="H21" s="101">
        <v>59.78425810407569</v>
      </c>
      <c r="I21" s="93">
        <v>125</v>
      </c>
      <c r="J21" s="94">
        <v>25</v>
      </c>
      <c r="K21" s="81"/>
      <c r="L21" s="89">
        <v>15.458182784890836</v>
      </c>
      <c r="M21" s="90">
        <v>8.997951209804727</v>
      </c>
      <c r="N21" s="90">
        <v>9.1371359215878698</v>
      </c>
      <c r="O21" s="90">
        <v>6.5529999999999999</v>
      </c>
      <c r="P21" s="90">
        <v>7.1139999999999999</v>
      </c>
      <c r="Q21" s="90">
        <v>6.59</v>
      </c>
      <c r="R21" s="90">
        <v>7.319</v>
      </c>
      <c r="S21" s="90">
        <v>7.8819999999999997</v>
      </c>
      <c r="T21" s="90">
        <v>3.448</v>
      </c>
      <c r="U21" s="90">
        <v>6.9390000000000001</v>
      </c>
      <c r="V21" s="91">
        <v>7.1</v>
      </c>
      <c r="W21" s="91">
        <f t="shared" si="0"/>
        <v>9.2698956964362473</v>
      </c>
    </row>
    <row r="22" spans="1:23" x14ac:dyDescent="0.35">
      <c r="A22" s="81" t="s">
        <v>227</v>
      </c>
      <c r="B22" s="81" t="s">
        <v>583</v>
      </c>
      <c r="C22" s="89">
        <v>-1.0891270418666776</v>
      </c>
      <c r="D22" s="90">
        <v>0.24141365794498881</v>
      </c>
      <c r="E22" s="91">
        <v>-4.7343951578571186E-3</v>
      </c>
      <c r="G22" s="103" t="s">
        <v>571</v>
      </c>
      <c r="H22" s="101">
        <v>78.939379492547943</v>
      </c>
      <c r="I22" s="93">
        <v>55</v>
      </c>
      <c r="J22" s="94">
        <v>34</v>
      </c>
      <c r="K22" s="81"/>
      <c r="L22" s="89">
        <v>1.6871355364283958</v>
      </c>
      <c r="M22" s="90">
        <v>1.0034708408564619</v>
      </c>
      <c r="N22" s="90">
        <v>1.7263848541700804</v>
      </c>
      <c r="O22" s="90">
        <v>-3.83</v>
      </c>
      <c r="P22" s="90">
        <v>-2.536</v>
      </c>
      <c r="Q22" s="90">
        <v>2.5409999999999999</v>
      </c>
      <c r="R22" s="90">
        <v>3.1379999999999999</v>
      </c>
      <c r="S22" s="90">
        <v>1.446</v>
      </c>
      <c r="T22" s="90">
        <v>-0.67300000000000004</v>
      </c>
      <c r="U22" s="90">
        <v>2.2730000000000001</v>
      </c>
      <c r="V22" s="91">
        <v>-4.7409999999999997</v>
      </c>
      <c r="W22" s="91">
        <f t="shared" si="0"/>
        <v>0.11833963139356585</v>
      </c>
    </row>
    <row r="23" spans="1:23" x14ac:dyDescent="0.35">
      <c r="A23" s="81" t="s">
        <v>227</v>
      </c>
      <c r="B23" s="81" t="s">
        <v>584</v>
      </c>
      <c r="C23" s="89">
        <v>1.1690569098094628</v>
      </c>
      <c r="D23" s="90">
        <v>1.3937649310878042</v>
      </c>
      <c r="E23" s="91">
        <v>1.4413818728578276</v>
      </c>
      <c r="G23" s="103" t="s">
        <v>415</v>
      </c>
      <c r="H23" s="101">
        <v>93.483251457156101</v>
      </c>
      <c r="I23" s="93">
        <v>21</v>
      </c>
      <c r="J23" s="94">
        <v>14</v>
      </c>
      <c r="K23" s="81"/>
      <c r="L23" s="89">
        <v>0.73922990508162567</v>
      </c>
      <c r="M23" s="90">
        <v>0.45922805011605522</v>
      </c>
      <c r="N23" s="90">
        <v>1.578523229524472</v>
      </c>
      <c r="O23" s="90">
        <v>2.0409999999999999</v>
      </c>
      <c r="P23" s="90">
        <v>1.2669999999999999</v>
      </c>
      <c r="Q23" s="90">
        <v>1.62</v>
      </c>
      <c r="R23" s="90">
        <v>1.7929999999999999</v>
      </c>
      <c r="S23" s="90">
        <v>2.2410000000000001</v>
      </c>
      <c r="T23" s="90">
        <v>-5.3620000000000001</v>
      </c>
      <c r="U23" s="90">
        <v>6.1340000000000003</v>
      </c>
      <c r="V23" s="91">
        <v>3.0910000000000002</v>
      </c>
      <c r="W23" s="91">
        <f t="shared" si="0"/>
        <v>1.4175734019728159</v>
      </c>
    </row>
    <row r="24" spans="1:23" x14ac:dyDescent="0.35">
      <c r="A24" s="81" t="s">
        <v>569</v>
      </c>
      <c r="B24" s="81" t="s">
        <v>585</v>
      </c>
      <c r="C24" s="89">
        <v>5.666147255627263</v>
      </c>
      <c r="D24" s="90">
        <v>6.110859714036887</v>
      </c>
      <c r="E24" s="91">
        <v>5.477732246862832</v>
      </c>
      <c r="G24" s="103" t="s">
        <v>398</v>
      </c>
      <c r="H24" s="101">
        <v>73.01184037118577</v>
      </c>
      <c r="I24" s="93">
        <v>75</v>
      </c>
      <c r="J24" s="94">
        <v>7</v>
      </c>
      <c r="K24" s="81"/>
      <c r="L24" s="89">
        <v>4.811223315687994</v>
      </c>
      <c r="M24" s="90">
        <v>7.1914337214494379</v>
      </c>
      <c r="N24" s="90">
        <v>6.3576790979193039</v>
      </c>
      <c r="O24" s="90">
        <v>1.778</v>
      </c>
      <c r="P24" s="90">
        <v>3.34</v>
      </c>
      <c r="Q24" s="90">
        <v>5.6719999999999997</v>
      </c>
      <c r="R24" s="90">
        <v>6.6970000000000001</v>
      </c>
      <c r="S24" s="90">
        <v>6.8659999999999997</v>
      </c>
      <c r="T24" s="90">
        <v>3.8490000000000002</v>
      </c>
      <c r="U24" s="90">
        <v>7.1550000000000002</v>
      </c>
      <c r="V24" s="91">
        <v>6.0209999999999999</v>
      </c>
      <c r="W24" s="91">
        <f t="shared" si="0"/>
        <v>5.7942959804498599</v>
      </c>
    </row>
    <row r="25" spans="1:23" x14ac:dyDescent="0.35">
      <c r="A25" s="81" t="s">
        <v>565</v>
      </c>
      <c r="B25" s="81" t="s">
        <v>586</v>
      </c>
      <c r="C25" s="89">
        <v>-0.76587225840651918</v>
      </c>
      <c r="D25" s="90">
        <v>1.2676841708430198</v>
      </c>
      <c r="E25" s="91">
        <v>3.3347663550896245</v>
      </c>
      <c r="G25" s="103" t="s">
        <v>567</v>
      </c>
      <c r="H25" s="101">
        <v>55.154482190816807</v>
      </c>
      <c r="I25" s="93">
        <v>132</v>
      </c>
      <c r="J25" s="94">
        <v>28</v>
      </c>
      <c r="K25" s="81"/>
      <c r="L25" s="89">
        <v>5.1184008580053391</v>
      </c>
      <c r="M25" s="90">
        <v>2.1199726329821678</v>
      </c>
      <c r="N25" s="90">
        <v>5.7764956801372422</v>
      </c>
      <c r="O25" s="90">
        <v>6.2210000000000001</v>
      </c>
      <c r="P25" s="90">
        <v>7.4080000000000004</v>
      </c>
      <c r="Q25" s="90">
        <v>6.3220000000000001</v>
      </c>
      <c r="R25" s="90">
        <v>3.835</v>
      </c>
      <c r="S25" s="90">
        <v>4.4249999999999998</v>
      </c>
      <c r="T25" s="90">
        <v>-2.3479999999999999</v>
      </c>
      <c r="U25" s="90">
        <v>-3.3319999999999999</v>
      </c>
      <c r="V25" s="91">
        <v>4.3250000000000002</v>
      </c>
      <c r="W25" s="91">
        <f t="shared" si="0"/>
        <v>2.3012252629663221</v>
      </c>
    </row>
    <row r="26" spans="1:23" x14ac:dyDescent="0.35">
      <c r="A26" s="81" t="s">
        <v>573</v>
      </c>
      <c r="B26" s="81" t="s">
        <v>587</v>
      </c>
      <c r="C26" s="89">
        <v>-2.2304131763273283E-2</v>
      </c>
      <c r="D26" s="90">
        <v>1.2603639469641159</v>
      </c>
      <c r="E26" s="91">
        <v>3.1673454908146104</v>
      </c>
      <c r="G26" s="103" t="s">
        <v>567</v>
      </c>
      <c r="H26" s="101">
        <v>31.085526545532133</v>
      </c>
      <c r="I26" s="93">
        <v>155</v>
      </c>
      <c r="J26" s="94">
        <v>25</v>
      </c>
      <c r="K26" s="81"/>
      <c r="L26" s="89">
        <v>5.122274660983769</v>
      </c>
      <c r="M26" s="90">
        <v>6.7960117055974338</v>
      </c>
      <c r="N26" s="90">
        <v>5.4605671536850453</v>
      </c>
      <c r="O26" s="90">
        <v>4.8570000000000002</v>
      </c>
      <c r="P26" s="90">
        <v>4.2640000000000002</v>
      </c>
      <c r="Q26" s="90">
        <v>4.1950000000000003</v>
      </c>
      <c r="R26" s="90">
        <v>4.2240000000000002</v>
      </c>
      <c r="S26" s="90">
        <v>2.2170000000000001</v>
      </c>
      <c r="T26" s="90">
        <v>-8.7379999999999995</v>
      </c>
      <c r="U26" s="90">
        <v>6.1059999999999999</v>
      </c>
      <c r="V26" s="91">
        <v>3.2</v>
      </c>
      <c r="W26" s="91">
        <f t="shared" si="0"/>
        <v>2.2138547188893631</v>
      </c>
    </row>
    <row r="27" spans="1:23" x14ac:dyDescent="0.35">
      <c r="A27" s="81" t="s">
        <v>227</v>
      </c>
      <c r="B27" s="81" t="s">
        <v>588</v>
      </c>
      <c r="C27" s="89">
        <v>2.6460933550704002</v>
      </c>
      <c r="D27" s="90">
        <v>2.9046927076515017</v>
      </c>
      <c r="E27" s="91">
        <v>2.7421493700034771</v>
      </c>
      <c r="G27" s="103" t="s">
        <v>422</v>
      </c>
      <c r="H27" s="101">
        <v>66.414016463166035</v>
      </c>
      <c r="I27" s="93">
        <v>108</v>
      </c>
      <c r="J27" s="94">
        <v>41</v>
      </c>
      <c r="K27" s="81"/>
      <c r="L27" s="89">
        <v>-0.82183647421687545</v>
      </c>
      <c r="M27" s="90">
        <v>2.3498566632458062</v>
      </c>
      <c r="N27" s="90">
        <v>1.1538510920040257</v>
      </c>
      <c r="O27" s="90">
        <v>4.3140000000000001</v>
      </c>
      <c r="P27" s="90">
        <v>3.242</v>
      </c>
      <c r="Q27" s="90">
        <v>3.2440000000000002</v>
      </c>
      <c r="R27" s="90">
        <v>3.8290000000000002</v>
      </c>
      <c r="S27" s="90">
        <v>2.8860000000000001</v>
      </c>
      <c r="T27" s="90">
        <v>-3.0150000000000001</v>
      </c>
      <c r="U27" s="90">
        <v>7.3920000000000003</v>
      </c>
      <c r="V27" s="91">
        <v>3.8</v>
      </c>
      <c r="W27" s="91">
        <f t="shared" si="0"/>
        <v>2.8234210388274894</v>
      </c>
    </row>
    <row r="28" spans="1:23" x14ac:dyDescent="0.35">
      <c r="A28" s="81" t="s">
        <v>569</v>
      </c>
      <c r="B28" s="81" t="s">
        <v>589</v>
      </c>
      <c r="C28" s="89">
        <v>2.6588943634134665</v>
      </c>
      <c r="D28" s="90">
        <v>1.4503583241093798</v>
      </c>
      <c r="E28" s="91">
        <v>2.7752039527026096</v>
      </c>
      <c r="G28" s="103" t="s">
        <v>398</v>
      </c>
      <c r="H28" s="101">
        <v>74.531513757725932</v>
      </c>
      <c r="I28" s="93">
        <v>70</v>
      </c>
      <c r="J28" s="94">
        <v>6</v>
      </c>
      <c r="K28" s="81"/>
      <c r="L28" s="89">
        <v>4.4561672130978769</v>
      </c>
      <c r="M28" s="90">
        <v>11.343424252775241</v>
      </c>
      <c r="N28" s="90">
        <v>4.149289893135184</v>
      </c>
      <c r="O28" s="90">
        <v>-4.851</v>
      </c>
      <c r="P28" s="90">
        <v>7.202</v>
      </c>
      <c r="Q28" s="90">
        <v>4.1130000000000004</v>
      </c>
      <c r="R28" s="90">
        <v>4.1900000000000004</v>
      </c>
      <c r="S28" s="90">
        <v>3.0329999999999999</v>
      </c>
      <c r="T28" s="90">
        <v>-8.7260000000000009</v>
      </c>
      <c r="U28" s="90">
        <v>11.84</v>
      </c>
      <c r="V28" s="91">
        <v>6.4329999999999998</v>
      </c>
      <c r="W28" s="91">
        <f t="shared" si="0"/>
        <v>2.1127811384059947</v>
      </c>
    </row>
    <row r="29" spans="1:23" x14ac:dyDescent="0.35">
      <c r="A29" s="81" t="s">
        <v>573</v>
      </c>
      <c r="B29" s="81" t="s">
        <v>590</v>
      </c>
      <c r="C29" s="89">
        <v>1.146428167182445</v>
      </c>
      <c r="D29" s="90">
        <v>1.295085878975577</v>
      </c>
      <c r="E29" s="91">
        <v>0.42795301380476047</v>
      </c>
      <c r="G29" s="103" t="s">
        <v>571</v>
      </c>
      <c r="H29" s="101">
        <v>79.569249143394813</v>
      </c>
      <c r="I29" s="93">
        <v>51</v>
      </c>
      <c r="J29" s="94">
        <v>7</v>
      </c>
      <c r="K29" s="81"/>
      <c r="L29" s="89">
        <v>1.9211503183629988</v>
      </c>
      <c r="M29" s="90">
        <v>3.0048463050570873</v>
      </c>
      <c r="N29" s="90">
        <v>0.50395574024224987</v>
      </c>
      <c r="O29" s="90">
        <v>-3.5459999999999998</v>
      </c>
      <c r="P29" s="90">
        <v>-3.2759999999999998</v>
      </c>
      <c r="Q29" s="90">
        <v>1.323</v>
      </c>
      <c r="R29" s="90">
        <v>1.784</v>
      </c>
      <c r="S29" s="90">
        <v>1.2210000000000001</v>
      </c>
      <c r="T29" s="90">
        <v>-3.2770000000000001</v>
      </c>
      <c r="U29" s="90">
        <v>4.9889999999999999</v>
      </c>
      <c r="V29" s="91">
        <v>2.9009999999999998</v>
      </c>
      <c r="W29" s="91">
        <f t="shared" si="0"/>
        <v>0.86151944639016875</v>
      </c>
    </row>
    <row r="30" spans="1:23" x14ac:dyDescent="0.35">
      <c r="A30" s="81" t="s">
        <v>565</v>
      </c>
      <c r="B30" s="81" t="s">
        <v>591</v>
      </c>
      <c r="C30" s="89">
        <v>-0.66374440025495085</v>
      </c>
      <c r="D30" s="90">
        <v>0.37078358077795581</v>
      </c>
      <c r="E30" s="91">
        <v>-0.44114896551331606</v>
      </c>
      <c r="G30" s="103" t="s">
        <v>567</v>
      </c>
      <c r="H30" s="101">
        <v>47.581995606084838</v>
      </c>
      <c r="I30" s="93">
        <v>142</v>
      </c>
      <c r="J30" s="94">
        <v>30</v>
      </c>
      <c r="K30" s="81"/>
      <c r="L30" s="89">
        <v>0.91284167096442625</v>
      </c>
      <c r="M30" s="90">
        <v>-2.1260285174017546</v>
      </c>
      <c r="N30" s="90">
        <v>-2.5083525664456063</v>
      </c>
      <c r="O30" s="90">
        <v>-0.40500000000000003</v>
      </c>
      <c r="P30" s="90">
        <v>-2.4649999999999999</v>
      </c>
      <c r="Q30" s="90">
        <v>1.329</v>
      </c>
      <c r="R30" s="90">
        <v>5.1999999999999998E-2</v>
      </c>
      <c r="S30" s="90">
        <v>3.8690000000000002</v>
      </c>
      <c r="T30" s="90">
        <v>1.1339999999999999</v>
      </c>
      <c r="U30" s="90">
        <v>-1.591</v>
      </c>
      <c r="V30" s="91">
        <v>-1.51</v>
      </c>
      <c r="W30" s="91">
        <f t="shared" si="0"/>
        <v>-3.5182692367680124E-2</v>
      </c>
    </row>
    <row r="31" spans="1:23" x14ac:dyDescent="0.35">
      <c r="A31" s="81" t="s">
        <v>227</v>
      </c>
      <c r="B31" s="81" t="s">
        <v>592</v>
      </c>
      <c r="C31" s="89">
        <v>2.2325090532704595</v>
      </c>
      <c r="D31" s="90">
        <v>2.7879873369299979</v>
      </c>
      <c r="E31" s="91">
        <v>2.7412414949005814</v>
      </c>
      <c r="G31" s="103" t="s">
        <v>571</v>
      </c>
      <c r="H31" s="101">
        <v>82.826908120877093</v>
      </c>
      <c r="I31" s="93">
        <v>40</v>
      </c>
      <c r="J31" s="94">
        <v>26</v>
      </c>
      <c r="K31" s="81"/>
      <c r="L31" s="89">
        <v>0.36058318828756941</v>
      </c>
      <c r="M31" s="90">
        <v>0.31873576132258219</v>
      </c>
      <c r="N31" s="90">
        <v>1.8945471424192788</v>
      </c>
      <c r="O31" s="90">
        <v>3.4279999999999999</v>
      </c>
      <c r="P31" s="90">
        <v>3.04</v>
      </c>
      <c r="Q31" s="90">
        <v>2.762</v>
      </c>
      <c r="R31" s="90">
        <v>2.6850000000000001</v>
      </c>
      <c r="S31" s="90">
        <v>4.0380000000000003</v>
      </c>
      <c r="T31" s="90">
        <v>-3.9590000000000001</v>
      </c>
      <c r="U31" s="90">
        <v>7.6349999999999998</v>
      </c>
      <c r="V31" s="91">
        <v>3.3610000000000002</v>
      </c>
      <c r="W31" s="91">
        <f t="shared" si="0"/>
        <v>2.7646144159152897</v>
      </c>
    </row>
    <row r="32" spans="1:23" x14ac:dyDescent="0.35">
      <c r="A32" s="81" t="s">
        <v>569</v>
      </c>
      <c r="B32" s="81" t="s">
        <v>593</v>
      </c>
      <c r="C32" s="89">
        <v>3.7461786866062718</v>
      </c>
      <c r="D32" s="90">
        <v>4.6060819779328632</v>
      </c>
      <c r="E32" s="91">
        <v>4.9153359042722222</v>
      </c>
      <c r="G32" s="103" t="s">
        <v>398</v>
      </c>
      <c r="H32" s="101">
        <v>71.439342263551737</v>
      </c>
      <c r="I32" s="93">
        <v>81</v>
      </c>
      <c r="J32" s="94">
        <v>11</v>
      </c>
      <c r="K32" s="81"/>
      <c r="L32" s="89">
        <v>6.4526723809054332</v>
      </c>
      <c r="M32" s="90">
        <v>5.7926055919056534</v>
      </c>
      <c r="N32" s="90">
        <v>4.3268456132150384</v>
      </c>
      <c r="O32" s="90">
        <v>3.9209999999999998</v>
      </c>
      <c r="P32" s="90">
        <v>5.9580000000000002</v>
      </c>
      <c r="Q32" s="90">
        <v>6.2030000000000003</v>
      </c>
      <c r="R32" s="90">
        <v>6.6029999999999998</v>
      </c>
      <c r="S32" s="90">
        <v>5.6890000000000001</v>
      </c>
      <c r="T32" s="90">
        <v>1.931</v>
      </c>
      <c r="U32" s="90">
        <v>6.9050000000000002</v>
      </c>
      <c r="V32" s="91">
        <v>2.4729999999999999</v>
      </c>
      <c r="W32" s="91">
        <f t="shared" si="0"/>
        <v>4.7607089411025427</v>
      </c>
    </row>
    <row r="33" spans="1:23" x14ac:dyDescent="0.35">
      <c r="A33" s="81" t="s">
        <v>569</v>
      </c>
      <c r="B33" s="81" t="s">
        <v>594</v>
      </c>
      <c r="C33" s="89">
        <v>1.3140617594302739</v>
      </c>
      <c r="D33" s="90">
        <v>1.4727306023839093</v>
      </c>
      <c r="E33" s="91">
        <v>1.2263384025287261</v>
      </c>
      <c r="G33" s="103" t="s">
        <v>567</v>
      </c>
      <c r="H33" s="101">
        <v>45.872398734881529</v>
      </c>
      <c r="I33" s="93">
        <v>144</v>
      </c>
      <c r="J33" s="94">
        <v>40</v>
      </c>
      <c r="K33" s="81"/>
      <c r="L33" s="89">
        <v>4.4467082221454284</v>
      </c>
      <c r="M33" s="90">
        <v>4.9241952612883146</v>
      </c>
      <c r="N33" s="90">
        <v>4.2406516436807848</v>
      </c>
      <c r="O33" s="90">
        <v>-3.9</v>
      </c>
      <c r="P33" s="90">
        <v>-0.6</v>
      </c>
      <c r="Q33" s="90">
        <v>0.5</v>
      </c>
      <c r="R33" s="90">
        <v>1.61</v>
      </c>
      <c r="S33" s="90">
        <v>1.8420000000000001</v>
      </c>
      <c r="T33" s="90">
        <v>0.33500000000000002</v>
      </c>
      <c r="U33" s="90">
        <v>3.1190000000000002</v>
      </c>
      <c r="V33" s="91">
        <v>1.827</v>
      </c>
      <c r="W33" s="91">
        <f t="shared" si="0"/>
        <v>1.3495345024563177</v>
      </c>
    </row>
    <row r="34" spans="1:23" x14ac:dyDescent="0.35">
      <c r="A34" s="81" t="s">
        <v>569</v>
      </c>
      <c r="B34" s="81" t="s">
        <v>595</v>
      </c>
      <c r="C34" s="89">
        <v>0.23646198785876038</v>
      </c>
      <c r="D34" s="90">
        <v>2.1534613712418604</v>
      </c>
      <c r="E34" s="91">
        <v>2.1525774639498785</v>
      </c>
      <c r="G34" s="103" t="s">
        <v>398</v>
      </c>
      <c r="H34" s="101">
        <v>72.784877013329833</v>
      </c>
      <c r="I34" s="93">
        <v>78</v>
      </c>
      <c r="J34" s="94">
        <v>9</v>
      </c>
      <c r="K34" s="81"/>
      <c r="L34" s="89">
        <v>1.0819182787712764</v>
      </c>
      <c r="M34" s="90">
        <v>0.80279760057422567</v>
      </c>
      <c r="N34" s="90">
        <v>0.61121266620786829</v>
      </c>
      <c r="O34" s="90">
        <v>1.0069999999999999</v>
      </c>
      <c r="P34" s="90">
        <v>4.7060000000000004</v>
      </c>
      <c r="Q34" s="90">
        <v>3.702</v>
      </c>
      <c r="R34" s="90">
        <v>14.566000000000001</v>
      </c>
      <c r="S34" s="90">
        <v>5.6680000000000001</v>
      </c>
      <c r="T34" s="90">
        <v>-14.782999999999999</v>
      </c>
      <c r="U34" s="90">
        <v>7</v>
      </c>
      <c r="V34" s="91">
        <v>10.5</v>
      </c>
      <c r="W34" s="91">
        <f t="shared" si="0"/>
        <v>2.1530194175958695</v>
      </c>
    </row>
    <row r="35" spans="1:23" x14ac:dyDescent="0.35">
      <c r="A35" s="81" t="s">
        <v>565</v>
      </c>
      <c r="B35" s="81" t="s">
        <v>596</v>
      </c>
      <c r="C35" s="89">
        <v>1.5881444792890331</v>
      </c>
      <c r="D35" s="90">
        <v>3.8205347927408928</v>
      </c>
      <c r="E35" s="91">
        <v>5.437149341759695</v>
      </c>
      <c r="G35" s="103" t="s">
        <v>567</v>
      </c>
      <c r="H35" s="101">
        <v>41.696651110677628</v>
      </c>
      <c r="I35" s="93">
        <v>149</v>
      </c>
      <c r="J35" s="94">
        <v>31</v>
      </c>
      <c r="K35" s="81"/>
      <c r="L35" s="89">
        <v>7.3133455053000533</v>
      </c>
      <c r="M35" s="90">
        <v>7.3566651488797472</v>
      </c>
      <c r="N35" s="90">
        <v>7.1425711007429467</v>
      </c>
      <c r="O35" s="90">
        <v>7.0359999999999996</v>
      </c>
      <c r="P35" s="90">
        <v>6.8630000000000004</v>
      </c>
      <c r="Q35" s="90">
        <v>6.9969999999999999</v>
      </c>
      <c r="R35" s="90">
        <v>7.4690000000000003</v>
      </c>
      <c r="S35" s="90">
        <v>7.0540000000000003</v>
      </c>
      <c r="T35" s="90">
        <v>-3.0960000000000001</v>
      </c>
      <c r="U35" s="90">
        <v>3.0259999999999998</v>
      </c>
      <c r="V35" s="91">
        <v>5.0119999999999996</v>
      </c>
      <c r="W35" s="91">
        <f t="shared" si="0"/>
        <v>4.6288420672502939</v>
      </c>
    </row>
    <row r="36" spans="1:23" x14ac:dyDescent="0.35">
      <c r="A36" s="81" t="s">
        <v>569</v>
      </c>
      <c r="B36" s="81" t="s">
        <v>597</v>
      </c>
      <c r="C36" s="89">
        <v>2.4193069652844734</v>
      </c>
      <c r="D36" s="90">
        <v>3.5683606479580687</v>
      </c>
      <c r="E36" s="91">
        <v>4.2936580650607903</v>
      </c>
      <c r="G36" s="103" t="s">
        <v>422</v>
      </c>
      <c r="H36" s="101">
        <v>66.487838229569903</v>
      </c>
      <c r="I36" s="93">
        <v>107</v>
      </c>
      <c r="J36" s="94">
        <v>24</v>
      </c>
      <c r="K36" s="81"/>
      <c r="L36" s="89">
        <v>4.5432650156673571</v>
      </c>
      <c r="M36" s="90">
        <v>5.4042657097173343</v>
      </c>
      <c r="N36" s="90">
        <v>5.8840593266804415</v>
      </c>
      <c r="O36" s="90">
        <v>5.6</v>
      </c>
      <c r="P36" s="90">
        <v>4.4790000000000001</v>
      </c>
      <c r="Q36" s="90">
        <v>3.5409999999999999</v>
      </c>
      <c r="R36" s="90">
        <v>4.0220000000000002</v>
      </c>
      <c r="S36" s="90">
        <v>3.4220000000000002</v>
      </c>
      <c r="T36" s="90">
        <v>0.53900000000000003</v>
      </c>
      <c r="U36" s="90">
        <v>3.649</v>
      </c>
      <c r="V36" s="91">
        <v>3.383</v>
      </c>
      <c r="W36" s="91">
        <f t="shared" si="0"/>
        <v>3.9310093565094295</v>
      </c>
    </row>
    <row r="37" spans="1:23" x14ac:dyDescent="0.35">
      <c r="A37" s="81" t="s">
        <v>573</v>
      </c>
      <c r="B37" s="81" t="s">
        <v>598</v>
      </c>
      <c r="C37" s="89">
        <v>0.80505563787092171</v>
      </c>
      <c r="D37" s="90">
        <v>1.279888102037452</v>
      </c>
      <c r="E37" s="91">
        <v>1.6398804050051563</v>
      </c>
      <c r="G37" s="103" t="s">
        <v>415</v>
      </c>
      <c r="H37" s="101">
        <v>95.837528170961207</v>
      </c>
      <c r="I37" s="93">
        <v>17</v>
      </c>
      <c r="J37" s="94">
        <v>2</v>
      </c>
      <c r="K37" s="81"/>
      <c r="L37" s="89">
        <v>1.762222549554276</v>
      </c>
      <c r="M37" s="90">
        <v>2.3291225223044822</v>
      </c>
      <c r="N37" s="90">
        <v>2.8700360387422155</v>
      </c>
      <c r="O37" s="90">
        <v>0.65900000000000003</v>
      </c>
      <c r="P37" s="90">
        <v>1.0009999999999999</v>
      </c>
      <c r="Q37" s="90">
        <v>3.04</v>
      </c>
      <c r="R37" s="90">
        <v>2.7770000000000001</v>
      </c>
      <c r="S37" s="90">
        <v>1.8879999999999999</v>
      </c>
      <c r="T37" s="90">
        <v>-5.0739999999999998</v>
      </c>
      <c r="U37" s="90">
        <v>5.0119999999999996</v>
      </c>
      <c r="V37" s="91">
        <v>3.3959999999999999</v>
      </c>
      <c r="W37" s="91">
        <f t="shared" si="0"/>
        <v>1.4598842535213041</v>
      </c>
    </row>
    <row r="38" spans="1:23" x14ac:dyDescent="0.35">
      <c r="A38" s="81" t="s">
        <v>569</v>
      </c>
      <c r="B38" s="81" t="s">
        <v>599</v>
      </c>
      <c r="C38" s="89">
        <v>0.72569907638180275</v>
      </c>
      <c r="D38" s="90">
        <v>1.8043988935163791</v>
      </c>
      <c r="E38" s="91">
        <v>-2.2645674209426092</v>
      </c>
      <c r="G38" s="103" t="s">
        <v>567</v>
      </c>
      <c r="H38" s="101">
        <v>41.466247411534134</v>
      </c>
      <c r="I38" s="93">
        <v>150</v>
      </c>
      <c r="J38" s="94">
        <v>44</v>
      </c>
      <c r="K38" s="81"/>
      <c r="L38" s="89">
        <v>5.053761253569192</v>
      </c>
      <c r="M38" s="90">
        <v>-36.391977098388679</v>
      </c>
      <c r="N38" s="90">
        <v>8.1070515326508011E-2</v>
      </c>
      <c r="O38" s="90">
        <v>4.3380000000000001</v>
      </c>
      <c r="P38" s="90">
        <v>4.75</v>
      </c>
      <c r="Q38" s="90">
        <v>4.5279999999999996</v>
      </c>
      <c r="R38" s="90">
        <v>3.82</v>
      </c>
      <c r="S38" s="90">
        <v>2.97</v>
      </c>
      <c r="T38" s="90">
        <v>0.95899999999999996</v>
      </c>
      <c r="U38" s="90">
        <v>0.98299999999999998</v>
      </c>
      <c r="V38" s="91">
        <v>0.378</v>
      </c>
      <c r="W38" s="91">
        <f t="shared" si="0"/>
        <v>-0.23008426371311508</v>
      </c>
    </row>
    <row r="39" spans="1:23" x14ac:dyDescent="0.35">
      <c r="A39" s="81" t="s">
        <v>569</v>
      </c>
      <c r="B39" s="81" t="s">
        <v>600</v>
      </c>
      <c r="C39" s="89">
        <v>-0.11885802228936981</v>
      </c>
      <c r="D39" s="90">
        <v>1.0424126086531427</v>
      </c>
      <c r="E39" s="91">
        <v>1.0693731739606749</v>
      </c>
      <c r="G39" s="103" t="s">
        <v>567</v>
      </c>
      <c r="H39" s="101">
        <v>46.134841898100355</v>
      </c>
      <c r="I39" s="93">
        <v>143</v>
      </c>
      <c r="J39" s="94">
        <v>39</v>
      </c>
      <c r="K39" s="81"/>
      <c r="L39" s="89">
        <v>8.8825760717031557</v>
      </c>
      <c r="M39" s="90">
        <v>5.7000013628586537</v>
      </c>
      <c r="N39" s="90">
        <v>6.8999850453216673</v>
      </c>
      <c r="O39" s="90">
        <v>1.77</v>
      </c>
      <c r="P39" s="90">
        <v>-5.5579999999999998</v>
      </c>
      <c r="Q39" s="90">
        <v>-2.38</v>
      </c>
      <c r="R39" s="90">
        <v>2.355</v>
      </c>
      <c r="S39" s="90">
        <v>3.419</v>
      </c>
      <c r="T39" s="90">
        <v>-2.1419999999999999</v>
      </c>
      <c r="U39" s="90">
        <v>-1.1020000000000001</v>
      </c>
      <c r="V39" s="91">
        <v>2.4940000000000002</v>
      </c>
      <c r="W39" s="91">
        <f t="shared" si="0"/>
        <v>1.0558928913069088</v>
      </c>
    </row>
    <row r="40" spans="1:23" x14ac:dyDescent="0.35">
      <c r="A40" s="81" t="s">
        <v>573</v>
      </c>
      <c r="B40" s="81" t="s">
        <v>601</v>
      </c>
      <c r="C40" s="89">
        <v>2.4572143474803632</v>
      </c>
      <c r="D40" s="90">
        <v>3.0605383736418856</v>
      </c>
      <c r="E40" s="91">
        <v>2.6285168981251106</v>
      </c>
      <c r="G40" s="103" t="s">
        <v>415</v>
      </c>
      <c r="H40" s="101">
        <v>89.938976035792962</v>
      </c>
      <c r="I40" s="93">
        <v>28</v>
      </c>
      <c r="J40" s="94">
        <v>3</v>
      </c>
      <c r="K40" s="81"/>
      <c r="L40" s="89">
        <v>5.3186280004141473</v>
      </c>
      <c r="M40" s="90">
        <v>4.0450042981489593</v>
      </c>
      <c r="N40" s="90">
        <v>1.7667397836386938</v>
      </c>
      <c r="O40" s="90">
        <v>2.1520000000000001</v>
      </c>
      <c r="P40" s="90">
        <v>1.7529999999999999</v>
      </c>
      <c r="Q40" s="90">
        <v>1.3580000000000001</v>
      </c>
      <c r="R40" s="90">
        <v>3.99</v>
      </c>
      <c r="S40" s="90">
        <v>0.74299999999999999</v>
      </c>
      <c r="T40" s="90">
        <v>-6.1449999999999996</v>
      </c>
      <c r="U40" s="90">
        <v>11.737</v>
      </c>
      <c r="V40" s="91">
        <v>2.44</v>
      </c>
      <c r="W40" s="91">
        <f t="shared" si="0"/>
        <v>2.8445276358834981</v>
      </c>
    </row>
    <row r="41" spans="1:23" x14ac:dyDescent="0.35">
      <c r="A41" s="81" t="s">
        <v>565</v>
      </c>
      <c r="B41" s="81" t="s">
        <v>602</v>
      </c>
      <c r="C41" s="89">
        <v>4.4136018906123953</v>
      </c>
      <c r="D41" s="90">
        <v>5.1836523723133077</v>
      </c>
      <c r="E41" s="91">
        <v>6.1897338385474399</v>
      </c>
      <c r="G41" s="103" t="s">
        <v>571</v>
      </c>
      <c r="H41" s="101">
        <v>79.714044846147502</v>
      </c>
      <c r="I41" s="93">
        <v>50</v>
      </c>
      <c r="J41" s="94">
        <v>7</v>
      </c>
      <c r="K41" s="81"/>
      <c r="L41" s="89">
        <v>7.8596274932851555</v>
      </c>
      <c r="M41" s="90">
        <v>7.7686152841281606</v>
      </c>
      <c r="N41" s="90">
        <v>7.4245236561990726</v>
      </c>
      <c r="O41" s="90">
        <v>7.0179999999999998</v>
      </c>
      <c r="P41" s="90">
        <v>6.851</v>
      </c>
      <c r="Q41" s="90">
        <v>6.9470000000000001</v>
      </c>
      <c r="R41" s="90">
        <v>6.7510000000000003</v>
      </c>
      <c r="S41" s="90">
        <v>5.9509999999999996</v>
      </c>
      <c r="T41" s="90">
        <v>2.242</v>
      </c>
      <c r="U41" s="90">
        <v>8.4499999999999993</v>
      </c>
      <c r="V41" s="91">
        <v>2.988</v>
      </c>
      <c r="W41" s="91">
        <f t="shared" si="0"/>
        <v>5.6866931054303738</v>
      </c>
    </row>
    <row r="42" spans="1:23" x14ac:dyDescent="0.35">
      <c r="A42" s="81" t="s">
        <v>573</v>
      </c>
      <c r="B42" s="81" t="s">
        <v>603</v>
      </c>
      <c r="C42" s="89">
        <v>3.4115994769119862</v>
      </c>
      <c r="D42" s="90">
        <v>2.9902381196408978</v>
      </c>
      <c r="E42" s="91">
        <v>3.0937390088282557</v>
      </c>
      <c r="G42" s="103" t="s">
        <v>571</v>
      </c>
      <c r="H42" s="101">
        <v>79.943455242802315</v>
      </c>
      <c r="I42" s="93">
        <v>48</v>
      </c>
      <c r="J42" s="94">
        <v>6</v>
      </c>
      <c r="K42" s="81"/>
      <c r="L42" s="89">
        <v>3.9126357671611296</v>
      </c>
      <c r="M42" s="90">
        <v>5.1339935199566966</v>
      </c>
      <c r="N42" s="90">
        <v>4.4990300011097339</v>
      </c>
      <c r="O42" s="90">
        <v>2.956</v>
      </c>
      <c r="P42" s="90">
        <v>2.0880000000000001</v>
      </c>
      <c r="Q42" s="90">
        <v>1.359</v>
      </c>
      <c r="R42" s="90">
        <v>2.5640000000000001</v>
      </c>
      <c r="S42" s="90">
        <v>3.1869999999999998</v>
      </c>
      <c r="T42" s="90">
        <v>-7.2519999999999998</v>
      </c>
      <c r="U42" s="90">
        <v>11.016</v>
      </c>
      <c r="V42" s="91">
        <v>7.4960000000000004</v>
      </c>
      <c r="W42" s="91">
        <f t="shared" si="0"/>
        <v>3.0419885642345768</v>
      </c>
    </row>
    <row r="43" spans="1:23" x14ac:dyDescent="0.35">
      <c r="A43" s="81" t="s">
        <v>569</v>
      </c>
      <c r="B43" s="81" t="s">
        <v>604</v>
      </c>
      <c r="C43" s="89">
        <v>1.4424277454801349</v>
      </c>
      <c r="D43" s="90">
        <v>1.9425285111170032</v>
      </c>
      <c r="E43" s="91">
        <v>2.451644301489786</v>
      </c>
      <c r="G43" s="103" t="s">
        <v>422</v>
      </c>
      <c r="H43" s="101">
        <v>68.943026951610364</v>
      </c>
      <c r="I43" s="93">
        <v>96</v>
      </c>
      <c r="J43" s="94">
        <v>17</v>
      </c>
      <c r="K43" s="81"/>
      <c r="L43" s="89">
        <v>3.2002729031888046</v>
      </c>
      <c r="M43" s="90">
        <v>4.4998742153082745</v>
      </c>
      <c r="N43" s="90">
        <v>2.1000064383028905</v>
      </c>
      <c r="O43" s="90">
        <v>1.147</v>
      </c>
      <c r="P43" s="90">
        <v>3.32</v>
      </c>
      <c r="Q43" s="90">
        <v>3.8159999999999998</v>
      </c>
      <c r="R43" s="90">
        <v>3.6419999999999999</v>
      </c>
      <c r="S43" s="90">
        <v>1.7609999999999999</v>
      </c>
      <c r="T43" s="90">
        <v>-0.19600000000000001</v>
      </c>
      <c r="U43" s="90">
        <v>2.1120000000000001</v>
      </c>
      <c r="V43" s="91">
        <v>2.431</v>
      </c>
      <c r="W43" s="91">
        <f t="shared" si="0"/>
        <v>2.1970864063033946</v>
      </c>
    </row>
    <row r="44" spans="1:23" x14ac:dyDescent="0.35">
      <c r="A44" s="81" t="s">
        <v>569</v>
      </c>
      <c r="B44" s="81" t="s">
        <v>605</v>
      </c>
      <c r="C44" s="89">
        <v>4.8306254668632809</v>
      </c>
      <c r="D44" s="90">
        <v>4.9384402884992351</v>
      </c>
      <c r="E44" s="91">
        <v>5.5494362942043685</v>
      </c>
      <c r="G44" s="103" t="s">
        <v>567</v>
      </c>
      <c r="H44" s="101">
        <v>40.102703133666751</v>
      </c>
      <c r="I44" s="93">
        <v>151</v>
      </c>
      <c r="J44" s="94">
        <v>45</v>
      </c>
      <c r="K44" s="81"/>
      <c r="L44" s="89">
        <v>7.0868989467193844</v>
      </c>
      <c r="M44" s="90">
        <v>8.4819566360875722</v>
      </c>
      <c r="N44" s="90">
        <v>9.4702880971408341</v>
      </c>
      <c r="O44" s="90">
        <v>6.36</v>
      </c>
      <c r="P44" s="90">
        <v>0.39400000000000002</v>
      </c>
      <c r="Q44" s="90">
        <v>3.6579999999999999</v>
      </c>
      <c r="R44" s="90">
        <v>4.8250000000000002</v>
      </c>
      <c r="S44" s="90">
        <v>4.4850000000000003</v>
      </c>
      <c r="T44" s="90">
        <v>1.671</v>
      </c>
      <c r="U44" s="90">
        <v>6.2290000000000001</v>
      </c>
      <c r="V44" s="91">
        <v>6.6269999999999998</v>
      </c>
      <c r="W44" s="91">
        <f t="shared" si="0"/>
        <v>5.2439382913518013</v>
      </c>
    </row>
    <row r="45" spans="1:23" x14ac:dyDescent="0.35">
      <c r="A45" s="81" t="s">
        <v>569</v>
      </c>
      <c r="B45" s="81" t="s">
        <v>606</v>
      </c>
      <c r="C45" s="89">
        <v>-1.9540231466170455</v>
      </c>
      <c r="D45" s="90">
        <v>-2.1626068363397866</v>
      </c>
      <c r="E45" s="91">
        <v>-2.4351268953680449</v>
      </c>
      <c r="G45" s="103" t="s">
        <v>567</v>
      </c>
      <c r="H45" s="101">
        <v>42.318471362744162</v>
      </c>
      <c r="I45" s="93">
        <v>148</v>
      </c>
      <c r="J45" s="94">
        <v>43</v>
      </c>
      <c r="K45" s="81"/>
      <c r="L45" s="89">
        <v>9.9471531425756439</v>
      </c>
      <c r="M45" s="90">
        <v>-0.71243445187648202</v>
      </c>
      <c r="N45" s="90">
        <v>6.7166793337864945</v>
      </c>
      <c r="O45" s="90">
        <v>-3.5510000000000002</v>
      </c>
      <c r="P45" s="90">
        <v>-10.782999999999999</v>
      </c>
      <c r="Q45" s="90">
        <v>-4.383</v>
      </c>
      <c r="R45" s="90">
        <v>-4.8049999999999997</v>
      </c>
      <c r="S45" s="90">
        <v>1.026</v>
      </c>
      <c r="T45" s="90">
        <v>-6.1980000000000004</v>
      </c>
      <c r="U45" s="90">
        <v>1.5</v>
      </c>
      <c r="V45" s="91">
        <v>2.7850000000000001</v>
      </c>
      <c r="W45" s="91">
        <f t="shared" si="0"/>
        <v>-2.298866865853916</v>
      </c>
    </row>
    <row r="46" spans="1:23" x14ac:dyDescent="0.35">
      <c r="A46" s="81" t="s">
        <v>573</v>
      </c>
      <c r="B46" s="81" t="s">
        <v>607</v>
      </c>
      <c r="C46" s="89">
        <v>2.4986852323448439</v>
      </c>
      <c r="D46" s="90">
        <v>3.7972658363557565</v>
      </c>
      <c r="E46" s="91">
        <v>3.649680120396992</v>
      </c>
      <c r="G46" s="103" t="s">
        <v>571</v>
      </c>
      <c r="H46" s="101">
        <v>86.218051096846139</v>
      </c>
      <c r="I46" s="93">
        <v>34</v>
      </c>
      <c r="J46" s="94">
        <v>4</v>
      </c>
      <c r="K46" s="81"/>
      <c r="L46" s="89">
        <v>4.7969199185815947</v>
      </c>
      <c r="M46" s="90">
        <v>2.2690274004615811</v>
      </c>
      <c r="N46" s="90">
        <v>3.5153385639114227</v>
      </c>
      <c r="O46" s="90">
        <v>3.6520000000000001</v>
      </c>
      <c r="P46" s="90">
        <v>4.2039999999999997</v>
      </c>
      <c r="Q46" s="90">
        <v>4.1580000000000004</v>
      </c>
      <c r="R46" s="90">
        <v>2.6160000000000001</v>
      </c>
      <c r="S46" s="90">
        <v>2.4180000000000001</v>
      </c>
      <c r="T46" s="90">
        <v>-4.2729999999999997</v>
      </c>
      <c r="U46" s="90">
        <v>7.7809999999999997</v>
      </c>
      <c r="V46" s="91">
        <v>4.3239999999999998</v>
      </c>
      <c r="W46" s="91">
        <f t="shared" si="0"/>
        <v>3.7234729783763743</v>
      </c>
    </row>
    <row r="47" spans="1:23" x14ac:dyDescent="0.35">
      <c r="A47" s="81" t="s">
        <v>569</v>
      </c>
      <c r="B47" s="81" t="s">
        <v>608</v>
      </c>
      <c r="C47" s="89">
        <v>5.2133244785906863</v>
      </c>
      <c r="D47" s="90">
        <v>5.7501340546816326</v>
      </c>
      <c r="E47" s="91">
        <v>6.9731316213943906</v>
      </c>
      <c r="G47" s="103" t="s">
        <v>422</v>
      </c>
      <c r="H47" s="101">
        <v>69.121915522328067</v>
      </c>
      <c r="I47" s="93">
        <v>95</v>
      </c>
      <c r="J47" s="94">
        <v>16</v>
      </c>
      <c r="K47" s="81"/>
      <c r="L47" s="89">
        <v>10.706504103485498</v>
      </c>
      <c r="M47" s="90">
        <v>8.8894213015542505</v>
      </c>
      <c r="N47" s="90">
        <v>8.7940773902773532</v>
      </c>
      <c r="O47" s="90">
        <v>8.843</v>
      </c>
      <c r="P47" s="90">
        <v>7.173</v>
      </c>
      <c r="Q47" s="90">
        <v>6.1429999999999998</v>
      </c>
      <c r="R47" s="90">
        <v>3.7509999999999999</v>
      </c>
      <c r="S47" s="90">
        <v>8.31</v>
      </c>
      <c r="T47" s="90">
        <v>1.7</v>
      </c>
      <c r="U47" s="90">
        <v>7</v>
      </c>
      <c r="V47" s="91">
        <v>6.7</v>
      </c>
      <c r="W47" s="91">
        <f t="shared" si="0"/>
        <v>6.3616328380380116</v>
      </c>
    </row>
    <row r="48" spans="1:23" x14ac:dyDescent="0.35">
      <c r="A48" s="81" t="s">
        <v>227</v>
      </c>
      <c r="B48" s="81" t="s">
        <v>609</v>
      </c>
      <c r="C48" s="89">
        <v>3.2016110581527757</v>
      </c>
      <c r="D48" s="90">
        <v>3.6386983370098269</v>
      </c>
      <c r="E48" s="91">
        <v>2.6484109069949024</v>
      </c>
      <c r="G48" s="103" t="s">
        <v>571</v>
      </c>
      <c r="H48" s="101">
        <v>83.891853807505186</v>
      </c>
      <c r="I48" s="93">
        <v>39</v>
      </c>
      <c r="J48" s="94">
        <v>25</v>
      </c>
      <c r="K48" s="81"/>
      <c r="L48" s="89">
        <v>-2.2376475412236791</v>
      </c>
      <c r="M48" s="90">
        <v>-0.54854848857064353</v>
      </c>
      <c r="N48" s="90">
        <v>-0.10392849719394197</v>
      </c>
      <c r="O48" s="90">
        <v>2.524</v>
      </c>
      <c r="P48" s="90">
        <v>3.56</v>
      </c>
      <c r="Q48" s="90">
        <v>3.4140000000000001</v>
      </c>
      <c r="R48" s="90">
        <v>2.7989999999999999</v>
      </c>
      <c r="S48" s="90">
        <v>3.42</v>
      </c>
      <c r="T48" s="90">
        <v>-8.58</v>
      </c>
      <c r="U48" s="90">
        <v>13.07</v>
      </c>
      <c r="V48" s="91">
        <v>6.3319999999999999</v>
      </c>
      <c r="W48" s="91">
        <f t="shared" si="0"/>
        <v>3.1435546220023647</v>
      </c>
    </row>
    <row r="49" spans="1:23" x14ac:dyDescent="0.35">
      <c r="A49" s="81" t="s">
        <v>227</v>
      </c>
      <c r="B49" s="81" t="s">
        <v>610</v>
      </c>
      <c r="C49" s="89">
        <v>2.5096449899315587</v>
      </c>
      <c r="D49" s="90">
        <v>3.8028194592395037</v>
      </c>
      <c r="E49" s="91">
        <v>2.5630103304818297</v>
      </c>
      <c r="G49" s="103" t="s">
        <v>571</v>
      </c>
      <c r="H49" s="101">
        <v>87.255396390154942</v>
      </c>
      <c r="I49" s="93">
        <v>32</v>
      </c>
      <c r="J49" s="94">
        <v>21</v>
      </c>
      <c r="K49" s="81"/>
      <c r="L49" s="89">
        <v>-3.4468220858971224</v>
      </c>
      <c r="M49" s="90">
        <v>-6.5530782549911972</v>
      </c>
      <c r="N49" s="90">
        <v>-1.8293091092200273</v>
      </c>
      <c r="O49" s="90">
        <v>3.4180000000000001</v>
      </c>
      <c r="P49" s="90">
        <v>6.5739999999999998</v>
      </c>
      <c r="Q49" s="90">
        <v>5.7329999999999997</v>
      </c>
      <c r="R49" s="90">
        <v>5.649</v>
      </c>
      <c r="S49" s="90">
        <v>5.5289999999999999</v>
      </c>
      <c r="T49" s="90">
        <v>-4.3710000000000004</v>
      </c>
      <c r="U49" s="90">
        <v>6.6369999999999996</v>
      </c>
      <c r="V49" s="91">
        <v>5.6319999999999997</v>
      </c>
      <c r="W49" s="91">
        <f t="shared" si="0"/>
        <v>3.1829148948606667</v>
      </c>
    </row>
    <row r="50" spans="1:23" x14ac:dyDescent="0.35">
      <c r="A50" s="81" t="s">
        <v>227</v>
      </c>
      <c r="B50" s="81" t="s">
        <v>611</v>
      </c>
      <c r="C50" s="89">
        <v>7.8479275411136307E-2</v>
      </c>
      <c r="D50" s="90">
        <v>1.4620184569118511</v>
      </c>
      <c r="E50" s="91">
        <v>2.1534461321011111</v>
      </c>
      <c r="G50" s="103" t="s">
        <v>415</v>
      </c>
      <c r="H50" s="101">
        <v>91.450544124021832</v>
      </c>
      <c r="I50" s="93">
        <v>23</v>
      </c>
      <c r="J50" s="94">
        <v>15</v>
      </c>
      <c r="K50" s="81"/>
      <c r="L50" s="89">
        <v>-0.79984428098029747</v>
      </c>
      <c r="M50" s="90">
        <v>-0.48367104180935355</v>
      </c>
      <c r="N50" s="90">
        <v>2.7151161333034923</v>
      </c>
      <c r="O50" s="90">
        <v>5.3879999999999999</v>
      </c>
      <c r="P50" s="90">
        <v>2.5369999999999999</v>
      </c>
      <c r="Q50" s="90">
        <v>5.1689999999999996</v>
      </c>
      <c r="R50" s="90">
        <v>3.22</v>
      </c>
      <c r="S50" s="90">
        <v>3.03</v>
      </c>
      <c r="T50" s="90">
        <v>-5.5030000000000001</v>
      </c>
      <c r="U50" s="90">
        <v>3.5529999999999999</v>
      </c>
      <c r="V50" s="91">
        <v>2.4420000000000002</v>
      </c>
      <c r="W50" s="91">
        <f t="shared" si="0"/>
        <v>1.8077322945064811</v>
      </c>
    </row>
    <row r="51" spans="1:23" x14ac:dyDescent="0.35">
      <c r="A51" s="81" t="s">
        <v>227</v>
      </c>
      <c r="B51" s="81" t="s">
        <v>612</v>
      </c>
      <c r="C51" s="89">
        <v>2.1173186821453305</v>
      </c>
      <c r="D51" s="90">
        <v>2.0745382872927598</v>
      </c>
      <c r="E51" s="91">
        <v>2.0535686786969709</v>
      </c>
      <c r="G51" s="103" t="s">
        <v>415</v>
      </c>
      <c r="H51" s="101">
        <v>97.848591628257381</v>
      </c>
      <c r="I51" s="93">
        <v>3</v>
      </c>
      <c r="J51" s="94">
        <v>2</v>
      </c>
      <c r="K51" s="81"/>
      <c r="L51" s="89">
        <v>0.22649979701625131</v>
      </c>
      <c r="M51" s="90">
        <v>0.93334095705108477</v>
      </c>
      <c r="N51" s="90">
        <v>1.6193938166337245</v>
      </c>
      <c r="O51" s="90">
        <v>2.343</v>
      </c>
      <c r="P51" s="90">
        <v>3.2480000000000002</v>
      </c>
      <c r="Q51" s="90">
        <v>2.819</v>
      </c>
      <c r="R51" s="90">
        <v>1.9910000000000001</v>
      </c>
      <c r="S51" s="90">
        <v>1.4930000000000001</v>
      </c>
      <c r="T51" s="90">
        <v>-1.994</v>
      </c>
      <c r="U51" s="90">
        <v>4.8570000000000002</v>
      </c>
      <c r="V51" s="91">
        <v>3.6230000000000002</v>
      </c>
      <c r="W51" s="91">
        <f t="shared" si="0"/>
        <v>2.0640534829948654</v>
      </c>
    </row>
    <row r="52" spans="1:23" x14ac:dyDescent="0.35">
      <c r="A52" s="81" t="s">
        <v>573</v>
      </c>
      <c r="B52" s="81" t="s">
        <v>613</v>
      </c>
      <c r="C52" s="89">
        <v>3.1998461156594438</v>
      </c>
      <c r="D52" s="90">
        <v>4.316018962980106</v>
      </c>
      <c r="E52" s="91">
        <v>5.1698060844696858</v>
      </c>
      <c r="G52" s="103" t="s">
        <v>571</v>
      </c>
      <c r="H52" s="101">
        <v>76.661181476266762</v>
      </c>
      <c r="I52" s="93">
        <v>62</v>
      </c>
      <c r="J52" s="94">
        <v>9</v>
      </c>
      <c r="K52" s="81"/>
      <c r="L52" s="89">
        <v>2.7173678967056243</v>
      </c>
      <c r="M52" s="90">
        <v>4.8752050933227107</v>
      </c>
      <c r="N52" s="90">
        <v>7.0504636896591117</v>
      </c>
      <c r="O52" s="90">
        <v>6.9269999999999996</v>
      </c>
      <c r="P52" s="90">
        <v>6.6589999999999998</v>
      </c>
      <c r="Q52" s="90">
        <v>4.6669999999999998</v>
      </c>
      <c r="R52" s="90">
        <v>6.9829999999999997</v>
      </c>
      <c r="S52" s="90">
        <v>5.0519999999999996</v>
      </c>
      <c r="T52" s="90">
        <v>-6.72</v>
      </c>
      <c r="U52" s="90">
        <v>12.272</v>
      </c>
      <c r="V52" s="91">
        <v>4.9489999999999998</v>
      </c>
      <c r="W52" s="91">
        <f t="shared" si="0"/>
        <v>4.7429125237248959</v>
      </c>
    </row>
    <row r="53" spans="1:23" x14ac:dyDescent="0.35">
      <c r="A53" s="81" t="s">
        <v>573</v>
      </c>
      <c r="B53" s="81" t="s">
        <v>614</v>
      </c>
      <c r="C53" s="89">
        <v>-0.32141867374969602</v>
      </c>
      <c r="D53" s="90">
        <v>6.5490773887200149E-2</v>
      </c>
      <c r="E53" s="91">
        <v>1.0130868701887064</v>
      </c>
      <c r="G53" s="107" t="s">
        <v>422</v>
      </c>
      <c r="H53" s="101">
        <v>61.323621492965962</v>
      </c>
      <c r="I53" s="93">
        <v>123</v>
      </c>
      <c r="J53" s="94">
        <v>20</v>
      </c>
      <c r="K53" s="81"/>
      <c r="L53" s="89">
        <v>5.641962066711991</v>
      </c>
      <c r="M53" s="90">
        <v>4.9465112669062528</v>
      </c>
      <c r="N53" s="90">
        <v>3.7888685492083329</v>
      </c>
      <c r="O53" s="90">
        <v>9.9000000000000005E-2</v>
      </c>
      <c r="P53" s="90">
        <v>-1.226</v>
      </c>
      <c r="Q53" s="90">
        <v>2.3679999999999999</v>
      </c>
      <c r="R53" s="90">
        <v>1.2889999999999999</v>
      </c>
      <c r="S53" s="90">
        <v>1.2E-2</v>
      </c>
      <c r="T53" s="90">
        <v>-7.7880000000000003</v>
      </c>
      <c r="U53" s="90">
        <v>4.2350000000000003</v>
      </c>
      <c r="V53" s="91">
        <v>3.0390000000000001</v>
      </c>
      <c r="W53" s="91">
        <f t="shared" si="0"/>
        <v>0.53928882203795325</v>
      </c>
    </row>
    <row r="54" spans="1:23" x14ac:dyDescent="0.35">
      <c r="A54" s="81" t="s">
        <v>569</v>
      </c>
      <c r="B54" s="81" t="s">
        <v>615</v>
      </c>
      <c r="C54" s="89">
        <v>4.4912036839904523</v>
      </c>
      <c r="D54" s="90">
        <v>4.8680352120142656</v>
      </c>
      <c r="E54" s="91">
        <v>4.2302867143853229</v>
      </c>
      <c r="G54" s="103" t="s">
        <v>422</v>
      </c>
      <c r="H54" s="101">
        <v>63.405428674671668</v>
      </c>
      <c r="I54" s="93">
        <v>119</v>
      </c>
      <c r="J54" s="94">
        <v>28</v>
      </c>
      <c r="K54" s="81"/>
      <c r="L54" s="89">
        <v>2.2261997966213811</v>
      </c>
      <c r="M54" s="90">
        <v>2.1854660547123101</v>
      </c>
      <c r="N54" s="90">
        <v>2.9159118788358169</v>
      </c>
      <c r="O54" s="90">
        <v>4.4340000000000002</v>
      </c>
      <c r="P54" s="90">
        <v>4.5060000000000002</v>
      </c>
      <c r="Q54" s="90">
        <v>2.3690000000000002</v>
      </c>
      <c r="R54" s="90">
        <v>5.3310000000000004</v>
      </c>
      <c r="S54" s="90">
        <v>5.5339999999999998</v>
      </c>
      <c r="T54" s="90">
        <v>3.5139999999999998</v>
      </c>
      <c r="U54" s="90">
        <v>3.3069999999999999</v>
      </c>
      <c r="V54" s="91">
        <v>6.609</v>
      </c>
      <c r="W54" s="91">
        <f t="shared" si="0"/>
        <v>4.5491609631997942</v>
      </c>
    </row>
    <row r="55" spans="1:23" x14ac:dyDescent="0.35">
      <c r="A55" s="81" t="s">
        <v>573</v>
      </c>
      <c r="B55" s="81" t="s">
        <v>616</v>
      </c>
      <c r="C55" s="89">
        <v>1.3471265984384528</v>
      </c>
      <c r="D55" s="90">
        <v>1.776882859029727</v>
      </c>
      <c r="E55" s="91">
        <v>2.0016468394263187</v>
      </c>
      <c r="G55" s="103" t="s">
        <v>398</v>
      </c>
      <c r="H55" s="101">
        <v>69.210174273537845</v>
      </c>
      <c r="I55" s="93">
        <v>94</v>
      </c>
      <c r="J55" s="94">
        <v>13</v>
      </c>
      <c r="K55" s="81"/>
      <c r="L55" s="89">
        <v>2.8155018217952783</v>
      </c>
      <c r="M55" s="90">
        <v>2.2337536818851604</v>
      </c>
      <c r="N55" s="90">
        <v>1.7112232058649222</v>
      </c>
      <c r="O55" s="90">
        <v>2.395</v>
      </c>
      <c r="P55" s="90">
        <v>2.5419999999999998</v>
      </c>
      <c r="Q55" s="90">
        <v>2.2530000000000001</v>
      </c>
      <c r="R55" s="90">
        <v>2.4119999999999999</v>
      </c>
      <c r="S55" s="90">
        <v>2.4350000000000001</v>
      </c>
      <c r="T55" s="90">
        <v>-8.1750000000000007</v>
      </c>
      <c r="U55" s="90">
        <v>10.269</v>
      </c>
      <c r="V55" s="91">
        <v>2.8</v>
      </c>
      <c r="W55" s="91">
        <f t="shared" si="0"/>
        <v>1.8892648492280228</v>
      </c>
    </row>
    <row r="56" spans="1:23" x14ac:dyDescent="0.35">
      <c r="A56" s="81" t="s">
        <v>227</v>
      </c>
      <c r="B56" s="81" t="s">
        <v>617</v>
      </c>
      <c r="C56" s="89">
        <v>1.972770435214799</v>
      </c>
      <c r="D56" s="90">
        <v>2.6853264084946815</v>
      </c>
      <c r="E56" s="91">
        <v>2.7928430899179402</v>
      </c>
      <c r="G56" s="103" t="s">
        <v>571</v>
      </c>
      <c r="H56" s="101">
        <v>82.267245472231053</v>
      </c>
      <c r="I56" s="93">
        <v>41</v>
      </c>
      <c r="J56" s="94">
        <v>27</v>
      </c>
      <c r="K56" s="81"/>
      <c r="L56" s="89">
        <v>3.1248431915696226</v>
      </c>
      <c r="M56" s="90">
        <v>1.346187835760732</v>
      </c>
      <c r="N56" s="90">
        <v>2.9873258188549392</v>
      </c>
      <c r="O56" s="90">
        <v>1.853</v>
      </c>
      <c r="P56" s="90">
        <v>3.1549999999999998</v>
      </c>
      <c r="Q56" s="90">
        <v>5.7919999999999998</v>
      </c>
      <c r="R56" s="90">
        <v>3.7839999999999998</v>
      </c>
      <c r="S56" s="90">
        <v>3.74</v>
      </c>
      <c r="T56" s="90">
        <v>-0.55100000000000005</v>
      </c>
      <c r="U56" s="90">
        <v>8.0129999999999999</v>
      </c>
      <c r="V56" s="91">
        <v>-1.2869999999999999</v>
      </c>
      <c r="W56" s="91">
        <f t="shared" si="0"/>
        <v>2.7390847492063108</v>
      </c>
    </row>
    <row r="57" spans="1:23" x14ac:dyDescent="0.35">
      <c r="A57" s="81" t="s">
        <v>569</v>
      </c>
      <c r="B57" s="81" t="s">
        <v>618</v>
      </c>
      <c r="C57" s="89">
        <v>2.1841699351578647</v>
      </c>
      <c r="D57" s="90">
        <v>2.1180367535848621</v>
      </c>
      <c r="E57" s="91">
        <v>2.094572895591984</v>
      </c>
      <c r="G57" s="103" t="s">
        <v>422</v>
      </c>
      <c r="H57" s="101">
        <v>63.876381030610304</v>
      </c>
      <c r="I57" s="93">
        <v>117</v>
      </c>
      <c r="J57" s="94">
        <v>27</v>
      </c>
      <c r="K57" s="81"/>
      <c r="L57" s="89">
        <v>5.3913093065302364</v>
      </c>
      <c r="M57" s="90">
        <v>3.8622718821819677</v>
      </c>
      <c r="N57" s="90">
        <v>0.91319649477376841</v>
      </c>
      <c r="O57" s="90">
        <v>2.2269999999999999</v>
      </c>
      <c r="P57" s="90">
        <v>1.0629999999999999</v>
      </c>
      <c r="Q57" s="90">
        <v>2.0270000000000001</v>
      </c>
      <c r="R57" s="90">
        <v>2.3690000000000002</v>
      </c>
      <c r="S57" s="90">
        <v>2.7040000000000002</v>
      </c>
      <c r="T57" s="90">
        <v>-1.56</v>
      </c>
      <c r="U57" s="90">
        <v>7.883</v>
      </c>
      <c r="V57" s="91">
        <v>0.46700000000000003</v>
      </c>
      <c r="W57" s="91">
        <f t="shared" si="0"/>
        <v>2.1063048245884231</v>
      </c>
    </row>
    <row r="58" spans="1:23" x14ac:dyDescent="0.35">
      <c r="A58" s="81" t="s">
        <v>569</v>
      </c>
      <c r="B58" s="81" t="s">
        <v>619</v>
      </c>
      <c r="C58" s="89">
        <v>6.0178655257344227</v>
      </c>
      <c r="D58" s="90">
        <v>6.6428861766961944</v>
      </c>
      <c r="E58" s="91">
        <v>8.3305963840047514</v>
      </c>
      <c r="G58" s="103" t="s">
        <v>567</v>
      </c>
      <c r="H58" s="101">
        <v>58.357971531116526</v>
      </c>
      <c r="I58" s="93">
        <v>128</v>
      </c>
      <c r="J58" s="94">
        <v>31</v>
      </c>
      <c r="K58" s="81"/>
      <c r="L58" s="89">
        <v>8.6478116333741841</v>
      </c>
      <c r="M58" s="90">
        <v>10.582270048267214</v>
      </c>
      <c r="N58" s="90">
        <v>10.257492961005118</v>
      </c>
      <c r="O58" s="90">
        <v>10.4</v>
      </c>
      <c r="P58" s="90">
        <v>8</v>
      </c>
      <c r="Q58" s="90">
        <v>10.210000000000001</v>
      </c>
      <c r="R58" s="90">
        <v>7.7030000000000003</v>
      </c>
      <c r="S58" s="90">
        <v>9.0370000000000008</v>
      </c>
      <c r="T58" s="90">
        <v>6.0570000000000004</v>
      </c>
      <c r="U58" s="90">
        <v>6.2649999999999997</v>
      </c>
      <c r="V58" s="91">
        <v>6.3579999999999997</v>
      </c>
      <c r="W58" s="91">
        <f t="shared" si="0"/>
        <v>7.4867412803504729</v>
      </c>
    </row>
    <row r="59" spans="1:23" x14ac:dyDescent="0.35">
      <c r="A59" s="81" t="s">
        <v>227</v>
      </c>
      <c r="B59" s="81" t="s">
        <v>620</v>
      </c>
      <c r="C59" s="89">
        <v>0.92513707934396283</v>
      </c>
      <c r="D59" s="90">
        <v>1.065704979127502</v>
      </c>
      <c r="E59" s="91">
        <v>1.0351636365421246</v>
      </c>
      <c r="G59" s="103" t="s">
        <v>415</v>
      </c>
      <c r="H59" s="101">
        <v>97.443307672167862</v>
      </c>
      <c r="I59" s="93">
        <v>5</v>
      </c>
      <c r="J59" s="94">
        <v>3</v>
      </c>
      <c r="K59" s="81"/>
      <c r="L59" s="89">
        <v>-1.3973545576374944</v>
      </c>
      <c r="M59" s="90">
        <v>-0.90201849743960727</v>
      </c>
      <c r="N59" s="90">
        <v>-0.36494028121428063</v>
      </c>
      <c r="O59" s="90">
        <v>0.54400000000000004</v>
      </c>
      <c r="P59" s="90">
        <v>2.8109999999999999</v>
      </c>
      <c r="Q59" s="90">
        <v>3.1920000000000002</v>
      </c>
      <c r="R59" s="90">
        <v>1.1399999999999999</v>
      </c>
      <c r="S59" s="90">
        <v>1.224</v>
      </c>
      <c r="T59" s="90">
        <v>-2.355</v>
      </c>
      <c r="U59" s="90">
        <v>3.0459999999999998</v>
      </c>
      <c r="V59" s="91">
        <v>2.0840000000000001</v>
      </c>
      <c r="W59" s="91">
        <f t="shared" si="0"/>
        <v>1.0504343078348133</v>
      </c>
    </row>
    <row r="60" spans="1:23" x14ac:dyDescent="0.35">
      <c r="A60" s="81" t="s">
        <v>227</v>
      </c>
      <c r="B60" s="81" t="s">
        <v>621</v>
      </c>
      <c r="C60" s="89">
        <v>0.35484098705607092</v>
      </c>
      <c r="D60" s="90">
        <v>0.85541697677951056</v>
      </c>
      <c r="E60" s="91">
        <v>1.0299722548507528</v>
      </c>
      <c r="G60" s="103" t="s">
        <v>415</v>
      </c>
      <c r="H60" s="101">
        <v>94.937245038342397</v>
      </c>
      <c r="I60" s="93">
        <v>20</v>
      </c>
      <c r="J60" s="94">
        <v>13</v>
      </c>
      <c r="K60" s="81"/>
      <c r="L60" s="89">
        <v>0.31313474167845923</v>
      </c>
      <c r="M60" s="90">
        <v>0.5763266794418439</v>
      </c>
      <c r="N60" s="90">
        <v>0.95618304768384532</v>
      </c>
      <c r="O60" s="90">
        <v>1.0549999999999999</v>
      </c>
      <c r="P60" s="90">
        <v>0.98199999999999998</v>
      </c>
      <c r="Q60" s="90">
        <v>2.4489999999999998</v>
      </c>
      <c r="R60" s="90">
        <v>1.8240000000000001</v>
      </c>
      <c r="S60" s="90">
        <v>1.8839999999999999</v>
      </c>
      <c r="T60" s="90">
        <v>-7.907</v>
      </c>
      <c r="U60" s="90">
        <v>6.77</v>
      </c>
      <c r="V60" s="91">
        <v>2.6059999999999999</v>
      </c>
      <c r="W60" s="91">
        <f t="shared" si="0"/>
        <v>0.9426946158151317</v>
      </c>
    </row>
    <row r="61" spans="1:23" x14ac:dyDescent="0.35">
      <c r="A61" s="81" t="s">
        <v>569</v>
      </c>
      <c r="B61" s="81" t="s">
        <v>622</v>
      </c>
      <c r="C61" s="89">
        <v>0.80490169914342324</v>
      </c>
      <c r="D61" s="90">
        <v>1.4271603442411074</v>
      </c>
      <c r="E61" s="91">
        <v>2.3419356903168431</v>
      </c>
      <c r="G61" s="103" t="s">
        <v>567</v>
      </c>
      <c r="H61" s="101">
        <v>37.219050826761183</v>
      </c>
      <c r="I61" s="93">
        <v>153</v>
      </c>
      <c r="J61" s="94">
        <v>46</v>
      </c>
      <c r="K61" s="81"/>
      <c r="L61" s="89">
        <v>5.251076917504065</v>
      </c>
      <c r="M61" s="90">
        <v>5.6386990033869457</v>
      </c>
      <c r="N61" s="90">
        <v>4.3149644410747063</v>
      </c>
      <c r="O61" s="90">
        <v>3.879</v>
      </c>
      <c r="P61" s="90">
        <v>2.0910000000000002</v>
      </c>
      <c r="Q61" s="90">
        <v>0.47299999999999998</v>
      </c>
      <c r="R61" s="90">
        <v>0.84299999999999997</v>
      </c>
      <c r="S61" s="90">
        <v>3.915</v>
      </c>
      <c r="T61" s="90">
        <v>-1.8640000000000001</v>
      </c>
      <c r="U61" s="90">
        <v>1.484</v>
      </c>
      <c r="V61" s="91">
        <v>2.8479999999999999</v>
      </c>
      <c r="W61" s="91">
        <f t="shared" si="0"/>
        <v>1.8845480172789753</v>
      </c>
    </row>
    <row r="62" spans="1:23" x14ac:dyDescent="0.35">
      <c r="A62" s="81" t="s">
        <v>569</v>
      </c>
      <c r="B62" s="81" t="s">
        <v>623</v>
      </c>
      <c r="C62" s="89">
        <v>3.0839257560593802</v>
      </c>
      <c r="D62" s="90">
        <v>4.5260960958580343</v>
      </c>
      <c r="E62" s="91">
        <v>3.4750911540431417</v>
      </c>
      <c r="G62" s="103" t="s">
        <v>422</v>
      </c>
      <c r="H62" s="101">
        <v>65.416670727464805</v>
      </c>
      <c r="I62" s="93">
        <v>114</v>
      </c>
      <c r="J62" s="94">
        <v>26</v>
      </c>
      <c r="K62" s="81"/>
      <c r="L62" s="89">
        <v>5.2415692463074244</v>
      </c>
      <c r="M62" s="90">
        <v>2.8727687903269969</v>
      </c>
      <c r="N62" s="90">
        <v>-1.4073824951095362</v>
      </c>
      <c r="O62" s="90">
        <v>4.0579999999999998</v>
      </c>
      <c r="P62" s="90">
        <v>1.9430000000000001</v>
      </c>
      <c r="Q62" s="90">
        <v>4.8230000000000004</v>
      </c>
      <c r="R62" s="90">
        <v>7.2350000000000003</v>
      </c>
      <c r="S62" s="90">
        <v>6.2220000000000004</v>
      </c>
      <c r="T62" s="90">
        <v>0.59099999999999997</v>
      </c>
      <c r="U62" s="90">
        <v>4.2649999999999997</v>
      </c>
      <c r="V62" s="91">
        <v>4.4409999999999998</v>
      </c>
      <c r="W62" s="91">
        <f t="shared" si="0"/>
        <v>4.0005936249505876</v>
      </c>
    </row>
    <row r="63" spans="1:23" x14ac:dyDescent="0.35">
      <c r="A63" s="81" t="s">
        <v>227</v>
      </c>
      <c r="B63" s="81" t="s">
        <v>624</v>
      </c>
      <c r="C63" s="89">
        <v>4.283743954922925</v>
      </c>
      <c r="D63" s="90">
        <v>4.5348375618438741</v>
      </c>
      <c r="E63" s="91">
        <v>4.1477466898679483</v>
      </c>
      <c r="G63" s="103" t="s">
        <v>571</v>
      </c>
      <c r="H63" s="101">
        <v>80.727500391697276</v>
      </c>
      <c r="I63" s="93">
        <v>46</v>
      </c>
      <c r="J63" s="94">
        <v>31</v>
      </c>
      <c r="K63" s="81"/>
      <c r="L63" s="89">
        <v>6.3690083063386043</v>
      </c>
      <c r="M63" s="90">
        <v>3.6213053519627643</v>
      </c>
      <c r="N63" s="90">
        <v>4.4319248230907649</v>
      </c>
      <c r="O63" s="90">
        <v>3.0270000000000001</v>
      </c>
      <c r="P63" s="90">
        <v>2.9060000000000001</v>
      </c>
      <c r="Q63" s="90">
        <v>4.843</v>
      </c>
      <c r="R63" s="90">
        <v>4.843</v>
      </c>
      <c r="S63" s="90">
        <v>4.9820000000000002</v>
      </c>
      <c r="T63" s="90">
        <v>-6.76</v>
      </c>
      <c r="U63" s="90">
        <v>10.465999999999999</v>
      </c>
      <c r="V63" s="91">
        <v>10.109</v>
      </c>
      <c r="W63" s="91">
        <f t="shared" si="0"/>
        <v>4.3412921258559116</v>
      </c>
    </row>
    <row r="64" spans="1:23" x14ac:dyDescent="0.35">
      <c r="A64" s="81" t="s">
        <v>227</v>
      </c>
      <c r="B64" s="81" t="s">
        <v>625</v>
      </c>
      <c r="C64" s="89">
        <v>0.19639292345923209</v>
      </c>
      <c r="D64" s="90">
        <v>0.54722001304448042</v>
      </c>
      <c r="E64" s="91">
        <v>1.1791658469401556</v>
      </c>
      <c r="G64" s="103" t="s">
        <v>415</v>
      </c>
      <c r="H64" s="101">
        <v>96.79194200114037</v>
      </c>
      <c r="I64" s="93">
        <v>8</v>
      </c>
      <c r="J64" s="94">
        <v>6</v>
      </c>
      <c r="K64" s="81"/>
      <c r="L64" s="89">
        <v>0.41955108005357267</v>
      </c>
      <c r="M64" s="90">
        <v>0.42824326167218907</v>
      </c>
      <c r="N64" s="90">
        <v>2.2256887491492803</v>
      </c>
      <c r="O64" s="90">
        <v>1.4870000000000001</v>
      </c>
      <c r="P64" s="90">
        <v>2.23</v>
      </c>
      <c r="Q64" s="90">
        <v>2.68</v>
      </c>
      <c r="R64" s="90">
        <v>0.98399999999999999</v>
      </c>
      <c r="S64" s="90">
        <v>1.054</v>
      </c>
      <c r="T64" s="90">
        <v>-3.6920000000000002</v>
      </c>
      <c r="U64" s="90">
        <v>2.625</v>
      </c>
      <c r="V64" s="91">
        <v>1.778</v>
      </c>
      <c r="W64" s="91">
        <f t="shared" si="0"/>
        <v>0.863192929992318</v>
      </c>
    </row>
    <row r="65" spans="1:23" x14ac:dyDescent="0.35">
      <c r="A65" s="81" t="s">
        <v>569</v>
      </c>
      <c r="B65" s="81" t="s">
        <v>626</v>
      </c>
      <c r="C65" s="89">
        <v>3.0107142168638523</v>
      </c>
      <c r="D65" s="90">
        <v>4.8285507296226937</v>
      </c>
      <c r="E65" s="91">
        <v>4.7980640567336197</v>
      </c>
      <c r="G65" s="103" t="s">
        <v>398</v>
      </c>
      <c r="H65" s="101">
        <v>69.704517199471169</v>
      </c>
      <c r="I65" s="93">
        <v>89</v>
      </c>
      <c r="J65" s="94">
        <v>13</v>
      </c>
      <c r="K65" s="81"/>
      <c r="L65" s="89">
        <v>9.2927894045967889</v>
      </c>
      <c r="M65" s="90">
        <v>7.3125250073312458</v>
      </c>
      <c r="N65" s="90">
        <v>2.8974388369154251</v>
      </c>
      <c r="O65" s="90">
        <v>2.121</v>
      </c>
      <c r="P65" s="90">
        <v>3.3730000000000002</v>
      </c>
      <c r="Q65" s="90">
        <v>8.1289999999999996</v>
      </c>
      <c r="R65" s="90">
        <v>6.2</v>
      </c>
      <c r="S65" s="90">
        <v>6.508</v>
      </c>
      <c r="T65" s="90">
        <v>0.51400000000000001</v>
      </c>
      <c r="U65" s="90">
        <v>5.3559999999999999</v>
      </c>
      <c r="V65" s="91">
        <v>3.2189999999999999</v>
      </c>
      <c r="W65" s="91">
        <f t="shared" si="0"/>
        <v>4.8133073931781567</v>
      </c>
    </row>
    <row r="66" spans="1:23" x14ac:dyDescent="0.35">
      <c r="A66" s="81" t="s">
        <v>227</v>
      </c>
      <c r="B66" s="81" t="s">
        <v>627</v>
      </c>
      <c r="C66" s="89">
        <v>1.4800990034344652</v>
      </c>
      <c r="D66" s="90">
        <v>1.2580147511245698</v>
      </c>
      <c r="E66" s="91">
        <v>0.45671215262543807</v>
      </c>
      <c r="G66" s="103" t="s">
        <v>415</v>
      </c>
      <c r="H66" s="101">
        <v>87.308557455608167</v>
      </c>
      <c r="I66" s="93">
        <v>31</v>
      </c>
      <c r="J66" s="94">
        <v>20</v>
      </c>
      <c r="K66" s="81"/>
      <c r="L66" s="89">
        <v>-7.3004939606978656</v>
      </c>
      <c r="M66" s="90">
        <v>-3.2414250560129267</v>
      </c>
      <c r="N66" s="90">
        <v>0.73977713855774985</v>
      </c>
      <c r="O66" s="90">
        <v>-0.19600000000000001</v>
      </c>
      <c r="P66" s="90">
        <v>-0.48699999999999999</v>
      </c>
      <c r="Q66" s="90">
        <v>1.0920000000000001</v>
      </c>
      <c r="R66" s="90">
        <v>1.6679999999999999</v>
      </c>
      <c r="S66" s="90">
        <v>1.8839999999999999</v>
      </c>
      <c r="T66" s="90">
        <v>-9.0039999999999996</v>
      </c>
      <c r="U66" s="90">
        <v>8.4339999999999993</v>
      </c>
      <c r="V66" s="91">
        <v>5.9139999999999997</v>
      </c>
      <c r="W66" s="91">
        <f t="shared" si="0"/>
        <v>0.85736345187500396</v>
      </c>
    </row>
    <row r="67" spans="1:23" x14ac:dyDescent="0.35">
      <c r="A67" s="81" t="s">
        <v>573</v>
      </c>
      <c r="B67" s="81" t="s">
        <v>628</v>
      </c>
      <c r="C67" s="89">
        <v>3.3306625930319189</v>
      </c>
      <c r="D67" s="90">
        <v>3.4919746764532578</v>
      </c>
      <c r="E67" s="91">
        <v>3.5384372691175781</v>
      </c>
      <c r="G67" s="103" t="s">
        <v>398</v>
      </c>
      <c r="H67" s="101">
        <v>71.336652243067974</v>
      </c>
      <c r="I67" s="93">
        <v>82</v>
      </c>
      <c r="J67" s="94">
        <v>10</v>
      </c>
      <c r="K67" s="81"/>
      <c r="L67" s="89">
        <v>2.9698574079878068</v>
      </c>
      <c r="M67" s="90">
        <v>3.6975861001947585</v>
      </c>
      <c r="N67" s="90">
        <v>4.4439780738522474</v>
      </c>
      <c r="O67" s="90">
        <v>4.0919999999999996</v>
      </c>
      <c r="P67" s="90">
        <v>2.6779999999999999</v>
      </c>
      <c r="Q67" s="90">
        <v>3.08</v>
      </c>
      <c r="R67" s="90">
        <v>3.407</v>
      </c>
      <c r="S67" s="90">
        <v>4.0019999999999998</v>
      </c>
      <c r="T67" s="90">
        <v>-1.764</v>
      </c>
      <c r="U67" s="90">
        <v>7.9809999999999999</v>
      </c>
      <c r="V67" s="91">
        <v>4.0090000000000003</v>
      </c>
      <c r="W67" s="91">
        <f t="shared" si="0"/>
        <v>3.5152059727854179</v>
      </c>
    </row>
    <row r="68" spans="1:23" x14ac:dyDescent="0.35">
      <c r="A68" s="81" t="s">
        <v>569</v>
      </c>
      <c r="B68" s="81" t="s">
        <v>629</v>
      </c>
      <c r="C68" s="89">
        <v>4.3705772513408236</v>
      </c>
      <c r="D68" s="90">
        <v>4.9898667622307658</v>
      </c>
      <c r="E68" s="91">
        <v>5.729233966321412</v>
      </c>
      <c r="G68" s="103" t="s">
        <v>567</v>
      </c>
      <c r="H68" s="101">
        <v>50.297438492745087</v>
      </c>
      <c r="I68" s="93">
        <v>138</v>
      </c>
      <c r="J68" s="94">
        <v>36</v>
      </c>
      <c r="K68" s="81"/>
      <c r="L68" s="89">
        <v>5.9152881384417997</v>
      </c>
      <c r="M68" s="90">
        <v>3.9456854305126305</v>
      </c>
      <c r="N68" s="90">
        <v>3.6965411823164165</v>
      </c>
      <c r="O68" s="90">
        <v>3.8260000000000001</v>
      </c>
      <c r="P68" s="90">
        <v>10.821</v>
      </c>
      <c r="Q68" s="90">
        <v>10.3</v>
      </c>
      <c r="R68" s="90">
        <v>6.3579999999999997</v>
      </c>
      <c r="S68" s="90">
        <v>5.617</v>
      </c>
      <c r="T68" s="90">
        <v>4.92</v>
      </c>
      <c r="U68" s="90">
        <v>4.2919999999999998</v>
      </c>
      <c r="V68" s="91">
        <v>4.2939999999999996</v>
      </c>
      <c r="W68" s="91">
        <f t="shared" si="0"/>
        <v>5.3595503642760889</v>
      </c>
    </row>
    <row r="69" spans="1:23" x14ac:dyDescent="0.35">
      <c r="A69" s="81" t="s">
        <v>569</v>
      </c>
      <c r="B69" s="81" t="s">
        <v>630</v>
      </c>
      <c r="C69" s="89">
        <v>1.5927018196488341</v>
      </c>
      <c r="D69" s="90">
        <v>2.1053991541019057</v>
      </c>
      <c r="E69" s="91">
        <v>3.2889383993762955</v>
      </c>
      <c r="G69" s="103" t="s">
        <v>567</v>
      </c>
      <c r="H69" s="101">
        <v>54.70982708603303</v>
      </c>
      <c r="I69" s="93">
        <v>134</v>
      </c>
      <c r="J69" s="94">
        <v>34</v>
      </c>
      <c r="K69" s="81"/>
      <c r="L69" s="89">
        <v>-1.7126830118107121</v>
      </c>
      <c r="M69" s="90">
        <v>3.255904265176933</v>
      </c>
      <c r="N69" s="90">
        <v>0.96456075098132787</v>
      </c>
      <c r="O69" s="90">
        <v>6.1340000000000003</v>
      </c>
      <c r="P69" s="90">
        <v>5.3070000000000004</v>
      </c>
      <c r="Q69" s="90">
        <v>4.7889999999999997</v>
      </c>
      <c r="R69" s="90">
        <v>3.7610000000000001</v>
      </c>
      <c r="S69" s="90">
        <v>4.5</v>
      </c>
      <c r="T69" s="90">
        <v>1.5</v>
      </c>
      <c r="U69" s="90">
        <v>6.4</v>
      </c>
      <c r="V69" s="91">
        <v>3.5</v>
      </c>
      <c r="W69" s="91">
        <f t="shared" si="0"/>
        <v>2.6971687767391006</v>
      </c>
    </row>
    <row r="70" spans="1:23" x14ac:dyDescent="0.35">
      <c r="A70" s="81" t="s">
        <v>573</v>
      </c>
      <c r="B70" s="81" t="s">
        <v>631</v>
      </c>
      <c r="C70" s="89">
        <v>40.872083180158647</v>
      </c>
      <c r="D70" s="90">
        <v>25.198248131969379</v>
      </c>
      <c r="E70" s="91">
        <v>13.395686805616647</v>
      </c>
      <c r="G70" s="103" t="s">
        <v>567</v>
      </c>
      <c r="H70" s="101">
        <v>56.740934863022261</v>
      </c>
      <c r="I70" s="93">
        <v>129</v>
      </c>
      <c r="J70" s="94">
        <v>21</v>
      </c>
      <c r="K70" s="81"/>
      <c r="L70" s="89">
        <v>5.3836234687298372</v>
      </c>
      <c r="M70" s="90">
        <v>3.6535047680067998</v>
      </c>
      <c r="N70" s="90">
        <v>1.6860277321410588</v>
      </c>
      <c r="O70" s="90">
        <v>0.68700000000000006</v>
      </c>
      <c r="P70" s="90">
        <v>3.8069999999999999</v>
      </c>
      <c r="Q70" s="90">
        <v>3.734</v>
      </c>
      <c r="R70" s="90">
        <v>4.4409999999999998</v>
      </c>
      <c r="S70" s="90">
        <v>5.3529999999999998</v>
      </c>
      <c r="T70" s="90">
        <v>43.48</v>
      </c>
      <c r="U70" s="90">
        <v>20.059999999999999</v>
      </c>
      <c r="V70" s="91">
        <v>62.287999999999997</v>
      </c>
      <c r="W70" s="91">
        <f t="shared" si="0"/>
        <v>19.296967468793014</v>
      </c>
    </row>
    <row r="71" spans="1:23" x14ac:dyDescent="0.35">
      <c r="A71" s="81" t="s">
        <v>573</v>
      </c>
      <c r="B71" s="81" t="s">
        <v>632</v>
      </c>
      <c r="C71" s="89">
        <v>-0.34574931867293879</v>
      </c>
      <c r="D71" s="90">
        <v>0.64565822904871784</v>
      </c>
      <c r="E71" s="91">
        <v>2.5156599586003026</v>
      </c>
      <c r="G71" s="103" t="s">
        <v>567</v>
      </c>
      <c r="H71" s="101">
        <v>54.401198784391461</v>
      </c>
      <c r="I71" s="93">
        <v>135</v>
      </c>
      <c r="J71" s="94">
        <v>22</v>
      </c>
      <c r="K71" s="81"/>
      <c r="L71" s="89">
        <v>-7.4695954800602468E-2</v>
      </c>
      <c r="M71" s="90">
        <v>9.2111856449685803</v>
      </c>
      <c r="N71" s="90">
        <v>1.9148137793287729</v>
      </c>
      <c r="O71" s="90">
        <v>2.5630000000000002</v>
      </c>
      <c r="P71" s="90">
        <v>1.8120000000000001</v>
      </c>
      <c r="Q71" s="90">
        <v>2.5099999999999998</v>
      </c>
      <c r="R71" s="90">
        <v>1.6679999999999999</v>
      </c>
      <c r="S71" s="90">
        <v>-1.6850000000000001</v>
      </c>
      <c r="T71" s="90">
        <v>-3.343</v>
      </c>
      <c r="U71" s="90">
        <v>-1.798</v>
      </c>
      <c r="V71" s="91">
        <v>-1.6819999999999999</v>
      </c>
      <c r="W71" s="91">
        <f t="shared" si="0"/>
        <v>1.5806590938245102</v>
      </c>
    </row>
    <row r="72" spans="1:23" x14ac:dyDescent="0.35">
      <c r="A72" s="81" t="s">
        <v>573</v>
      </c>
      <c r="B72" s="81" t="s">
        <v>633</v>
      </c>
      <c r="C72" s="89">
        <v>2.1352529558121391</v>
      </c>
      <c r="D72" s="90">
        <v>2.5786313755856494</v>
      </c>
      <c r="E72" s="91">
        <v>3.1291474397337593</v>
      </c>
      <c r="G72" s="103" t="s">
        <v>567</v>
      </c>
      <c r="H72" s="101">
        <v>39.565152370912173</v>
      </c>
      <c r="I72" s="93">
        <v>152</v>
      </c>
      <c r="J72" s="94">
        <v>24</v>
      </c>
      <c r="K72" s="81"/>
      <c r="L72" s="89">
        <v>4.1286877486693667</v>
      </c>
      <c r="M72" s="90">
        <v>2.7915597574680358</v>
      </c>
      <c r="N72" s="90">
        <v>3.0580805621437066</v>
      </c>
      <c r="O72" s="90">
        <v>3.84</v>
      </c>
      <c r="P72" s="90">
        <v>3.8929999999999998</v>
      </c>
      <c r="Q72" s="90">
        <v>4.843</v>
      </c>
      <c r="R72" s="90">
        <v>3.8450000000000002</v>
      </c>
      <c r="S72" s="90">
        <v>2.653</v>
      </c>
      <c r="T72" s="90">
        <v>-8.9649999999999999</v>
      </c>
      <c r="U72" s="90">
        <v>12.534000000000001</v>
      </c>
      <c r="V72" s="91">
        <v>4</v>
      </c>
      <c r="W72" s="91">
        <f t="shared" si="0"/>
        <v>2.8538894076597043</v>
      </c>
    </row>
    <row r="73" spans="1:23" x14ac:dyDescent="0.35">
      <c r="A73" s="81" t="s">
        <v>565</v>
      </c>
      <c r="B73" s="81" t="s">
        <v>634</v>
      </c>
      <c r="C73" s="89">
        <v>-1.3866109004180949</v>
      </c>
      <c r="D73" s="90">
        <v>-0.61127068207094126</v>
      </c>
      <c r="E73" s="91">
        <v>1.1000622223137801</v>
      </c>
      <c r="G73" s="103" t="s">
        <v>415</v>
      </c>
      <c r="H73" s="101">
        <v>95.561927385722356</v>
      </c>
      <c r="I73" s="93">
        <v>18</v>
      </c>
      <c r="J73" s="94">
        <v>5</v>
      </c>
      <c r="K73" s="81"/>
      <c r="L73" s="89">
        <v>1.7002747714417163</v>
      </c>
      <c r="M73" s="90">
        <v>3.1015497799994041</v>
      </c>
      <c r="N73" s="90">
        <v>2.7623919976975242</v>
      </c>
      <c r="O73" s="90">
        <v>2.3879999999999999</v>
      </c>
      <c r="P73" s="90">
        <v>2.1749999999999998</v>
      </c>
      <c r="Q73" s="90">
        <v>3.7959999999999998</v>
      </c>
      <c r="R73" s="90">
        <v>2.847</v>
      </c>
      <c r="S73" s="90">
        <v>-1.6719999999999999</v>
      </c>
      <c r="T73" s="90">
        <v>-6.5449999999999999</v>
      </c>
      <c r="U73" s="90">
        <v>6.4480000000000004</v>
      </c>
      <c r="V73" s="91">
        <v>-3.5070000000000001</v>
      </c>
      <c r="W73" s="91">
        <f t="shared" si="0"/>
        <v>0.24439577012141944</v>
      </c>
    </row>
    <row r="74" spans="1:23" x14ac:dyDescent="0.35">
      <c r="A74" s="81" t="s">
        <v>227</v>
      </c>
      <c r="B74" s="81" t="s">
        <v>635</v>
      </c>
      <c r="C74" s="89">
        <v>2.362570497371097</v>
      </c>
      <c r="D74" s="90">
        <v>3.4329643388785636</v>
      </c>
      <c r="E74" s="91">
        <v>3.366609258538622</v>
      </c>
      <c r="G74" s="103" t="s">
        <v>398</v>
      </c>
      <c r="H74" s="101">
        <v>75.842312832768172</v>
      </c>
      <c r="I74" s="93">
        <v>67</v>
      </c>
      <c r="J74" s="94">
        <v>37</v>
      </c>
      <c r="K74" s="81"/>
      <c r="L74" s="89">
        <v>-1.4717888510830746</v>
      </c>
      <c r="M74" s="90">
        <v>1.9629840486290608</v>
      </c>
      <c r="N74" s="90">
        <v>4.1950824094780925</v>
      </c>
      <c r="O74" s="90">
        <v>3.7069999999999999</v>
      </c>
      <c r="P74" s="90">
        <v>2.2010000000000001</v>
      </c>
      <c r="Q74" s="90">
        <v>4.2720000000000002</v>
      </c>
      <c r="R74" s="90">
        <v>5.3620000000000001</v>
      </c>
      <c r="S74" s="90">
        <v>4.8579999999999997</v>
      </c>
      <c r="T74" s="90">
        <v>-4.5469999999999997</v>
      </c>
      <c r="U74" s="90">
        <v>7.117</v>
      </c>
      <c r="V74" s="91">
        <v>4.9000000000000004</v>
      </c>
      <c r="W74" s="91">
        <f t="shared" si="0"/>
        <v>3.3997867987085928</v>
      </c>
    </row>
    <row r="75" spans="1:23" x14ac:dyDescent="0.35">
      <c r="A75" s="81" t="s">
        <v>227</v>
      </c>
      <c r="B75" s="81" t="s">
        <v>636</v>
      </c>
      <c r="C75" s="89">
        <v>1.1623871589995449</v>
      </c>
      <c r="D75" s="90">
        <v>2.1481166990517275</v>
      </c>
      <c r="E75" s="91">
        <v>3.1810733517810608</v>
      </c>
      <c r="G75" s="103" t="s">
        <v>415</v>
      </c>
      <c r="H75" s="101">
        <v>95.11269526919466</v>
      </c>
      <c r="I75" s="93">
        <v>19</v>
      </c>
      <c r="J75" s="94">
        <v>12</v>
      </c>
      <c r="K75" s="81"/>
      <c r="L75" s="89">
        <v>1.0636366074376145</v>
      </c>
      <c r="M75" s="90">
        <v>4.5524603201510816</v>
      </c>
      <c r="N75" s="90">
        <v>1.687215017506406</v>
      </c>
      <c r="O75" s="90">
        <v>4.4370000000000003</v>
      </c>
      <c r="P75" s="90">
        <v>6.3040000000000003</v>
      </c>
      <c r="Q75" s="90">
        <v>4.1950000000000003</v>
      </c>
      <c r="R75" s="90">
        <v>4.8890000000000002</v>
      </c>
      <c r="S75" s="90">
        <v>1.8049999999999999</v>
      </c>
      <c r="T75" s="90">
        <v>-7.242</v>
      </c>
      <c r="U75" s="90">
        <v>4.3330000000000002</v>
      </c>
      <c r="V75" s="91">
        <v>6.4450000000000003</v>
      </c>
      <c r="W75" s="91">
        <f t="shared" ref="W75:W138" si="1">AVERAGE(D75,E75)</f>
        <v>2.6645950254163941</v>
      </c>
    </row>
    <row r="76" spans="1:23" x14ac:dyDescent="0.35">
      <c r="A76" s="81" t="s">
        <v>565</v>
      </c>
      <c r="B76" s="81" t="s">
        <v>637</v>
      </c>
      <c r="C76" s="89">
        <v>2.7398620097403459</v>
      </c>
      <c r="D76" s="90">
        <v>3.6623835250989556</v>
      </c>
      <c r="E76" s="91">
        <v>5.5227254922200597</v>
      </c>
      <c r="G76" s="103" t="s">
        <v>422</v>
      </c>
      <c r="H76" s="101">
        <v>66.198052259063019</v>
      </c>
      <c r="I76" s="93">
        <v>109</v>
      </c>
      <c r="J76" s="94">
        <v>21</v>
      </c>
      <c r="K76" s="81"/>
      <c r="L76" s="89">
        <v>5.4563589507228496</v>
      </c>
      <c r="M76" s="90">
        <v>6.3861064009482602</v>
      </c>
      <c r="N76" s="90">
        <v>7.410227605088517</v>
      </c>
      <c r="O76" s="90">
        <v>7.9960000000000004</v>
      </c>
      <c r="P76" s="90">
        <v>8.2560000000000002</v>
      </c>
      <c r="Q76" s="90">
        <v>6.7949999999999999</v>
      </c>
      <c r="R76" s="90">
        <v>6.4539999999999997</v>
      </c>
      <c r="S76" s="90">
        <v>3.871</v>
      </c>
      <c r="T76" s="90">
        <v>-5.8310000000000004</v>
      </c>
      <c r="U76" s="90">
        <v>9.0500000000000007</v>
      </c>
      <c r="V76" s="91">
        <v>6.8310000000000004</v>
      </c>
      <c r="W76" s="91">
        <f t="shared" si="1"/>
        <v>4.5925545086595072</v>
      </c>
    </row>
    <row r="77" spans="1:23" x14ac:dyDescent="0.35">
      <c r="A77" s="81" t="s">
        <v>565</v>
      </c>
      <c r="B77" s="81" t="s">
        <v>638</v>
      </c>
      <c r="C77" s="89">
        <v>2.2622053552423305</v>
      </c>
      <c r="D77" s="90">
        <v>3.3867361875690394</v>
      </c>
      <c r="E77" s="91">
        <v>4.2439953782461792</v>
      </c>
      <c r="G77" s="103" t="s">
        <v>398</v>
      </c>
      <c r="H77" s="101">
        <v>71.158529876167961</v>
      </c>
      <c r="I77" s="93">
        <v>83</v>
      </c>
      <c r="J77" s="94">
        <v>14</v>
      </c>
      <c r="K77" s="81"/>
      <c r="L77" s="89">
        <v>6.0300506530561035</v>
      </c>
      <c r="M77" s="90">
        <v>5.5572636889101181</v>
      </c>
      <c r="N77" s="90">
        <v>5.0066684257549943</v>
      </c>
      <c r="O77" s="90">
        <v>4.8760000000000003</v>
      </c>
      <c r="P77" s="90">
        <v>5.0330000000000004</v>
      </c>
      <c r="Q77" s="90">
        <v>5.07</v>
      </c>
      <c r="R77" s="90">
        <v>5.1740000000000004</v>
      </c>
      <c r="S77" s="90">
        <v>5.0190000000000001</v>
      </c>
      <c r="T77" s="90">
        <v>-2.0659999999999998</v>
      </c>
      <c r="U77" s="90">
        <v>3.7029999999999998</v>
      </c>
      <c r="V77" s="91">
        <v>5.3090000000000002</v>
      </c>
      <c r="W77" s="91">
        <f t="shared" si="1"/>
        <v>3.8153657829076093</v>
      </c>
    </row>
    <row r="78" spans="1:23" x14ac:dyDescent="0.35">
      <c r="A78" s="81" t="s">
        <v>227</v>
      </c>
      <c r="B78" s="81" t="s">
        <v>639</v>
      </c>
      <c r="C78" s="89">
        <v>10.534737934438866</v>
      </c>
      <c r="D78" s="90">
        <v>8.9900271540683807</v>
      </c>
      <c r="E78" s="91">
        <v>9.0332345891797274</v>
      </c>
      <c r="G78" s="103" t="s">
        <v>415</v>
      </c>
      <c r="H78" s="101">
        <v>96.106887509545572</v>
      </c>
      <c r="I78" s="93">
        <v>12</v>
      </c>
      <c r="J78" s="94">
        <v>9</v>
      </c>
      <c r="K78" s="81"/>
      <c r="L78" s="89">
        <v>0.22571484300232808</v>
      </c>
      <c r="M78" s="90">
        <v>1.3516340039407124</v>
      </c>
      <c r="N78" s="90">
        <v>8.5566879851340367</v>
      </c>
      <c r="O78" s="90">
        <v>24.370999999999999</v>
      </c>
      <c r="P78" s="90">
        <v>2.0070000000000001</v>
      </c>
      <c r="Q78" s="90">
        <v>9.0050000000000008</v>
      </c>
      <c r="R78" s="90">
        <v>8.5280000000000005</v>
      </c>
      <c r="S78" s="90">
        <v>5.4409999999999998</v>
      </c>
      <c r="T78" s="90">
        <v>6.1840000000000002</v>
      </c>
      <c r="U78" s="90">
        <v>13.587999999999999</v>
      </c>
      <c r="V78" s="91">
        <v>11.97</v>
      </c>
      <c r="W78" s="91">
        <f t="shared" si="1"/>
        <v>9.0116308716240532</v>
      </c>
    </row>
    <row r="79" spans="1:23" x14ac:dyDescent="0.35">
      <c r="A79" s="81" t="s">
        <v>580</v>
      </c>
      <c r="B79" s="81" t="s">
        <v>640</v>
      </c>
      <c r="C79" s="89">
        <v>4.2964072248328211</v>
      </c>
      <c r="D79" s="90">
        <v>4.3056817639917977</v>
      </c>
      <c r="E79" s="91">
        <v>3.9225915638386066</v>
      </c>
      <c r="G79" s="103" t="s">
        <v>415</v>
      </c>
      <c r="H79" s="101">
        <v>91.08708937267636</v>
      </c>
      <c r="I79" s="93">
        <v>24</v>
      </c>
      <c r="J79" s="94">
        <v>2</v>
      </c>
      <c r="K79" s="81"/>
      <c r="L79" s="89">
        <v>2.2572375479441442</v>
      </c>
      <c r="M79" s="90">
        <v>4.1480545517150818</v>
      </c>
      <c r="N79" s="90">
        <v>3.7582001903069706</v>
      </c>
      <c r="O79" s="90">
        <v>2.4860000000000002</v>
      </c>
      <c r="P79" s="90">
        <v>4.5220000000000002</v>
      </c>
      <c r="Q79" s="90">
        <v>4.2759999999999998</v>
      </c>
      <c r="R79" s="90">
        <v>4.07</v>
      </c>
      <c r="S79" s="90">
        <v>4.1559999999999997</v>
      </c>
      <c r="T79" s="90">
        <v>-1.857</v>
      </c>
      <c r="U79" s="90">
        <v>8.6120000000000001</v>
      </c>
      <c r="V79" s="91">
        <v>6.4320000000000004</v>
      </c>
      <c r="W79" s="91">
        <f t="shared" si="1"/>
        <v>4.1141366639152022</v>
      </c>
    </row>
    <row r="80" spans="1:23" x14ac:dyDescent="0.35">
      <c r="A80" s="81" t="s">
        <v>227</v>
      </c>
      <c r="B80" s="81" t="s">
        <v>641</v>
      </c>
      <c r="C80" s="89">
        <v>0.2182802501019987</v>
      </c>
      <c r="D80" s="90">
        <v>0.31439174572445161</v>
      </c>
      <c r="E80" s="91">
        <v>0.34271436280863821</v>
      </c>
      <c r="G80" s="103" t="s">
        <v>415</v>
      </c>
      <c r="H80" s="101">
        <v>88.947746010825512</v>
      </c>
      <c r="I80" s="93">
        <v>29</v>
      </c>
      <c r="J80" s="94">
        <v>18</v>
      </c>
      <c r="K80" s="81"/>
      <c r="L80" s="89">
        <v>-2.9809057682377182</v>
      </c>
      <c r="M80" s="90">
        <v>-1.8410654508824811</v>
      </c>
      <c r="N80" s="90">
        <v>-4.5475423638333965E-3</v>
      </c>
      <c r="O80" s="90">
        <v>0.77800000000000002</v>
      </c>
      <c r="P80" s="90">
        <v>1.2929999999999999</v>
      </c>
      <c r="Q80" s="90">
        <v>1.6679999999999999</v>
      </c>
      <c r="R80" s="90">
        <v>0.92600000000000005</v>
      </c>
      <c r="S80" s="90">
        <v>0.48299999999999998</v>
      </c>
      <c r="T80" s="90">
        <v>-8.9789999999999992</v>
      </c>
      <c r="U80" s="90">
        <v>6.9870000000000001</v>
      </c>
      <c r="V80" s="91">
        <v>3.6749999999999998</v>
      </c>
      <c r="W80" s="91">
        <f t="shared" si="1"/>
        <v>0.32855305426654491</v>
      </c>
    </row>
    <row r="81" spans="1:23" x14ac:dyDescent="0.35">
      <c r="A81" s="81" t="s">
        <v>573</v>
      </c>
      <c r="B81" s="81" t="s">
        <v>642</v>
      </c>
      <c r="C81" s="89">
        <v>-0.70306474958997667</v>
      </c>
      <c r="D81" s="90">
        <v>0.12887839009743107</v>
      </c>
      <c r="E81" s="91">
        <v>0.51362317164571625</v>
      </c>
      <c r="G81" s="103" t="s">
        <v>567</v>
      </c>
      <c r="H81" s="101">
        <v>53.312824662633638</v>
      </c>
      <c r="I81" s="93">
        <v>137</v>
      </c>
      <c r="J81" s="94">
        <v>23</v>
      </c>
      <c r="K81" s="81"/>
      <c r="L81" s="89">
        <v>-0.61363603986913318</v>
      </c>
      <c r="M81" s="90">
        <v>0.51768601280242099</v>
      </c>
      <c r="N81" s="90">
        <v>0.68982235737431619</v>
      </c>
      <c r="O81" s="90">
        <v>0.86899999999999999</v>
      </c>
      <c r="P81" s="90">
        <v>1.498</v>
      </c>
      <c r="Q81" s="90">
        <v>0.67900000000000005</v>
      </c>
      <c r="R81" s="90">
        <v>1.827</v>
      </c>
      <c r="S81" s="90">
        <v>0.97</v>
      </c>
      <c r="T81" s="90">
        <v>-9.92</v>
      </c>
      <c r="U81" s="90">
        <v>4.601</v>
      </c>
      <c r="V81" s="91">
        <v>4</v>
      </c>
      <c r="W81" s="91">
        <f t="shared" si="1"/>
        <v>0.32125078087157366</v>
      </c>
    </row>
    <row r="82" spans="1:23" x14ac:dyDescent="0.35">
      <c r="A82" s="81" t="s">
        <v>565</v>
      </c>
      <c r="B82" s="81" t="s">
        <v>643</v>
      </c>
      <c r="C82" s="89">
        <v>-0.63095756344230258</v>
      </c>
      <c r="D82" s="90">
        <v>2.4039609383130767E-3</v>
      </c>
      <c r="E82" s="91">
        <v>0.62673306790392846</v>
      </c>
      <c r="G82" s="103" t="s">
        <v>415</v>
      </c>
      <c r="H82" s="101">
        <v>96.063700314273362</v>
      </c>
      <c r="I82" s="93">
        <v>13</v>
      </c>
      <c r="J82" s="94">
        <v>4</v>
      </c>
      <c r="K82" s="81"/>
      <c r="L82" s="89">
        <v>1.495089585949261</v>
      </c>
      <c r="M82" s="90">
        <v>2.0002678411015018</v>
      </c>
      <c r="N82" s="90">
        <v>0.3747194763313248</v>
      </c>
      <c r="O82" s="90">
        <v>1.5609999999999999</v>
      </c>
      <c r="P82" s="90">
        <v>0.754</v>
      </c>
      <c r="Q82" s="90">
        <v>1.675</v>
      </c>
      <c r="R82" s="90">
        <v>0.64300000000000002</v>
      </c>
      <c r="S82" s="90">
        <v>-0.40200000000000002</v>
      </c>
      <c r="T82" s="90">
        <v>-4.2789999999999999</v>
      </c>
      <c r="U82" s="90">
        <v>2.145</v>
      </c>
      <c r="V82" s="91">
        <v>1.075</v>
      </c>
      <c r="W82" s="91">
        <f t="shared" si="1"/>
        <v>0.31456851442112077</v>
      </c>
    </row>
    <row r="83" spans="1:23" x14ac:dyDescent="0.35">
      <c r="A83" s="81" t="s">
        <v>580</v>
      </c>
      <c r="B83" s="81" t="s">
        <v>644</v>
      </c>
      <c r="C83" s="89">
        <v>1.1049470799269878</v>
      </c>
      <c r="D83" s="90">
        <v>1.8757952650954479</v>
      </c>
      <c r="E83" s="91">
        <v>2.1806440475090172</v>
      </c>
      <c r="G83" s="103" t="s">
        <v>571</v>
      </c>
      <c r="H83" s="101">
        <v>79.514216326138751</v>
      </c>
      <c r="I83" s="93">
        <v>53</v>
      </c>
      <c r="J83" s="94">
        <v>5</v>
      </c>
      <c r="K83" s="81"/>
      <c r="L83" s="89">
        <v>2.6511707480297244</v>
      </c>
      <c r="M83" s="90">
        <v>2.8287666404585154</v>
      </c>
      <c r="N83" s="90">
        <v>3.0963303471105994</v>
      </c>
      <c r="O83" s="90">
        <v>2.496</v>
      </c>
      <c r="P83" s="90">
        <v>1.994</v>
      </c>
      <c r="Q83" s="90">
        <v>2.4740000000000002</v>
      </c>
      <c r="R83" s="90">
        <v>1.919</v>
      </c>
      <c r="S83" s="90">
        <v>1.927</v>
      </c>
      <c r="T83" s="90">
        <v>-1.57</v>
      </c>
      <c r="U83" s="90">
        <v>2.2280000000000002</v>
      </c>
      <c r="V83" s="91">
        <v>2.7109999999999999</v>
      </c>
      <c r="W83" s="91">
        <f t="shared" si="1"/>
        <v>2.0282196563022326</v>
      </c>
    </row>
    <row r="84" spans="1:23" x14ac:dyDescent="0.35">
      <c r="A84" s="81" t="s">
        <v>565</v>
      </c>
      <c r="B84" s="81" t="s">
        <v>645</v>
      </c>
      <c r="C84" s="89">
        <v>1.6270169093285825</v>
      </c>
      <c r="D84" s="90">
        <v>2.6878144462378906</v>
      </c>
      <c r="E84" s="91">
        <v>2.9947418753666133</v>
      </c>
      <c r="G84" s="103" t="s">
        <v>398</v>
      </c>
      <c r="H84" s="101">
        <v>70.400737065727981</v>
      </c>
      <c r="I84" s="93">
        <v>88</v>
      </c>
      <c r="J84" s="94">
        <v>16</v>
      </c>
      <c r="K84" s="81"/>
      <c r="L84" s="89">
        <v>4.7999999999927256</v>
      </c>
      <c r="M84" s="90">
        <v>5.9999999992556203</v>
      </c>
      <c r="N84" s="90">
        <v>4.2000000006304088</v>
      </c>
      <c r="O84" s="90">
        <v>1</v>
      </c>
      <c r="P84" s="90">
        <v>0.9</v>
      </c>
      <c r="Q84" s="90">
        <v>3.9009999999999998</v>
      </c>
      <c r="R84" s="90">
        <v>4.0999999999999996</v>
      </c>
      <c r="S84" s="90">
        <v>4.5</v>
      </c>
      <c r="T84" s="90">
        <v>-2.6</v>
      </c>
      <c r="U84" s="90">
        <v>4.0999999999999996</v>
      </c>
      <c r="V84" s="91">
        <v>3.214</v>
      </c>
      <c r="W84" s="91">
        <f t="shared" si="1"/>
        <v>2.8412781608022519</v>
      </c>
    </row>
    <row r="85" spans="1:23" x14ac:dyDescent="0.35">
      <c r="A85" s="81" t="s">
        <v>569</v>
      </c>
      <c r="B85" s="81" t="s">
        <v>646</v>
      </c>
      <c r="C85" s="89">
        <v>4.1600595320631983</v>
      </c>
      <c r="D85" s="90">
        <v>5.4481436952905637</v>
      </c>
      <c r="E85" s="91">
        <v>5.4875646773576481</v>
      </c>
      <c r="G85" s="103" t="s">
        <v>422</v>
      </c>
      <c r="H85" s="101">
        <v>68.853006787769303</v>
      </c>
      <c r="I85" s="93">
        <v>97</v>
      </c>
      <c r="J85" s="94">
        <v>18</v>
      </c>
      <c r="K85" s="81"/>
      <c r="L85" s="89">
        <v>4.5632091307112006</v>
      </c>
      <c r="M85" s="90">
        <v>5.8786805667541637</v>
      </c>
      <c r="N85" s="90">
        <v>5.3571256444996713</v>
      </c>
      <c r="O85" s="90">
        <v>4.968</v>
      </c>
      <c r="P85" s="90">
        <v>4.2140000000000004</v>
      </c>
      <c r="Q85" s="90">
        <v>3.8159999999999998</v>
      </c>
      <c r="R85" s="90">
        <v>5.6710000000000003</v>
      </c>
      <c r="S85" s="90">
        <v>5.1139999999999999</v>
      </c>
      <c r="T85" s="90">
        <v>-0.25</v>
      </c>
      <c r="U85" s="90">
        <v>7.5170000000000003</v>
      </c>
      <c r="V85" s="91">
        <v>5.3689999999999998</v>
      </c>
      <c r="W85" s="91">
        <f t="shared" si="1"/>
        <v>5.4678541863241055</v>
      </c>
    </row>
    <row r="86" spans="1:23" x14ac:dyDescent="0.35">
      <c r="A86" s="81" t="s">
        <v>565</v>
      </c>
      <c r="B86" s="81" t="s">
        <v>647</v>
      </c>
      <c r="C86" s="89">
        <v>1.9788311578699647</v>
      </c>
      <c r="D86" s="90">
        <v>2.1951704861675969</v>
      </c>
      <c r="E86" s="91">
        <v>2.6249033043728831</v>
      </c>
      <c r="G86" s="103" t="s">
        <v>415</v>
      </c>
      <c r="H86" s="101">
        <v>90.58627012288828</v>
      </c>
      <c r="I86" s="93">
        <v>26</v>
      </c>
      <c r="J86" s="94">
        <v>6</v>
      </c>
      <c r="K86" s="81"/>
      <c r="L86" s="89">
        <v>2.4025309924618736</v>
      </c>
      <c r="M86" s="90">
        <v>3.1647086364718322</v>
      </c>
      <c r="N86" s="90">
        <v>3.2024537945736018</v>
      </c>
      <c r="O86" s="90">
        <v>2.8090000000000002</v>
      </c>
      <c r="P86" s="90">
        <v>2.9470000000000001</v>
      </c>
      <c r="Q86" s="90">
        <v>3.16</v>
      </c>
      <c r="R86" s="90">
        <v>2.907</v>
      </c>
      <c r="S86" s="90">
        <v>2.2440000000000002</v>
      </c>
      <c r="T86" s="90">
        <v>-0.70899999999999996</v>
      </c>
      <c r="U86" s="90">
        <v>4.1449999999999996</v>
      </c>
      <c r="V86" s="91">
        <v>2.5609999999999999</v>
      </c>
      <c r="W86" s="91">
        <f t="shared" si="1"/>
        <v>2.41003689527024</v>
      </c>
    </row>
    <row r="87" spans="1:23" x14ac:dyDescent="0.35">
      <c r="A87" s="81" t="s">
        <v>580</v>
      </c>
      <c r="B87" s="81" t="s">
        <v>648</v>
      </c>
      <c r="C87" s="89">
        <v>2.9560258753336122E-2</v>
      </c>
      <c r="D87" s="90">
        <v>0.3483533742255629</v>
      </c>
      <c r="E87" s="91">
        <v>0.20315822263521355</v>
      </c>
      <c r="G87" s="103" t="s">
        <v>422</v>
      </c>
      <c r="H87" s="101">
        <v>67.205820265011681</v>
      </c>
      <c r="I87" s="93">
        <v>105</v>
      </c>
      <c r="J87" s="94">
        <v>10</v>
      </c>
      <c r="K87" s="81"/>
      <c r="L87" s="89">
        <v>6.6258183001417628</v>
      </c>
      <c r="M87" s="90">
        <v>1.1493004370652051</v>
      </c>
      <c r="N87" s="90">
        <v>0.5008769821586383</v>
      </c>
      <c r="O87" s="90">
        <v>0.59299999999999997</v>
      </c>
      <c r="P87" s="90">
        <v>2.9260000000000002</v>
      </c>
      <c r="Q87" s="90">
        <v>-4.7140000000000004</v>
      </c>
      <c r="R87" s="90">
        <v>2.4369999999999998</v>
      </c>
      <c r="S87" s="90">
        <v>-0.55200000000000005</v>
      </c>
      <c r="T87" s="90">
        <v>-8.8550000000000004</v>
      </c>
      <c r="U87" s="90">
        <v>1.3080000000000001</v>
      </c>
      <c r="V87" s="91">
        <v>8.1769999999999996</v>
      </c>
      <c r="W87" s="91">
        <f t="shared" si="1"/>
        <v>0.27575579843038822</v>
      </c>
    </row>
    <row r="88" spans="1:23" x14ac:dyDescent="0.35">
      <c r="A88" s="81" t="s">
        <v>565</v>
      </c>
      <c r="B88" s="81" t="s">
        <v>649</v>
      </c>
      <c r="C88" s="89">
        <v>0.51489333561212103</v>
      </c>
      <c r="D88" s="90">
        <v>1.9645834232370651</v>
      </c>
      <c r="E88" s="91">
        <v>3.7392958747352045</v>
      </c>
      <c r="G88" s="103" t="s">
        <v>398</v>
      </c>
      <c r="H88" s="101">
        <v>70.898067394091115</v>
      </c>
      <c r="I88" s="93">
        <v>86</v>
      </c>
      <c r="J88" s="94">
        <v>15</v>
      </c>
      <c r="K88" s="81"/>
      <c r="L88" s="89">
        <v>-8.8150201010635656E-2</v>
      </c>
      <c r="M88" s="90">
        <v>10.915469454314421</v>
      </c>
      <c r="N88" s="90">
        <v>4.024038625768628</v>
      </c>
      <c r="O88" s="90">
        <v>3.8759999999999999</v>
      </c>
      <c r="P88" s="90">
        <v>4.3360000000000003</v>
      </c>
      <c r="Q88" s="90">
        <v>4.74</v>
      </c>
      <c r="R88" s="90">
        <v>3.4590000000000001</v>
      </c>
      <c r="S88" s="90">
        <v>4.601</v>
      </c>
      <c r="T88" s="90">
        <v>-8.6170000000000009</v>
      </c>
      <c r="U88" s="90">
        <v>3.742</v>
      </c>
      <c r="V88" s="91">
        <v>7</v>
      </c>
      <c r="W88" s="91">
        <f t="shared" si="1"/>
        <v>2.8519396489861348</v>
      </c>
    </row>
    <row r="89" spans="1:23" x14ac:dyDescent="0.35">
      <c r="A89" s="81" t="s">
        <v>565</v>
      </c>
      <c r="B89" s="81" t="s">
        <v>650</v>
      </c>
      <c r="C89" s="89">
        <v>1.7571611332634074</v>
      </c>
      <c r="D89" s="90">
        <v>3.3757795121775569</v>
      </c>
      <c r="E89" s="91">
        <v>5.3509947789500245</v>
      </c>
      <c r="G89" s="103" t="s">
        <v>567</v>
      </c>
      <c r="H89" s="101">
        <v>58.394766440551741</v>
      </c>
      <c r="I89" s="93">
        <v>127</v>
      </c>
      <c r="J89" s="94">
        <v>26</v>
      </c>
      <c r="K89" s="81"/>
      <c r="L89" s="89">
        <v>8.0260984340408665</v>
      </c>
      <c r="M89" s="90">
        <v>8.0263002263775007</v>
      </c>
      <c r="N89" s="90">
        <v>7.6119634407438159</v>
      </c>
      <c r="O89" s="90">
        <v>7.27</v>
      </c>
      <c r="P89" s="90">
        <v>7.0229999999999997</v>
      </c>
      <c r="Q89" s="90">
        <v>6.851</v>
      </c>
      <c r="R89" s="90">
        <v>6.2889999999999997</v>
      </c>
      <c r="S89" s="90">
        <v>4.6520000000000001</v>
      </c>
      <c r="T89" s="90">
        <v>-0.435</v>
      </c>
      <c r="U89" s="90">
        <v>2.0609999999999999</v>
      </c>
      <c r="V89" s="91">
        <v>2.2519999999999998</v>
      </c>
      <c r="W89" s="91">
        <f t="shared" si="1"/>
        <v>4.3633871455637907</v>
      </c>
    </row>
    <row r="90" spans="1:23" x14ac:dyDescent="0.35">
      <c r="A90" s="81" t="s">
        <v>227</v>
      </c>
      <c r="B90" s="81" t="s">
        <v>651</v>
      </c>
      <c r="C90" s="89">
        <v>1.2465800540070626</v>
      </c>
      <c r="D90" s="90">
        <v>2.186383184955365</v>
      </c>
      <c r="E90" s="91">
        <v>2.3979634558628948</v>
      </c>
      <c r="G90" s="103" t="s">
        <v>571</v>
      </c>
      <c r="H90" s="101">
        <v>81.044610107182237</v>
      </c>
      <c r="I90" s="93">
        <v>44</v>
      </c>
      <c r="J90" s="94">
        <v>29</v>
      </c>
      <c r="K90" s="81"/>
      <c r="L90" s="89">
        <v>4.1342316499835752</v>
      </c>
      <c r="M90" s="90">
        <v>2.3280042634440163</v>
      </c>
      <c r="N90" s="90">
        <v>1.9151903779433241</v>
      </c>
      <c r="O90" s="90">
        <v>3.8849999999999998</v>
      </c>
      <c r="P90" s="90">
        <v>2.3690000000000002</v>
      </c>
      <c r="Q90" s="90">
        <v>3.3119999999999998</v>
      </c>
      <c r="R90" s="90">
        <v>3.992</v>
      </c>
      <c r="S90" s="90">
        <v>2.57</v>
      </c>
      <c r="T90" s="90">
        <v>-2.2029999999999998</v>
      </c>
      <c r="U90" s="90">
        <v>4.0640000000000001</v>
      </c>
      <c r="V90" s="91">
        <v>1.976</v>
      </c>
      <c r="W90" s="91">
        <f t="shared" si="1"/>
        <v>2.2921733204091299</v>
      </c>
    </row>
    <row r="91" spans="1:23" x14ac:dyDescent="0.35">
      <c r="A91" s="81" t="s">
        <v>580</v>
      </c>
      <c r="B91" s="81" t="s">
        <v>652</v>
      </c>
      <c r="C91" s="89">
        <v>-11.570507599610414</v>
      </c>
      <c r="D91" s="90">
        <v>-8.8972805759156888</v>
      </c>
      <c r="E91" s="91">
        <v>-3.6804003540223951</v>
      </c>
      <c r="G91" s="103" t="s">
        <v>398</v>
      </c>
      <c r="H91" s="101">
        <v>70.925074776605015</v>
      </c>
      <c r="I91" s="93">
        <v>85</v>
      </c>
      <c r="J91" s="94">
        <v>9</v>
      </c>
      <c r="K91" s="81"/>
      <c r="L91" s="89">
        <v>2.5405417890992656</v>
      </c>
      <c r="M91" s="90">
        <v>3.8110224147865268</v>
      </c>
      <c r="N91" s="90">
        <v>2.4536595719223264</v>
      </c>
      <c r="O91" s="90">
        <v>0.46100000000000002</v>
      </c>
      <c r="P91" s="90">
        <v>1.556</v>
      </c>
      <c r="Q91" s="90">
        <v>0.90300000000000002</v>
      </c>
      <c r="R91" s="90">
        <v>-1.885</v>
      </c>
      <c r="S91" s="90">
        <v>-6.915</v>
      </c>
      <c r="T91" s="90">
        <v>-25.907</v>
      </c>
      <c r="U91" s="90">
        <v>-5.4</v>
      </c>
      <c r="V91" s="91">
        <v>-5.4</v>
      </c>
      <c r="W91" s="91">
        <f t="shared" si="1"/>
        <v>-6.2888404649690415</v>
      </c>
    </row>
    <row r="92" spans="1:23" x14ac:dyDescent="0.35">
      <c r="A92" s="81" t="s">
        <v>569</v>
      </c>
      <c r="B92" s="81" t="s">
        <v>653</v>
      </c>
      <c r="C92" s="89">
        <v>-1.7564836758548363</v>
      </c>
      <c r="D92" s="90">
        <v>-1.6866052500791207</v>
      </c>
      <c r="E92" s="91">
        <v>0.46596555472186996</v>
      </c>
      <c r="G92" s="103" t="s">
        <v>422</v>
      </c>
      <c r="H92" s="101">
        <v>68.290636352612694</v>
      </c>
      <c r="I92" s="93">
        <v>100</v>
      </c>
      <c r="J92" s="94">
        <v>20</v>
      </c>
      <c r="K92" s="81"/>
      <c r="L92" s="89">
        <v>6.7436269408569842</v>
      </c>
      <c r="M92" s="90">
        <v>4.1869122037746749</v>
      </c>
      <c r="N92" s="90">
        <v>2.8839688442816156</v>
      </c>
      <c r="O92" s="90">
        <v>3.2480000000000002</v>
      </c>
      <c r="P92" s="90">
        <v>1.877</v>
      </c>
      <c r="Q92" s="90">
        <v>-2.734</v>
      </c>
      <c r="R92" s="90">
        <v>-1.304</v>
      </c>
      <c r="S92" s="90">
        <v>-1.9710000000000001</v>
      </c>
      <c r="T92" s="90">
        <v>-3.9020000000000001</v>
      </c>
      <c r="U92" s="90">
        <v>2.1019999999999999</v>
      </c>
      <c r="V92" s="91">
        <v>2.093</v>
      </c>
      <c r="W92" s="91">
        <f t="shared" si="1"/>
        <v>-0.61031984767862535</v>
      </c>
    </row>
    <row r="93" spans="1:23" x14ac:dyDescent="0.35">
      <c r="A93" s="81" t="s">
        <v>569</v>
      </c>
      <c r="B93" s="81" t="s">
        <v>654</v>
      </c>
      <c r="C93" s="89">
        <v>2.2030305181955034</v>
      </c>
      <c r="D93" s="90">
        <v>1.043410797540445</v>
      </c>
      <c r="E93" s="91">
        <v>1.5173155129903693</v>
      </c>
      <c r="G93" s="103" t="s">
        <v>567</v>
      </c>
      <c r="H93" s="101">
        <v>56.232966845120316</v>
      </c>
      <c r="I93" s="93">
        <v>130</v>
      </c>
      <c r="J93" s="94">
        <v>32</v>
      </c>
      <c r="K93" s="81"/>
      <c r="L93" s="89">
        <v>7.9938156931364137</v>
      </c>
      <c r="M93" s="90">
        <v>8.6872878163968235</v>
      </c>
      <c r="N93" s="90">
        <v>0.70139310028752089</v>
      </c>
      <c r="O93" s="90">
        <v>7.0000000000000001E-3</v>
      </c>
      <c r="P93" s="90">
        <v>-1.63</v>
      </c>
      <c r="Q93" s="90">
        <v>2.4689999999999999</v>
      </c>
      <c r="R93" s="90">
        <v>1.242</v>
      </c>
      <c r="S93" s="90">
        <v>-2.516</v>
      </c>
      <c r="T93" s="90">
        <v>-2.9670000000000001</v>
      </c>
      <c r="U93" s="90">
        <v>5.0110000000000001</v>
      </c>
      <c r="V93" s="91">
        <v>4.8109999999999999</v>
      </c>
      <c r="W93" s="91">
        <f t="shared" si="1"/>
        <v>1.2803631552654071</v>
      </c>
    </row>
    <row r="94" spans="1:23" x14ac:dyDescent="0.35">
      <c r="A94" s="81" t="s">
        <v>569</v>
      </c>
      <c r="B94" s="81" t="s">
        <v>655</v>
      </c>
      <c r="C94" s="89">
        <v>5.1304452243001952</v>
      </c>
      <c r="D94" s="90">
        <v>3.4484900722276279</v>
      </c>
      <c r="E94" s="91">
        <v>1.2335060569262035</v>
      </c>
      <c r="G94" s="103" t="s">
        <v>567</v>
      </c>
      <c r="H94" s="101">
        <v>48.008478383672035</v>
      </c>
      <c r="I94" s="93">
        <v>140</v>
      </c>
      <c r="J94" s="94">
        <v>38</v>
      </c>
      <c r="K94" s="81"/>
      <c r="L94" s="89">
        <v>274.10446739057375</v>
      </c>
      <c r="M94" s="90">
        <v>-13.994834968637873</v>
      </c>
      <c r="N94" s="90">
        <v>-10.842440326997824</v>
      </c>
      <c r="O94" s="90">
        <v>-0.84299999999999997</v>
      </c>
      <c r="P94" s="90">
        <v>-1.4910000000000001</v>
      </c>
      <c r="Q94" s="90">
        <v>32.491999999999997</v>
      </c>
      <c r="R94" s="90">
        <v>7.9409999999999998</v>
      </c>
      <c r="S94" s="90">
        <v>-11.196</v>
      </c>
      <c r="T94" s="90">
        <v>-29.456</v>
      </c>
      <c r="U94" s="90">
        <v>28.335000000000001</v>
      </c>
      <c r="V94" s="91">
        <v>-12.813000000000001</v>
      </c>
      <c r="W94" s="91">
        <f t="shared" si="1"/>
        <v>2.3409980645769157</v>
      </c>
    </row>
    <row r="95" spans="1:23" x14ac:dyDescent="0.35">
      <c r="A95" s="81" t="s">
        <v>227</v>
      </c>
      <c r="B95" s="81" t="s">
        <v>656</v>
      </c>
      <c r="C95" s="89">
        <v>2.5853990379055336</v>
      </c>
      <c r="D95" s="90">
        <v>3.2350334175799356</v>
      </c>
      <c r="E95" s="91">
        <v>3.2063173772679532</v>
      </c>
      <c r="G95" s="103" t="s">
        <v>571</v>
      </c>
      <c r="H95" s="101">
        <v>80.769738018881156</v>
      </c>
      <c r="I95" s="93">
        <v>45</v>
      </c>
      <c r="J95" s="94">
        <v>30</v>
      </c>
      <c r="K95" s="81"/>
      <c r="L95" s="89">
        <v>3.8333027642866848</v>
      </c>
      <c r="M95" s="90">
        <v>3.5584246313476826</v>
      </c>
      <c r="N95" s="90">
        <v>3.5079712171273361</v>
      </c>
      <c r="O95" s="90">
        <v>2.024</v>
      </c>
      <c r="P95" s="90">
        <v>2.5190000000000001</v>
      </c>
      <c r="Q95" s="90">
        <v>4.282</v>
      </c>
      <c r="R95" s="90">
        <v>3.9929999999999999</v>
      </c>
      <c r="S95" s="90">
        <v>4.625</v>
      </c>
      <c r="T95" s="90">
        <v>-2.1999999999999999E-2</v>
      </c>
      <c r="U95" s="90">
        <v>5.9809999999999999</v>
      </c>
      <c r="V95" s="91">
        <v>1.8879999999999999</v>
      </c>
      <c r="W95" s="91">
        <f t="shared" si="1"/>
        <v>3.2206753974239444</v>
      </c>
    </row>
    <row r="96" spans="1:23" x14ac:dyDescent="0.35">
      <c r="A96" s="81" t="s">
        <v>227</v>
      </c>
      <c r="B96" s="81" t="s">
        <v>657</v>
      </c>
      <c r="C96" s="89">
        <v>1.9225945961039326</v>
      </c>
      <c r="D96" s="90">
        <v>1.8607829332780268</v>
      </c>
      <c r="E96" s="91">
        <v>2.36159954003623</v>
      </c>
      <c r="G96" s="103" t="s">
        <v>415</v>
      </c>
      <c r="H96" s="101">
        <v>96.778306193425522</v>
      </c>
      <c r="I96" s="93">
        <v>9</v>
      </c>
      <c r="J96" s="94">
        <v>7</v>
      </c>
      <c r="K96" s="81"/>
      <c r="L96" s="89">
        <v>1.6499020297865346</v>
      </c>
      <c r="M96" s="90">
        <v>3.1717904991600552</v>
      </c>
      <c r="N96" s="90">
        <v>2.6230860157719222</v>
      </c>
      <c r="O96" s="90">
        <v>2.2679999999999998</v>
      </c>
      <c r="P96" s="90">
        <v>4.9779999999999998</v>
      </c>
      <c r="Q96" s="90">
        <v>1.3169999999999999</v>
      </c>
      <c r="R96" s="90">
        <v>1.2190000000000001</v>
      </c>
      <c r="S96" s="90">
        <v>2.3199999999999998</v>
      </c>
      <c r="T96" s="90">
        <v>-0.79700000000000004</v>
      </c>
      <c r="U96" s="90">
        <v>5.1029999999999998</v>
      </c>
      <c r="V96" s="91">
        <v>1.5489999999999999</v>
      </c>
      <c r="W96" s="91">
        <f t="shared" si="1"/>
        <v>2.1111912366571284</v>
      </c>
    </row>
    <row r="97" spans="1:23" x14ac:dyDescent="0.35">
      <c r="A97" s="81" t="s">
        <v>569</v>
      </c>
      <c r="B97" s="81" t="s">
        <v>658</v>
      </c>
      <c r="C97" s="89">
        <v>0.34284241084634459</v>
      </c>
      <c r="D97" s="90">
        <v>1.7120658983774018</v>
      </c>
      <c r="E97" s="91">
        <v>2.5217225637742979</v>
      </c>
      <c r="G97" s="103" t="s">
        <v>567</v>
      </c>
      <c r="H97" s="101">
        <v>48.940679032016362</v>
      </c>
      <c r="I97" s="93">
        <v>139</v>
      </c>
      <c r="J97" s="94">
        <v>37</v>
      </c>
      <c r="K97" s="81"/>
      <c r="L97" s="89">
        <v>3.0111464075530683</v>
      </c>
      <c r="M97" s="90">
        <v>2.3003869344771051</v>
      </c>
      <c r="N97" s="90">
        <v>3.3392022440733014</v>
      </c>
      <c r="O97" s="90">
        <v>3.1320000000000001</v>
      </c>
      <c r="P97" s="90">
        <v>3.9929999999999999</v>
      </c>
      <c r="Q97" s="90">
        <v>3.9329999999999998</v>
      </c>
      <c r="R97" s="90">
        <v>3.194</v>
      </c>
      <c r="S97" s="90">
        <v>4.4109999999999996</v>
      </c>
      <c r="T97" s="90">
        <v>-7.1379999999999999</v>
      </c>
      <c r="U97" s="90">
        <v>5.74</v>
      </c>
      <c r="V97" s="91">
        <v>4.21</v>
      </c>
      <c r="W97" s="91">
        <f t="shared" si="1"/>
        <v>2.1168942310758498</v>
      </c>
    </row>
    <row r="98" spans="1:23" x14ac:dyDescent="0.35">
      <c r="A98" s="81" t="s">
        <v>569</v>
      </c>
      <c r="B98" s="81" t="s">
        <v>659</v>
      </c>
      <c r="C98" s="89">
        <v>1.446318587345985</v>
      </c>
      <c r="D98" s="90">
        <v>2.8212259957555386</v>
      </c>
      <c r="E98" s="91">
        <v>3.4233840163588436</v>
      </c>
      <c r="G98" s="103" t="s">
        <v>398</v>
      </c>
      <c r="H98" s="101">
        <v>72.879134631330203</v>
      </c>
      <c r="I98" s="93">
        <v>77</v>
      </c>
      <c r="J98" s="94">
        <v>8</v>
      </c>
      <c r="K98" s="81"/>
      <c r="L98" s="89">
        <v>1.8857995075156477</v>
      </c>
      <c r="M98" s="90">
        <v>5.1999999956050429</v>
      </c>
      <c r="N98" s="90">
        <v>5.7000000050572197</v>
      </c>
      <c r="O98" s="90">
        <v>2.95</v>
      </c>
      <c r="P98" s="90">
        <v>2.27</v>
      </c>
      <c r="Q98" s="90">
        <v>4</v>
      </c>
      <c r="R98" s="90">
        <v>4.3920000000000003</v>
      </c>
      <c r="S98" s="90">
        <v>5.4480000000000004</v>
      </c>
      <c r="T98" s="90">
        <v>0.91300000000000003</v>
      </c>
      <c r="U98" s="90">
        <v>4.5670000000000002</v>
      </c>
      <c r="V98" s="91">
        <v>0.8</v>
      </c>
      <c r="W98" s="91">
        <f t="shared" si="1"/>
        <v>3.1223050060571911</v>
      </c>
    </row>
    <row r="99" spans="1:23" x14ac:dyDescent="0.35">
      <c r="A99" s="81" t="s">
        <v>565</v>
      </c>
      <c r="B99" s="81" t="s">
        <v>660</v>
      </c>
      <c r="C99" s="89">
        <v>1.9142421361718398</v>
      </c>
      <c r="D99" s="90">
        <v>3.0011020126644361</v>
      </c>
      <c r="E99" s="91">
        <v>4.0922822936961589</v>
      </c>
      <c r="G99" s="103" t="s">
        <v>398</v>
      </c>
      <c r="H99" s="101">
        <v>76.114633172938127</v>
      </c>
      <c r="I99" s="93">
        <v>66</v>
      </c>
      <c r="J99" s="94">
        <v>9</v>
      </c>
      <c r="K99" s="81"/>
      <c r="L99" s="89">
        <v>5.4734541925385383</v>
      </c>
      <c r="M99" s="90">
        <v>4.6937225255789317</v>
      </c>
      <c r="N99" s="90">
        <v>6.0067219455820462</v>
      </c>
      <c r="O99" s="90">
        <v>5.0069999999999997</v>
      </c>
      <c r="P99" s="90">
        <v>4.45</v>
      </c>
      <c r="Q99" s="90">
        <v>5.8129999999999997</v>
      </c>
      <c r="R99" s="90">
        <v>4.843</v>
      </c>
      <c r="S99" s="90">
        <v>4.4130000000000003</v>
      </c>
      <c r="T99" s="90">
        <v>-5.5339999999999998</v>
      </c>
      <c r="U99" s="90">
        <v>3.0920000000000001</v>
      </c>
      <c r="V99" s="91">
        <v>8.6940000000000008</v>
      </c>
      <c r="W99" s="91">
        <f t="shared" si="1"/>
        <v>3.5466921531802975</v>
      </c>
    </row>
    <row r="100" spans="1:23" x14ac:dyDescent="0.35">
      <c r="A100" s="81" t="s">
        <v>569</v>
      </c>
      <c r="B100" s="81" t="s">
        <v>661</v>
      </c>
      <c r="C100" s="89">
        <v>1.8165870919236937</v>
      </c>
      <c r="D100" s="90">
        <v>2.9671130334121942</v>
      </c>
      <c r="E100" s="91">
        <v>4.1460050619633648</v>
      </c>
      <c r="G100" s="103" t="s">
        <v>567</v>
      </c>
      <c r="H100" s="101">
        <v>43.633236095724527</v>
      </c>
      <c r="I100" s="93">
        <v>146</v>
      </c>
      <c r="J100" s="94">
        <v>41</v>
      </c>
      <c r="K100" s="81"/>
      <c r="L100" s="89">
        <v>-0.83662749707312833</v>
      </c>
      <c r="M100" s="90">
        <v>2.3037669581925009</v>
      </c>
      <c r="N100" s="90">
        <v>7.1014223480749816</v>
      </c>
      <c r="O100" s="90">
        <v>6.1719999999999997</v>
      </c>
      <c r="P100" s="90">
        <v>5.8520000000000003</v>
      </c>
      <c r="Q100" s="90">
        <v>5.3049999999999997</v>
      </c>
      <c r="R100" s="90">
        <v>4.7460000000000004</v>
      </c>
      <c r="S100" s="90">
        <v>4.7649999999999997</v>
      </c>
      <c r="T100" s="90">
        <v>-1.244</v>
      </c>
      <c r="U100" s="90">
        <v>3.0550000000000002</v>
      </c>
      <c r="V100" s="91">
        <v>3.7040000000000002</v>
      </c>
      <c r="W100" s="91">
        <f t="shared" si="1"/>
        <v>3.5565590476877795</v>
      </c>
    </row>
    <row r="101" spans="1:23" x14ac:dyDescent="0.35">
      <c r="A101" s="81" t="s">
        <v>227</v>
      </c>
      <c r="B101" s="81" t="s">
        <v>662</v>
      </c>
      <c r="C101" s="89">
        <v>2.6124059576447589</v>
      </c>
      <c r="D101" s="90">
        <v>4.3931536419201889</v>
      </c>
      <c r="E101" s="91">
        <v>5.6722564665051767</v>
      </c>
      <c r="G101" s="103" t="s">
        <v>571</v>
      </c>
      <c r="H101" s="101">
        <v>86.894246999173433</v>
      </c>
      <c r="I101" s="93">
        <v>33</v>
      </c>
      <c r="J101" s="94">
        <v>22</v>
      </c>
      <c r="K101" s="81"/>
      <c r="L101" s="89">
        <v>4.1177072993516513</v>
      </c>
      <c r="M101" s="90">
        <v>5.4733556954527041</v>
      </c>
      <c r="N101" s="90">
        <v>7.6335381123007346</v>
      </c>
      <c r="O101" s="90">
        <v>9.6080000000000005</v>
      </c>
      <c r="P101" s="90">
        <v>3.3809999999999998</v>
      </c>
      <c r="Q101" s="90">
        <v>10.869</v>
      </c>
      <c r="R101" s="90">
        <v>6.1929999999999996</v>
      </c>
      <c r="S101" s="90">
        <v>7.0090000000000003</v>
      </c>
      <c r="T101" s="90">
        <v>-8.6120000000000001</v>
      </c>
      <c r="U101" s="90">
        <v>11.805999999999999</v>
      </c>
      <c r="V101" s="91">
        <v>6.851</v>
      </c>
      <c r="W101" s="91">
        <f t="shared" si="1"/>
        <v>5.0327050542126823</v>
      </c>
    </row>
    <row r="102" spans="1:23" x14ac:dyDescent="0.35">
      <c r="A102" s="81" t="s">
        <v>569</v>
      </c>
      <c r="B102" s="81" t="s">
        <v>663</v>
      </c>
      <c r="C102" s="89">
        <v>10.380851809157976</v>
      </c>
      <c r="D102" s="90">
        <v>8.3436024853472226</v>
      </c>
      <c r="E102" s="91">
        <v>5.9978829377542953</v>
      </c>
      <c r="G102" s="103" t="s">
        <v>422</v>
      </c>
      <c r="H102" s="101">
        <v>67.535233245846925</v>
      </c>
      <c r="I102" s="93">
        <v>103</v>
      </c>
      <c r="J102" s="94">
        <v>23</v>
      </c>
      <c r="K102" s="81"/>
      <c r="L102" s="89">
        <v>4.4700131823368974</v>
      </c>
      <c r="M102" s="90">
        <v>4.150813186271721</v>
      </c>
      <c r="N102" s="90">
        <v>4.2748232713028473</v>
      </c>
      <c r="O102" s="90">
        <v>5.3760000000000003</v>
      </c>
      <c r="P102" s="90">
        <v>1.2609999999999999</v>
      </c>
      <c r="Q102" s="90">
        <v>6.2709999999999999</v>
      </c>
      <c r="R102" s="90">
        <v>4.7729999999999997</v>
      </c>
      <c r="S102" s="90">
        <v>5.4290000000000003</v>
      </c>
      <c r="T102" s="90">
        <v>-0.93799999999999994</v>
      </c>
      <c r="U102" s="90">
        <v>2.4449999999999998</v>
      </c>
      <c r="V102" s="91">
        <v>4.96</v>
      </c>
      <c r="W102" s="91">
        <f t="shared" si="1"/>
        <v>7.1707427115507585</v>
      </c>
    </row>
    <row r="103" spans="1:23" x14ac:dyDescent="0.35">
      <c r="A103" s="81" t="s">
        <v>569</v>
      </c>
      <c r="B103" s="81" t="s">
        <v>664</v>
      </c>
      <c r="C103" s="89">
        <v>-1.3801179259189</v>
      </c>
      <c r="D103" s="90">
        <v>1.2027047615812192</v>
      </c>
      <c r="E103" s="91">
        <v>2.4249070445692134</v>
      </c>
      <c r="G103" s="103" t="s">
        <v>571</v>
      </c>
      <c r="H103" s="101">
        <v>86.159393229935986</v>
      </c>
      <c r="I103" s="93">
        <v>35</v>
      </c>
      <c r="J103" s="94">
        <v>1</v>
      </c>
      <c r="K103" s="81"/>
      <c r="L103" s="89">
        <v>3.4961183375797935</v>
      </c>
      <c r="M103" s="90">
        <v>3.3604061030308432</v>
      </c>
      <c r="N103" s="90">
        <v>3.7445757725785316</v>
      </c>
      <c r="O103" s="90">
        <v>3.6909999999999998</v>
      </c>
      <c r="P103" s="90">
        <v>3.8620000000000001</v>
      </c>
      <c r="Q103" s="90">
        <v>3.9380000000000002</v>
      </c>
      <c r="R103" s="90">
        <v>4.0069999999999997</v>
      </c>
      <c r="S103" s="90">
        <v>2.891</v>
      </c>
      <c r="T103" s="90">
        <v>-14.598000000000001</v>
      </c>
      <c r="U103" s="90">
        <v>3.4990000000000001</v>
      </c>
      <c r="V103" s="91">
        <v>8.3000000000000007</v>
      </c>
      <c r="W103" s="91">
        <f t="shared" si="1"/>
        <v>1.8138059030752163</v>
      </c>
    </row>
    <row r="104" spans="1:23" x14ac:dyDescent="0.35">
      <c r="A104" s="81" t="s">
        <v>573</v>
      </c>
      <c r="B104" s="81" t="s">
        <v>665</v>
      </c>
      <c r="C104" s="89">
        <v>-0.23058449292154837</v>
      </c>
      <c r="D104" s="90">
        <v>0.18053445950247937</v>
      </c>
      <c r="E104" s="91">
        <v>1.3300326593307599</v>
      </c>
      <c r="G104" s="103" t="s">
        <v>398</v>
      </c>
      <c r="H104" s="101">
        <v>70.665681404041052</v>
      </c>
      <c r="I104" s="93">
        <v>87</v>
      </c>
      <c r="J104" s="94">
        <v>11</v>
      </c>
      <c r="K104" s="81"/>
      <c r="L104" s="89">
        <v>3.6423226794134638</v>
      </c>
      <c r="M104" s="90">
        <v>1.3540919615167941</v>
      </c>
      <c r="N104" s="90">
        <v>2.8043401283809737</v>
      </c>
      <c r="O104" s="90">
        <v>3.2930000000000001</v>
      </c>
      <c r="P104" s="90">
        <v>2.6309999999999998</v>
      </c>
      <c r="Q104" s="90">
        <v>2.113</v>
      </c>
      <c r="R104" s="90">
        <v>2.1949999999999998</v>
      </c>
      <c r="S104" s="90">
        <v>-0.19900000000000001</v>
      </c>
      <c r="T104" s="90">
        <v>-7.9880000000000004</v>
      </c>
      <c r="U104" s="90">
        <v>4.7210000000000001</v>
      </c>
      <c r="V104" s="91">
        <v>3.0659999999999998</v>
      </c>
      <c r="W104" s="91">
        <f t="shared" si="1"/>
        <v>0.75528355941661962</v>
      </c>
    </row>
    <row r="105" spans="1:23" x14ac:dyDescent="0.35">
      <c r="A105" s="81" t="s">
        <v>227</v>
      </c>
      <c r="B105" s="81" t="s">
        <v>666</v>
      </c>
      <c r="C105" s="89">
        <v>-0.11659435485397163</v>
      </c>
      <c r="D105" s="90">
        <v>1.5069892590011902</v>
      </c>
      <c r="E105" s="91">
        <v>3.001683990106474</v>
      </c>
      <c r="G105" s="103" t="s">
        <v>571</v>
      </c>
      <c r="H105" s="101">
        <v>79.52270940766131</v>
      </c>
      <c r="I105" s="93">
        <v>52</v>
      </c>
      <c r="J105" s="94">
        <v>33</v>
      </c>
      <c r="K105" s="81"/>
      <c r="L105" s="89">
        <v>-0.58973412591981322</v>
      </c>
      <c r="M105" s="90">
        <v>9.0438654824314977</v>
      </c>
      <c r="N105" s="90">
        <v>4.9996256689180685</v>
      </c>
      <c r="O105" s="90">
        <v>-0.33800000000000002</v>
      </c>
      <c r="P105" s="90">
        <v>4.4089999999999998</v>
      </c>
      <c r="Q105" s="90">
        <v>4.2</v>
      </c>
      <c r="R105" s="90">
        <v>4.0999999999999996</v>
      </c>
      <c r="S105" s="90">
        <v>3.6</v>
      </c>
      <c r="T105" s="90">
        <v>-8.3000000000000007</v>
      </c>
      <c r="U105" s="90">
        <v>13.945</v>
      </c>
      <c r="V105" s="91">
        <v>-5.5759999999999996</v>
      </c>
      <c r="W105" s="91">
        <f t="shared" si="1"/>
        <v>2.2543366245538321</v>
      </c>
    </row>
    <row r="106" spans="1:23" x14ac:dyDescent="0.35">
      <c r="A106" s="81" t="s">
        <v>565</v>
      </c>
      <c r="B106" s="81" t="s">
        <v>667</v>
      </c>
      <c r="C106" s="89">
        <v>0.5652165458427838</v>
      </c>
      <c r="D106" s="90">
        <v>3.0624452280082259</v>
      </c>
      <c r="E106" s="91">
        <v>4.33160969781623</v>
      </c>
      <c r="G106" s="103" t="s">
        <v>571</v>
      </c>
      <c r="H106" s="101">
        <v>78.890549447741549</v>
      </c>
      <c r="I106" s="93">
        <v>56</v>
      </c>
      <c r="J106" s="94">
        <v>8</v>
      </c>
      <c r="K106" s="81"/>
      <c r="L106" s="89">
        <v>12.319819848483753</v>
      </c>
      <c r="M106" s="90">
        <v>11.648916189886327</v>
      </c>
      <c r="N106" s="90">
        <v>7.8852254815193961</v>
      </c>
      <c r="O106" s="90">
        <v>2.41</v>
      </c>
      <c r="P106" s="90">
        <v>1.49</v>
      </c>
      <c r="Q106" s="90">
        <v>5.6369999999999996</v>
      </c>
      <c r="R106" s="90">
        <v>7.7450000000000001</v>
      </c>
      <c r="S106" s="90">
        <v>5.6020000000000003</v>
      </c>
      <c r="T106" s="90">
        <v>-4.5579999999999998</v>
      </c>
      <c r="U106" s="90">
        <v>1.637</v>
      </c>
      <c r="V106" s="91">
        <v>4.8460000000000001</v>
      </c>
      <c r="W106" s="91">
        <f t="shared" si="1"/>
        <v>3.6970274629122279</v>
      </c>
    </row>
    <row r="107" spans="1:23" x14ac:dyDescent="0.35">
      <c r="A107" s="81" t="s">
        <v>569</v>
      </c>
      <c r="B107" s="81" t="s">
        <v>668</v>
      </c>
      <c r="C107" s="89">
        <v>2.7484311837486786</v>
      </c>
      <c r="D107" s="90">
        <v>3.8040844105169391</v>
      </c>
      <c r="E107" s="91">
        <v>4.437166103247403</v>
      </c>
      <c r="G107" s="103" t="s">
        <v>398</v>
      </c>
      <c r="H107" s="101">
        <v>76.129604349240608</v>
      </c>
      <c r="I107" s="93">
        <v>65</v>
      </c>
      <c r="J107" s="94">
        <v>4</v>
      </c>
      <c r="K107" s="81"/>
      <c r="L107" s="89">
        <v>1.2735415748875247</v>
      </c>
      <c r="M107" s="90">
        <v>4.8919045547561728</v>
      </c>
      <c r="N107" s="90">
        <v>5.1501913509219497</v>
      </c>
      <c r="O107" s="90">
        <v>4.3449999999999998</v>
      </c>
      <c r="P107" s="90">
        <v>0.52100000000000002</v>
      </c>
      <c r="Q107" s="90">
        <v>5.0579999999999998</v>
      </c>
      <c r="R107" s="90">
        <v>3.0659999999999998</v>
      </c>
      <c r="S107" s="90">
        <v>2.891</v>
      </c>
      <c r="T107" s="90">
        <v>-7.1870000000000003</v>
      </c>
      <c r="U107" s="90">
        <v>7.93</v>
      </c>
      <c r="V107" s="91">
        <v>1.135</v>
      </c>
      <c r="W107" s="91">
        <f t="shared" si="1"/>
        <v>4.1206252568821711</v>
      </c>
    </row>
    <row r="108" spans="1:23" x14ac:dyDescent="0.35">
      <c r="A108" s="81" t="s">
        <v>569</v>
      </c>
      <c r="B108" s="81" t="s">
        <v>669</v>
      </c>
      <c r="C108" s="89">
        <v>1.7345974801987962</v>
      </c>
      <c r="D108" s="90">
        <v>2.1902907307407293</v>
      </c>
      <c r="E108" s="91">
        <v>3.9391606371984134</v>
      </c>
      <c r="G108" s="103" t="s">
        <v>422</v>
      </c>
      <c r="H108" s="101">
        <v>66.134592515292979</v>
      </c>
      <c r="I108" s="93">
        <v>110</v>
      </c>
      <c r="J108" s="94">
        <v>25</v>
      </c>
      <c r="K108" s="81"/>
      <c r="L108" s="89">
        <v>7.2584392525877934</v>
      </c>
      <c r="M108" s="90">
        <v>6.9636071348707169</v>
      </c>
      <c r="N108" s="90">
        <v>7.3985127971386246</v>
      </c>
      <c r="O108" s="90">
        <v>6.7229999999999999</v>
      </c>
      <c r="P108" s="90">
        <v>3.8239999999999998</v>
      </c>
      <c r="Q108" s="90">
        <v>3.7410000000000001</v>
      </c>
      <c r="R108" s="90">
        <v>3.444</v>
      </c>
      <c r="S108" s="90">
        <v>2.3149999999999999</v>
      </c>
      <c r="T108" s="90">
        <v>-1.1990000000000001</v>
      </c>
      <c r="U108" s="90">
        <v>2.3279999999999998</v>
      </c>
      <c r="V108" s="91">
        <v>4.1479999999999997</v>
      </c>
      <c r="W108" s="91">
        <f t="shared" si="1"/>
        <v>3.0647256839695713</v>
      </c>
    </row>
    <row r="109" spans="1:23" x14ac:dyDescent="0.35">
      <c r="A109" s="81" t="s">
        <v>565</v>
      </c>
      <c r="B109" s="81" t="s">
        <v>670</v>
      </c>
      <c r="C109" s="89">
        <v>-4.7700497073887238</v>
      </c>
      <c r="D109" s="90">
        <v>-0.38368451177455132</v>
      </c>
      <c r="E109" s="91">
        <v>3.2897594501001937</v>
      </c>
      <c r="G109" s="103" t="s">
        <v>422</v>
      </c>
      <c r="H109" s="101">
        <v>65.606474585171327</v>
      </c>
      <c r="I109" s="93">
        <v>111</v>
      </c>
      <c r="J109" s="94">
        <v>22</v>
      </c>
      <c r="K109" s="81"/>
      <c r="L109" s="89">
        <v>6.4857540044064299</v>
      </c>
      <c r="M109" s="90">
        <v>7.8986694782381086</v>
      </c>
      <c r="N109" s="90">
        <v>8.1996637504261933</v>
      </c>
      <c r="O109" s="90">
        <v>7.4729999999999999</v>
      </c>
      <c r="P109" s="90">
        <v>6.4080000000000004</v>
      </c>
      <c r="Q109" s="90">
        <v>5.75</v>
      </c>
      <c r="R109" s="90">
        <v>6.4050000000000002</v>
      </c>
      <c r="S109" s="90">
        <v>6.75</v>
      </c>
      <c r="T109" s="90">
        <v>3.1890000000000001</v>
      </c>
      <c r="U109" s="90">
        <v>-17.937999999999999</v>
      </c>
      <c r="V109" s="91">
        <v>1.9710000000000001</v>
      </c>
      <c r="W109" s="91">
        <f t="shared" si="1"/>
        <v>1.4530374691628212</v>
      </c>
    </row>
    <row r="110" spans="1:23" x14ac:dyDescent="0.35">
      <c r="A110" s="81" t="s">
        <v>569</v>
      </c>
      <c r="B110" s="81" t="s">
        <v>671</v>
      </c>
      <c r="C110" s="89">
        <v>5.9000128031017951</v>
      </c>
      <c r="D110" s="90">
        <v>3.7913046668829331</v>
      </c>
      <c r="E110" s="91">
        <v>3.4125855123770643</v>
      </c>
      <c r="G110" s="103" t="s">
        <v>398</v>
      </c>
      <c r="H110" s="101">
        <v>72.202169838266542</v>
      </c>
      <c r="I110" s="93">
        <v>79</v>
      </c>
      <c r="J110" s="94">
        <v>10</v>
      </c>
      <c r="K110" s="81"/>
      <c r="L110" s="89">
        <v>5.061682013267613</v>
      </c>
      <c r="M110" s="90">
        <v>5.6147197006409399</v>
      </c>
      <c r="N110" s="90">
        <v>5.7577888470497651</v>
      </c>
      <c r="O110" s="90">
        <v>4.2640000000000002</v>
      </c>
      <c r="P110" s="90">
        <v>3.4000000000000002E-2</v>
      </c>
      <c r="Q110" s="90">
        <v>-1.0269999999999999</v>
      </c>
      <c r="R110" s="90">
        <v>1.06</v>
      </c>
      <c r="S110" s="90">
        <v>-0.83899999999999997</v>
      </c>
      <c r="T110" s="90">
        <v>-8.0359999999999996</v>
      </c>
      <c r="U110" s="90">
        <v>2.6560000000000001</v>
      </c>
      <c r="V110" s="91">
        <v>3.8420000000000001</v>
      </c>
      <c r="W110" s="91">
        <f t="shared" si="1"/>
        <v>3.6019450896299987</v>
      </c>
    </row>
    <row r="111" spans="1:23" x14ac:dyDescent="0.35">
      <c r="A111" s="81" t="s">
        <v>565</v>
      </c>
      <c r="B111" s="81" t="s">
        <v>672</v>
      </c>
      <c r="C111" s="89">
        <v>2.509308980392877</v>
      </c>
      <c r="D111" s="90">
        <v>4.3365366697670549</v>
      </c>
      <c r="E111" s="91">
        <v>4.4414058742941132</v>
      </c>
      <c r="G111" s="103" t="s">
        <v>567</v>
      </c>
      <c r="H111" s="101">
        <v>47.880656607147813</v>
      </c>
      <c r="I111" s="93">
        <v>141</v>
      </c>
      <c r="J111" s="94">
        <v>29</v>
      </c>
      <c r="K111" s="81"/>
      <c r="L111" s="89">
        <v>4.6701221485020756</v>
      </c>
      <c r="M111" s="90">
        <v>3.525153173819251</v>
      </c>
      <c r="N111" s="90">
        <v>6.0114828408077567</v>
      </c>
      <c r="O111" s="90">
        <v>3.976</v>
      </c>
      <c r="P111" s="90">
        <v>0.433</v>
      </c>
      <c r="Q111" s="90">
        <v>8.9770000000000003</v>
      </c>
      <c r="R111" s="90">
        <v>7.6219999999999999</v>
      </c>
      <c r="S111" s="90">
        <v>6.657</v>
      </c>
      <c r="T111" s="90">
        <v>-2.37</v>
      </c>
      <c r="U111" s="90">
        <v>4.2469999999999999</v>
      </c>
      <c r="V111" s="91">
        <v>5.8380000000000001</v>
      </c>
      <c r="W111" s="91">
        <f t="shared" si="1"/>
        <v>4.3889712720305845</v>
      </c>
    </row>
    <row r="112" spans="1:23" x14ac:dyDescent="0.35">
      <c r="A112" s="81" t="s">
        <v>227</v>
      </c>
      <c r="B112" s="81" t="s">
        <v>673</v>
      </c>
      <c r="C112" s="89">
        <v>1.7497887812736312</v>
      </c>
      <c r="D112" s="90">
        <v>1.8172353151896914</v>
      </c>
      <c r="E112" s="91">
        <v>1.7415218308118652</v>
      </c>
      <c r="G112" s="103" t="s">
        <v>415</v>
      </c>
      <c r="H112" s="101">
        <v>97.320188246923195</v>
      </c>
      <c r="I112" s="93">
        <v>6</v>
      </c>
      <c r="J112" s="94">
        <v>4</v>
      </c>
      <c r="K112" s="81"/>
      <c r="L112" s="89">
        <v>-1.0303540066027346</v>
      </c>
      <c r="M112" s="90">
        <v>-0.13017522863902575</v>
      </c>
      <c r="N112" s="90">
        <v>1.4233954098743582</v>
      </c>
      <c r="O112" s="90">
        <v>1.958</v>
      </c>
      <c r="P112" s="90">
        <v>2.1920000000000002</v>
      </c>
      <c r="Q112" s="90">
        <v>2.911</v>
      </c>
      <c r="R112" s="90">
        <v>2.3610000000000002</v>
      </c>
      <c r="S112" s="90">
        <v>1.956</v>
      </c>
      <c r="T112" s="90">
        <v>-3.9129999999999998</v>
      </c>
      <c r="U112" s="90">
        <v>4.883</v>
      </c>
      <c r="V112" s="91">
        <v>4.5179999999999998</v>
      </c>
      <c r="W112" s="91">
        <f t="shared" si="1"/>
        <v>1.7793785730007783</v>
      </c>
    </row>
    <row r="113" spans="1:23" x14ac:dyDescent="0.35">
      <c r="A113" s="81" t="s">
        <v>565</v>
      </c>
      <c r="B113" s="81" t="s">
        <v>674</v>
      </c>
      <c r="C113" s="89">
        <v>1.6101427265492019</v>
      </c>
      <c r="D113" s="90">
        <v>2.5126996765094445</v>
      </c>
      <c r="E113" s="91">
        <v>2.926527233523446</v>
      </c>
      <c r="G113" s="103" t="s">
        <v>415</v>
      </c>
      <c r="H113" s="101">
        <v>98.673978139326721</v>
      </c>
      <c r="I113" s="93">
        <v>1</v>
      </c>
      <c r="J113" s="94">
        <v>1</v>
      </c>
      <c r="K113" s="81"/>
      <c r="L113" s="89">
        <v>2.2395634845413639</v>
      </c>
      <c r="M113" s="90">
        <v>2.6288005896782796</v>
      </c>
      <c r="N113" s="90">
        <v>3.6255957672075687</v>
      </c>
      <c r="O113" s="90">
        <v>3.6909999999999998</v>
      </c>
      <c r="P113" s="90">
        <v>3.8839999999999999</v>
      </c>
      <c r="Q113" s="90">
        <v>3.46</v>
      </c>
      <c r="R113" s="90">
        <v>3.524</v>
      </c>
      <c r="S113" s="90">
        <v>3.0750000000000002</v>
      </c>
      <c r="T113" s="90">
        <v>-1.4770000000000001</v>
      </c>
      <c r="U113" s="90">
        <v>6.0880000000000001</v>
      </c>
      <c r="V113" s="91">
        <v>2.4350000000000001</v>
      </c>
      <c r="W113" s="91">
        <f t="shared" si="1"/>
        <v>2.7196134550164452</v>
      </c>
    </row>
    <row r="114" spans="1:23" x14ac:dyDescent="0.35">
      <c r="A114" s="81" t="s">
        <v>573</v>
      </c>
      <c r="B114" s="81" t="s">
        <v>675</v>
      </c>
      <c r="C114" s="89">
        <v>4.0750139508862748</v>
      </c>
      <c r="D114" s="90">
        <v>0.946067021483743</v>
      </c>
      <c r="E114" s="91">
        <v>2.8253976939387693</v>
      </c>
      <c r="G114" s="103" t="s">
        <v>422</v>
      </c>
      <c r="H114" s="101">
        <v>64.641996561099731</v>
      </c>
      <c r="I114" s="93">
        <v>115</v>
      </c>
      <c r="J114" s="94">
        <v>15</v>
      </c>
      <c r="K114" s="81"/>
      <c r="L114" s="89">
        <v>6.4967472990321502</v>
      </c>
      <c r="M114" s="90">
        <v>4.9267922688301464</v>
      </c>
      <c r="N114" s="90">
        <v>4.7858161704434874</v>
      </c>
      <c r="O114" s="90">
        <v>4.7919999999999998</v>
      </c>
      <c r="P114" s="90">
        <v>4.5629999999999997</v>
      </c>
      <c r="Q114" s="90">
        <v>4.6310000000000002</v>
      </c>
      <c r="R114" s="90">
        <v>-3.363</v>
      </c>
      <c r="S114" s="90">
        <v>-3.78</v>
      </c>
      <c r="T114" s="90">
        <v>-1.7889999999999999</v>
      </c>
      <c r="U114" s="90">
        <v>10.345000000000001</v>
      </c>
      <c r="V114" s="91">
        <v>4.024</v>
      </c>
      <c r="W114" s="91">
        <f t="shared" si="1"/>
        <v>1.8857323577112561</v>
      </c>
    </row>
    <row r="115" spans="1:23" x14ac:dyDescent="0.35">
      <c r="A115" s="81" t="s">
        <v>569</v>
      </c>
      <c r="B115" s="81" t="s">
        <v>676</v>
      </c>
      <c r="C115" s="89">
        <v>5.2681473931170952</v>
      </c>
      <c r="D115" s="90">
        <v>5.8171216819006277</v>
      </c>
      <c r="E115" s="91">
        <v>5.6255556295670361</v>
      </c>
      <c r="G115" s="103" t="s">
        <v>422</v>
      </c>
      <c r="H115" s="101">
        <v>68.812447501404833</v>
      </c>
      <c r="I115" s="93">
        <v>98</v>
      </c>
      <c r="J115" s="94">
        <v>19</v>
      </c>
      <c r="K115" s="81"/>
      <c r="L115" s="89">
        <v>10.599907397446637</v>
      </c>
      <c r="M115" s="90">
        <v>5.5657295960540178</v>
      </c>
      <c r="N115" s="90">
        <v>6.5644262265084619</v>
      </c>
      <c r="O115" s="90">
        <v>4.3929999999999998</v>
      </c>
      <c r="P115" s="90">
        <v>5.7409999999999997</v>
      </c>
      <c r="Q115" s="90">
        <v>5.0010000000000003</v>
      </c>
      <c r="R115" s="90">
        <v>7.0069999999999997</v>
      </c>
      <c r="S115" s="90">
        <v>6.1429999999999998</v>
      </c>
      <c r="T115" s="90">
        <v>3.55</v>
      </c>
      <c r="U115" s="90">
        <v>1.399</v>
      </c>
      <c r="V115" s="91">
        <v>11.111000000000001</v>
      </c>
      <c r="W115" s="91">
        <f t="shared" si="1"/>
        <v>5.7213386557338319</v>
      </c>
    </row>
    <row r="116" spans="1:23" x14ac:dyDescent="0.35">
      <c r="A116" s="81" t="s">
        <v>569</v>
      </c>
      <c r="B116" s="81" t="s">
        <v>677</v>
      </c>
      <c r="C116" s="89">
        <v>1.6711254984559387</v>
      </c>
      <c r="D116" s="90">
        <v>1.8286894595159531</v>
      </c>
      <c r="E116" s="91">
        <v>2.3705025942777347</v>
      </c>
      <c r="G116" s="103" t="s">
        <v>567</v>
      </c>
      <c r="H116" s="101">
        <v>54.117482987279544</v>
      </c>
      <c r="I116" s="93">
        <v>136</v>
      </c>
      <c r="J116" s="94">
        <v>35</v>
      </c>
      <c r="K116" s="81"/>
      <c r="L116" s="89">
        <v>4.2300611751055515</v>
      </c>
      <c r="M116" s="90">
        <v>6.6713353928837664</v>
      </c>
      <c r="N116" s="90">
        <v>6.3097186557238203</v>
      </c>
      <c r="O116" s="90">
        <v>2.653</v>
      </c>
      <c r="P116" s="90">
        <v>-1.617</v>
      </c>
      <c r="Q116" s="90">
        <v>0.80600000000000005</v>
      </c>
      <c r="R116" s="90">
        <v>1.923</v>
      </c>
      <c r="S116" s="90">
        <v>2.2080000000000002</v>
      </c>
      <c r="T116" s="90">
        <v>-1.794</v>
      </c>
      <c r="U116" s="90">
        <v>3.6469999999999998</v>
      </c>
      <c r="V116" s="91">
        <v>3.2519999999999998</v>
      </c>
      <c r="W116" s="91">
        <f t="shared" si="1"/>
        <v>2.0995960268968439</v>
      </c>
    </row>
    <row r="117" spans="1:23" x14ac:dyDescent="0.35">
      <c r="A117" s="81" t="s">
        <v>227</v>
      </c>
      <c r="B117" s="81" t="s">
        <v>678</v>
      </c>
      <c r="C117" s="89">
        <v>-7.5001429328758196E-2</v>
      </c>
      <c r="D117" s="90">
        <v>1.3021650287798892</v>
      </c>
      <c r="E117" s="91">
        <v>2.0797979747829265</v>
      </c>
      <c r="G117" s="103" t="s">
        <v>571</v>
      </c>
      <c r="H117" s="101">
        <v>78.35616814320835</v>
      </c>
      <c r="I117" s="93">
        <v>58</v>
      </c>
      <c r="J117" s="94">
        <v>35</v>
      </c>
      <c r="K117" s="81"/>
      <c r="L117" s="89">
        <v>-0.45618322360793873</v>
      </c>
      <c r="M117" s="90">
        <v>2.9252576645048585</v>
      </c>
      <c r="N117" s="90">
        <v>3.6291235127637393</v>
      </c>
      <c r="O117" s="90">
        <v>3.8559999999999999</v>
      </c>
      <c r="P117" s="90">
        <v>2.8479999999999999</v>
      </c>
      <c r="Q117" s="90">
        <v>1.0820000000000001</v>
      </c>
      <c r="R117" s="90">
        <v>2.8809999999999998</v>
      </c>
      <c r="S117" s="90">
        <v>3.91</v>
      </c>
      <c r="T117" s="90">
        <v>-4.6879999999999997</v>
      </c>
      <c r="U117" s="90">
        <v>3.931</v>
      </c>
      <c r="V117" s="91">
        <v>2.2170000000000001</v>
      </c>
      <c r="W117" s="91">
        <f t="shared" si="1"/>
        <v>1.6909815017814078</v>
      </c>
    </row>
    <row r="118" spans="1:23" x14ac:dyDescent="0.35">
      <c r="A118" s="81" t="s">
        <v>227</v>
      </c>
      <c r="B118" s="81" t="s">
        <v>679</v>
      </c>
      <c r="C118" s="89">
        <v>2.1276786032802697</v>
      </c>
      <c r="D118" s="90">
        <v>2.0038500872442633</v>
      </c>
      <c r="E118" s="91">
        <v>1.8376731142071945</v>
      </c>
      <c r="G118" s="103" t="s">
        <v>415</v>
      </c>
      <c r="H118" s="101">
        <v>96.569623372049904</v>
      </c>
      <c r="I118" s="93">
        <v>10</v>
      </c>
      <c r="J118" s="94">
        <v>8</v>
      </c>
      <c r="K118" s="81"/>
      <c r="L118" s="89">
        <v>2.7030738548426481</v>
      </c>
      <c r="M118" s="90">
        <v>1.0340729135363009</v>
      </c>
      <c r="N118" s="90">
        <v>1.9695443007938924</v>
      </c>
      <c r="O118" s="90">
        <v>1.857</v>
      </c>
      <c r="P118" s="90">
        <v>1.165</v>
      </c>
      <c r="Q118" s="90">
        <v>2.464</v>
      </c>
      <c r="R118" s="90">
        <v>0.82899999999999996</v>
      </c>
      <c r="S118" s="90">
        <v>1.1240000000000001</v>
      </c>
      <c r="T118" s="90">
        <v>-1.278</v>
      </c>
      <c r="U118" s="90">
        <v>3.8980000000000001</v>
      </c>
      <c r="V118" s="91">
        <v>3.2810000000000001</v>
      </c>
      <c r="W118" s="91">
        <f t="shared" si="1"/>
        <v>1.9207616007257289</v>
      </c>
    </row>
    <row r="119" spans="1:23" x14ac:dyDescent="0.35">
      <c r="A119" s="81" t="s">
        <v>580</v>
      </c>
      <c r="B119" s="81" t="s">
        <v>680</v>
      </c>
      <c r="C119" s="89">
        <v>1.2841572452507943</v>
      </c>
      <c r="D119" s="90">
        <v>3.5695383112497314</v>
      </c>
      <c r="E119" s="91">
        <v>3.4884405409466579</v>
      </c>
      <c r="G119" s="103" t="s">
        <v>571</v>
      </c>
      <c r="H119" s="101">
        <v>83.929015692724803</v>
      </c>
      <c r="I119" s="93">
        <v>38</v>
      </c>
      <c r="J119" s="94">
        <v>3</v>
      </c>
      <c r="K119" s="81"/>
      <c r="L119" s="89">
        <v>9.3317368265983944</v>
      </c>
      <c r="M119" s="90">
        <v>4.373453291056836</v>
      </c>
      <c r="N119" s="90">
        <v>2.7522002596044053</v>
      </c>
      <c r="O119" s="90">
        <v>5.0170000000000003</v>
      </c>
      <c r="P119" s="90">
        <v>5.0460000000000003</v>
      </c>
      <c r="Q119" s="90">
        <v>0.30399999999999999</v>
      </c>
      <c r="R119" s="90">
        <v>1.2869999999999999</v>
      </c>
      <c r="S119" s="90">
        <v>-1.1299999999999999</v>
      </c>
      <c r="T119" s="90">
        <v>-3.2</v>
      </c>
      <c r="U119" s="90">
        <v>2.9020000000000001</v>
      </c>
      <c r="V119" s="91">
        <v>4.3109999999999999</v>
      </c>
      <c r="W119" s="91">
        <f t="shared" si="1"/>
        <v>3.5289894260981947</v>
      </c>
    </row>
    <row r="120" spans="1:23" x14ac:dyDescent="0.35">
      <c r="A120" s="81" t="s">
        <v>565</v>
      </c>
      <c r="B120" s="81" t="s">
        <v>681</v>
      </c>
      <c r="C120" s="89">
        <v>-2.8988961286927073</v>
      </c>
      <c r="D120" s="90">
        <v>0.9425802646799708</v>
      </c>
      <c r="E120" s="91">
        <v>2.8446311877570185</v>
      </c>
      <c r="G120" s="103" t="s">
        <v>398</v>
      </c>
      <c r="H120" s="101">
        <v>69.599146780385112</v>
      </c>
      <c r="I120" s="93">
        <v>90</v>
      </c>
      <c r="J120" s="94">
        <v>17</v>
      </c>
      <c r="K120" s="81"/>
      <c r="L120" s="89">
        <v>2.8731257161786412</v>
      </c>
      <c r="M120" s="90">
        <v>4.4745926000517917</v>
      </c>
      <c r="N120" s="90">
        <v>5.7909341243793389</v>
      </c>
      <c r="O120" s="90">
        <v>4.0579999999999998</v>
      </c>
      <c r="P120" s="90">
        <v>4.5629999999999997</v>
      </c>
      <c r="Q120" s="90">
        <v>4.609</v>
      </c>
      <c r="R120" s="90">
        <v>6.0960000000000001</v>
      </c>
      <c r="S120" s="90">
        <v>3.12</v>
      </c>
      <c r="T120" s="90">
        <v>-0.94299999999999995</v>
      </c>
      <c r="U120" s="90">
        <v>5.742</v>
      </c>
      <c r="V120" s="91">
        <v>5.9669999999999996</v>
      </c>
      <c r="W120" s="91">
        <f t="shared" si="1"/>
        <v>1.8936057262184947</v>
      </c>
    </row>
    <row r="121" spans="1:23" x14ac:dyDescent="0.35">
      <c r="A121" s="81" t="s">
        <v>573</v>
      </c>
      <c r="B121" s="81" t="s">
        <v>682</v>
      </c>
      <c r="C121" s="89">
        <v>1.349334889011633</v>
      </c>
      <c r="D121" s="90">
        <v>2.1324418529624634</v>
      </c>
      <c r="E121" s="91">
        <v>3.875737232948695</v>
      </c>
      <c r="G121" s="103" t="s">
        <v>422</v>
      </c>
      <c r="H121" s="101">
        <v>61.957917699729606</v>
      </c>
      <c r="I121" s="93">
        <v>122</v>
      </c>
      <c r="J121" s="94">
        <v>19</v>
      </c>
      <c r="K121" s="81"/>
      <c r="L121" s="89">
        <v>9.7789039456094482</v>
      </c>
      <c r="M121" s="90">
        <v>6.9032725658169563</v>
      </c>
      <c r="N121" s="90">
        <v>5.0667432180278205</v>
      </c>
      <c r="O121" s="90">
        <v>5.7329999999999997</v>
      </c>
      <c r="P121" s="90">
        <v>4.9530000000000003</v>
      </c>
      <c r="Q121" s="90">
        <v>5.5910000000000002</v>
      </c>
      <c r="R121" s="90">
        <v>3.6850000000000001</v>
      </c>
      <c r="S121" s="90">
        <v>2.98</v>
      </c>
      <c r="T121" s="90">
        <v>-17.945</v>
      </c>
      <c r="U121" s="90">
        <v>15.336</v>
      </c>
      <c r="V121" s="91">
        <v>10</v>
      </c>
      <c r="W121" s="91">
        <f t="shared" si="1"/>
        <v>3.0040895429555792</v>
      </c>
    </row>
    <row r="122" spans="1:23" x14ac:dyDescent="0.35">
      <c r="A122" s="81" t="s">
        <v>565</v>
      </c>
      <c r="B122" s="81" t="s">
        <v>683</v>
      </c>
      <c r="C122" s="89">
        <v>0.50696592980361554</v>
      </c>
      <c r="D122" s="90">
        <v>1.127965129390196</v>
      </c>
      <c r="E122" s="91">
        <v>3.7955054005958777</v>
      </c>
      <c r="G122" s="103" t="s">
        <v>567</v>
      </c>
      <c r="H122" s="101">
        <v>55.401075093758223</v>
      </c>
      <c r="I122" s="93">
        <v>131</v>
      </c>
      <c r="J122" s="94">
        <v>27</v>
      </c>
      <c r="K122" s="81"/>
      <c r="L122" s="89">
        <v>4.6571195968623904</v>
      </c>
      <c r="M122" s="90">
        <v>3.8249463280067437</v>
      </c>
      <c r="N122" s="90">
        <v>13.543770621654581</v>
      </c>
      <c r="O122" s="90">
        <v>6.5759999999999996</v>
      </c>
      <c r="P122" s="90">
        <v>5.492</v>
      </c>
      <c r="Q122" s="90">
        <v>3.5350000000000001</v>
      </c>
      <c r="R122" s="90">
        <v>-0.27900000000000003</v>
      </c>
      <c r="S122" s="90">
        <v>4.4800000000000004</v>
      </c>
      <c r="T122" s="90">
        <v>-3.1669999999999998</v>
      </c>
      <c r="U122" s="90">
        <v>7.0000000000000007E-2</v>
      </c>
      <c r="V122" s="91">
        <v>4.5359999999999996</v>
      </c>
      <c r="W122" s="91">
        <f t="shared" si="1"/>
        <v>2.4617352649930369</v>
      </c>
    </row>
    <row r="123" spans="1:23" x14ac:dyDescent="0.35">
      <c r="A123" s="81" t="s">
        <v>573</v>
      </c>
      <c r="B123" s="81" t="s">
        <v>684</v>
      </c>
      <c r="C123" s="89">
        <v>1.1388134852348575</v>
      </c>
      <c r="D123" s="90">
        <v>1.2311721995777125</v>
      </c>
      <c r="E123" s="91">
        <v>3.152890592174673</v>
      </c>
      <c r="G123" s="103" t="s">
        <v>422</v>
      </c>
      <c r="H123" s="101">
        <v>63.814130726333779</v>
      </c>
      <c r="I123" s="93">
        <v>118</v>
      </c>
      <c r="J123" s="94">
        <v>17</v>
      </c>
      <c r="K123" s="81"/>
      <c r="L123" s="89">
        <v>-0.53851294250305837</v>
      </c>
      <c r="M123" s="90">
        <v>8.4174952847030529</v>
      </c>
      <c r="N123" s="90">
        <v>4.8608903705532152</v>
      </c>
      <c r="O123" s="90">
        <v>2.9569999999999999</v>
      </c>
      <c r="P123" s="90">
        <v>4.2679999999999998</v>
      </c>
      <c r="Q123" s="90">
        <v>4.8099999999999996</v>
      </c>
      <c r="R123" s="90">
        <v>3.2040000000000002</v>
      </c>
      <c r="S123" s="90">
        <v>-0.40200000000000002</v>
      </c>
      <c r="T123" s="90">
        <v>-0.82</v>
      </c>
      <c r="U123" s="90">
        <v>4.0170000000000003</v>
      </c>
      <c r="V123" s="91">
        <v>0.2</v>
      </c>
      <c r="W123" s="91">
        <f t="shared" si="1"/>
        <v>2.1920313958761928</v>
      </c>
    </row>
    <row r="124" spans="1:23" x14ac:dyDescent="0.35">
      <c r="A124" s="81" t="s">
        <v>573</v>
      </c>
      <c r="B124" s="81" t="s">
        <v>685</v>
      </c>
      <c r="C124" s="89">
        <v>1.205712245399182</v>
      </c>
      <c r="D124" s="90">
        <v>1.959755918859285</v>
      </c>
      <c r="E124" s="91">
        <v>2.7687545080362863</v>
      </c>
      <c r="G124" s="103" t="s">
        <v>422</v>
      </c>
      <c r="H124" s="101">
        <v>62.494421901152251</v>
      </c>
      <c r="I124" s="93">
        <v>121</v>
      </c>
      <c r="J124" s="94">
        <v>18</v>
      </c>
      <c r="K124" s="81"/>
      <c r="L124" s="89">
        <v>6.1397247056043467</v>
      </c>
      <c r="M124" s="90">
        <v>5.8525182108492944</v>
      </c>
      <c r="N124" s="90">
        <v>2.3821573718054045</v>
      </c>
      <c r="O124" s="90">
        <v>3.2519999999999998</v>
      </c>
      <c r="P124" s="90">
        <v>3.9529999999999998</v>
      </c>
      <c r="Q124" s="90">
        <v>2.5190000000000001</v>
      </c>
      <c r="R124" s="90">
        <v>3.9769999999999999</v>
      </c>
      <c r="S124" s="90">
        <v>2.2330000000000001</v>
      </c>
      <c r="T124" s="90">
        <v>-11.013999999999999</v>
      </c>
      <c r="U124" s="90">
        <v>13.551</v>
      </c>
      <c r="V124" s="91">
        <v>2.7010000000000001</v>
      </c>
      <c r="W124" s="91">
        <f t="shared" si="1"/>
        <v>2.3642552134477857</v>
      </c>
    </row>
    <row r="125" spans="1:23" x14ac:dyDescent="0.35">
      <c r="A125" s="81" t="s">
        <v>565</v>
      </c>
      <c r="B125" s="81" t="s">
        <v>686</v>
      </c>
      <c r="C125" s="89">
        <v>0.96069279950485864</v>
      </c>
      <c r="D125" s="90">
        <v>3.0362820733681239</v>
      </c>
      <c r="E125" s="91">
        <v>4.8545875775876546</v>
      </c>
      <c r="G125" s="103" t="s">
        <v>398</v>
      </c>
      <c r="H125" s="101">
        <v>74.806556985260698</v>
      </c>
      <c r="I125" s="93">
        <v>69</v>
      </c>
      <c r="J125" s="94">
        <v>10</v>
      </c>
      <c r="K125" s="81"/>
      <c r="L125" s="89">
        <v>6.8969517105747951</v>
      </c>
      <c r="M125" s="90">
        <v>6.7505313017782687</v>
      </c>
      <c r="N125" s="90">
        <v>6.3479874825028357</v>
      </c>
      <c r="O125" s="90">
        <v>6.3479999999999999</v>
      </c>
      <c r="P125" s="90">
        <v>7.149</v>
      </c>
      <c r="Q125" s="90">
        <v>6.931</v>
      </c>
      <c r="R125" s="90">
        <v>6.3410000000000002</v>
      </c>
      <c r="S125" s="90">
        <v>6.1189999999999998</v>
      </c>
      <c r="T125" s="90">
        <v>-9.5180000000000007</v>
      </c>
      <c r="U125" s="90">
        <v>5.7030000000000003</v>
      </c>
      <c r="V125" s="91">
        <v>7.5990000000000002</v>
      </c>
      <c r="W125" s="91">
        <f t="shared" si="1"/>
        <v>3.9454348254778893</v>
      </c>
    </row>
    <row r="126" spans="1:23" x14ac:dyDescent="0.35">
      <c r="A126" s="81" t="s">
        <v>227</v>
      </c>
      <c r="B126" s="81" t="s">
        <v>687</v>
      </c>
      <c r="C126" s="89">
        <v>3.162865203018228</v>
      </c>
      <c r="D126" s="90">
        <v>3.8363783613865499</v>
      </c>
      <c r="E126" s="91">
        <v>3.5697088266716248</v>
      </c>
      <c r="G126" s="103" t="s">
        <v>571</v>
      </c>
      <c r="H126" s="101">
        <v>85.420553644487129</v>
      </c>
      <c r="I126" s="93">
        <v>36</v>
      </c>
      <c r="J126" s="94">
        <v>23</v>
      </c>
      <c r="K126" s="81"/>
      <c r="L126" s="89">
        <v>1.6079066445646626</v>
      </c>
      <c r="M126" s="90">
        <v>1.3918923212492256</v>
      </c>
      <c r="N126" s="90">
        <v>3.3184475370007722</v>
      </c>
      <c r="O126" s="90">
        <v>4.383</v>
      </c>
      <c r="P126" s="90">
        <v>2.9540000000000002</v>
      </c>
      <c r="Q126" s="90">
        <v>5.14</v>
      </c>
      <c r="R126" s="90">
        <v>5.9450000000000003</v>
      </c>
      <c r="S126" s="90">
        <v>4.45</v>
      </c>
      <c r="T126" s="90">
        <v>-2.02</v>
      </c>
      <c r="U126" s="90">
        <v>6.8479999999999999</v>
      </c>
      <c r="V126" s="91">
        <v>4.8739999999999997</v>
      </c>
      <c r="W126" s="91">
        <f t="shared" si="1"/>
        <v>3.7030435940290873</v>
      </c>
    </row>
    <row r="127" spans="1:23" x14ac:dyDescent="0.35">
      <c r="A127" s="81" t="s">
        <v>227</v>
      </c>
      <c r="B127" s="81" t="s">
        <v>688</v>
      </c>
      <c r="C127" s="89">
        <v>1.0661443105445922</v>
      </c>
      <c r="D127" s="90">
        <v>1.7172276328006886</v>
      </c>
      <c r="E127" s="91">
        <v>1.5719478894561822</v>
      </c>
      <c r="G127" s="103" t="s">
        <v>415</v>
      </c>
      <c r="H127" s="101">
        <v>91.026987497789847</v>
      </c>
      <c r="I127" s="93">
        <v>25</v>
      </c>
      <c r="J127" s="94">
        <v>16</v>
      </c>
      <c r="K127" s="81"/>
      <c r="L127" s="89">
        <v>-4.0572943594235547</v>
      </c>
      <c r="M127" s="90">
        <v>-0.92264378725787455</v>
      </c>
      <c r="N127" s="90">
        <v>0.79219053837650444</v>
      </c>
      <c r="O127" s="90">
        <v>1.792</v>
      </c>
      <c r="P127" s="90">
        <v>2.0190000000000001</v>
      </c>
      <c r="Q127" s="90">
        <v>3.5059999999999998</v>
      </c>
      <c r="R127" s="90">
        <v>2.8490000000000002</v>
      </c>
      <c r="S127" s="90">
        <v>2.6829999999999998</v>
      </c>
      <c r="T127" s="90">
        <v>-8.3010000000000002</v>
      </c>
      <c r="U127" s="90">
        <v>5.5030000000000001</v>
      </c>
      <c r="V127" s="91">
        <v>6.726</v>
      </c>
      <c r="W127" s="91">
        <f t="shared" si="1"/>
        <v>1.6445877611284354</v>
      </c>
    </row>
    <row r="128" spans="1:23" x14ac:dyDescent="0.35">
      <c r="A128" s="81" t="s">
        <v>580</v>
      </c>
      <c r="B128" s="81" t="s">
        <v>689</v>
      </c>
      <c r="C128" s="89">
        <v>0.67674745765720079</v>
      </c>
      <c r="D128" s="90">
        <v>0.80775193577011795</v>
      </c>
      <c r="E128" s="91">
        <v>2.0997114519337501</v>
      </c>
      <c r="G128" s="103" t="s">
        <v>571</v>
      </c>
      <c r="H128" s="101">
        <v>78.783055534449289</v>
      </c>
      <c r="I128" s="93">
        <v>57</v>
      </c>
      <c r="J128" s="94">
        <v>6</v>
      </c>
      <c r="K128" s="81"/>
      <c r="L128" s="89">
        <v>4.730011843607838</v>
      </c>
      <c r="M128" s="90">
        <v>5.5560406430660754</v>
      </c>
      <c r="N128" s="90">
        <v>5.3343232919645871</v>
      </c>
      <c r="O128" s="90">
        <v>4.7530000000000001</v>
      </c>
      <c r="P128" s="90">
        <v>3.0640000000000001</v>
      </c>
      <c r="Q128" s="90">
        <v>-1.498</v>
      </c>
      <c r="R128" s="90">
        <v>1.2350000000000001</v>
      </c>
      <c r="S128" s="90">
        <v>0.68799999999999994</v>
      </c>
      <c r="T128" s="90">
        <v>-3.5579999999999998</v>
      </c>
      <c r="U128" s="90">
        <v>1.589</v>
      </c>
      <c r="V128" s="91">
        <v>4.2409999999999997</v>
      </c>
      <c r="W128" s="91">
        <f t="shared" si="1"/>
        <v>1.453731693851934</v>
      </c>
    </row>
    <row r="129" spans="1:23" x14ac:dyDescent="0.35">
      <c r="A129" s="81" t="s">
        <v>227</v>
      </c>
      <c r="B129" s="81" t="s">
        <v>690</v>
      </c>
      <c r="C129" s="89">
        <v>1.9886029006319417</v>
      </c>
      <c r="D129" s="90">
        <v>2.9733514596169686</v>
      </c>
      <c r="E129" s="91">
        <v>3.7501787507027151</v>
      </c>
      <c r="G129" s="103" t="s">
        <v>571</v>
      </c>
      <c r="H129" s="101">
        <v>84.261081453729389</v>
      </c>
      <c r="I129" s="93">
        <v>37</v>
      </c>
      <c r="J129" s="94">
        <v>24</v>
      </c>
      <c r="K129" s="81"/>
      <c r="L129" s="89">
        <v>2.0771650065377472</v>
      </c>
      <c r="M129" s="90">
        <v>3.5145518040847694</v>
      </c>
      <c r="N129" s="90">
        <v>3.4108091001793088</v>
      </c>
      <c r="O129" s="90">
        <v>3.1629999999999998</v>
      </c>
      <c r="P129" s="90">
        <v>2.8530000000000002</v>
      </c>
      <c r="Q129" s="90">
        <v>8.2129999999999992</v>
      </c>
      <c r="R129" s="90">
        <v>6.03</v>
      </c>
      <c r="S129" s="90">
        <v>3.8439999999999999</v>
      </c>
      <c r="T129" s="90">
        <v>-3.6920000000000002</v>
      </c>
      <c r="U129" s="90">
        <v>5.8739999999999997</v>
      </c>
      <c r="V129" s="91">
        <v>4.7910000000000004</v>
      </c>
      <c r="W129" s="91">
        <f t="shared" si="1"/>
        <v>3.3617651051598418</v>
      </c>
    </row>
    <row r="130" spans="1:23" x14ac:dyDescent="0.35">
      <c r="A130" s="81" t="s">
        <v>227</v>
      </c>
      <c r="B130" s="81" t="s">
        <v>691</v>
      </c>
      <c r="C130" s="89">
        <v>0.31321455831558875</v>
      </c>
      <c r="D130" s="90">
        <v>1.1211784185926943</v>
      </c>
      <c r="E130" s="91">
        <v>0.80914098391451361</v>
      </c>
      <c r="G130" s="103" t="s">
        <v>398</v>
      </c>
      <c r="H130" s="101">
        <v>76.528749373407479</v>
      </c>
      <c r="I130" s="93">
        <v>64</v>
      </c>
      <c r="J130" s="94">
        <v>36</v>
      </c>
      <c r="K130" s="81"/>
      <c r="L130" s="89">
        <v>4.0240861571797915</v>
      </c>
      <c r="M130" s="90">
        <v>1.7554221491628001</v>
      </c>
      <c r="N130" s="90">
        <v>0.736267221403759</v>
      </c>
      <c r="O130" s="90">
        <v>-1.9730000000000001</v>
      </c>
      <c r="P130" s="90">
        <v>0.19400000000000001</v>
      </c>
      <c r="Q130" s="90">
        <v>1.8260000000000001</v>
      </c>
      <c r="R130" s="90">
        <v>2.8069999999999999</v>
      </c>
      <c r="S130" s="90">
        <v>2.198</v>
      </c>
      <c r="T130" s="90">
        <v>-2.6539999999999999</v>
      </c>
      <c r="U130" s="90">
        <v>5.6239999999999997</v>
      </c>
      <c r="V130" s="91">
        <v>-2.0510000000000002</v>
      </c>
      <c r="W130" s="91">
        <f t="shared" si="1"/>
        <v>0.96515970125360395</v>
      </c>
    </row>
    <row r="131" spans="1:23" x14ac:dyDescent="0.35">
      <c r="A131" s="81" t="s">
        <v>569</v>
      </c>
      <c r="B131" s="81" t="s">
        <v>692</v>
      </c>
      <c r="C131" s="89">
        <v>4.5886571318858538</v>
      </c>
      <c r="D131" s="90">
        <v>6.3388189685080754</v>
      </c>
      <c r="E131" s="91">
        <v>6.1347836953729917</v>
      </c>
      <c r="G131" s="103" t="s">
        <v>398</v>
      </c>
      <c r="H131" s="101">
        <v>76.577775011818801</v>
      </c>
      <c r="I131" s="93">
        <v>63</v>
      </c>
      <c r="J131" s="94">
        <v>3</v>
      </c>
      <c r="K131" s="81"/>
      <c r="L131" s="89">
        <v>8.6415388651712988</v>
      </c>
      <c r="M131" s="90">
        <v>4.7198554996618309</v>
      </c>
      <c r="N131" s="90">
        <v>6.1642772027561934</v>
      </c>
      <c r="O131" s="90">
        <v>8.8539999999999992</v>
      </c>
      <c r="P131" s="90">
        <v>5.9720000000000004</v>
      </c>
      <c r="Q131" s="90">
        <v>3.9729999999999999</v>
      </c>
      <c r="R131" s="90">
        <v>8.5779999999999994</v>
      </c>
      <c r="S131" s="90">
        <v>9.4689999999999994</v>
      </c>
      <c r="T131" s="90">
        <v>-3.3570000000000002</v>
      </c>
      <c r="U131" s="90">
        <v>10.874000000000001</v>
      </c>
      <c r="V131" s="91">
        <v>6.7629999999999999</v>
      </c>
      <c r="W131" s="91">
        <f t="shared" si="1"/>
        <v>6.2368013319405335</v>
      </c>
    </row>
    <row r="132" spans="1:23" x14ac:dyDescent="0.35">
      <c r="A132" s="81" t="s">
        <v>580</v>
      </c>
      <c r="B132" s="81" t="s">
        <v>693</v>
      </c>
      <c r="C132" s="89">
        <v>2.4790435166051283</v>
      </c>
      <c r="D132" s="90">
        <v>2.0533451948943071</v>
      </c>
      <c r="E132" s="91">
        <v>2.158001329255721</v>
      </c>
      <c r="G132" s="103" t="s">
        <v>571</v>
      </c>
      <c r="H132" s="101">
        <v>76.963439522680929</v>
      </c>
      <c r="I132" s="93">
        <v>61</v>
      </c>
      <c r="J132" s="94">
        <v>8</v>
      </c>
      <c r="K132" s="81"/>
      <c r="L132" s="89">
        <v>5.4114449021643543</v>
      </c>
      <c r="M132" s="90">
        <v>2.6992547225567329</v>
      </c>
      <c r="N132" s="90">
        <v>3.6524816975790095</v>
      </c>
      <c r="O132" s="90">
        <v>4.6900000000000004</v>
      </c>
      <c r="P132" s="90">
        <v>2.363</v>
      </c>
      <c r="Q132" s="90">
        <v>-7.0000000000000007E-2</v>
      </c>
      <c r="R132" s="90">
        <v>2.762</v>
      </c>
      <c r="S132" s="90">
        <v>0.83199999999999996</v>
      </c>
      <c r="T132" s="90">
        <v>-4.3410000000000002</v>
      </c>
      <c r="U132" s="90">
        <v>3.9220000000000002</v>
      </c>
      <c r="V132" s="91">
        <v>8.7439999999999998</v>
      </c>
      <c r="W132" s="91">
        <f t="shared" si="1"/>
        <v>2.105673262075014</v>
      </c>
    </row>
    <row r="133" spans="1:23" x14ac:dyDescent="0.35">
      <c r="A133" s="81" t="s">
        <v>569</v>
      </c>
      <c r="B133" s="81" t="s">
        <v>694</v>
      </c>
      <c r="C133" s="89">
        <v>4.0137946463164598</v>
      </c>
      <c r="D133" s="90">
        <v>4.5694149693751296</v>
      </c>
      <c r="E133" s="91">
        <v>5.2331571951220512</v>
      </c>
      <c r="G133" s="103" t="s">
        <v>398</v>
      </c>
      <c r="H133" s="101">
        <v>69.313365081609845</v>
      </c>
      <c r="I133" s="93">
        <v>93</v>
      </c>
      <c r="J133" s="94">
        <v>15</v>
      </c>
      <c r="K133" s="81"/>
      <c r="L133" s="89">
        <v>5.1173942367478444</v>
      </c>
      <c r="M133" s="90">
        <v>2.8221056497235883</v>
      </c>
      <c r="N133" s="90">
        <v>6.6135001033739647</v>
      </c>
      <c r="O133" s="90">
        <v>6.367</v>
      </c>
      <c r="P133" s="90">
        <v>6.3559999999999999</v>
      </c>
      <c r="Q133" s="90">
        <v>7.407</v>
      </c>
      <c r="R133" s="90">
        <v>6.2089999999999996</v>
      </c>
      <c r="S133" s="90">
        <v>4.6139999999999999</v>
      </c>
      <c r="T133" s="90">
        <v>1.3260000000000001</v>
      </c>
      <c r="U133" s="90">
        <v>6.0670000000000002</v>
      </c>
      <c r="V133" s="91">
        <v>4.7089999999999996</v>
      </c>
      <c r="W133" s="91">
        <f t="shared" si="1"/>
        <v>4.9012860822485909</v>
      </c>
    </row>
    <row r="134" spans="1:23" x14ac:dyDescent="0.35">
      <c r="A134" s="81" t="s">
        <v>227</v>
      </c>
      <c r="B134" s="81" t="s">
        <v>695</v>
      </c>
      <c r="C134" s="89">
        <v>2.9071913241700997</v>
      </c>
      <c r="D134" s="90">
        <v>3.5107747978878168</v>
      </c>
      <c r="E134" s="91">
        <v>2.5987412011468258</v>
      </c>
      <c r="G134" s="103" t="s">
        <v>398</v>
      </c>
      <c r="H134" s="101">
        <v>74.50245157918026</v>
      </c>
      <c r="I134" s="93">
        <v>71</v>
      </c>
      <c r="J134" s="94">
        <v>38</v>
      </c>
      <c r="K134" s="81"/>
      <c r="L134" s="89">
        <v>-0.68154236933475798</v>
      </c>
      <c r="M134" s="90">
        <v>2.892636733558092</v>
      </c>
      <c r="N134" s="90">
        <v>-1.5895103199025831</v>
      </c>
      <c r="O134" s="90">
        <v>1.776</v>
      </c>
      <c r="P134" s="90">
        <v>3.339</v>
      </c>
      <c r="Q134" s="90">
        <v>2.101</v>
      </c>
      <c r="R134" s="90">
        <v>4.4950000000000001</v>
      </c>
      <c r="S134" s="90">
        <v>4.3319999999999999</v>
      </c>
      <c r="T134" s="90">
        <v>-0.90300000000000002</v>
      </c>
      <c r="U134" s="90">
        <v>7.55</v>
      </c>
      <c r="V134" s="91">
        <v>2.2509999999999999</v>
      </c>
      <c r="W134" s="91">
        <f t="shared" si="1"/>
        <v>3.0547579995173213</v>
      </c>
    </row>
    <row r="135" spans="1:23" x14ac:dyDescent="0.35">
      <c r="A135" s="81" t="s">
        <v>569</v>
      </c>
      <c r="B135" s="81" t="s">
        <v>696</v>
      </c>
      <c r="C135" s="89">
        <v>1.6001817079933423</v>
      </c>
      <c r="D135" s="90">
        <v>2.5822705421283176</v>
      </c>
      <c r="E135" s="90">
        <v>2.323464181185142</v>
      </c>
      <c r="G135" s="103" t="s">
        <v>567</v>
      </c>
      <c r="H135" s="101">
        <v>58.993492167204309</v>
      </c>
      <c r="I135" s="93">
        <v>126</v>
      </c>
      <c r="J135" s="93">
        <v>30</v>
      </c>
      <c r="K135" s="108"/>
      <c r="L135" s="89">
        <v>15.18176908302255</v>
      </c>
      <c r="M135" s="90">
        <v>20.715768285872748</v>
      </c>
      <c r="N135" s="90">
        <v>4.5567723661529431</v>
      </c>
      <c r="O135" s="90">
        <v>-20.492999999999999</v>
      </c>
      <c r="P135" s="90">
        <v>6.3540000000000001</v>
      </c>
      <c r="Q135" s="90">
        <v>3.7650000000000001</v>
      </c>
      <c r="R135" s="90">
        <v>3.4649999999999999</v>
      </c>
      <c r="S135" s="90">
        <v>5.2539999999999996</v>
      </c>
      <c r="T135" s="90">
        <v>-1.9690000000000001</v>
      </c>
      <c r="U135" s="90">
        <v>4.1050000000000004</v>
      </c>
      <c r="V135" s="90">
        <v>2.766</v>
      </c>
      <c r="W135" s="91">
        <f t="shared" si="1"/>
        <v>2.4528673616567298</v>
      </c>
    </row>
    <row r="136" spans="1:23" x14ac:dyDescent="0.35">
      <c r="A136" s="81" t="s">
        <v>565</v>
      </c>
      <c r="B136" s="81" t="s">
        <v>697</v>
      </c>
      <c r="C136" s="89">
        <v>2.254611894692915</v>
      </c>
      <c r="D136" s="90">
        <v>2.3804077568891469</v>
      </c>
      <c r="E136" s="90">
        <v>3.1207966515608421</v>
      </c>
      <c r="G136" s="103" t="s">
        <v>415</v>
      </c>
      <c r="H136" s="101">
        <v>97.805585083414968</v>
      </c>
      <c r="I136" s="93">
        <v>4</v>
      </c>
      <c r="J136" s="93">
        <v>2</v>
      </c>
      <c r="K136" s="108"/>
      <c r="L136" s="89">
        <v>4.461608951013317</v>
      </c>
      <c r="M136" s="90">
        <v>4.8372986457609866</v>
      </c>
      <c r="N136" s="90">
        <v>3.9380027286605586</v>
      </c>
      <c r="O136" s="90">
        <v>2.9769999999999999</v>
      </c>
      <c r="P136" s="90">
        <v>3.6019999999999999</v>
      </c>
      <c r="Q136" s="90">
        <v>4.5449999999999999</v>
      </c>
      <c r="R136" s="90">
        <v>3.5750000000000002</v>
      </c>
      <c r="S136" s="90">
        <v>1.331</v>
      </c>
      <c r="T136" s="90">
        <v>-3.9009999999999998</v>
      </c>
      <c r="U136" s="90">
        <v>8.8819999999999997</v>
      </c>
      <c r="V136" s="90">
        <v>3.6469999999999998</v>
      </c>
      <c r="W136" s="91">
        <f t="shared" si="1"/>
        <v>2.7506022042249945</v>
      </c>
    </row>
    <row r="137" spans="1:23" x14ac:dyDescent="0.35">
      <c r="A137" s="81" t="s">
        <v>227</v>
      </c>
      <c r="B137" s="81" t="s">
        <v>698</v>
      </c>
      <c r="C137" s="89">
        <v>0.39781205843958389</v>
      </c>
      <c r="D137" s="90">
        <v>0.97590941056187042</v>
      </c>
      <c r="E137" s="90">
        <v>1.8214852479931931</v>
      </c>
      <c r="G137" s="103" t="s">
        <v>571</v>
      </c>
      <c r="H137" s="101">
        <v>80.276897229698847</v>
      </c>
      <c r="I137" s="93">
        <v>47</v>
      </c>
      <c r="J137" s="93">
        <v>32</v>
      </c>
      <c r="K137" s="108"/>
      <c r="L137" s="89">
        <v>1.8958108123027844</v>
      </c>
      <c r="M137" s="90">
        <v>0.67084458223160615</v>
      </c>
      <c r="N137" s="90">
        <v>2.7524343314004627</v>
      </c>
      <c r="O137" s="90">
        <v>5.1669999999999998</v>
      </c>
      <c r="P137" s="90">
        <v>1.944</v>
      </c>
      <c r="Q137" s="90">
        <v>2.9380000000000002</v>
      </c>
      <c r="R137" s="90">
        <v>4.0309999999999997</v>
      </c>
      <c r="S137" s="90">
        <v>2.5190000000000001</v>
      </c>
      <c r="T137" s="90">
        <v>-3.375</v>
      </c>
      <c r="U137" s="90">
        <v>3.0139999999999998</v>
      </c>
      <c r="V137" s="90">
        <v>1.6679999999999999</v>
      </c>
      <c r="W137" s="91">
        <f t="shared" si="1"/>
        <v>1.3986973292775318</v>
      </c>
    </row>
    <row r="138" spans="1:23" x14ac:dyDescent="0.35">
      <c r="A138" s="81" t="s">
        <v>227</v>
      </c>
      <c r="B138" s="81" t="s">
        <v>699</v>
      </c>
      <c r="C138" s="89">
        <v>2.9453399614758569</v>
      </c>
      <c r="D138" s="90">
        <v>3.265722456681952</v>
      </c>
      <c r="E138" s="90">
        <v>2.8132202997918521</v>
      </c>
      <c r="G138" s="103" t="s">
        <v>415</v>
      </c>
      <c r="H138" s="101">
        <v>88.920325519387234</v>
      </c>
      <c r="I138" s="93">
        <v>30</v>
      </c>
      <c r="J138" s="93">
        <v>19</v>
      </c>
      <c r="K138" s="108"/>
      <c r="L138" s="89">
        <v>-2.6394387292630763</v>
      </c>
      <c r="M138" s="90">
        <v>-1.029283831306939</v>
      </c>
      <c r="N138" s="90">
        <v>2.7681580195902979</v>
      </c>
      <c r="O138" s="90">
        <v>2.21</v>
      </c>
      <c r="P138" s="90">
        <v>3.1920000000000002</v>
      </c>
      <c r="Q138" s="90">
        <v>4.8159999999999998</v>
      </c>
      <c r="R138" s="90">
        <v>4.4550000000000001</v>
      </c>
      <c r="S138" s="90">
        <v>3.4510000000000001</v>
      </c>
      <c r="T138" s="90">
        <v>-4.3209999999999997</v>
      </c>
      <c r="U138" s="90">
        <v>8.2110000000000003</v>
      </c>
      <c r="V138" s="90">
        <v>5.3739999999999997</v>
      </c>
      <c r="W138" s="91">
        <f t="shared" si="1"/>
        <v>3.0394713782369021</v>
      </c>
    </row>
    <row r="139" spans="1:23" x14ac:dyDescent="0.35">
      <c r="A139" s="81" t="s">
        <v>569</v>
      </c>
      <c r="B139" s="81" t="s">
        <v>700</v>
      </c>
      <c r="C139" s="89">
        <v>8.8409433265779214E-2</v>
      </c>
      <c r="D139" s="90">
        <v>2.1857023030043443</v>
      </c>
      <c r="E139" s="90">
        <v>1.8249844059199605</v>
      </c>
      <c r="G139" s="103" t="s">
        <v>398</v>
      </c>
      <c r="H139" s="101">
        <v>75.182844770260857</v>
      </c>
      <c r="I139" s="93">
        <v>68</v>
      </c>
      <c r="J139" s="93">
        <v>5</v>
      </c>
      <c r="K139" s="108"/>
      <c r="L139" s="89">
        <v>2.2133548084844037</v>
      </c>
      <c r="M139" s="90">
        <v>2.4852005003105813</v>
      </c>
      <c r="N139" s="90">
        <v>1.8469916036571876</v>
      </c>
      <c r="O139" s="90">
        <v>1.3220000000000001</v>
      </c>
      <c r="P139" s="90">
        <v>0.66500000000000004</v>
      </c>
      <c r="Q139" s="90">
        <v>1.1579999999999999</v>
      </c>
      <c r="R139" s="90">
        <v>1.522</v>
      </c>
      <c r="S139" s="90">
        <v>0.30299999999999999</v>
      </c>
      <c r="T139" s="90">
        <v>-6.3419999999999996</v>
      </c>
      <c r="U139" s="90">
        <v>4.9130000000000003</v>
      </c>
      <c r="V139" s="90">
        <v>2.0419999999999998</v>
      </c>
      <c r="W139" s="91">
        <f t="shared" ref="W139:W165" si="2">AVERAGE(D139,E139)</f>
        <v>2.0053433544621524</v>
      </c>
    </row>
    <row r="140" spans="1:23" x14ac:dyDescent="0.35">
      <c r="A140" s="81" t="s">
        <v>227</v>
      </c>
      <c r="B140" s="81" t="s">
        <v>701</v>
      </c>
      <c r="C140" s="89">
        <v>-0.43793400391870518</v>
      </c>
      <c r="D140" s="90">
        <v>0.55931383652465527</v>
      </c>
      <c r="E140" s="90">
        <v>1.23940470018431</v>
      </c>
      <c r="G140" s="103" t="s">
        <v>415</v>
      </c>
      <c r="H140" s="101">
        <v>90.367632171249966</v>
      </c>
      <c r="I140" s="93">
        <v>27</v>
      </c>
      <c r="J140" s="93">
        <v>17</v>
      </c>
      <c r="K140" s="108"/>
      <c r="L140" s="89">
        <v>-2.9594413017355699</v>
      </c>
      <c r="M140" s="90">
        <v>-1.4353942591932869</v>
      </c>
      <c r="N140" s="90">
        <v>1.3839079426702983</v>
      </c>
      <c r="O140" s="90">
        <v>3.8370000000000002</v>
      </c>
      <c r="P140" s="90">
        <v>3.0379999999999998</v>
      </c>
      <c r="Q140" s="90">
        <v>2.9769999999999999</v>
      </c>
      <c r="R140" s="90">
        <v>2.2829999999999999</v>
      </c>
      <c r="S140" s="90">
        <v>1.9830000000000001</v>
      </c>
      <c r="T140" s="90">
        <v>-11.324999999999999</v>
      </c>
      <c r="U140" s="90">
        <v>5.5220000000000002</v>
      </c>
      <c r="V140" s="90">
        <v>5.4749999999999996</v>
      </c>
      <c r="W140" s="91">
        <f t="shared" si="2"/>
        <v>0.89935926835448265</v>
      </c>
    </row>
    <row r="141" spans="1:23" x14ac:dyDescent="0.35">
      <c r="A141" s="81" t="s">
        <v>565</v>
      </c>
      <c r="B141" s="81" t="s">
        <v>702</v>
      </c>
      <c r="C141" s="89">
        <v>-3.0583991155611168</v>
      </c>
      <c r="D141" s="90">
        <v>7.8407546755454582E-2</v>
      </c>
      <c r="E141" s="90">
        <v>2.1593525209882225</v>
      </c>
      <c r="G141" s="103" t="s">
        <v>398</v>
      </c>
      <c r="H141" s="101">
        <v>73.00518117550061</v>
      </c>
      <c r="I141" s="93">
        <v>76</v>
      </c>
      <c r="J141" s="93">
        <v>13</v>
      </c>
      <c r="K141" s="108"/>
      <c r="L141" s="89">
        <v>9.1445722464256534</v>
      </c>
      <c r="M141" s="90">
        <v>3.3957326498342781</v>
      </c>
      <c r="N141" s="90">
        <v>4.960700591697301</v>
      </c>
      <c r="O141" s="90">
        <v>4.2060000000000004</v>
      </c>
      <c r="P141" s="90">
        <v>5.0540000000000003</v>
      </c>
      <c r="Q141" s="90">
        <v>6.4610000000000003</v>
      </c>
      <c r="R141" s="90">
        <v>2.31</v>
      </c>
      <c r="S141" s="90">
        <v>-0.22</v>
      </c>
      <c r="T141" s="90">
        <v>-3.472</v>
      </c>
      <c r="U141" s="90">
        <v>3.327</v>
      </c>
      <c r="V141" s="90">
        <v>-8.6590000000000007</v>
      </c>
      <c r="W141" s="91">
        <f t="shared" si="2"/>
        <v>1.1188800338718385</v>
      </c>
    </row>
    <row r="142" spans="1:23" x14ac:dyDescent="0.35">
      <c r="A142" s="81" t="s">
        <v>569</v>
      </c>
      <c r="B142" s="81" t="s">
        <v>703</v>
      </c>
      <c r="C142" s="89">
        <v>-2.6688383810210325</v>
      </c>
      <c r="D142" s="90">
        <v>-1.5401833642449736</v>
      </c>
      <c r="E142" s="90">
        <v>1.2842213840550842</v>
      </c>
      <c r="G142" s="103" t="s">
        <v>567</v>
      </c>
      <c r="H142" s="101">
        <v>29.302112762792021</v>
      </c>
      <c r="I142" s="93">
        <v>156</v>
      </c>
      <c r="J142" s="93">
        <v>47</v>
      </c>
      <c r="K142" s="108"/>
      <c r="L142" s="89">
        <v>-1.4398357186292348</v>
      </c>
      <c r="M142" s="90">
        <v>4.3946958327458523</v>
      </c>
      <c r="N142" s="90">
        <v>2.6794256681504725</v>
      </c>
      <c r="O142" s="90">
        <v>4.9059999999999997</v>
      </c>
      <c r="P142" s="90">
        <v>4.7</v>
      </c>
      <c r="Q142" s="90">
        <v>0.76800000000000002</v>
      </c>
      <c r="R142" s="90">
        <v>-2.29</v>
      </c>
      <c r="S142" s="90">
        <v>-2.5</v>
      </c>
      <c r="T142" s="90">
        <v>-3.63</v>
      </c>
      <c r="U142" s="90">
        <v>0.5</v>
      </c>
      <c r="V142" s="90">
        <v>-2.5</v>
      </c>
      <c r="W142" s="91">
        <f t="shared" si="2"/>
        <v>-0.12798099009494468</v>
      </c>
    </row>
    <row r="143" spans="1:23" x14ac:dyDescent="0.35">
      <c r="A143" s="81" t="s">
        <v>573</v>
      </c>
      <c r="B143" s="81" t="s">
        <v>704</v>
      </c>
      <c r="C143" s="89">
        <v>-6.0912921553037958</v>
      </c>
      <c r="D143" s="90">
        <v>-2.539464764773447</v>
      </c>
      <c r="E143" s="90">
        <v>-1.6533032843941364</v>
      </c>
      <c r="G143" s="103" t="s">
        <v>398</v>
      </c>
      <c r="H143" s="101">
        <v>69.385821977853183</v>
      </c>
      <c r="I143" s="93">
        <v>92</v>
      </c>
      <c r="J143" s="93">
        <v>12</v>
      </c>
      <c r="K143" s="108"/>
      <c r="L143" s="89">
        <v>2.6903497466884523</v>
      </c>
      <c r="M143" s="90">
        <v>2.9334416518612043</v>
      </c>
      <c r="N143" s="90">
        <v>0.25550303164546423</v>
      </c>
      <c r="O143" s="90">
        <v>-3.4140000000000001</v>
      </c>
      <c r="P143" s="90">
        <v>-4.9119999999999999</v>
      </c>
      <c r="Q143" s="90">
        <v>1.5660000000000001</v>
      </c>
      <c r="R143" s="90">
        <v>4.9480000000000004</v>
      </c>
      <c r="S143" s="90">
        <v>1.0980000000000001</v>
      </c>
      <c r="T143" s="90">
        <v>-15.906000000000001</v>
      </c>
      <c r="U143" s="90">
        <v>-2.742</v>
      </c>
      <c r="V143" s="90">
        <v>1.3280000000000001</v>
      </c>
      <c r="W143" s="91">
        <f t="shared" si="2"/>
        <v>-2.0963840245837915</v>
      </c>
    </row>
    <row r="144" spans="1:23" x14ac:dyDescent="0.35">
      <c r="A144" s="81" t="s">
        <v>227</v>
      </c>
      <c r="B144" s="81" t="s">
        <v>705</v>
      </c>
      <c r="C144" s="89">
        <v>1.8041121232050594</v>
      </c>
      <c r="D144" s="90">
        <v>1.5622302939160004</v>
      </c>
      <c r="E144" s="90">
        <v>2.0743232215396867</v>
      </c>
      <c r="G144" s="103" t="s">
        <v>415</v>
      </c>
      <c r="H144" s="101">
        <v>96.904206369440487</v>
      </c>
      <c r="I144" s="93">
        <v>7</v>
      </c>
      <c r="J144" s="93">
        <v>5</v>
      </c>
      <c r="K144" s="108"/>
      <c r="L144" s="89">
        <v>-0.58830456899072281</v>
      </c>
      <c r="M144" s="90">
        <v>1.1877757159060018</v>
      </c>
      <c r="N144" s="90">
        <v>2.6577982753164227</v>
      </c>
      <c r="O144" s="90">
        <v>4.4889999999999999</v>
      </c>
      <c r="P144" s="90">
        <v>2.0710000000000002</v>
      </c>
      <c r="Q144" s="90">
        <v>2.5680000000000001</v>
      </c>
      <c r="R144" s="90">
        <v>1.95</v>
      </c>
      <c r="S144" s="90">
        <v>1.986</v>
      </c>
      <c r="T144" s="90">
        <v>-2.17</v>
      </c>
      <c r="U144" s="90">
        <v>5.3860000000000001</v>
      </c>
      <c r="V144" s="90">
        <v>2.6419999999999999</v>
      </c>
      <c r="W144" s="91">
        <f t="shared" si="2"/>
        <v>1.8182767577278436</v>
      </c>
    </row>
    <row r="145" spans="1:23" x14ac:dyDescent="0.35">
      <c r="A145" s="81" t="s">
        <v>227</v>
      </c>
      <c r="B145" s="81" t="s">
        <v>706</v>
      </c>
      <c r="C145" s="89">
        <v>1.2890197152698013</v>
      </c>
      <c r="D145" s="90">
        <v>2.1594279609995271</v>
      </c>
      <c r="E145" s="90">
        <v>1.9949438623463989</v>
      </c>
      <c r="G145" s="103" t="s">
        <v>415</v>
      </c>
      <c r="H145" s="101">
        <v>98.385388118004073</v>
      </c>
      <c r="I145" s="93">
        <v>2</v>
      </c>
      <c r="J145" s="93">
        <v>1</v>
      </c>
      <c r="K145" s="108"/>
      <c r="L145" s="89">
        <v>1.0060240943135659</v>
      </c>
      <c r="M145" s="90">
        <v>1.852039766494749</v>
      </c>
      <c r="N145" s="90">
        <v>2.4492180871562819</v>
      </c>
      <c r="O145" s="90">
        <v>1.59</v>
      </c>
      <c r="P145" s="90">
        <v>2.073</v>
      </c>
      <c r="Q145" s="90">
        <v>1.427</v>
      </c>
      <c r="R145" s="90">
        <v>2.867</v>
      </c>
      <c r="S145" s="90">
        <v>1.161</v>
      </c>
      <c r="T145" s="90">
        <v>-2.5070000000000001</v>
      </c>
      <c r="U145" s="90">
        <v>4.2210000000000001</v>
      </c>
      <c r="V145" s="90">
        <v>2.1339999999999999</v>
      </c>
      <c r="W145" s="91">
        <f t="shared" si="2"/>
        <v>2.077185911672963</v>
      </c>
    </row>
    <row r="146" spans="1:23" x14ac:dyDescent="0.35">
      <c r="A146" s="81" t="s">
        <v>565</v>
      </c>
      <c r="B146" s="81" t="s">
        <v>707</v>
      </c>
      <c r="C146" s="89">
        <v>4.1942484708972883</v>
      </c>
      <c r="D146" s="90">
        <v>3.7202264352869774</v>
      </c>
      <c r="E146" s="90">
        <v>3.3189477234561782</v>
      </c>
      <c r="G146" s="103" t="s">
        <v>398</v>
      </c>
      <c r="H146" s="101">
        <v>74.109663332036064</v>
      </c>
      <c r="I146" s="93">
        <v>72</v>
      </c>
      <c r="J146" s="93">
        <v>11</v>
      </c>
      <c r="K146" s="108"/>
      <c r="L146" s="89">
        <v>2.2704029453876053</v>
      </c>
      <c r="M146" s="90">
        <v>2.5430680885972134</v>
      </c>
      <c r="N146" s="90">
        <v>4.9538203190596066</v>
      </c>
      <c r="O146" s="90">
        <v>1.466</v>
      </c>
      <c r="P146" s="90">
        <v>2.165</v>
      </c>
      <c r="Q146" s="90">
        <v>3.3109999999999999</v>
      </c>
      <c r="R146" s="90">
        <v>2.7869999999999999</v>
      </c>
      <c r="S146" s="90">
        <v>3.0640000000000001</v>
      </c>
      <c r="T146" s="90">
        <v>3.387</v>
      </c>
      <c r="U146" s="90">
        <v>6.5279999999999996</v>
      </c>
      <c r="V146" s="90">
        <v>2.452</v>
      </c>
      <c r="W146" s="91">
        <f t="shared" si="2"/>
        <v>3.5195870793715778</v>
      </c>
    </row>
    <row r="147" spans="1:23" x14ac:dyDescent="0.35">
      <c r="A147" s="81" t="s">
        <v>565</v>
      </c>
      <c r="B147" s="81" t="s">
        <v>708</v>
      </c>
      <c r="C147" s="89">
        <v>7.1805428191797027</v>
      </c>
      <c r="D147" s="90">
        <v>7.3081795758255463</v>
      </c>
      <c r="E147" s="90">
        <v>7.0632908095879854</v>
      </c>
      <c r="G147" s="103" t="s">
        <v>422</v>
      </c>
      <c r="H147" s="101">
        <v>65.502149613905985</v>
      </c>
      <c r="I147" s="93">
        <v>113</v>
      </c>
      <c r="J147" s="93">
        <v>23</v>
      </c>
      <c r="K147" s="108"/>
      <c r="L147" s="89">
        <v>7.4999994632152305</v>
      </c>
      <c r="M147" s="90">
        <v>7.3999997470037826</v>
      </c>
      <c r="N147" s="90">
        <v>6.7000006901625362</v>
      </c>
      <c r="O147" s="90">
        <v>6</v>
      </c>
      <c r="P147" s="90">
        <v>6.9</v>
      </c>
      <c r="Q147" s="90">
        <v>7.1</v>
      </c>
      <c r="R147" s="90">
        <v>7.6</v>
      </c>
      <c r="S147" s="90">
        <v>7.4</v>
      </c>
      <c r="T147" s="90">
        <v>4.3899999999999997</v>
      </c>
      <c r="U147" s="90">
        <v>9.4</v>
      </c>
      <c r="V147" s="90">
        <v>8</v>
      </c>
      <c r="W147" s="91">
        <f t="shared" si="2"/>
        <v>7.1857351927067654</v>
      </c>
    </row>
    <row r="148" spans="1:23" x14ac:dyDescent="0.35">
      <c r="A148" s="81" t="s">
        <v>569</v>
      </c>
      <c r="B148" s="81" t="s">
        <v>709</v>
      </c>
      <c r="C148" s="89">
        <v>3.6476767570704727</v>
      </c>
      <c r="D148" s="90">
        <v>4.4330707554891102</v>
      </c>
      <c r="E148" s="90">
        <v>5.5432278987954442</v>
      </c>
      <c r="G148" s="103" t="s">
        <v>422</v>
      </c>
      <c r="H148" s="101">
        <v>68.134404341049418</v>
      </c>
      <c r="I148" s="93">
        <v>101</v>
      </c>
      <c r="J148" s="93">
        <v>21</v>
      </c>
      <c r="K148" s="108"/>
      <c r="L148" s="89">
        <v>4.500153559821273</v>
      </c>
      <c r="M148" s="90">
        <v>6.7815856006531599</v>
      </c>
      <c r="N148" s="90">
        <v>6.732461868324811</v>
      </c>
      <c r="O148" s="90">
        <v>6.1609999999999996</v>
      </c>
      <c r="P148" s="90">
        <v>6.867</v>
      </c>
      <c r="Q148" s="90">
        <v>6.7729999999999997</v>
      </c>
      <c r="R148" s="90">
        <v>6.9589999999999996</v>
      </c>
      <c r="S148" s="90">
        <v>6.9889999999999999</v>
      </c>
      <c r="T148" s="90">
        <v>4.8159999999999998</v>
      </c>
      <c r="U148" s="90">
        <v>4.9470000000000001</v>
      </c>
      <c r="V148" s="90">
        <v>4.6879999999999997</v>
      </c>
      <c r="W148" s="91">
        <f t="shared" si="2"/>
        <v>4.9881493271422777</v>
      </c>
    </row>
    <row r="149" spans="1:23" x14ac:dyDescent="0.35">
      <c r="A149" s="81" t="s">
        <v>565</v>
      </c>
      <c r="B149" s="81" t="s">
        <v>710</v>
      </c>
      <c r="C149" s="89">
        <v>-0.75178730142027028</v>
      </c>
      <c r="D149" s="90">
        <v>0.80617945124625834</v>
      </c>
      <c r="E149" s="90">
        <v>1.8254251122560072</v>
      </c>
      <c r="G149" s="103" t="s">
        <v>422</v>
      </c>
      <c r="H149" s="101">
        <v>67.301316099527455</v>
      </c>
      <c r="I149" s="93">
        <v>104</v>
      </c>
      <c r="J149" s="93">
        <v>19</v>
      </c>
      <c r="K149" s="108"/>
      <c r="L149" s="89">
        <v>7.2427962024964359</v>
      </c>
      <c r="M149" s="90">
        <v>2.6874955632055553</v>
      </c>
      <c r="N149" s="90">
        <v>0.98442510993386245</v>
      </c>
      <c r="O149" s="90">
        <v>3.1339999999999999</v>
      </c>
      <c r="P149" s="90">
        <v>3.4350000000000001</v>
      </c>
      <c r="Q149" s="90">
        <v>4.1779999999999999</v>
      </c>
      <c r="R149" s="90">
        <v>4.2229999999999999</v>
      </c>
      <c r="S149" s="90">
        <v>2.1150000000000002</v>
      </c>
      <c r="T149" s="90">
        <v>-6.1609999999999996</v>
      </c>
      <c r="U149" s="90">
        <v>1.5629999999999999</v>
      </c>
      <c r="V149" s="90">
        <v>2.6440000000000001</v>
      </c>
      <c r="W149" s="91">
        <f t="shared" si="2"/>
        <v>1.3158022817511328</v>
      </c>
    </row>
    <row r="150" spans="1:23" x14ac:dyDescent="0.35">
      <c r="A150" s="81" t="s">
        <v>569</v>
      </c>
      <c r="B150" s="81" t="s">
        <v>711</v>
      </c>
      <c r="C150" s="89">
        <v>4.1237007551626403</v>
      </c>
      <c r="D150" s="90">
        <v>4.5599643087248731</v>
      </c>
      <c r="E150" s="90">
        <v>5.0461931715429786</v>
      </c>
      <c r="G150" s="103" t="s">
        <v>398</v>
      </c>
      <c r="H150" s="101">
        <v>71.06383353175876</v>
      </c>
      <c r="I150" s="93">
        <v>84</v>
      </c>
      <c r="J150" s="93">
        <v>12</v>
      </c>
      <c r="K150" s="108"/>
      <c r="L150" s="89">
        <v>6.543507029266066</v>
      </c>
      <c r="M150" s="90">
        <v>6.1123430766482372</v>
      </c>
      <c r="N150" s="90">
        <v>5.9205885732303445</v>
      </c>
      <c r="O150" s="90">
        <v>5.74</v>
      </c>
      <c r="P150" s="90">
        <v>5.6</v>
      </c>
      <c r="Q150" s="90">
        <v>4.3479999999999999</v>
      </c>
      <c r="R150" s="90">
        <v>4.9669999999999996</v>
      </c>
      <c r="S150" s="90">
        <v>5.4640000000000004</v>
      </c>
      <c r="T150" s="90">
        <v>1.758</v>
      </c>
      <c r="U150" s="90">
        <v>5.2590000000000003</v>
      </c>
      <c r="V150" s="90">
        <v>5.399</v>
      </c>
      <c r="W150" s="91">
        <f t="shared" si="2"/>
        <v>4.8030787401339259</v>
      </c>
    </row>
    <row r="151" spans="1:23" x14ac:dyDescent="0.35">
      <c r="A151" s="81" t="s">
        <v>573</v>
      </c>
      <c r="B151" s="81" t="s">
        <v>712</v>
      </c>
      <c r="C151" s="89">
        <v>-2.1662761553291388</v>
      </c>
      <c r="D151" s="90">
        <v>-0.32249691451342599</v>
      </c>
      <c r="E151" s="90">
        <v>-0.73360970360328848</v>
      </c>
      <c r="G151" s="103" t="s">
        <v>422</v>
      </c>
      <c r="H151" s="101">
        <v>65.576173252463747</v>
      </c>
      <c r="I151" s="93">
        <v>112</v>
      </c>
      <c r="J151" s="93">
        <v>14</v>
      </c>
      <c r="K151" s="108"/>
      <c r="L151" s="89">
        <v>1.2699643652024184</v>
      </c>
      <c r="M151" s="90">
        <v>2.2290748047658071</v>
      </c>
      <c r="N151" s="90">
        <v>-0.91254496880826241</v>
      </c>
      <c r="O151" s="90">
        <v>-0.75600000000000001</v>
      </c>
      <c r="P151" s="90">
        <v>-6.7640000000000002</v>
      </c>
      <c r="Q151" s="90">
        <v>-4.7069999999999999</v>
      </c>
      <c r="R151" s="90">
        <v>-0.871</v>
      </c>
      <c r="S151" s="90">
        <v>0.11</v>
      </c>
      <c r="T151" s="90">
        <v>-7.6779999999999999</v>
      </c>
      <c r="U151" s="90">
        <v>-1.0269999999999999</v>
      </c>
      <c r="V151" s="90">
        <v>2.4809999999999999</v>
      </c>
      <c r="W151" s="91">
        <f t="shared" si="2"/>
        <v>-0.52805330905835723</v>
      </c>
    </row>
    <row r="152" spans="1:23" x14ac:dyDescent="0.35">
      <c r="A152" s="81" t="s">
        <v>569</v>
      </c>
      <c r="B152" s="81" t="s">
        <v>713</v>
      </c>
      <c r="C152" s="89">
        <v>-0.76139414796470017</v>
      </c>
      <c r="D152" s="90">
        <v>1.515468696628397</v>
      </c>
      <c r="E152" s="90">
        <v>1.7677168413122724</v>
      </c>
      <c r="G152" s="103" t="s">
        <v>422</v>
      </c>
      <c r="H152" s="101">
        <v>68.074683718311135</v>
      </c>
      <c r="I152" s="93">
        <v>102</v>
      </c>
      <c r="J152" s="93">
        <v>22</v>
      </c>
      <c r="K152" s="108"/>
      <c r="L152" s="89">
        <v>3.9976740023093633</v>
      </c>
      <c r="M152" s="90">
        <v>2.8755238423073424</v>
      </c>
      <c r="N152" s="90">
        <v>2.9713983451090038</v>
      </c>
      <c r="O152" s="90">
        <v>0.96799999999999997</v>
      </c>
      <c r="P152" s="90">
        <v>1.117</v>
      </c>
      <c r="Q152" s="90">
        <v>2.238</v>
      </c>
      <c r="R152" s="90">
        <v>2.625</v>
      </c>
      <c r="S152" s="90">
        <v>1.5880000000000001</v>
      </c>
      <c r="T152" s="90">
        <v>-8.8179999999999996</v>
      </c>
      <c r="U152" s="90">
        <v>4.4050000000000002</v>
      </c>
      <c r="V152" s="90">
        <v>2.5219999999999998</v>
      </c>
      <c r="W152" s="91">
        <f t="shared" si="2"/>
        <v>1.6415927689703347</v>
      </c>
    </row>
    <row r="153" spans="1:23" x14ac:dyDescent="0.35">
      <c r="A153" s="81" t="s">
        <v>580</v>
      </c>
      <c r="B153" s="81" t="s">
        <v>714</v>
      </c>
      <c r="C153" s="89">
        <v>6.2162334826369348</v>
      </c>
      <c r="D153" s="90">
        <v>4.4468380199269797</v>
      </c>
      <c r="E153" s="90">
        <v>5.2521474880545149</v>
      </c>
      <c r="G153" s="103" t="s">
        <v>571</v>
      </c>
      <c r="H153" s="101">
        <v>79.725975588542326</v>
      </c>
      <c r="I153" s="93">
        <v>49</v>
      </c>
      <c r="J153" s="93">
        <v>4</v>
      </c>
      <c r="K153" s="108"/>
      <c r="L153" s="89">
        <v>4.7899402070344061</v>
      </c>
      <c r="M153" s="90">
        <v>8.4913093926863557</v>
      </c>
      <c r="N153" s="90">
        <v>5.1666907030455222</v>
      </c>
      <c r="O153" s="90">
        <v>6.0839999999999996</v>
      </c>
      <c r="P153" s="90">
        <v>3.323</v>
      </c>
      <c r="Q153" s="90">
        <v>7.5019999999999998</v>
      </c>
      <c r="R153" s="90">
        <v>2.98</v>
      </c>
      <c r="S153" s="90">
        <v>0.78400000000000003</v>
      </c>
      <c r="T153" s="90">
        <v>1.94</v>
      </c>
      <c r="U153" s="90">
        <v>11.353</v>
      </c>
      <c r="V153" s="90">
        <v>5.5659999999999998</v>
      </c>
      <c r="W153" s="91">
        <f t="shared" si="2"/>
        <v>4.8494927539907469</v>
      </c>
    </row>
    <row r="154" spans="1:23" x14ac:dyDescent="0.35">
      <c r="A154" s="81" t="s">
        <v>565</v>
      </c>
      <c r="B154" s="81" t="s">
        <v>715</v>
      </c>
      <c r="C154" s="89">
        <v>5.7825311290508274</v>
      </c>
      <c r="D154" s="90">
        <v>5.9692666570670072</v>
      </c>
      <c r="E154" s="90">
        <v>6.9419375690879193</v>
      </c>
      <c r="G154" s="103" t="s">
        <v>398</v>
      </c>
      <c r="H154" s="101">
        <v>73.971445285212496</v>
      </c>
      <c r="I154" s="93">
        <v>74</v>
      </c>
      <c r="J154" s="93">
        <v>12</v>
      </c>
      <c r="K154" s="108"/>
      <c r="L154" s="89">
        <v>11.099999961554488</v>
      </c>
      <c r="M154" s="90">
        <v>10.200000101398992</v>
      </c>
      <c r="N154" s="90">
        <v>10.299999970545908</v>
      </c>
      <c r="O154" s="90">
        <v>2.9860000000000002</v>
      </c>
      <c r="P154" s="90">
        <v>-0.97699999999999998</v>
      </c>
      <c r="Q154" s="90">
        <v>4.7069999999999999</v>
      </c>
      <c r="R154" s="90">
        <v>0.88200000000000001</v>
      </c>
      <c r="S154" s="90">
        <v>-3.3889999999999998</v>
      </c>
      <c r="T154" s="90">
        <v>-2.9369999999999998</v>
      </c>
      <c r="U154" s="90">
        <v>4.62</v>
      </c>
      <c r="V154" s="90">
        <v>1.7889999999999999</v>
      </c>
      <c r="W154" s="91">
        <f t="shared" si="2"/>
        <v>6.4556021130774628</v>
      </c>
    </row>
    <row r="155" spans="1:23" x14ac:dyDescent="0.35">
      <c r="A155" s="81" t="s">
        <v>569</v>
      </c>
      <c r="B155" s="81" t="s">
        <v>716</v>
      </c>
      <c r="C155" s="89">
        <v>3.8036415692147996</v>
      </c>
      <c r="D155" s="90">
        <v>4.8231874950755982</v>
      </c>
      <c r="E155" s="90">
        <v>4.6664450945707259</v>
      </c>
      <c r="G155" s="103" t="s">
        <v>398</v>
      </c>
      <c r="H155" s="101">
        <v>69.556086736265442</v>
      </c>
      <c r="I155" s="93">
        <v>91</v>
      </c>
      <c r="J155" s="93">
        <v>14</v>
      </c>
      <c r="K155" s="108"/>
      <c r="L155" s="89">
        <v>3.8374556059033003</v>
      </c>
      <c r="M155" s="90">
        <v>3.586905826320109</v>
      </c>
      <c r="N155" s="90">
        <v>5.1063073243118193</v>
      </c>
      <c r="O155" s="90">
        <v>8.0060000000000002</v>
      </c>
      <c r="P155" s="90">
        <v>0.159</v>
      </c>
      <c r="Q155" s="90">
        <v>6.83</v>
      </c>
      <c r="R155" s="90">
        <v>5.5019999999999998</v>
      </c>
      <c r="S155" s="90">
        <v>7.782</v>
      </c>
      <c r="T155" s="90">
        <v>-1.3009999999999999</v>
      </c>
      <c r="U155" s="90">
        <v>6.0039999999999996</v>
      </c>
      <c r="V155" s="90">
        <v>4.9329999999999998</v>
      </c>
      <c r="W155" s="91">
        <f t="shared" si="2"/>
        <v>4.7448162948231616</v>
      </c>
    </row>
    <row r="156" spans="1:23" x14ac:dyDescent="0.35">
      <c r="A156" s="81" t="s">
        <v>227</v>
      </c>
      <c r="B156" s="81" t="s">
        <v>717</v>
      </c>
      <c r="C156" s="89">
        <v>-11.461901799668306</v>
      </c>
      <c r="D156" s="90">
        <v>-5.8295559101049328</v>
      </c>
      <c r="E156" s="90">
        <v>-4.15839598326132</v>
      </c>
      <c r="G156" s="103" t="s">
        <v>398</v>
      </c>
      <c r="H156" s="101">
        <v>74.079326507080765</v>
      </c>
      <c r="I156" s="93">
        <v>73</v>
      </c>
      <c r="J156" s="93">
        <v>39</v>
      </c>
      <c r="K156" s="108"/>
      <c r="L156" s="89">
        <v>0.23868172076808841</v>
      </c>
      <c r="M156" s="90">
        <v>-2.66978900718703E-2</v>
      </c>
      <c r="N156" s="90">
        <v>-6.5526312936576572</v>
      </c>
      <c r="O156" s="90">
        <v>-9.7880000000000003</v>
      </c>
      <c r="P156" s="90">
        <v>2.4169999999999998</v>
      </c>
      <c r="Q156" s="90">
        <v>2.36</v>
      </c>
      <c r="R156" s="90">
        <v>3.488</v>
      </c>
      <c r="S156" s="90">
        <v>3.1989999999999998</v>
      </c>
      <c r="T156" s="90">
        <v>-3.7530000000000001</v>
      </c>
      <c r="U156" s="90">
        <v>3.3530000000000002</v>
      </c>
      <c r="V156" s="90">
        <v>-30.26</v>
      </c>
      <c r="W156" s="91">
        <f t="shared" si="2"/>
        <v>-4.9939759466831264</v>
      </c>
    </row>
    <row r="157" spans="1:23" x14ac:dyDescent="0.35">
      <c r="A157" s="81" t="s">
        <v>580</v>
      </c>
      <c r="B157" s="81" t="s">
        <v>718</v>
      </c>
      <c r="C157" s="89">
        <v>1.9883983839421138</v>
      </c>
      <c r="D157" s="90">
        <v>1.9344501122165347</v>
      </c>
      <c r="E157" s="90">
        <v>2.9471413005852209</v>
      </c>
      <c r="G157" s="103" t="s">
        <v>415</v>
      </c>
      <c r="H157" s="101">
        <v>91.971735408895199</v>
      </c>
      <c r="I157" s="93">
        <v>22</v>
      </c>
      <c r="J157" s="93">
        <v>1</v>
      </c>
      <c r="K157" s="108"/>
      <c r="L157" s="89">
        <v>4.4846260849086921</v>
      </c>
      <c r="M157" s="90">
        <v>5.0533458252665762</v>
      </c>
      <c r="N157" s="90">
        <v>4.2843036857947956</v>
      </c>
      <c r="O157" s="90">
        <v>6.7869999999999999</v>
      </c>
      <c r="P157" s="90">
        <v>5.5609999999999999</v>
      </c>
      <c r="Q157" s="90">
        <v>0.73499999999999999</v>
      </c>
      <c r="R157" s="90">
        <v>1.3140000000000001</v>
      </c>
      <c r="S157" s="90">
        <v>1.1080000000000001</v>
      </c>
      <c r="T157" s="90">
        <v>-4.9569999999999999</v>
      </c>
      <c r="U157" s="90">
        <v>3.9159999999999999</v>
      </c>
      <c r="V157" s="90">
        <v>7.4109999999999996</v>
      </c>
      <c r="W157" s="91">
        <f t="shared" si="2"/>
        <v>2.4407957064008778</v>
      </c>
    </row>
    <row r="158" spans="1:23" x14ac:dyDescent="0.35">
      <c r="A158" s="81" t="s">
        <v>227</v>
      </c>
      <c r="B158" s="81" t="s">
        <v>719</v>
      </c>
      <c r="C158" s="89">
        <v>-0.15570963242206304</v>
      </c>
      <c r="D158" s="90">
        <v>0.73784192060712961</v>
      </c>
      <c r="E158" s="90">
        <v>1.4574433295258649</v>
      </c>
      <c r="G158" s="103" t="s">
        <v>415</v>
      </c>
      <c r="H158" s="101">
        <v>95.869504572225566</v>
      </c>
      <c r="I158" s="93">
        <v>16</v>
      </c>
      <c r="J158" s="93">
        <v>11</v>
      </c>
      <c r="K158" s="108"/>
      <c r="L158" s="89">
        <v>1.4789239471568232</v>
      </c>
      <c r="M158" s="90">
        <v>2.1394857010831609</v>
      </c>
      <c r="N158" s="90">
        <v>2.6074759063105102</v>
      </c>
      <c r="O158" s="90">
        <v>2.3929999999999998</v>
      </c>
      <c r="P158" s="90">
        <v>2.165</v>
      </c>
      <c r="Q158" s="90">
        <v>2.444</v>
      </c>
      <c r="R158" s="90">
        <v>1.7050000000000001</v>
      </c>
      <c r="S158" s="90">
        <v>1.6040000000000001</v>
      </c>
      <c r="T158" s="90">
        <v>-11.031000000000001</v>
      </c>
      <c r="U158" s="90">
        <v>7.5970000000000004</v>
      </c>
      <c r="V158" s="90">
        <v>4.0449999999999999</v>
      </c>
      <c r="W158" s="91">
        <f t="shared" si="2"/>
        <v>1.0976426250664972</v>
      </c>
    </row>
    <row r="159" spans="1:23" x14ac:dyDescent="0.35">
      <c r="A159" s="81" t="s">
        <v>573</v>
      </c>
      <c r="B159" s="81" t="s">
        <v>720</v>
      </c>
      <c r="C159" s="89">
        <v>1.6858959431595322</v>
      </c>
      <c r="D159" s="90">
        <v>2.0522235488571683</v>
      </c>
      <c r="E159" s="90">
        <v>2.1214909700318696</v>
      </c>
      <c r="G159" s="103" t="s">
        <v>415</v>
      </c>
      <c r="H159" s="101">
        <v>95.916666666666671</v>
      </c>
      <c r="I159" s="93">
        <v>14</v>
      </c>
      <c r="J159" s="93">
        <v>1</v>
      </c>
      <c r="K159" s="108"/>
      <c r="L159" s="89">
        <v>2.249545852369943</v>
      </c>
      <c r="M159" s="90">
        <v>1.8420810710110016</v>
      </c>
      <c r="N159" s="90">
        <v>2.4519730353603584</v>
      </c>
      <c r="O159" s="90">
        <v>2.7069999999999999</v>
      </c>
      <c r="P159" s="90">
        <v>1.6679999999999999</v>
      </c>
      <c r="Q159" s="90">
        <v>2.242</v>
      </c>
      <c r="R159" s="90">
        <v>2.9449999999999998</v>
      </c>
      <c r="S159" s="90">
        <v>2.2949999999999999</v>
      </c>
      <c r="T159" s="90">
        <v>-2.7679999999999998</v>
      </c>
      <c r="U159" s="90">
        <v>5.9470000000000001</v>
      </c>
      <c r="V159" s="90">
        <v>2.0680000000000001</v>
      </c>
      <c r="W159" s="91">
        <f t="shared" si="2"/>
        <v>2.0868572594445189</v>
      </c>
    </row>
    <row r="160" spans="1:23" x14ac:dyDescent="0.35">
      <c r="A160" s="81" t="s">
        <v>573</v>
      </c>
      <c r="B160" s="81" t="s">
        <v>721</v>
      </c>
      <c r="C160" s="89">
        <v>0.91343850289404838</v>
      </c>
      <c r="D160" s="90">
        <v>2.2569945604846264</v>
      </c>
      <c r="E160" s="90">
        <v>2.3762166744240032</v>
      </c>
      <c r="G160" s="103" t="s">
        <v>571</v>
      </c>
      <c r="H160" s="101">
        <v>81.172173305315454</v>
      </c>
      <c r="I160" s="93">
        <v>43</v>
      </c>
      <c r="J160" s="93">
        <v>5</v>
      </c>
      <c r="K160" s="108"/>
      <c r="L160" s="89">
        <v>3.5381787068568795</v>
      </c>
      <c r="M160" s="90">
        <v>4.6375386431141186</v>
      </c>
      <c r="N160" s="90">
        <v>3.2387912162160193</v>
      </c>
      <c r="O160" s="90">
        <v>0.371</v>
      </c>
      <c r="P160" s="90">
        <v>1.69</v>
      </c>
      <c r="Q160" s="90">
        <v>1.6279999999999999</v>
      </c>
      <c r="R160" s="90">
        <v>0.47799999999999998</v>
      </c>
      <c r="S160" s="90">
        <v>0.35</v>
      </c>
      <c r="T160" s="90">
        <v>-6.1150000000000002</v>
      </c>
      <c r="U160" s="90">
        <v>4.4020000000000001</v>
      </c>
      <c r="V160" s="90">
        <v>4.8860000000000001</v>
      </c>
      <c r="W160" s="91">
        <f t="shared" si="2"/>
        <v>2.3166056174543148</v>
      </c>
    </row>
    <row r="161" spans="1:23" x14ac:dyDescent="0.35">
      <c r="A161" s="81" t="s">
        <v>565</v>
      </c>
      <c r="B161" s="81" t="s">
        <v>722</v>
      </c>
      <c r="C161" s="89">
        <v>4.966226080132774</v>
      </c>
      <c r="D161" s="90">
        <v>5.1922367720162121</v>
      </c>
      <c r="E161" s="90">
        <v>5.7634254597189516</v>
      </c>
      <c r="G161" s="103" t="s">
        <v>422</v>
      </c>
      <c r="H161" s="101">
        <v>68.759088115548678</v>
      </c>
      <c r="I161" s="93">
        <v>99</v>
      </c>
      <c r="J161" s="93">
        <v>18</v>
      </c>
      <c r="K161" s="108"/>
      <c r="L161" s="89">
        <v>7.1024448870695505</v>
      </c>
      <c r="M161" s="90">
        <v>7.2965503696402285</v>
      </c>
      <c r="N161" s="90">
        <v>6.8738384408295845</v>
      </c>
      <c r="O161" s="90">
        <v>7.2190000000000003</v>
      </c>
      <c r="P161" s="90">
        <v>5.9320000000000004</v>
      </c>
      <c r="Q161" s="90">
        <v>4.3949999999999996</v>
      </c>
      <c r="R161" s="90">
        <v>5.88</v>
      </c>
      <c r="S161" s="90">
        <v>5.9820000000000002</v>
      </c>
      <c r="T161" s="90">
        <v>1.996</v>
      </c>
      <c r="U161" s="90">
        <v>7.4029999999999996</v>
      </c>
      <c r="V161" s="90">
        <v>5.6689999999999996</v>
      </c>
      <c r="W161" s="91">
        <f t="shared" si="2"/>
        <v>5.4778311158675823</v>
      </c>
    </row>
    <row r="162" spans="1:23" x14ac:dyDescent="0.35">
      <c r="A162" s="81" t="s">
        <v>565</v>
      </c>
      <c r="B162" s="81" t="s">
        <v>723</v>
      </c>
      <c r="C162" s="89">
        <v>6.367284609117374</v>
      </c>
      <c r="D162" s="90">
        <v>8.0753375154714711</v>
      </c>
      <c r="E162" s="90">
        <v>8.6445538917790046</v>
      </c>
      <c r="G162" s="103" t="s">
        <v>422</v>
      </c>
      <c r="H162" s="101">
        <v>62.623537935388953</v>
      </c>
      <c r="I162" s="93">
        <v>120</v>
      </c>
      <c r="J162" s="93">
        <v>24</v>
      </c>
      <c r="K162" s="108"/>
      <c r="L162" s="89">
        <v>12.410056463111571</v>
      </c>
      <c r="M162" s="90">
        <v>7.2891294784445284</v>
      </c>
      <c r="N162" s="90">
        <v>9.6841913021478785</v>
      </c>
      <c r="O162" s="90">
        <v>6.9870000000000001</v>
      </c>
      <c r="P162" s="90">
        <v>6.69</v>
      </c>
      <c r="Q162" s="90">
        <v>6.94</v>
      </c>
      <c r="R162" s="90">
        <v>7.4649999999999999</v>
      </c>
      <c r="S162" s="90">
        <v>7.359</v>
      </c>
      <c r="T162" s="90">
        <v>2.867</v>
      </c>
      <c r="U162" s="90">
        <v>2.5619999999999998</v>
      </c>
      <c r="V162" s="90">
        <v>8.0180000000000007</v>
      </c>
      <c r="W162" s="91">
        <f t="shared" si="2"/>
        <v>8.3599457036252378</v>
      </c>
    </row>
    <row r="163" spans="1:23" x14ac:dyDescent="0.35">
      <c r="A163" s="81" t="s">
        <v>580</v>
      </c>
      <c r="B163" s="81" t="s">
        <v>724</v>
      </c>
      <c r="C163" s="89">
        <v>-1.1017371120758623</v>
      </c>
      <c r="D163" s="90">
        <v>-1.4008554823266794</v>
      </c>
      <c r="E163" s="90">
        <v>0.43888765074564517</v>
      </c>
      <c r="G163" s="103" t="s">
        <v>567</v>
      </c>
      <c r="H163" s="101">
        <v>44.737558430285063</v>
      </c>
      <c r="I163" s="93">
        <v>145</v>
      </c>
      <c r="J163" s="93">
        <v>11</v>
      </c>
      <c r="K163" s="108"/>
      <c r="L163" s="89">
        <v>16.665428768467855</v>
      </c>
      <c r="M163" s="90">
        <v>1.9894927620720551</v>
      </c>
      <c r="N163" s="90">
        <v>2.3769293269800476</v>
      </c>
      <c r="O163" s="90">
        <v>-27.995000000000001</v>
      </c>
      <c r="P163" s="90">
        <v>-9.375</v>
      </c>
      <c r="Q163" s="90">
        <v>-5.0720000000000001</v>
      </c>
      <c r="R163" s="90">
        <v>0.752</v>
      </c>
      <c r="S163" s="90">
        <v>1.4</v>
      </c>
      <c r="T163" s="90">
        <v>-8.5</v>
      </c>
      <c r="U163" s="90">
        <v>-1</v>
      </c>
      <c r="V163" s="90">
        <v>1.5</v>
      </c>
      <c r="W163" s="91">
        <f t="shared" si="2"/>
        <v>-0.48098391579051714</v>
      </c>
    </row>
    <row r="164" spans="1:23" x14ac:dyDescent="0.35">
      <c r="A164" s="81" t="s">
        <v>569</v>
      </c>
      <c r="B164" s="81" t="s">
        <v>725</v>
      </c>
      <c r="C164" s="89">
        <v>1.6991659105087376</v>
      </c>
      <c r="D164" s="90">
        <v>2.110140268966143</v>
      </c>
      <c r="E164" s="90">
        <v>3.0449788505192199</v>
      </c>
      <c r="G164" s="103" t="s">
        <v>422</v>
      </c>
      <c r="H164" s="101">
        <v>61.004320674622747</v>
      </c>
      <c r="I164" s="93">
        <v>124</v>
      </c>
      <c r="J164" s="93">
        <v>29</v>
      </c>
      <c r="K164" s="108"/>
      <c r="L164" s="89">
        <v>7.5975932105319126</v>
      </c>
      <c r="M164" s="90">
        <v>5.0572317397973361</v>
      </c>
      <c r="N164" s="90">
        <v>4.6979923625298614</v>
      </c>
      <c r="O164" s="90">
        <v>2.92</v>
      </c>
      <c r="P164" s="90">
        <v>3.7770000000000001</v>
      </c>
      <c r="Q164" s="90">
        <v>3.504</v>
      </c>
      <c r="R164" s="90">
        <v>4.0350000000000001</v>
      </c>
      <c r="S164" s="90">
        <v>1.4410000000000001</v>
      </c>
      <c r="T164" s="90">
        <v>-2.7850000000000001</v>
      </c>
      <c r="U164" s="90">
        <v>4.5990000000000002</v>
      </c>
      <c r="V164" s="90">
        <v>3.4409999999999998</v>
      </c>
      <c r="W164" s="91">
        <f t="shared" si="2"/>
        <v>2.5775595597426815</v>
      </c>
    </row>
    <row r="165" spans="1:23" x14ac:dyDescent="0.35">
      <c r="A165" s="81" t="s">
        <v>569</v>
      </c>
      <c r="B165" s="81" t="s">
        <v>726</v>
      </c>
      <c r="C165" s="89">
        <v>3.5464749905308901</v>
      </c>
      <c r="D165" s="90">
        <v>2.7818952866475843</v>
      </c>
      <c r="E165" s="90">
        <v>2.7261309103552733</v>
      </c>
      <c r="G165" s="103" t="s">
        <v>567</v>
      </c>
      <c r="H165" s="101">
        <v>55.033873809516088</v>
      </c>
      <c r="I165" s="93">
        <v>133</v>
      </c>
      <c r="J165" s="93">
        <v>33</v>
      </c>
      <c r="K165" s="108"/>
      <c r="L165" s="89">
        <v>17.615397198362849</v>
      </c>
      <c r="M165" s="90">
        <v>10.75800212279124</v>
      </c>
      <c r="N165" s="90">
        <v>3.9762602630956336</v>
      </c>
      <c r="O165" s="90">
        <v>1.794</v>
      </c>
      <c r="P165" s="90">
        <v>0.47799999999999998</v>
      </c>
      <c r="Q165" s="90">
        <v>4.9829999999999997</v>
      </c>
      <c r="R165" s="90">
        <v>4.7320000000000002</v>
      </c>
      <c r="S165" s="90">
        <v>-6.1219999999999999</v>
      </c>
      <c r="T165" s="90">
        <v>-7.8250000000000002</v>
      </c>
      <c r="U165" s="90">
        <v>8.4619999999999997</v>
      </c>
      <c r="V165" s="90">
        <v>3.0289999999999999</v>
      </c>
      <c r="W165" s="91">
        <f t="shared" si="2"/>
        <v>2.7540130985014288</v>
      </c>
    </row>
  </sheetData>
  <mergeCells count="3">
    <mergeCell ref="A7:B7"/>
    <mergeCell ref="C8:E8"/>
    <mergeCell ref="L8:V8"/>
  </mergeCells>
  <hyperlinks>
    <hyperlink ref="A1" location="Index!A1" display="Back to Index" xr:uid="{6BF330F3-F97C-4A39-AF03-9E1962E955F9}"/>
    <hyperlink ref="A4" r:id="rId1" display="http://dev.worldeconomics.com/Concepts/World-Economics-GDP-Database/" xr:uid="{1D915E97-4A17-4892-9891-00FEF28F4FBE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E4B67-96D9-42FF-8857-62AB5F187211}">
  <dimension ref="A1:U28"/>
  <sheetViews>
    <sheetView zoomScale="86" zoomScaleNormal="190" workbookViewId="0">
      <selection activeCell="B13" sqref="B13"/>
    </sheetView>
  </sheetViews>
  <sheetFormatPr defaultRowHeight="14.5" x14ac:dyDescent="0.35"/>
  <cols>
    <col min="2" max="2" width="14.453125" customWidth="1"/>
    <col min="3" max="3" width="29.453125" customWidth="1"/>
    <col min="4" max="4" width="12.54296875" customWidth="1"/>
    <col min="5" max="6" width="21.453125" customWidth="1"/>
    <col min="7" max="7" width="27.81640625" bestFit="1" customWidth="1"/>
    <col min="8" max="8" width="27.81640625" customWidth="1"/>
    <col min="9" max="9" width="21" customWidth="1"/>
    <col min="10" max="10" width="33.453125" customWidth="1"/>
    <col min="11" max="11" width="16" customWidth="1"/>
    <col min="12" max="12" width="17.453125" customWidth="1"/>
    <col min="13" max="13" width="13.1796875" customWidth="1"/>
    <col min="14" max="14" width="13.54296875" customWidth="1"/>
    <col min="15" max="15" width="19.54296875" bestFit="1" customWidth="1"/>
    <col min="16" max="16" width="19.54296875" customWidth="1"/>
    <col min="17" max="17" width="15" customWidth="1"/>
    <col min="18" max="18" width="7.1796875" customWidth="1"/>
    <col min="19" max="19" width="10" customWidth="1"/>
    <col min="20" max="20" width="5.54296875" customWidth="1"/>
    <col min="21" max="21" width="13.1796875" customWidth="1"/>
  </cols>
  <sheetData>
    <row r="1" spans="1:21" x14ac:dyDescent="0.35">
      <c r="L1" s="5">
        <f>Assumption!F56</f>
        <v>0.2</v>
      </c>
      <c r="M1" s="5">
        <f>Assumption!G56</f>
        <v>0.4</v>
      </c>
      <c r="N1" s="5">
        <f>Assumption!H56</f>
        <v>0.4</v>
      </c>
      <c r="O1" s="5">
        <f>Assumption!E56</f>
        <v>0.5</v>
      </c>
      <c r="P1" s="5">
        <f>Assumption!E57</f>
        <v>0.3</v>
      </c>
      <c r="Q1" s="5">
        <f>Assumption!E58</f>
        <v>0.2</v>
      </c>
      <c r="U1" t="s">
        <v>508</v>
      </c>
    </row>
    <row r="2" spans="1:21" x14ac:dyDescent="0.35">
      <c r="B2" s="39" t="s">
        <v>383</v>
      </c>
      <c r="C2" s="39" t="s">
        <v>384</v>
      </c>
      <c r="D2" s="39" t="s">
        <v>61</v>
      </c>
      <c r="E2" s="39" t="s">
        <v>385</v>
      </c>
      <c r="F2" s="39" t="s">
        <v>387</v>
      </c>
      <c r="G2" s="39" t="s">
        <v>386</v>
      </c>
      <c r="H2" s="39" t="s">
        <v>477</v>
      </c>
      <c r="I2" s="39" t="s">
        <v>409</v>
      </c>
      <c r="J2" s="39" t="s">
        <v>471</v>
      </c>
      <c r="L2" s="46" t="s">
        <v>474</v>
      </c>
      <c r="M2" s="39" t="s">
        <v>475</v>
      </c>
      <c r="N2" s="39" t="s">
        <v>476</v>
      </c>
      <c r="O2" t="s">
        <v>488</v>
      </c>
      <c r="P2" t="s">
        <v>489</v>
      </c>
      <c r="Q2" t="s">
        <v>491</v>
      </c>
    </row>
    <row r="3" spans="1:21" x14ac:dyDescent="0.35">
      <c r="A3" t="s">
        <v>431</v>
      </c>
      <c r="B3" t="s">
        <v>469</v>
      </c>
      <c r="C3" t="str" cm="1">
        <f t="array" ref="C3">_xll.FDSB(B3,"FG_COMPANY_NAME")</f>
        <v>New Zealand Dollar per U.S. Dollar</v>
      </c>
      <c r="D3" cm="1">
        <f t="array" ref="D3">_xll.FDSB(B3,"FG_PRICE(0)")</f>
        <v>1.5984654</v>
      </c>
      <c r="E3" cm="1">
        <f t="array" ref="E3">_xll.FDSB(B3,"FG_PRICE_CHANGE(0,-1AY)")</f>
        <v>-5.1230789999999997</v>
      </c>
      <c r="F3" cm="1">
        <f t="array" ref="F3">_xll.FDSB(B3,"FG_PRICE_CHANGE(0,-1AM)")</f>
        <v>-6.2260270000000002</v>
      </c>
      <c r="G3" cm="1">
        <f t="array" ref="G3">_xll.FDSB(B3,"FG_PRICE_CHANGE(0,-3AM)")</f>
        <v>-2.1499394999999999</v>
      </c>
      <c r="H3" cm="1">
        <f t="array" ref="H3">_xll.FDSB(B3,"FG_PRICE_CHANGE(0,-6AM)")</f>
        <v>-2.6134908000000001</v>
      </c>
      <c r="I3" cm="1">
        <f t="array" ref="I3">_xll.FDS(B3,"STD(FG_PRICE_CHANGE(0,-1AY,AM))")</f>
        <v>3.4139449380420901</v>
      </c>
      <c r="J3" cm="1">
        <f t="array" ref="J3">_xll.FDS(B3,"STD(FG_PRICE_CHANGE(0,-3AY,M))")*SQRT(12)</f>
        <v>12.054964411496529</v>
      </c>
      <c r="L3">
        <f>(1-(_xlfn.PERCENTRANK.EXC($F$3:$F$15,F3)))*100</f>
        <v>92.9</v>
      </c>
      <c r="M3">
        <f>(1-(_xlfn.PERCENTRANK.EXC($G$3:$G$15,G3)))*100</f>
        <v>35.799999999999997</v>
      </c>
      <c r="N3">
        <f>(1-(_xlfn.PERCENTRANK.EXC($H$3:$H$15,H3)))*100</f>
        <v>57.2</v>
      </c>
      <c r="O3">
        <f>SUMPRODUCT($L$1:$N$1,L3:N3)</f>
        <v>55.780000000000008</v>
      </c>
      <c r="P3">
        <f>100- (_xlfn.PERCENTRANK.EXC($J$3:$J$15,J3)*100)</f>
        <v>7.1999999999999886</v>
      </c>
      <c r="Q3">
        <f>VLOOKUP(A3,CAD!$A$3:$J$15, 10, FALSE)</f>
        <v>7.1</v>
      </c>
      <c r="S3">
        <f t="shared" ref="S3:S11" si="0">SUMPRODUCT($O$1:$Q$1,O3:Q3)</f>
        <v>31.47</v>
      </c>
      <c r="U3" cm="1">
        <f t="array" ref="U3">_xlfn.PERCENTRANK.EXC(_xlfn._xlws.FILTER(S$3:S$15, ISNUMBER(S$3:S$15)),S3)*100</f>
        <v>7.1</v>
      </c>
    </row>
    <row r="4" spans="1:21" x14ac:dyDescent="0.35">
      <c r="A4" t="s">
        <v>44</v>
      </c>
      <c r="B4" t="s">
        <v>466</v>
      </c>
      <c r="C4" t="str" cm="1">
        <f t="array" ref="C4">_xll.FDSB(B4,"FG_COMPANY_NAME")</f>
        <v>Australian Dollar per U.S. Dollar</v>
      </c>
      <c r="D4" cm="1">
        <f t="array" ref="D4">_xll.FDSB(B4,"FG_PRICE(0)")</f>
        <v>1.4723203</v>
      </c>
      <c r="E4" cm="1">
        <f t="array" ref="E4">_xll.FDSB(B4,"FG_PRICE_CHANGE(0,-1AY)")</f>
        <v>-5.1604929999999998</v>
      </c>
      <c r="F4" cm="1">
        <f t="array" ref="F4">_xll.FDSB(B4,"FG_PRICE_CHANGE(0,-1AM)")</f>
        <v>-3.7912309999999998</v>
      </c>
      <c r="G4" cm="1">
        <f t="array" ref="G4">_xll.FDSB(B4,"FG_PRICE_CHANGE(0,-3AM)")</f>
        <v>-2.5250316000000002</v>
      </c>
      <c r="H4" cm="1">
        <f t="array" ref="H4">_xll.FDSB(B4,"FG_PRICE_CHANGE(0,-6AM)")</f>
        <v>-4.1298630000000003</v>
      </c>
      <c r="I4" cm="1">
        <f t="array" ref="I4">_xll.FDS(B4,"STD(FG_PRICE_CHANGE(0,-1AY,AM))")</f>
        <v>2.5086419511781402</v>
      </c>
      <c r="J4" cm="1">
        <f t="array" ref="J4">_xll.FDS(B4,"STD(FG_PRICE_CHANGE(0,-3AY,M))")*SQRT(12)</f>
        <v>10.612816984926036</v>
      </c>
      <c r="L4">
        <f t="shared" ref="L4:L15" si="1">(1-(_xlfn.PERCENTRANK.EXC($F$3:$F$15,F4)))*100</f>
        <v>57.2</v>
      </c>
      <c r="M4">
        <f t="shared" ref="M4:M15" si="2">(1-(_xlfn.PERCENTRANK.EXC($G$3:$G$15,G4)))*100</f>
        <v>57.2</v>
      </c>
      <c r="N4">
        <f t="shared" ref="N4:N15" si="3">(1-(_xlfn.PERCENTRANK.EXC($H$3:$H$15,H4)))*100</f>
        <v>92.9</v>
      </c>
      <c r="O4">
        <f t="shared" ref="O4:O11" si="4">SUMPRODUCT($L$1:$N$1,L4:N4)</f>
        <v>71.480000000000018</v>
      </c>
      <c r="P4">
        <f t="shared" ref="P4:P15" si="5">100- (_xlfn.PERCENTRANK.EXC($J$3:$J$15,J4)*100)</f>
        <v>21.5</v>
      </c>
      <c r="Q4">
        <f>VLOOKUP(A4,CAD!$A$3:$J$15, 10, FALSE)</f>
        <v>50</v>
      </c>
      <c r="S4">
        <f t="shared" si="0"/>
        <v>52.190000000000012</v>
      </c>
      <c r="U4" cm="1">
        <f t="array" ref="U4">_xlfn.PERCENTRANK.EXC(_xlfn._xlws.FILTER(S$3:S$15, ISNUMBER(S$3:S$15)),S4)*100</f>
        <v>50</v>
      </c>
    </row>
    <row r="5" spans="1:21" x14ac:dyDescent="0.35">
      <c r="A5" t="s">
        <v>49</v>
      </c>
      <c r="B5" t="s">
        <v>467</v>
      </c>
      <c r="C5" t="str" cm="1">
        <f t="array" ref="C5">_xll.FDSB(B5,"FG_COMPANY_NAME")</f>
        <v>Canadian Dollar per U.S. Dollar</v>
      </c>
      <c r="D5" cm="1">
        <f t="array" ref="D5">_xll.FDSB(B5,"FG_PRICE(0)")</f>
        <v>1.34755</v>
      </c>
      <c r="E5" cm="1">
        <f t="array" ref="E5">_xll.FDSB(B5,"FG_PRICE_CHANGE(0,-1AY)")</f>
        <v>-0.9190798</v>
      </c>
      <c r="F5" cm="1">
        <f t="array" ref="F5">_xll.FDSB(B5,"FG_PRICE_CHANGE(0,-1AM)")</f>
        <v>-2.7285515999999999</v>
      </c>
      <c r="G5" cm="1">
        <f t="array" ref="G5">_xll.FDSB(B5,"FG_PRICE_CHANGE(0,-3AM)")</f>
        <v>-1.7068445999999999</v>
      </c>
      <c r="H5" cm="1">
        <f t="array" ref="H5">_xll.FDSB(B5,"FG_PRICE_CHANGE(0,-6AM)")</f>
        <v>-0.6487906</v>
      </c>
      <c r="I5" cm="1">
        <f t="array" ref="I5">_xll.FDS(B5,"STD(FG_PRICE_CHANGE(0,-1AY,AM))")</f>
        <v>1.85058298883479</v>
      </c>
      <c r="J5" cm="1">
        <f t="array" ref="J5">_xll.FDS(B5,"STD(FG_PRICE_CHANGE(0,-3AY,M))")*SQRT(12)</f>
        <v>6.1828245035966845</v>
      </c>
      <c r="L5">
        <f t="shared" si="1"/>
        <v>50</v>
      </c>
      <c r="M5">
        <f t="shared" si="2"/>
        <v>28.6</v>
      </c>
      <c r="N5">
        <f t="shared" si="3"/>
        <v>28.6</v>
      </c>
      <c r="O5">
        <f t="shared" si="4"/>
        <v>32.880000000000003</v>
      </c>
      <c r="P5">
        <f t="shared" si="5"/>
        <v>71.5</v>
      </c>
      <c r="Q5">
        <f>VLOOKUP(A5,CAD!$A$3:$J$15, 10, FALSE)</f>
        <v>35.699999999999996</v>
      </c>
      <c r="S5">
        <f t="shared" si="0"/>
        <v>45.03</v>
      </c>
      <c r="U5" cm="1">
        <f t="array" ref="U5">_xlfn.PERCENTRANK.EXC(_xlfn._xlws.FILTER(S$3:S$15, ISNUMBER(S$3:S$15)),S5)*100</f>
        <v>28.499999999999996</v>
      </c>
    </row>
    <row r="6" spans="1:21" x14ac:dyDescent="0.35">
      <c r="A6" t="s">
        <v>11</v>
      </c>
      <c r="B6" t="s">
        <v>464</v>
      </c>
      <c r="C6" t="str" cm="1">
        <f t="array" ref="C6">_xll.FDSB(B6,"FG_COMPANY_NAME")</f>
        <v>Euro per U.S. Dollar</v>
      </c>
      <c r="D6" cm="1">
        <f t="array" ref="D6">_xll.FDSB(B6,"FG_PRICE(0)")</f>
        <v>0.90330160000000004</v>
      </c>
      <c r="E6" cm="1">
        <f t="array" ref="E6">_xll.FDSB(B6,"FG_PRICE_CHANGE(0,-1AY)")</f>
        <v>-2.1814703999999998</v>
      </c>
      <c r="F6" cm="1">
        <f t="array" ref="F6">_xll.FDSB(B6,"FG_PRICE_CHANGE(0,-1AM)")</f>
        <v>-2.2988974999999998</v>
      </c>
      <c r="G6" cm="1">
        <f t="array" ref="G6">_xll.FDSB(B6,"FG_PRICE_CHANGE(0,-3AM)")</f>
        <v>-2.3169637000000001</v>
      </c>
      <c r="H6" cm="1">
        <f t="array" ref="H6">_xll.FDSB(B6,"FG_PRICE_CHANGE(0,-6AM)")</f>
        <v>-2.2492230000000002</v>
      </c>
      <c r="I6" cm="1">
        <f t="array" ref="I6">_xll.FDS(B6,"STD(FG_PRICE_CHANGE(0,-1AY,AM))")</f>
        <v>1.7344849213731801</v>
      </c>
      <c r="J6" cm="1">
        <f t="array" ref="J6">_xll.FDS(B6,"STD(FG_PRICE_CHANGE(0,-3AY,M))")*SQRT(12)</f>
        <v>7.4263797589644263</v>
      </c>
      <c r="L6">
        <f t="shared" si="1"/>
        <v>35.799999999999997</v>
      </c>
      <c r="M6">
        <f t="shared" si="2"/>
        <v>50</v>
      </c>
      <c r="N6">
        <f t="shared" si="3"/>
        <v>50</v>
      </c>
      <c r="O6">
        <f t="shared" si="4"/>
        <v>47.16</v>
      </c>
      <c r="P6">
        <f t="shared" si="5"/>
        <v>64.300000000000011</v>
      </c>
      <c r="Q6">
        <f>VLOOKUP(A6,CAD!$A$3:$J$15, 10, FALSE)</f>
        <v>78.5</v>
      </c>
      <c r="S6">
        <f t="shared" si="0"/>
        <v>58.570000000000007</v>
      </c>
      <c r="U6" cm="1">
        <f t="array" ref="U6">_xlfn.PERCENTRANK.EXC(_xlfn._xlws.FILTER(S$3:S$15, ISNUMBER(S$3:S$15)),S6)*100</f>
        <v>78.5</v>
      </c>
    </row>
    <row r="7" spans="1:21" x14ac:dyDescent="0.35">
      <c r="A7" t="s">
        <v>46</v>
      </c>
      <c r="B7" t="s">
        <v>465</v>
      </c>
      <c r="C7" t="str" cm="1">
        <f t="array" ref="C7">_xll.FDSB(B7,"FG_COMPANY_NAME")</f>
        <v>Japanese Yen per U.S. Dollar</v>
      </c>
      <c r="D7" cm="1">
        <f t="array" ref="D7">_xll.FDSB(B7,"FG_PRICE(0)")</f>
        <v>145.38499999999999</v>
      </c>
      <c r="E7" cm="1">
        <f t="array" ref="E7">_xll.FDSB(B7,"FG_PRICE_CHANGE(0,-1AY)")</f>
        <v>-0.63902139999999996</v>
      </c>
      <c r="F7" cm="1">
        <f t="array" ref="F7">_xll.FDSB(B7,"FG_PRICE_CHANGE(0,-1AM)")</f>
        <v>-5.6278585999999997</v>
      </c>
      <c r="G7" cm="1">
        <f t="array" ref="G7">_xll.FDSB(B7,"FG_PRICE_CHANGE(0,-3AM)")</f>
        <v>-7.692069</v>
      </c>
      <c r="H7" cm="1">
        <f t="array" ref="H7">_xll.FDSB(B7,"FG_PRICE_CHANGE(0,-6AM)")</f>
        <v>-2.8629660000000001</v>
      </c>
      <c r="I7" cm="1">
        <f t="array" ref="I7">_xll.FDS(B7,"STD(FG_PRICE_CHANGE(0,-1AY,AM))")</f>
        <v>3.3489683965627202</v>
      </c>
      <c r="J7" cm="1">
        <f t="array" ref="J7">_xll.FDS(B7,"STD(FG_PRICE_CHANGE(0,-3AY,M))")*SQRT(12)</f>
        <v>11.369899696650135</v>
      </c>
      <c r="L7">
        <f t="shared" si="1"/>
        <v>85.8</v>
      </c>
      <c r="M7">
        <f t="shared" si="2"/>
        <v>92.9</v>
      </c>
      <c r="N7">
        <f t="shared" si="3"/>
        <v>64.3</v>
      </c>
      <c r="O7">
        <f t="shared" si="4"/>
        <v>80.040000000000006</v>
      </c>
      <c r="P7">
        <f t="shared" si="5"/>
        <v>14.299999999999997</v>
      </c>
      <c r="Q7">
        <f>VLOOKUP(A7,CAD!$A$3:$J$15, 10, FALSE)</f>
        <v>64.2</v>
      </c>
      <c r="S7">
        <f t="shared" si="0"/>
        <v>57.150000000000006</v>
      </c>
      <c r="U7" cm="1">
        <f t="array" ref="U7">_xlfn.PERCENTRANK.EXC(_xlfn._xlws.FILTER(S$3:S$15, ISNUMBER(S$3:S$15)),S7)*100</f>
        <v>71.399999999999991</v>
      </c>
    </row>
    <row r="8" spans="1:21" x14ac:dyDescent="0.35">
      <c r="A8" t="s">
        <v>42</v>
      </c>
      <c r="B8" t="s">
        <v>470</v>
      </c>
      <c r="C8" t="str" cm="1">
        <f t="array" ref="C8">_xll.FDSB(B8,"FG_COMPANY_NAME")</f>
        <v>Swiss Franc per U.S. Dollar</v>
      </c>
      <c r="D8" cm="1">
        <f t="array" ref="D8">_xll.FDSB(B8,"FG_PRICE(0)")</f>
        <v>0.84855000000000003</v>
      </c>
      <c r="E8" cm="1">
        <f t="array" ref="E8">_xll.FDSB(B8,"FG_PRICE_CHANGE(0,-1AY)")</f>
        <v>-3.7434042000000001</v>
      </c>
      <c r="F8" cm="1">
        <f t="array" ref="F8">_xll.FDSB(B8,"FG_PRICE_CHANGE(0,-1AM)")</f>
        <v>-4.2700768</v>
      </c>
      <c r="G8" cm="1">
        <f t="array" ref="G8">_xll.FDSB(B8,"FG_PRICE_CHANGE(0,-3AM)")</f>
        <v>-7.0744094999999998</v>
      </c>
      <c r="H8" cm="1">
        <f t="array" ref="H8">_xll.FDSB(B8,"FG_PRICE_CHANGE(0,-6AM)")</f>
        <v>-3.6340952</v>
      </c>
      <c r="I8" cm="1">
        <f t="array" ref="I8">_xll.FDS(B8,"STD(FG_PRICE_CHANGE(0,-1AY,AM))")</f>
        <v>2.61541946465195</v>
      </c>
      <c r="J8" cm="1">
        <f t="array" ref="J8">_xll.FDS(B8,"STD(FG_PRICE_CHANGE(0,-3AY,M))")*SQRT(12)</f>
        <v>8.3740438995508715</v>
      </c>
      <c r="L8">
        <f t="shared" si="1"/>
        <v>71.500000000000014</v>
      </c>
      <c r="M8">
        <f t="shared" si="2"/>
        <v>85.8</v>
      </c>
      <c r="N8">
        <f t="shared" si="3"/>
        <v>78.600000000000009</v>
      </c>
      <c r="O8">
        <f t="shared" si="4"/>
        <v>80.06</v>
      </c>
      <c r="P8">
        <f t="shared" si="5"/>
        <v>42.900000000000006</v>
      </c>
      <c r="Q8">
        <f>VLOOKUP(A8,CAD!$A$3:$J$15, 10, FALSE)</f>
        <v>85.7</v>
      </c>
      <c r="S8">
        <f t="shared" si="0"/>
        <v>70.040000000000006</v>
      </c>
      <c r="U8" cm="1">
        <f t="array" ref="U8">_xlfn.PERCENTRANK.EXC(_xlfn._xlws.FILTER(S$3:S$15, ISNUMBER(S$3:S$15)),S8)*100</f>
        <v>92.800000000000011</v>
      </c>
    </row>
    <row r="9" spans="1:21" x14ac:dyDescent="0.35">
      <c r="A9" t="s">
        <v>48</v>
      </c>
      <c r="B9" t="s">
        <v>468</v>
      </c>
      <c r="C9" t="str" cm="1">
        <f t="array" ref="C9">_xll.FDSB(B9,"FG_COMPANY_NAME")</f>
        <v>British Pounds per U.S. Dollar</v>
      </c>
      <c r="D9" cm="1">
        <f t="array" ref="D9">_xll.FDSB(B9,"FG_PRICE(0)")</f>
        <v>0.7600806</v>
      </c>
      <c r="E9" cm="1">
        <f t="array" ref="E9">_xll.FDSB(B9,"FG_PRICE_CHANGE(0,-1AY)")</f>
        <v>-4.3096540000000001</v>
      </c>
      <c r="F9" cm="1">
        <f t="array" ref="F9">_xll.FDSB(B9,"FG_PRICE_CHANGE(0,-1AM)")</f>
        <v>-2.356249</v>
      </c>
      <c r="G9" cm="1">
        <f t="array" ref="G9">_xll.FDSB(B9,"FG_PRICE_CHANGE(0,-3AM)")</f>
        <v>-3.3595562000000001</v>
      </c>
      <c r="H9" cm="1">
        <f t="array" ref="H9">_xll.FDSB(B9,"FG_PRICE_CHANGE(0,-6AM)")</f>
        <v>-3.8536131</v>
      </c>
      <c r="I9" cm="1">
        <f t="array" ref="I9">_xll.FDS(B9,"STD(FG_PRICE_CHANGE(0,-1AY,AM))")</f>
        <v>1.9297584015103499</v>
      </c>
      <c r="J9" cm="1">
        <f t="array" ref="J9">_xll.FDS(B9,"STD(FG_PRICE_CHANGE(0,-3AY,M))")*SQRT(12)</f>
        <v>8.155130445493457</v>
      </c>
      <c r="L9">
        <f t="shared" si="1"/>
        <v>42.900000000000006</v>
      </c>
      <c r="M9">
        <f t="shared" si="2"/>
        <v>64.3</v>
      </c>
      <c r="N9">
        <f t="shared" si="3"/>
        <v>85.8</v>
      </c>
      <c r="O9">
        <f>SUMPRODUCT($L$1:$N$1,L9:N9)</f>
        <v>68.62</v>
      </c>
      <c r="P9">
        <f t="shared" si="5"/>
        <v>50</v>
      </c>
      <c r="Q9">
        <f>VLOOKUP(A9,CAD!$A$3:$J$15, 10, FALSE)</f>
        <v>28.499999999999996</v>
      </c>
      <c r="S9">
        <f t="shared" si="0"/>
        <v>55.010000000000005</v>
      </c>
      <c r="U9" cm="1">
        <f t="array" ref="U9">_xlfn.PERCENTRANK.EXC(_xlfn._xlws.FILTER(S$3:S$15, ISNUMBER(S$3:S$15)),S9)*100</f>
        <v>64.2</v>
      </c>
    </row>
    <row r="10" spans="1:21" x14ac:dyDescent="0.35">
      <c r="A10" t="s">
        <v>51</v>
      </c>
      <c r="B10" t="s">
        <v>554</v>
      </c>
      <c r="C10" t="str" cm="1">
        <f t="array" ref="C10">_xll.FDSB(B10,"FG_COMPANY_NAME")</f>
        <v>U.S. Dollar per U.S. Dollar</v>
      </c>
      <c r="D10" cm="1">
        <f t="array" ref="D10">_xll.FDSB(B10,"FG_PRICE(0)")</f>
        <v>1</v>
      </c>
      <c r="E10" cm="1">
        <f t="array" ref="E10">_xll.FDSB(B10,"FG_PRICE_CHANGE(0,-1AY)")</f>
        <v>0</v>
      </c>
      <c r="F10" cm="1">
        <f t="array" ref="F10">_xll.FDSB(B10,"FG_PRICE_CHANGE(0,-1AM)")</f>
        <v>0</v>
      </c>
      <c r="G10" cm="1">
        <f t="array" ref="G10">_xll.FDSB(B10,"FG_PRICE_CHANGE(0,-3AM)")</f>
        <v>0</v>
      </c>
      <c r="H10" cm="1">
        <f t="array" ref="H10">_xll.FDSB(B10,"FG_PRICE_CHANGE(0,-6AM)")</f>
        <v>0</v>
      </c>
      <c r="I10" cm="1">
        <f t="array" ref="I10">_xll.FDS(B10,"STD(FG_PRICE_CHANGE(0,-1AY,AM))")</f>
        <v>0</v>
      </c>
      <c r="J10" cm="1">
        <f t="array" ref="J10">_xll.FDS(B10,"STD(FG_PRICE_CHANGE(0,-3AY,M))")*SQRT(12)</f>
        <v>0</v>
      </c>
      <c r="L10">
        <f t="shared" si="1"/>
        <v>21.499999999999996</v>
      </c>
      <c r="M10">
        <f t="shared" si="2"/>
        <v>21.499999999999996</v>
      </c>
      <c r="N10">
        <f t="shared" si="3"/>
        <v>21.499999999999996</v>
      </c>
      <c r="O10">
        <f t="shared" si="4"/>
        <v>21.5</v>
      </c>
      <c r="P10">
        <f t="shared" si="5"/>
        <v>92.9</v>
      </c>
      <c r="Q10">
        <f>VLOOKUP(A10,CAD!$A$3:$J$15, 10, FALSE)</f>
        <v>14.2</v>
      </c>
      <c r="S10">
        <f t="shared" si="0"/>
        <v>41.460000000000008</v>
      </c>
      <c r="U10" cm="1">
        <f t="array" ref="U10">_xlfn.PERCENTRANK.EXC(_xlfn._xlws.FILTER(S$3:S$15, ISNUMBER(S$3:S$15)),S10)*100</f>
        <v>14.2</v>
      </c>
    </row>
    <row r="11" spans="1:21" x14ac:dyDescent="0.35">
      <c r="A11" t="s">
        <v>1</v>
      </c>
      <c r="B11" t="s">
        <v>554</v>
      </c>
      <c r="C11" t="str" cm="1">
        <f t="array" ref="C11">_xll.FDSB(B11,"FG_COMPANY_NAME")</f>
        <v>U.S. Dollar per U.S. Dollar</v>
      </c>
      <c r="D11" cm="1">
        <f t="array" ref="D11">_xll.FDSB(B11,"FG_PRICE(0)")</f>
        <v>1</v>
      </c>
      <c r="E11" cm="1">
        <f t="array" ref="E11">_xll.FDSB(B11,"FG_PRICE_CHANGE(0,-1AY)")</f>
        <v>0</v>
      </c>
      <c r="F11" cm="1">
        <f t="array" ref="F11">_xll.FDSB(B11,"FG_PRICE_CHANGE(0,-1AM)")</f>
        <v>0</v>
      </c>
      <c r="G11" cm="1">
        <f t="array" ref="G11">_xll.FDSB(B11,"FG_PRICE_CHANGE(0,-3AM)")</f>
        <v>0</v>
      </c>
      <c r="H11" cm="1">
        <f t="array" ref="H11">_xll.FDSB(B11,"FG_PRICE_CHANGE(0,-6AM)")</f>
        <v>0</v>
      </c>
      <c r="I11" cm="1">
        <f t="array" ref="I11">_xll.FDS(B11,"STD(FG_PRICE_CHANGE(0,-1AY,AM))")</f>
        <v>0</v>
      </c>
      <c r="J11" cm="1">
        <f t="array" ref="J11">_xll.FDS(B11,"STD(FG_PRICE_CHANGE(0,-3AY,M))")*SQRT(12)</f>
        <v>0</v>
      </c>
      <c r="L11">
        <f t="shared" si="1"/>
        <v>21.499999999999996</v>
      </c>
      <c r="M11">
        <f t="shared" si="2"/>
        <v>21.499999999999996</v>
      </c>
      <c r="N11">
        <f t="shared" si="3"/>
        <v>21.499999999999996</v>
      </c>
      <c r="O11">
        <f t="shared" si="4"/>
        <v>21.5</v>
      </c>
      <c r="P11">
        <f t="shared" si="5"/>
        <v>92.9</v>
      </c>
      <c r="Q11">
        <f>VLOOKUP(A11,CAD!$A$3:$J$15, 10, FALSE)</f>
        <v>14.2</v>
      </c>
      <c r="S11">
        <f t="shared" si="0"/>
        <v>41.460000000000008</v>
      </c>
      <c r="U11" cm="1">
        <f t="array" ref="U11">_xlfn.PERCENTRANK.EXC(_xlfn._xlws.FILTER(S$3:S$15, ISNUMBER(S$3:S$15)),S11)*100</f>
        <v>14.2</v>
      </c>
    </row>
    <row r="12" spans="1:21" x14ac:dyDescent="0.35">
      <c r="A12" t="s">
        <v>865</v>
      </c>
      <c r="B12" t="s">
        <v>470</v>
      </c>
      <c r="C12" t="str" cm="1">
        <f t="array" ref="C12">_xll.FDSB(B12,"FG_COMPANY_NAME")</f>
        <v>Swiss Franc per U.S. Dollar</v>
      </c>
      <c r="D12" cm="1">
        <f t="array" ref="D12">_xll.FDSB(B12,"FG_PRICE(0)")</f>
        <v>0.84855000000000003</v>
      </c>
      <c r="E12" cm="1">
        <f t="array" ref="E12">_xll.FDSB(B12,"FG_PRICE_CHANGE(0,-1AY)")</f>
        <v>-3.7434042000000001</v>
      </c>
      <c r="F12" cm="1">
        <f t="array" ref="F12">_xll.FDSB(B12,"FG_PRICE_CHANGE(0,-1AM)")</f>
        <v>-4.2700768</v>
      </c>
      <c r="G12" cm="1">
        <f t="array" ref="G12">_xll.FDSB(B12,"FG_PRICE_CHANGE(0,-3AM)")</f>
        <v>-7.0744094999999998</v>
      </c>
      <c r="H12" cm="1">
        <f t="array" ref="H12">_xll.FDSB(B12,"FG_PRICE_CHANGE(0,-6AM)")</f>
        <v>-3.6340952</v>
      </c>
      <c r="I12" cm="1">
        <f t="array" ref="I12">_xll.FDS(B12,"STD(FG_PRICE_CHANGE(0,-1AY,AM))")</f>
        <v>2.61541946465195</v>
      </c>
      <c r="J12" cm="1">
        <f t="array" ref="J12">_xll.FDS(B12,"STD(FG_PRICE_CHANGE(0,-3AY,M))")*SQRT(12)</f>
        <v>8.3740438995508715</v>
      </c>
      <c r="L12">
        <f t="shared" si="1"/>
        <v>71.500000000000014</v>
      </c>
      <c r="M12">
        <f t="shared" si="2"/>
        <v>85.8</v>
      </c>
      <c r="N12">
        <f t="shared" si="3"/>
        <v>78.600000000000009</v>
      </c>
      <c r="O12">
        <f t="shared" ref="O12:O15" si="6">SUMPRODUCT($L$1:$N$1,L12:N12)</f>
        <v>80.06</v>
      </c>
      <c r="P12">
        <f t="shared" si="5"/>
        <v>42.900000000000006</v>
      </c>
      <c r="Q12">
        <f>VLOOKUP(A12,CAD!$A$3:$J$15, 10, FALSE)</f>
        <v>42.8</v>
      </c>
      <c r="S12">
        <f t="shared" ref="S12:S15" si="7">SUMPRODUCT($O$1:$Q$1,O12:Q12)</f>
        <v>61.460000000000008</v>
      </c>
      <c r="U12" cm="1">
        <f t="array" ref="U12">_xlfn.PERCENTRANK.EXC(_xlfn._xlws.FILTER(S$3:S$15, ISNUMBER(S$3:S$15)),S12)*100</f>
        <v>85.7</v>
      </c>
    </row>
    <row r="13" spans="1:21" s="183" customFormat="1" x14ac:dyDescent="0.35">
      <c r="A13" s="183" t="s">
        <v>867</v>
      </c>
      <c r="B13" s="183" t="s">
        <v>880</v>
      </c>
      <c r="C13" s="183" t="str" cm="1">
        <f t="array" ref="C13">_xll.FDSB(B13,"FG_COMPANY_NAME")</f>
        <v>Netherlands Antilles Guilder per U.S. Dollar</v>
      </c>
      <c r="D13" s="183" cm="1">
        <f t="array" ref="D13">_xll.FDSB(B13,"FG_PRICE(0)")</f>
        <v>1.79</v>
      </c>
      <c r="E13" s="183" cm="1">
        <f t="array" ref="E13">_xll.FDSB(B13,"FG_PRICE_CHANGE(0,-1AY)")</f>
        <v>0</v>
      </c>
      <c r="F13" s="183" cm="1">
        <f t="array" ref="F13">_xll.FDSB(B13,"FG_PRICE_CHANGE(0,-1AM)")</f>
        <v>0</v>
      </c>
      <c r="G13" s="183" cm="1">
        <f t="array" ref="G13">_xll.FDSB(B13,"FG_PRICE_CHANGE(0,-3AM)")</f>
        <v>0</v>
      </c>
      <c r="H13" s="183" cm="1">
        <f t="array" ref="H13">_xll.FDSB(B13,"FG_PRICE_CHANGE(0,-6AM)")</f>
        <v>0</v>
      </c>
      <c r="I13" s="183" cm="1">
        <f t="array" ref="I13">_xll.FDS(B13,"STD(FG_PRICE_CHANGE(0,-1AY,AM))")</f>
        <v>0.101547390548198</v>
      </c>
      <c r="J13" s="183" cm="1">
        <f t="array" ref="J13">_xll.FDS(B13,"STD(FG_PRICE_CHANGE(0,-3AY,M))")*SQRT(12)</f>
        <v>0.2059757180491337</v>
      </c>
      <c r="L13" s="183">
        <f t="shared" si="1"/>
        <v>21.499999999999996</v>
      </c>
      <c r="M13" s="183">
        <f t="shared" si="2"/>
        <v>21.499999999999996</v>
      </c>
      <c r="N13" s="183">
        <f t="shared" si="3"/>
        <v>21.499999999999996</v>
      </c>
      <c r="O13" s="183">
        <f t="shared" si="6"/>
        <v>21.5</v>
      </c>
      <c r="P13" s="183">
        <f t="shared" si="5"/>
        <v>78.599999999999994</v>
      </c>
      <c r="Q13" s="183">
        <f>VLOOKUP(A13,CAD!$A$3:$J$15, 10, FALSE)</f>
        <v>92.800000000000011</v>
      </c>
      <c r="S13" s="183">
        <f t="shared" si="7"/>
        <v>52.89</v>
      </c>
      <c r="U13" s="183" cm="1">
        <f t="array" ref="U13">_xlfn.PERCENTRANK.EXC(_xlfn._xlws.FILTER(S$3:S$15, ISNUMBER(S$3:S$15)),S13)*100</f>
        <v>57.099999999999994</v>
      </c>
    </row>
    <row r="14" spans="1:21" x14ac:dyDescent="0.35">
      <c r="A14" t="s">
        <v>864</v>
      </c>
      <c r="B14" t="s">
        <v>881</v>
      </c>
      <c r="C14" t="str" cm="1">
        <f t="array" ref="C14">_xll.FDSB(B14,"FG_COMPANY_NAME")</f>
        <v>Swedish Krona per U.S. Dollar</v>
      </c>
      <c r="D14" cm="1">
        <f t="array" ref="D14">_xll.FDSB(B14,"FG_PRICE(0)")</f>
        <v>10.247299999999999</v>
      </c>
      <c r="E14" cm="1">
        <f t="array" ref="E14">_xll.FDSB(B14,"FG_PRICE_CHANGE(0,-1AY)")</f>
        <v>-6.5138220000000002</v>
      </c>
      <c r="F14" cm="1">
        <f t="array" ref="F14">_xll.FDSB(B14,"FG_PRICE_CHANGE(0,-1AM)")</f>
        <v>-5.3782405999999998</v>
      </c>
      <c r="G14" cm="1">
        <f t="array" ref="G14">_xll.FDSB(B14,"FG_PRICE_CHANGE(0,-3AM)")</f>
        <v>-3.7943183999999999</v>
      </c>
      <c r="H14" cm="1">
        <f t="array" ref="H14">_xll.FDSB(B14,"FG_PRICE_CHANGE(0,-6AM)")</f>
        <v>-0.96787213999999999</v>
      </c>
      <c r="I14" cm="1">
        <f t="array" ref="I14">_xll.FDS(B14,"STD(FG_PRICE_CHANGE(0,-1AY,AM))")</f>
        <v>3.5940361881572498</v>
      </c>
      <c r="J14" cm="1">
        <f t="array" ref="J14">_xll.FDS(B14,"STD(FG_PRICE_CHANGE(0,-3AY,M))")*SQRT(12)</f>
        <v>10.287717165288415</v>
      </c>
      <c r="L14">
        <f t="shared" si="1"/>
        <v>78.600000000000009</v>
      </c>
      <c r="M14">
        <f t="shared" si="2"/>
        <v>71.500000000000014</v>
      </c>
      <c r="N14">
        <f t="shared" si="3"/>
        <v>35.799999999999997</v>
      </c>
      <c r="O14">
        <f t="shared" si="6"/>
        <v>58.640000000000008</v>
      </c>
      <c r="P14">
        <f t="shared" si="5"/>
        <v>28.600000000000009</v>
      </c>
      <c r="Q14">
        <f>VLOOKUP(A14,CAD!$A$3:$J$15, 10, FALSE)</f>
        <v>71.399999999999991</v>
      </c>
      <c r="S14">
        <f t="shared" si="7"/>
        <v>52.180000000000007</v>
      </c>
      <c r="U14" cm="1">
        <f t="array" ref="U14">_xlfn.PERCENTRANK.EXC(_xlfn._xlws.FILTER(S$3:S$15, ISNUMBER(S$3:S$15)),S14)*100</f>
        <v>42.8</v>
      </c>
    </row>
    <row r="15" spans="1:21" x14ac:dyDescent="0.35">
      <c r="A15" t="s">
        <v>866</v>
      </c>
      <c r="B15" t="s">
        <v>882</v>
      </c>
      <c r="C15" t="str" cm="1">
        <f t="array" ref="C15">_xll.FDSB(B15,"FG_COMPANY_NAME")</f>
        <v>Italian Lira per U.S. Dollar</v>
      </c>
      <c r="D15" cm="1">
        <f t="array" ref="D15">_xll.FDSB(B15,"FG_PRICE(0)")</f>
        <v>1749.0358000000001</v>
      </c>
      <c r="E15" cm="1">
        <f t="array" ref="E15">_xll.FDSB(B15,"FG_PRICE_CHANGE(0,-1AY)")</f>
        <v>-2.1814703999999998</v>
      </c>
      <c r="F15" cm="1">
        <f t="array" ref="F15">_xll.FDSB(B15,"FG_PRICE_CHANGE(0,-1AM)")</f>
        <v>-2.2988974999999998</v>
      </c>
      <c r="G15" cm="1">
        <f t="array" ref="G15">_xll.FDSB(B15,"FG_PRICE_CHANGE(0,-3AM)")</f>
        <v>-2.3169637000000001</v>
      </c>
      <c r="H15" cm="1">
        <f t="array" ref="H15">_xll.FDSB(B15,"FG_PRICE_CHANGE(0,-6AM)")</f>
        <v>-2.2492230000000002</v>
      </c>
      <c r="I15" cm="1">
        <f t="array" ref="I15">_xll.FDS(B15,"STD(FG_PRICE_CHANGE(0,-1AY,AM))")</f>
        <v>1.73448349262239</v>
      </c>
      <c r="J15" cm="1">
        <f t="array" ref="J15">_xll.FDS(B15,"STD(FG_PRICE_CHANGE(0,-3AY,M))")*SQRT(12)</f>
        <v>7.4263798056094554</v>
      </c>
      <c r="L15">
        <f t="shared" si="1"/>
        <v>35.799999999999997</v>
      </c>
      <c r="M15">
        <f t="shared" si="2"/>
        <v>50</v>
      </c>
      <c r="N15">
        <f t="shared" si="3"/>
        <v>50</v>
      </c>
      <c r="O15">
        <f t="shared" si="6"/>
        <v>47.16</v>
      </c>
      <c r="P15">
        <f t="shared" si="5"/>
        <v>57.2</v>
      </c>
      <c r="Q15">
        <f>VLOOKUP(A15,CAD!$A$3:$J$15, 10, FALSE)</f>
        <v>57.099999999999994</v>
      </c>
      <c r="S15">
        <f t="shared" si="7"/>
        <v>52.16</v>
      </c>
      <c r="U15" cm="1">
        <f t="array" ref="U15">_xlfn.PERCENTRANK.EXC(_xlfn._xlws.FILTER(S$3:S$15, ISNUMBER(S$3:S$15)),S15)*100</f>
        <v>35.699999999999996</v>
      </c>
    </row>
    <row r="24" spans="10:10" x14ac:dyDescent="0.35">
      <c r="J24" s="53"/>
    </row>
    <row r="26" spans="10:10" x14ac:dyDescent="0.35">
      <c r="J26" s="67"/>
    </row>
    <row r="28" spans="10:10" x14ac:dyDescent="0.35">
      <c r="J28" s="6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6C35-3D88-4986-8CFC-9E5D44B3DBFD}">
  <dimension ref="A1:J15"/>
  <sheetViews>
    <sheetView topLeftCell="C1" zoomScale="145" zoomScaleNormal="145" workbookViewId="0">
      <selection activeCell="J8" sqref="J8"/>
    </sheetView>
  </sheetViews>
  <sheetFormatPr defaultRowHeight="14.5" x14ac:dyDescent="0.35"/>
  <cols>
    <col min="3" max="3" width="13.81640625" customWidth="1"/>
    <col min="4" max="4" width="11.453125" customWidth="1"/>
    <col min="6" max="6" width="13.453125" bestFit="1" customWidth="1"/>
    <col min="7" max="7" width="22" bestFit="1" customWidth="1"/>
    <col min="8" max="8" width="22.54296875" customWidth="1"/>
    <col min="9" max="9" width="10" customWidth="1"/>
    <col min="10" max="10" width="9.54296875" customWidth="1"/>
  </cols>
  <sheetData>
    <row r="1" spans="1:10" x14ac:dyDescent="0.35">
      <c r="F1" t="s">
        <v>481</v>
      </c>
      <c r="G1" t="s">
        <v>482</v>
      </c>
      <c r="H1" t="s">
        <v>483</v>
      </c>
      <c r="J1" t="s">
        <v>492</v>
      </c>
    </row>
    <row r="2" spans="1:10" x14ac:dyDescent="0.35">
      <c r="C2" t="s">
        <v>484</v>
      </c>
      <c r="D2" t="s">
        <v>152</v>
      </c>
      <c r="E2" t="s">
        <v>485</v>
      </c>
      <c r="F2" t="s">
        <v>486</v>
      </c>
      <c r="G2" t="s">
        <v>479</v>
      </c>
      <c r="H2" t="s">
        <v>480</v>
      </c>
    </row>
    <row r="3" spans="1:10" x14ac:dyDescent="0.35">
      <c r="A3" t="s">
        <v>431</v>
      </c>
      <c r="B3" t="s">
        <v>469</v>
      </c>
      <c r="C3" t="str" cm="1">
        <f t="array" ref="C3">_xll.FDS($E3,"FG_COMPANY_NAME")</f>
        <v>New Zealand</v>
      </c>
      <c r="D3" t="s">
        <v>197</v>
      </c>
      <c r="E3" t="s">
        <v>198</v>
      </c>
      <c r="F3" t="str">
        <f t="shared" ref="F3:F15" si="0">_xlfn.CONCAT($F$1,D3)</f>
        <v>CAGDPY@NZ</v>
      </c>
      <c r="G3" cm="1">
        <f t="array" ref="G3">IFERROR(_xll.FDS($F3,"EE_ACTUAL_ANNUAL(MED,0)"),0)</f>
        <v>-6.9</v>
      </c>
      <c r="H3" cm="1">
        <f t="array" ref="H3">IFERROR(_xll.FDS($F3,"EE_ACTUAL_ANNUAL(MED,+1)"),0)</f>
        <v>-6.15</v>
      </c>
      <c r="J3" cm="1">
        <f t="array" ref="J3">_xlfn.PERCENTRANK.EXC(_xlfn._xlws.FILTER(H$3:H$15, ISNUMBER(H$3:H$15)),H3)*100</f>
        <v>7.1</v>
      </c>
    </row>
    <row r="4" spans="1:10" x14ac:dyDescent="0.35">
      <c r="A4" t="s">
        <v>44</v>
      </c>
      <c r="B4" t="s">
        <v>466</v>
      </c>
      <c r="C4" t="str" cm="1">
        <f t="array" ref="C4">_xll.FDS($E4,"FG_COMPANY_NAME")</f>
        <v>Australia</v>
      </c>
      <c r="D4" t="s">
        <v>113</v>
      </c>
      <c r="E4" t="s">
        <v>174</v>
      </c>
      <c r="F4" t="str">
        <f t="shared" si="0"/>
        <v>CAGDPY@AU</v>
      </c>
      <c r="G4" cm="1">
        <f t="array" ref="G4">IFERROR(_xll.FDS($F4,"EE_ACTUAL_ANNUAL(MED,0)"),0)</f>
        <v>0.27577682550316901</v>
      </c>
      <c r="H4" cm="1">
        <f t="array" ref="H4">IFERROR(_xll.FDS($F4,"EE_ACTUAL_ANNUAL(MED,+1)"),0)</f>
        <v>0.25</v>
      </c>
      <c r="J4" cm="1">
        <f t="array" ref="J4">_xlfn.PERCENTRANK.EXC(_xlfn._xlws.FILTER(H$3:H$15, ISNUMBER(H$3:H$15)),H4)*100</f>
        <v>50</v>
      </c>
    </row>
    <row r="5" spans="1:10" x14ac:dyDescent="0.35">
      <c r="A5" t="s">
        <v>49</v>
      </c>
      <c r="B5" t="s">
        <v>467</v>
      </c>
      <c r="C5" t="str" cm="1">
        <f t="array" ref="C5">_xll.FDS($E5,"FG_COMPANY_NAME")</f>
        <v>Canada</v>
      </c>
      <c r="D5" t="s">
        <v>116</v>
      </c>
      <c r="E5" t="s">
        <v>157</v>
      </c>
      <c r="F5" t="str">
        <f t="shared" si="0"/>
        <v>CAGDPY@CA</v>
      </c>
      <c r="G5" cm="1">
        <f t="array" ref="G5">IFERROR(_xll.FDS($F5,"EE_ACTUAL_ANNUAL(MED,0)"),0)</f>
        <v>-0.72541439902632698</v>
      </c>
      <c r="H5" cm="1">
        <f t="array" ref="H5">IFERROR(_xll.FDS($F5,"EE_ACTUAL_ANNUAL(MED,+1)"),0)</f>
        <v>-0.65</v>
      </c>
      <c r="J5" cm="1">
        <f t="array" ref="J5">_xlfn.PERCENTRANK.EXC(_xlfn._xlws.FILTER(H$3:H$15, ISNUMBER(H$3:H$15)),H5)*100</f>
        <v>35.699999999999996</v>
      </c>
    </row>
    <row r="6" spans="1:10" x14ac:dyDescent="0.35">
      <c r="A6" t="s">
        <v>11</v>
      </c>
      <c r="B6" t="s">
        <v>464</v>
      </c>
      <c r="C6" t="str" cm="1">
        <f t="array" ref="C6">_xll.FDS($E6,"FG_COMPANY_NAME")</f>
        <v>Germany</v>
      </c>
      <c r="D6" t="s">
        <v>102</v>
      </c>
      <c r="E6" t="s">
        <v>555</v>
      </c>
      <c r="F6" t="str">
        <f t="shared" si="0"/>
        <v>CAGDPY@DE</v>
      </c>
      <c r="G6" cm="1">
        <f t="array" ref="G6">IFERROR(_xll.FDS($F6,"EE_ACTUAL_ANNUAL(MED,0)"),0)</f>
        <v>6.0625246383390499</v>
      </c>
      <c r="H6" cm="1">
        <f t="array" ref="H6">IFERROR(_xll.FDS($F6,"EE_ACTUAL_ANNUAL(MED,+1)"),0)</f>
        <v>6.5</v>
      </c>
      <c r="J6" cm="1">
        <f t="array" ref="J6">_xlfn.PERCENTRANK.EXC(_xlfn._xlws.FILTER(H$3:H$15, ISNUMBER(H$3:H$15)),H6)*100</f>
        <v>78.5</v>
      </c>
    </row>
    <row r="7" spans="1:10" x14ac:dyDescent="0.35">
      <c r="A7" t="s">
        <v>46</v>
      </c>
      <c r="B7" t="s">
        <v>465</v>
      </c>
      <c r="C7" t="str" cm="1">
        <f t="array" ref="C7">_xll.FDS($E7,"FG_COMPANY_NAME")</f>
        <v>Japan</v>
      </c>
      <c r="D7" t="s">
        <v>114</v>
      </c>
      <c r="E7" t="s">
        <v>164</v>
      </c>
      <c r="F7" t="str">
        <f t="shared" si="0"/>
        <v>CAGDPY@JP</v>
      </c>
      <c r="G7" cm="1">
        <f t="array" ref="G7">IFERROR(_xll.FDS($F7,"EE_ACTUAL_ANNUAL(MED,0)"),0)</f>
        <v>3.6066552686413398</v>
      </c>
      <c r="H7" cm="1">
        <f t="array" ref="H7">IFERROR(_xll.FDS($F7,"EE_ACTUAL_ANNUAL(MED,+1)"),0)</f>
        <v>3.8</v>
      </c>
      <c r="J7" cm="1">
        <f t="array" ref="J7">_xlfn.PERCENTRANK.EXC(_xlfn._xlws.FILTER(H$3:H$15, ISNUMBER(H$3:H$15)),H7)*100</f>
        <v>64.2</v>
      </c>
    </row>
    <row r="8" spans="1:10" x14ac:dyDescent="0.35">
      <c r="A8" t="s">
        <v>42</v>
      </c>
      <c r="B8" t="s">
        <v>470</v>
      </c>
      <c r="C8" t="str" cm="1">
        <f t="array" ref="C8">_xll.FDS($E8,"FG_COMPANY_NAME")</f>
        <v>Switzerland</v>
      </c>
      <c r="D8" t="s">
        <v>110</v>
      </c>
      <c r="E8" t="s">
        <v>276</v>
      </c>
      <c r="F8" t="str">
        <f t="shared" si="0"/>
        <v>CAGDPY@CH</v>
      </c>
      <c r="G8" cm="1">
        <f t="array" ref="G8">IFERROR(_xll.FDS($F8,"EE_ACTUAL_ANNUAL(MED,0)"),0)</f>
        <v>6.9808755786158398</v>
      </c>
      <c r="H8" cm="1">
        <f t="array" ref="H8">IFERROR(_xll.FDS($F8,"EE_ACTUAL_ANNUAL(MED,+1)"),0)</f>
        <v>8.1</v>
      </c>
      <c r="J8" cm="1">
        <f t="array" ref="J8">_xlfn.PERCENTRANK.EXC(_xlfn._xlws.FILTER(H$3:H$15, ISNUMBER(H$3:H$15)),H8)*100</f>
        <v>85.7</v>
      </c>
    </row>
    <row r="9" spans="1:10" x14ac:dyDescent="0.35">
      <c r="A9" t="s">
        <v>48</v>
      </c>
      <c r="B9" t="s">
        <v>468</v>
      </c>
      <c r="C9" t="str" cm="1">
        <f t="array" ref="C9">_xll.FDS($E9,"FG_COMPANY_NAME")</f>
        <v>United Kingdom</v>
      </c>
      <c r="D9" t="s">
        <v>115</v>
      </c>
      <c r="E9" t="s">
        <v>167</v>
      </c>
      <c r="F9" t="str">
        <f t="shared" si="0"/>
        <v>CAGDPY@GB</v>
      </c>
      <c r="G9" cm="1">
        <f t="array" ref="G9">IFERROR(_xll.FDS($F9,"EE_ACTUAL_ANNUAL(MED,0)"),0)</f>
        <v>-3.3</v>
      </c>
      <c r="H9" cm="1">
        <f t="array" ref="H9">IFERROR(_xll.FDS($F9,"EE_ACTUAL_ANNUAL(MED,+1)"),0)</f>
        <v>-2.65</v>
      </c>
      <c r="J9" cm="1">
        <f t="array" ref="J9">_xlfn.PERCENTRANK.EXC(_xlfn._xlws.FILTER(H$3:H$15, ISNUMBER(H$3:H$15)),H9)*100</f>
        <v>28.499999999999996</v>
      </c>
    </row>
    <row r="10" spans="1:10" x14ac:dyDescent="0.35">
      <c r="A10" t="s">
        <v>51</v>
      </c>
      <c r="B10" t="s">
        <v>554</v>
      </c>
      <c r="C10" t="str" cm="1">
        <f t="array" ref="C10">_xll.FDS($E10,"FG_COMPANY_NAME")</f>
        <v>United States</v>
      </c>
      <c r="D10" t="s">
        <v>119</v>
      </c>
      <c r="E10" t="s">
        <v>170</v>
      </c>
      <c r="F10" t="str">
        <f>_xlfn.CONCAT($F$1,D10)</f>
        <v>CAGDPY@US</v>
      </c>
      <c r="G10" cm="1">
        <f t="array" ref="G10">IFERROR(_xll.FDS($F10,"EE_ACTUAL_ANNUAL(MED,0)"),0)</f>
        <v>-3.3110866828871801</v>
      </c>
      <c r="H10" cm="1">
        <f t="array" ref="H10">IFERROR(_xll.FDS($F10,"EE_ACTUAL_ANNUAL(MED,+1)"),0)</f>
        <v>-3.2</v>
      </c>
      <c r="J10" cm="1">
        <f t="array" ref="J10">_xlfn.PERCENTRANK.EXC(_xlfn._xlws.FILTER(H$3:H$15, ISNUMBER(H$3:H$15)),H10)*100</f>
        <v>14.2</v>
      </c>
    </row>
    <row r="11" spans="1:10" x14ac:dyDescent="0.35">
      <c r="A11" t="s">
        <v>1</v>
      </c>
      <c r="B11" t="s">
        <v>554</v>
      </c>
      <c r="C11" t="str" cm="1">
        <f t="array" ref="C11">_xll.FDS($E11,"FG_COMPANY_NAME")</f>
        <v>United States</v>
      </c>
      <c r="D11" t="s">
        <v>119</v>
      </c>
      <c r="E11" t="s">
        <v>170</v>
      </c>
      <c r="F11" t="str">
        <f t="shared" si="0"/>
        <v>CAGDPY@US</v>
      </c>
      <c r="G11" cm="1">
        <f t="array" ref="G11">IFERROR(_xll.FDS($F11,"EE_ACTUAL_ANNUAL(MED,0)"),0)</f>
        <v>-3.3110866828871801</v>
      </c>
      <c r="H11" cm="1">
        <f t="array" ref="H11">IFERROR(_xll.FDS($F11,"EE_ACTUAL_ANNUAL(MED,+1)"),0)</f>
        <v>-3.2</v>
      </c>
      <c r="J11" cm="1">
        <f t="array" ref="J11">_xlfn.PERCENTRANK.EXC(_xlfn._xlws.FILTER(H$3:H$15, ISNUMBER(H$3:H$15)),H11)*100</f>
        <v>14.2</v>
      </c>
    </row>
    <row r="12" spans="1:10" x14ac:dyDescent="0.35">
      <c r="A12" t="s">
        <v>865</v>
      </c>
      <c r="B12" t="s">
        <v>470</v>
      </c>
      <c r="C12" t="s">
        <v>621</v>
      </c>
      <c r="D12" t="s">
        <v>106</v>
      </c>
      <c r="E12" t="s">
        <v>869</v>
      </c>
      <c r="F12" t="str">
        <f t="shared" si="0"/>
        <v>CAGDPY@FR</v>
      </c>
      <c r="G12" cm="1">
        <f t="array" ref="G12">IFERROR(_xll.FDS($F12,"EE_ACTUAL_ANNUAL(MED,0)"),0)</f>
        <v>-1.01989766349816</v>
      </c>
      <c r="H12" cm="1">
        <f t="array" ref="H12">IFERROR(_xll.FDS($F12,"EE_ACTUAL_ANNUAL(MED,+1)"),0)</f>
        <v>-0.4</v>
      </c>
      <c r="J12" cm="1">
        <f t="array" ref="J12">_xlfn.PERCENTRANK.EXC(_xlfn._xlws.FILTER(H$3:H$15, ISNUMBER(H$3:H$15)),H12)*100</f>
        <v>42.8</v>
      </c>
    </row>
    <row r="13" spans="1:10" x14ac:dyDescent="0.35">
      <c r="A13" t="s">
        <v>867</v>
      </c>
      <c r="B13" t="s">
        <v>880</v>
      </c>
      <c r="C13" t="s">
        <v>673</v>
      </c>
      <c r="D13" t="s">
        <v>875</v>
      </c>
      <c r="E13" t="s">
        <v>870</v>
      </c>
      <c r="F13" t="str">
        <f t="shared" si="0"/>
        <v>CAGDPY@NL</v>
      </c>
      <c r="G13" cm="1">
        <f t="array" ref="G13">IFERROR(_xll.FDS($F13,"EE_ACTUAL_ANNUAL(MED,0)"),0)</f>
        <v>9.8540850199698795</v>
      </c>
      <c r="H13" cm="1">
        <f t="array" ref="H13">IFERROR(_xll.FDS($F13,"EE_ACTUAL_ANNUAL(MED,+1)"),0)</f>
        <v>9.5</v>
      </c>
      <c r="J13" cm="1">
        <f t="array" ref="J13">_xlfn.PERCENTRANK.EXC(_xlfn._xlws.FILTER(H$3:H$15, ISNUMBER(H$3:H$15)),H13)*100</f>
        <v>92.800000000000011</v>
      </c>
    </row>
    <row r="14" spans="1:10" x14ac:dyDescent="0.35">
      <c r="A14" t="s">
        <v>864</v>
      </c>
      <c r="B14" t="s">
        <v>881</v>
      </c>
      <c r="C14" t="s">
        <v>705</v>
      </c>
      <c r="D14" t="s">
        <v>272</v>
      </c>
      <c r="E14" t="s">
        <v>273</v>
      </c>
      <c r="F14" t="str">
        <f t="shared" si="0"/>
        <v>CAGDPY@SE</v>
      </c>
      <c r="G14" cm="1">
        <f t="array" ref="G14">IFERROR(_xll.FDS($F14,"EE_ACTUAL_ANNUAL(MED,0)"),0)</f>
        <v>6.4681168629024697</v>
      </c>
      <c r="H14" cm="1">
        <f t="array" ref="H14">IFERROR(_xll.FDS($F14,"EE_ACTUAL_ANNUAL(MED,+1)"),0)</f>
        <v>6.15</v>
      </c>
      <c r="J14" cm="1">
        <f t="array" ref="J14">_xlfn.PERCENTRANK.EXC(_xlfn._xlws.FILTER(H$3:H$15, ISNUMBER(H$3:H$15)),H14)*100</f>
        <v>71.399999999999991</v>
      </c>
    </row>
    <row r="15" spans="1:10" x14ac:dyDescent="0.35">
      <c r="A15" t="s">
        <v>866</v>
      </c>
      <c r="B15" t="s">
        <v>882</v>
      </c>
      <c r="C15" t="s">
        <v>641</v>
      </c>
      <c r="D15" t="s">
        <v>876</v>
      </c>
      <c r="E15" t="s">
        <v>868</v>
      </c>
      <c r="F15" t="str">
        <f t="shared" si="0"/>
        <v>CAGDPY@IT</v>
      </c>
      <c r="G15" cm="1">
        <f t="array" ref="G15">IFERROR(_xll.FDS($F15,"EE_ACTUAL_ANNUAL(MED,0)"),0)</f>
        <v>0.46418496504898199</v>
      </c>
      <c r="H15" cm="1">
        <f t="array" ref="H15">IFERROR(_xll.FDS($F15,"EE_ACTUAL_ANNUAL(MED,+1)"),0)</f>
        <v>0.95</v>
      </c>
      <c r="J15" cm="1">
        <f t="array" ref="J15">_xlfn.PERCENTRANK.EXC(_xlfn._xlws.FILTER(H$3:H$15, ISNUMBER(H$3:H$15)),H15)*100</f>
        <v>57.099999999999994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N123"/>
  <sheetViews>
    <sheetView topLeftCell="Y1" workbookViewId="0">
      <selection activeCell="AP4" sqref="AP4"/>
    </sheetView>
  </sheetViews>
  <sheetFormatPr defaultRowHeight="14.5" x14ac:dyDescent="0.35"/>
  <cols>
    <col min="1" max="1" width="10.54296875" customWidth="1"/>
    <col min="2" max="2" width="14" customWidth="1"/>
    <col min="3" max="3" width="11.54296875" customWidth="1"/>
    <col min="24" max="24" width="11.1796875" bestFit="1" customWidth="1"/>
    <col min="25" max="25" width="13.54296875" bestFit="1" customWidth="1"/>
    <col min="40" max="40" width="11.453125" customWidth="1"/>
  </cols>
  <sheetData>
    <row r="1" spans="1:40" x14ac:dyDescent="0.35"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104</v>
      </c>
      <c r="I1" t="s">
        <v>105</v>
      </c>
      <c r="J1" t="s">
        <v>104</v>
      </c>
      <c r="K1" t="s">
        <v>106</v>
      </c>
      <c r="L1" t="s">
        <v>107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T1" t="s">
        <v>115</v>
      </c>
      <c r="U1" t="s">
        <v>116</v>
      </c>
      <c r="W1" t="s">
        <v>104</v>
      </c>
      <c r="Y1" t="s">
        <v>117</v>
      </c>
      <c r="AA1" t="s">
        <v>118</v>
      </c>
      <c r="AB1" t="s">
        <v>119</v>
      </c>
      <c r="AC1" t="s">
        <v>119</v>
      </c>
      <c r="AD1" t="s">
        <v>120</v>
      </c>
      <c r="AE1" t="s">
        <v>118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L1" t="s">
        <v>126</v>
      </c>
      <c r="AM1" t="s">
        <v>127</v>
      </c>
    </row>
    <row r="3" spans="1:40" x14ac:dyDescent="0.35">
      <c r="B3" t="s">
        <v>128</v>
      </c>
      <c r="C3" t="s">
        <v>129</v>
      </c>
      <c r="D3" t="s">
        <v>130</v>
      </c>
      <c r="E3" t="s">
        <v>19</v>
      </c>
      <c r="F3" t="s">
        <v>131</v>
      </c>
      <c r="G3" t="s">
        <v>17</v>
      </c>
      <c r="H3" t="s">
        <v>17</v>
      </c>
      <c r="I3" t="s">
        <v>132</v>
      </c>
      <c r="J3" t="s">
        <v>17</v>
      </c>
      <c r="K3" t="s">
        <v>133</v>
      </c>
      <c r="L3" t="s">
        <v>108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  <c r="R3" t="s">
        <v>139</v>
      </c>
      <c r="S3" t="s">
        <v>140</v>
      </c>
      <c r="T3" t="s">
        <v>141</v>
      </c>
      <c r="U3" t="s">
        <v>142</v>
      </c>
      <c r="V3" t="s">
        <v>140</v>
      </c>
      <c r="W3" t="s">
        <v>17</v>
      </c>
      <c r="X3" t="s">
        <v>140</v>
      </c>
      <c r="Y3" t="s">
        <v>143</v>
      </c>
      <c r="Z3" t="s">
        <v>140</v>
      </c>
      <c r="AA3" t="s">
        <v>18</v>
      </c>
      <c r="AB3" t="s">
        <v>14</v>
      </c>
      <c r="AC3" t="s">
        <v>14</v>
      </c>
      <c r="AD3" t="s">
        <v>144</v>
      </c>
      <c r="AE3" t="s">
        <v>18</v>
      </c>
      <c r="AF3" t="s">
        <v>15</v>
      </c>
      <c r="AG3" t="s">
        <v>145</v>
      </c>
      <c r="AH3" t="s">
        <v>146</v>
      </c>
      <c r="AI3" t="s">
        <v>147</v>
      </c>
      <c r="AJ3" t="s">
        <v>148</v>
      </c>
      <c r="AL3" t="s">
        <v>149</v>
      </c>
      <c r="AM3" t="s">
        <v>20</v>
      </c>
      <c r="AN3" t="s">
        <v>140</v>
      </c>
    </row>
    <row r="4" spans="1:40" x14ac:dyDescent="0.35">
      <c r="A4" s="2">
        <f t="array" ref="A4:A13">_xll.FDS(B3,"JULIAN(FG_YIELD(-10AY,0,CY,,""YTM"").dates)")</f>
        <v>42004</v>
      </c>
      <c r="B4" cm="1">
        <f t="array" ref="B4:B13">_xll.FDS(B3,"FG_YIELD(-10AY,0,y,,""YTM"")")</f>
        <v>7.9537000000000004</v>
      </c>
      <c r="C4" cm="1">
        <f t="array" ref="C4:C13">_xll.FDS(C3,"FG_YIELD(-10AY,0,y,,""YTM"")")</f>
        <v>2.5047999999999999</v>
      </c>
      <c r="D4" cm="1">
        <f t="array" ref="D4:D13">_xll.FDS(D3,"FG_YIELD(-10AY,0,y,,""YTM"")")</f>
        <v>2.6272000000000002</v>
      </c>
      <c r="E4" cm="1">
        <f t="array" ref="E4:E13">_xll.FDS(E3,"FG_YIELD(-10AY,0,y,,""YTM"")")</f>
        <v>0.54749999999999999</v>
      </c>
      <c r="F4" cm="1">
        <f t="array" ref="F4:F13">_xll.FDS(F3,"FG_YIELD(-10AY,0,y,,""YTM"")")</f>
        <v>1.6014999999999999</v>
      </c>
      <c r="G4" cm="1">
        <f t="array" ref="G4:G13">_xll.FDS(G3,"FG_YIELD(-10AY,0,y,,""YTM"")")</f>
        <v>3.6533310000000001</v>
      </c>
      <c r="H4" cm="1">
        <f t="array" ref="H4:H13">_xll.FDS(H3,"FG_YIELD(-10AY,0,y,,""YTM"")")</f>
        <v>3.6533310000000001</v>
      </c>
      <c r="I4" cm="1">
        <f t="array" ref="I4:I13">_xll.FDS(I3,"FG_YIELD(-10AY,0,y,,""YTM"")")</f>
        <v>7.979133</v>
      </c>
      <c r="J4" cm="1">
        <f t="array" ref="J4:J13">_xll.FDS(J3,"FG_YIELD(-10AY,0,y,,""YTM"")")</f>
        <v>3.6533310000000001</v>
      </c>
      <c r="K4" cm="1">
        <f t="array" ref="K4:K13">_xll.FDS(K3,"FG_YIELD(-10AY,0,y,,""YTM"")")</f>
        <v>0.83699999999999997</v>
      </c>
      <c r="L4" t="e" cm="1">
        <f t="array" ref="L4:L13">_xll.FDS(L3,"FG_YIELD(-10AY,0,y,,""YTM"")")</f>
        <v>#N/A</v>
      </c>
      <c r="M4" cm="1">
        <f t="array" ref="M4:M13">_xll.FDS(M3,"FG_YIELD(-10AY,0,y,,""YTM"")")</f>
        <v>0.54749999999999999</v>
      </c>
      <c r="N4" cm="1">
        <f t="array" ref="N4:N13">_xll.FDS(N3,"FG_YIELD(-10AY,0,y,,""YTM"")")</f>
        <v>0.314</v>
      </c>
      <c r="O4" cm="1">
        <f t="array" ref="O4:O13">_xll.FDS(O3,"FG_YIELD(-10AY,0,y,,""YTM"")")</f>
        <v>9.61</v>
      </c>
      <c r="P4" cm="1">
        <f t="array" ref="P4:P13">_xll.FDS(P3,"FG_YIELD(-10AY,0,y,,""YTM"")")</f>
        <v>5.681629</v>
      </c>
      <c r="Q4" cm="1">
        <f t="array" ref="Q4:Q13">_xll.FDS(Q3,"FG_YIELD(-10AY,0,y,,""YTM"")")</f>
        <v>2.81</v>
      </c>
      <c r="R4" cm="1">
        <f t="array" ref="R4:R13">_xll.FDS(R3,"FG_YIELD(-10AY,0,y,,""YTM"")")</f>
        <v>0.31380000000000002</v>
      </c>
      <c r="S4" t="e" cm="1">
        <f t="array" ref="S4:S13">_xll.FDS(S3,"FG_YIELD(-10AY,0,y,,""YTM"")")</f>
        <v>#N/A</v>
      </c>
      <c r="T4" cm="1">
        <f t="array" ref="T4:T13">_xll.FDS(T3,"FG_YIELD(-10AY,0,y,,""YTM"")")</f>
        <v>1.8154999999999999</v>
      </c>
      <c r="U4" cm="1">
        <f t="array" ref="U4:U13">_xll.FDS(U3,"FG_YIELD(-10AY,0,y,,""YTM"")")</f>
        <v>1.79</v>
      </c>
      <c r="V4" t="e" cm="1">
        <f t="array" ref="V4:V13">_xll.FDS(V3,"FG_YIELD(-10AY,0,y,,""YTM"")")</f>
        <v>#N/A</v>
      </c>
      <c r="W4" cm="1">
        <f t="array" ref="W4:W13">_xll.FDS(W3,"FG_YIELD(-10AY,0,y,,""YTM"")")</f>
        <v>3.6533310000000001</v>
      </c>
      <c r="X4" t="e" cm="1">
        <f t="array" ref="X4:X13">_xll.FDS(X3,"FG_YIELD(-10AY,0,y,,""YTM"")")</f>
        <v>#N/A</v>
      </c>
      <c r="Y4" cm="1">
        <f t="array" ref="Y4:Y13">_xll.FDS(Y3,"FG_YIELD(-10AY,0,y,,""YTM"")")</f>
        <v>3.8633000000000002</v>
      </c>
      <c r="Z4" t="e" cm="1">
        <f t="array" ref="Z4:Z13">_xll.FDS(Z3,"FG_YIELD(-10AY,0,y,,""YTM"")")</f>
        <v>#N/A</v>
      </c>
      <c r="AA4" cm="1">
        <f t="array" ref="AA4:AA13">_xll.FDS(AA3,"FG_YIELD(-10AY,0,y,,""YTM"")")</f>
        <v>7.86</v>
      </c>
      <c r="AB4" cm="1">
        <f t="array" ref="AB4:AB13">_xll.FDS(AB3,"FG_YIELD(-10AY,0,y,,""YTM"")")</f>
        <v>2.1880999999999999</v>
      </c>
      <c r="AC4" cm="1">
        <f t="array" ref="AC4:AC13">_xll.FDS(AC3,"FG_YIELD(-10AY,0,y,,""YTM"")")</f>
        <v>2.1880999999999999</v>
      </c>
      <c r="AD4" t="e" cm="1">
        <f t="array" ref="AD4:AD13">_xll.FDS(AD3,"FG_YIELD(-10AY,0,y,,""YTM"")")</f>
        <v>#N/A</v>
      </c>
      <c r="AE4" cm="1">
        <f t="array" ref="AE4:AE13">_xll.FDS(AE3,"FG_YIELD(-10AY,0,y,,""YTM"")")</f>
        <v>7.86</v>
      </c>
      <c r="AF4" cm="1">
        <f t="array" ref="AF4:AF13">_xll.FDS(AF3,"FG_YIELD(-10AY,0,y,,""YTM"")")</f>
        <v>5.8236999999999997</v>
      </c>
      <c r="AG4" cm="1">
        <f t="array" ref="AG4:AG13">_xll.FDS(AG3,"FG_YIELD(-10AY,0,y,,""YTM"")")</f>
        <v>4.1319109999999997</v>
      </c>
      <c r="AH4" t="e" cm="1">
        <f t="array" ref="AH4:AH13">_xll.FDS(AH3,"FG_YIELD(-10AY,0,y,,""YTM"")")</f>
        <v>#N/A</v>
      </c>
      <c r="AI4" cm="1">
        <f t="array" ref="AI4:AI13">_xll.FDS(AI3,"FG_YIELD(-10AY,0,y,,""YTM"")")</f>
        <v>7.9220170000000003</v>
      </c>
      <c r="AJ4" t="e" cm="1">
        <f t="array" ref="AJ4:AJ13">_xll.FDS(AJ3,"FG_YIELD(-10AY,0,y,,""YTM"")")</f>
        <v>#N/A</v>
      </c>
      <c r="AK4" t="e" cm="1">
        <f t="array" ref="AK4:AK13">_xll.FDS(AK3,"FG_YIELD(-10AY,0,y,,""YTM"")")</f>
        <v>#N/A</v>
      </c>
      <c r="AL4" cm="1">
        <f t="array" ref="AL4:AL13">_xll.FDS(AL3,"FG_YIELD(-10AY,0,y,,""YTM"")")</f>
        <v>7.3</v>
      </c>
      <c r="AM4" cm="1">
        <f t="array" ref="AM4:AM13">_xll.FDS(AM3,"FG_YIELD(-10AY,0,y,,""YTM"")")</f>
        <v>12.319731000000001</v>
      </c>
      <c r="AN4" t="e" cm="1">
        <f t="array" ref="AN4:AN13">_xll.FDS(AN3,"FG_YIELD(-10AY,0,y,,""YTM"")")</f>
        <v>#N/A</v>
      </c>
    </row>
    <row r="5" spans="1:40" x14ac:dyDescent="0.35">
      <c r="A5" s="2">
        <v>42369</v>
      </c>
      <c r="B5">
        <v>9.7513000000000005</v>
      </c>
      <c r="C5">
        <v>2.9302999999999999</v>
      </c>
      <c r="D5">
        <v>2.0851999999999999</v>
      </c>
      <c r="E5">
        <v>0.63600000000000001</v>
      </c>
      <c r="F5">
        <v>1.0149999999999999</v>
      </c>
      <c r="G5">
        <v>2.9011450000000001</v>
      </c>
      <c r="H5">
        <v>2.9011450000000001</v>
      </c>
      <c r="I5">
        <v>10.679033</v>
      </c>
      <c r="J5">
        <v>2.9011450000000001</v>
      </c>
      <c r="K5">
        <v>0.99890000000000001</v>
      </c>
      <c r="L5" t="e">
        <v>#N/A</v>
      </c>
      <c r="M5">
        <v>0.63600000000000001</v>
      </c>
      <c r="N5" t="e">
        <v>#N/A</v>
      </c>
      <c r="O5">
        <v>8.24</v>
      </c>
      <c r="P5">
        <v>7.4269170000000004</v>
      </c>
      <c r="Q5">
        <v>2.88</v>
      </c>
      <c r="R5">
        <v>0.26040000000000002</v>
      </c>
      <c r="S5" t="e">
        <v>#N/A</v>
      </c>
      <c r="T5">
        <v>2.0247999999999999</v>
      </c>
      <c r="U5">
        <v>1.39</v>
      </c>
      <c r="V5" t="e">
        <v>#N/A</v>
      </c>
      <c r="W5">
        <v>2.9011450000000001</v>
      </c>
      <c r="X5" t="e">
        <v>#N/A</v>
      </c>
      <c r="Y5">
        <v>4.0999999999999996</v>
      </c>
      <c r="Z5" t="e">
        <v>#N/A</v>
      </c>
      <c r="AA5">
        <v>7.89</v>
      </c>
      <c r="AB5">
        <v>2.2961</v>
      </c>
      <c r="AC5">
        <v>2.2961</v>
      </c>
      <c r="AD5" t="e">
        <v>#N/A</v>
      </c>
      <c r="AE5">
        <v>7.89</v>
      </c>
      <c r="AF5">
        <v>6.2537000000000003</v>
      </c>
      <c r="AG5">
        <v>4.3456049999999999</v>
      </c>
      <c r="AH5" t="e">
        <v>#N/A</v>
      </c>
      <c r="AI5">
        <v>8.9423680000000001</v>
      </c>
      <c r="AJ5" t="e">
        <v>#N/A</v>
      </c>
      <c r="AK5" t="e">
        <v>#N/A</v>
      </c>
      <c r="AL5">
        <v>6.2774130000000001</v>
      </c>
      <c r="AM5">
        <v>15.989595</v>
      </c>
      <c r="AN5" t="e">
        <v>#N/A</v>
      </c>
    </row>
    <row r="6" spans="1:40" x14ac:dyDescent="0.35">
      <c r="A6" s="2">
        <v>42734</v>
      </c>
      <c r="B6">
        <v>8.9047000000000001</v>
      </c>
      <c r="C6">
        <v>3.6244999999999998</v>
      </c>
      <c r="D6">
        <v>2.0916000000000001</v>
      </c>
      <c r="E6">
        <v>0.22</v>
      </c>
      <c r="F6">
        <v>1.2037</v>
      </c>
      <c r="G6">
        <v>3.0709110000000002</v>
      </c>
      <c r="H6">
        <v>3.0709110000000002</v>
      </c>
      <c r="I6">
        <v>11.110785999999999</v>
      </c>
      <c r="J6">
        <v>3.0709110000000002</v>
      </c>
      <c r="K6">
        <v>0.68200000000000005</v>
      </c>
      <c r="L6" t="e">
        <v>#N/A</v>
      </c>
      <c r="M6">
        <v>0.2082</v>
      </c>
      <c r="N6">
        <v>-0.12</v>
      </c>
      <c r="O6">
        <v>7.15</v>
      </c>
      <c r="P6">
        <v>6.415413</v>
      </c>
      <c r="Q6">
        <v>2.76</v>
      </c>
      <c r="R6">
        <v>3.15E-2</v>
      </c>
      <c r="S6" t="e">
        <v>#N/A</v>
      </c>
      <c r="T6">
        <v>1.2817000000000001</v>
      </c>
      <c r="U6">
        <v>1.72</v>
      </c>
      <c r="V6" t="e">
        <v>#N/A</v>
      </c>
      <c r="W6">
        <v>3.0709110000000002</v>
      </c>
      <c r="X6" t="e">
        <v>#N/A</v>
      </c>
      <c r="Y6">
        <v>4.6280999999999999</v>
      </c>
      <c r="Z6" t="e">
        <v>#N/A</v>
      </c>
      <c r="AA6">
        <v>6.63</v>
      </c>
      <c r="AB6">
        <v>2.4752000000000001</v>
      </c>
      <c r="AC6">
        <v>2.4752000000000001</v>
      </c>
      <c r="AD6" t="e">
        <v>#N/A</v>
      </c>
      <c r="AE6">
        <v>6.63</v>
      </c>
      <c r="AF6">
        <v>7.5651000000000002</v>
      </c>
      <c r="AG6">
        <v>4.1958970000000004</v>
      </c>
      <c r="AH6" t="e">
        <v>#N/A</v>
      </c>
      <c r="AI6">
        <v>7.8973500000000003</v>
      </c>
      <c r="AJ6">
        <v>3.8912453999999999</v>
      </c>
      <c r="AK6" t="e">
        <v>#N/A</v>
      </c>
      <c r="AL6">
        <v>7.1117578000000004</v>
      </c>
      <c r="AM6">
        <v>11.062725</v>
      </c>
      <c r="AN6" t="e">
        <v>#N/A</v>
      </c>
    </row>
    <row r="7" spans="1:40" x14ac:dyDescent="0.35">
      <c r="A7" s="2">
        <v>43098</v>
      </c>
      <c r="B7">
        <v>8.5838900000000002</v>
      </c>
      <c r="C7">
        <v>3.2919999999999998</v>
      </c>
      <c r="D7">
        <v>2.4796999999999998</v>
      </c>
      <c r="E7">
        <v>0.47</v>
      </c>
      <c r="F7">
        <v>0.94779999999999998</v>
      </c>
      <c r="G7">
        <v>3.93859</v>
      </c>
      <c r="H7">
        <v>3.93859</v>
      </c>
      <c r="I7">
        <v>11.586128</v>
      </c>
      <c r="J7">
        <v>3.93859</v>
      </c>
      <c r="K7">
        <v>0.78500000000000003</v>
      </c>
      <c r="L7" t="e">
        <v>#N/A</v>
      </c>
      <c r="M7">
        <v>0.4294</v>
      </c>
      <c r="N7">
        <v>-0.09</v>
      </c>
      <c r="O7">
        <v>4.1399999999999997</v>
      </c>
      <c r="P7">
        <v>5.1671329999999998</v>
      </c>
      <c r="Q7">
        <v>2.63</v>
      </c>
      <c r="R7">
        <v>4.65E-2</v>
      </c>
      <c r="S7" t="e">
        <v>#N/A</v>
      </c>
      <c r="T7">
        <v>1.2536</v>
      </c>
      <c r="U7">
        <v>2.04</v>
      </c>
      <c r="V7" t="e">
        <v>#N/A</v>
      </c>
      <c r="W7">
        <v>3.93859</v>
      </c>
      <c r="X7" t="e">
        <v>#N/A</v>
      </c>
      <c r="Y7">
        <v>5.6985999999999999</v>
      </c>
      <c r="Z7" t="e">
        <v>#N/A</v>
      </c>
      <c r="AA7">
        <v>7.35</v>
      </c>
      <c r="AB7">
        <v>2.4325000000000001</v>
      </c>
      <c r="AC7">
        <v>2.4325000000000001</v>
      </c>
      <c r="AD7" t="e">
        <v>#N/A</v>
      </c>
      <c r="AE7">
        <v>7.35</v>
      </c>
      <c r="AF7">
        <v>7.6401000000000003</v>
      </c>
      <c r="AG7">
        <v>3.9025439999999998</v>
      </c>
      <c r="AH7">
        <v>3.3710589999999998</v>
      </c>
      <c r="AI7">
        <v>6.4626409999999996</v>
      </c>
      <c r="AJ7">
        <v>3.7299897999999998</v>
      </c>
      <c r="AK7" t="e">
        <v>#N/A</v>
      </c>
      <c r="AL7">
        <v>5.6717234000000003</v>
      </c>
      <c r="AM7">
        <v>9.8875770000000003</v>
      </c>
      <c r="AN7" t="e">
        <v>#N/A</v>
      </c>
    </row>
    <row r="8" spans="1:40" x14ac:dyDescent="0.35">
      <c r="A8" s="2">
        <v>43465</v>
      </c>
      <c r="B8">
        <v>9.3776600000000006</v>
      </c>
      <c r="C8">
        <v>2.8144</v>
      </c>
      <c r="D8">
        <v>1.9803999999999999</v>
      </c>
      <c r="E8">
        <v>0.23899999999999999</v>
      </c>
      <c r="F8">
        <v>0.86480000000000001</v>
      </c>
      <c r="G8">
        <v>3.259862</v>
      </c>
      <c r="H8">
        <v>3.259862</v>
      </c>
      <c r="I8">
        <v>15.896212999999999</v>
      </c>
      <c r="J8">
        <v>3.259862</v>
      </c>
      <c r="K8">
        <v>0.71</v>
      </c>
      <c r="L8" t="e">
        <v>#N/A</v>
      </c>
      <c r="M8">
        <v>0.23899999999999999</v>
      </c>
      <c r="N8">
        <v>-0.17599999999999999</v>
      </c>
      <c r="O8">
        <v>4.37</v>
      </c>
      <c r="P8">
        <v>5.6451140000000004</v>
      </c>
      <c r="Q8">
        <v>2.3149999999999999</v>
      </c>
      <c r="R8">
        <v>-5.1000000000000004E-3</v>
      </c>
      <c r="S8" t="e">
        <v>#N/A</v>
      </c>
      <c r="T8">
        <v>1.3339000000000001</v>
      </c>
      <c r="U8">
        <v>1.96</v>
      </c>
      <c r="V8" t="e">
        <v>#N/A</v>
      </c>
      <c r="W8">
        <v>3.259862</v>
      </c>
      <c r="X8" t="e">
        <v>#N/A</v>
      </c>
      <c r="Y8">
        <v>7.1730304</v>
      </c>
      <c r="Z8" t="e">
        <v>#N/A</v>
      </c>
      <c r="AA8">
        <v>7.35</v>
      </c>
      <c r="AB8">
        <v>2.6836000000000002</v>
      </c>
      <c r="AC8">
        <v>2.6836000000000002</v>
      </c>
      <c r="AD8" t="e">
        <v>#N/A</v>
      </c>
      <c r="AE8">
        <v>7.35</v>
      </c>
      <c r="AF8">
        <v>8.7068999999999992</v>
      </c>
      <c r="AG8">
        <v>4.2356420000000004</v>
      </c>
      <c r="AH8">
        <v>3.6940187999999998</v>
      </c>
      <c r="AI8">
        <v>8.1481829999999995</v>
      </c>
      <c r="AJ8">
        <v>4.5715503999999996</v>
      </c>
      <c r="AK8" t="e">
        <v>#N/A</v>
      </c>
      <c r="AL8">
        <v>4.7380060000000004</v>
      </c>
      <c r="AM8">
        <v>8.9360929999999996</v>
      </c>
      <c r="AN8" t="e">
        <v>#N/A</v>
      </c>
    </row>
    <row r="9" spans="1:40" x14ac:dyDescent="0.35">
      <c r="A9" s="2">
        <v>43830</v>
      </c>
      <c r="B9">
        <v>9.0117720000000006</v>
      </c>
      <c r="C9">
        <v>2.1086</v>
      </c>
      <c r="D9">
        <v>1.6728000000000001</v>
      </c>
      <c r="E9">
        <v>-0.189</v>
      </c>
      <c r="F9">
        <v>0.67200000000000004</v>
      </c>
      <c r="G9">
        <v>3.197311</v>
      </c>
      <c r="H9">
        <v>3.197311</v>
      </c>
      <c r="I9">
        <v>12.034795000000001</v>
      </c>
      <c r="J9">
        <v>3.197311</v>
      </c>
      <c r="K9">
        <v>0.11799999999999999</v>
      </c>
      <c r="L9" t="e">
        <v>#N/A</v>
      </c>
      <c r="M9">
        <v>-0.189</v>
      </c>
      <c r="N9">
        <v>-0.434</v>
      </c>
      <c r="O9">
        <v>1.45</v>
      </c>
      <c r="P9">
        <v>4.2432259999999999</v>
      </c>
      <c r="Q9">
        <v>1.375</v>
      </c>
      <c r="R9">
        <v>-2.0799999999999999E-2</v>
      </c>
      <c r="S9" t="e">
        <v>#N/A</v>
      </c>
      <c r="T9">
        <v>0.82199999999999995</v>
      </c>
      <c r="U9">
        <v>1.7</v>
      </c>
      <c r="V9" t="e">
        <v>#N/A</v>
      </c>
      <c r="W9">
        <v>3.197311</v>
      </c>
      <c r="X9" t="e">
        <v>#N/A</v>
      </c>
      <c r="Y9">
        <v>4.8475820000000001</v>
      </c>
      <c r="Z9" t="e">
        <v>#N/A</v>
      </c>
      <c r="AA9">
        <v>6.55</v>
      </c>
      <c r="AB9">
        <v>1.9185000000000001</v>
      </c>
      <c r="AC9">
        <v>1.9185000000000001</v>
      </c>
      <c r="AD9" t="e">
        <v>#N/A</v>
      </c>
      <c r="AE9">
        <v>6.55</v>
      </c>
      <c r="AF9">
        <v>6.8372999999999999</v>
      </c>
      <c r="AG9">
        <v>3.300551</v>
      </c>
      <c r="AH9">
        <v>2.5427209999999998</v>
      </c>
      <c r="AI9">
        <v>7.2635839999999998</v>
      </c>
      <c r="AJ9">
        <v>2.8775355999999999</v>
      </c>
      <c r="AK9" t="e">
        <v>#N/A</v>
      </c>
      <c r="AL9">
        <v>3.5404545999999999</v>
      </c>
      <c r="AM9">
        <v>6.8836779999999997</v>
      </c>
      <c r="AN9" t="e">
        <v>#N/A</v>
      </c>
    </row>
    <row r="10" spans="1:40" x14ac:dyDescent="0.35">
      <c r="A10" s="2">
        <v>44196</v>
      </c>
      <c r="B10">
        <v>9.1744690000000002</v>
      </c>
      <c r="C10">
        <v>1.2350000000000001</v>
      </c>
      <c r="D10">
        <v>1.7238</v>
      </c>
      <c r="E10">
        <v>-0.57499999999999996</v>
      </c>
      <c r="F10">
        <v>0.315</v>
      </c>
      <c r="G10">
        <v>3.1947999999999999</v>
      </c>
      <c r="H10">
        <v>3.1947999999999999</v>
      </c>
      <c r="I10">
        <v>12.534946</v>
      </c>
      <c r="J10">
        <v>3.1947999999999999</v>
      </c>
      <c r="K10">
        <v>-0.34399999999999997</v>
      </c>
      <c r="L10" t="e">
        <v>#N/A</v>
      </c>
      <c r="M10">
        <v>-0.57499999999999996</v>
      </c>
      <c r="N10">
        <v>-0.49</v>
      </c>
      <c r="O10">
        <v>0.61799999999999999</v>
      </c>
      <c r="P10">
        <v>3.5359829999999999</v>
      </c>
      <c r="Q10">
        <v>0.97199999999999998</v>
      </c>
      <c r="R10">
        <v>2.01E-2</v>
      </c>
      <c r="S10" t="e">
        <v>#N/A</v>
      </c>
      <c r="T10">
        <v>0.19700000000000001</v>
      </c>
      <c r="U10">
        <v>0.67</v>
      </c>
      <c r="V10" t="e">
        <v>#N/A</v>
      </c>
      <c r="W10">
        <v>3.1947999999999999</v>
      </c>
      <c r="X10" t="e">
        <v>#N/A</v>
      </c>
      <c r="Y10">
        <v>3.4208683999999998</v>
      </c>
      <c r="Z10" t="e">
        <v>#N/A</v>
      </c>
      <c r="AA10">
        <v>5.9</v>
      </c>
      <c r="AB10">
        <v>0.91739999999999999</v>
      </c>
      <c r="AC10">
        <v>0.91739999999999999</v>
      </c>
      <c r="AD10" t="e">
        <v>#N/A</v>
      </c>
      <c r="AE10">
        <v>5.9</v>
      </c>
      <c r="AF10">
        <v>5.5519999999999996</v>
      </c>
      <c r="AG10">
        <v>2.8041809999999998</v>
      </c>
      <c r="AH10">
        <v>1.7060698000000001</v>
      </c>
      <c r="AI10">
        <v>5.9022059999999996</v>
      </c>
      <c r="AJ10">
        <v>2.0844027999999999</v>
      </c>
      <c r="AK10" t="e">
        <v>#N/A</v>
      </c>
      <c r="AL10">
        <v>2.4877946</v>
      </c>
      <c r="AM10">
        <v>6.9612189999999998</v>
      </c>
      <c r="AN10" t="e">
        <v>#N/A</v>
      </c>
    </row>
    <row r="11" spans="1:40" x14ac:dyDescent="0.35">
      <c r="A11" s="2">
        <v>44561</v>
      </c>
      <c r="B11">
        <v>9.7918369999999992</v>
      </c>
      <c r="C11">
        <v>3.6215999999999999</v>
      </c>
      <c r="D11">
        <v>2.2416999999999998</v>
      </c>
      <c r="E11">
        <v>-0.18099999999999999</v>
      </c>
      <c r="F11">
        <v>0.74129999999999996</v>
      </c>
      <c r="G11">
        <v>2.7892999999999999</v>
      </c>
      <c r="H11">
        <v>2.7892999999999999</v>
      </c>
      <c r="I11">
        <v>23.870692999999999</v>
      </c>
      <c r="J11">
        <v>2.7892999999999999</v>
      </c>
      <c r="K11">
        <v>0.20100000000000001</v>
      </c>
      <c r="L11" t="e">
        <v>#N/A</v>
      </c>
      <c r="M11">
        <v>-0.18099999999999999</v>
      </c>
      <c r="N11">
        <v>-0.111</v>
      </c>
      <c r="O11">
        <v>1.3149999999999999</v>
      </c>
      <c r="P11">
        <v>5.8899059999999999</v>
      </c>
      <c r="Q11">
        <v>1.671</v>
      </c>
      <c r="R11">
        <v>6.7199999999999996E-2</v>
      </c>
      <c r="S11" t="e">
        <v>#N/A</v>
      </c>
      <c r="T11">
        <v>0.96599999999999997</v>
      </c>
      <c r="U11">
        <v>1.42</v>
      </c>
      <c r="V11" t="e">
        <v>#N/A</v>
      </c>
      <c r="W11">
        <v>2.7892999999999999</v>
      </c>
      <c r="X11" t="e">
        <v>#N/A</v>
      </c>
      <c r="Y11">
        <v>4.7967230000000001</v>
      </c>
      <c r="Z11" t="e">
        <v>#N/A</v>
      </c>
      <c r="AA11">
        <v>6.45</v>
      </c>
      <c r="AB11">
        <v>1.5119</v>
      </c>
      <c r="AC11">
        <v>1.5119</v>
      </c>
      <c r="AD11" t="e">
        <v>#N/A</v>
      </c>
      <c r="AE11">
        <v>6.45</v>
      </c>
      <c r="AF11">
        <v>7.5579999999999998</v>
      </c>
      <c r="AG11">
        <v>3.573893</v>
      </c>
      <c r="AH11">
        <v>2.0444936999999999</v>
      </c>
      <c r="AI11">
        <v>6.4582829999999998</v>
      </c>
      <c r="AJ11">
        <v>2.5113702</v>
      </c>
      <c r="AK11" t="e">
        <v>#N/A</v>
      </c>
      <c r="AL11">
        <v>2.0594030000000001</v>
      </c>
      <c r="AM11">
        <v>10.970291</v>
      </c>
      <c r="AN11" t="e">
        <v>#N/A</v>
      </c>
    </row>
    <row r="12" spans="1:40" x14ac:dyDescent="0.35">
      <c r="A12" s="2">
        <v>44925</v>
      </c>
      <c r="B12">
        <v>10.764476999999999</v>
      </c>
      <c r="C12">
        <v>6.8411</v>
      </c>
      <c r="D12">
        <v>3.6905999999999999</v>
      </c>
      <c r="E12">
        <v>2.5339999999999998</v>
      </c>
      <c r="F12">
        <v>1.2811999999999999</v>
      </c>
      <c r="G12">
        <v>2.855</v>
      </c>
      <c r="H12">
        <v>2.855</v>
      </c>
      <c r="I12">
        <v>7.3238029999999998</v>
      </c>
      <c r="J12">
        <v>2.855</v>
      </c>
      <c r="K12">
        <v>3.07</v>
      </c>
      <c r="L12" t="e">
        <v>#N/A</v>
      </c>
      <c r="M12">
        <v>2.5329999999999999</v>
      </c>
      <c r="N12">
        <v>1.617</v>
      </c>
      <c r="O12">
        <v>4.585</v>
      </c>
      <c r="P12">
        <v>7.923381</v>
      </c>
      <c r="Q12">
        <v>4.0510000000000002</v>
      </c>
      <c r="R12">
        <v>0.4224</v>
      </c>
      <c r="S12" t="e">
        <v>#N/A</v>
      </c>
      <c r="T12">
        <v>3.6619999999999999</v>
      </c>
      <c r="U12">
        <v>3.3</v>
      </c>
      <c r="V12" t="e">
        <v>#N/A</v>
      </c>
      <c r="W12">
        <v>2.855</v>
      </c>
      <c r="X12" t="e">
        <v>#N/A</v>
      </c>
      <c r="Y12">
        <v>6.9293385000000001</v>
      </c>
      <c r="Z12" t="e">
        <v>#N/A</v>
      </c>
      <c r="AA12">
        <v>7.33</v>
      </c>
      <c r="AB12">
        <v>3.8776000000000002</v>
      </c>
      <c r="AC12">
        <v>3.8776000000000002</v>
      </c>
      <c r="AD12" t="e">
        <v>#N/A</v>
      </c>
      <c r="AE12">
        <v>7.33</v>
      </c>
      <c r="AF12">
        <v>9.0222999999999995</v>
      </c>
      <c r="AG12">
        <v>4.1318469999999996</v>
      </c>
      <c r="AH12">
        <v>4.2739367000000001</v>
      </c>
      <c r="AI12">
        <v>6.9365790000000001</v>
      </c>
      <c r="AJ12">
        <v>4.6139729999999997</v>
      </c>
      <c r="AK12" t="e">
        <v>#N/A</v>
      </c>
      <c r="AL12">
        <v>4.6872259999999999</v>
      </c>
      <c r="AM12">
        <v>12.900059000000001</v>
      </c>
      <c r="AN12" t="e">
        <v>#N/A</v>
      </c>
    </row>
    <row r="13" spans="1:40" x14ac:dyDescent="0.35">
      <c r="A13" s="2">
        <v>45289</v>
      </c>
      <c r="B13">
        <v>11.358896</v>
      </c>
      <c r="C13">
        <v>5.1912000000000003</v>
      </c>
      <c r="D13">
        <v>3.1928000000000001</v>
      </c>
      <c r="E13">
        <v>2.004</v>
      </c>
      <c r="F13">
        <v>1.2110000000000001</v>
      </c>
      <c r="G13">
        <v>2.5739999999999998</v>
      </c>
      <c r="H13">
        <v>2.5739999999999998</v>
      </c>
      <c r="I13">
        <v>21.984321999999999</v>
      </c>
      <c r="J13">
        <v>2.5739999999999998</v>
      </c>
      <c r="K13">
        <v>2.5339999999999998</v>
      </c>
      <c r="L13" t="e">
        <v>#N/A</v>
      </c>
      <c r="M13">
        <v>2.004</v>
      </c>
      <c r="N13">
        <v>0.70299999999999996</v>
      </c>
      <c r="O13">
        <v>3.0990000000000002</v>
      </c>
      <c r="P13">
        <v>6.6086999999999998</v>
      </c>
      <c r="Q13">
        <v>3.9550000000000001</v>
      </c>
      <c r="R13">
        <v>0.61270000000000002</v>
      </c>
      <c r="S13" t="e">
        <v>#N/A</v>
      </c>
      <c r="T13">
        <v>3.5339999999999998</v>
      </c>
      <c r="U13">
        <v>3.0987</v>
      </c>
      <c r="V13" t="e">
        <v>#N/A</v>
      </c>
      <c r="W13">
        <v>2.5739999999999998</v>
      </c>
      <c r="X13" t="e">
        <v>#N/A</v>
      </c>
      <c r="Y13">
        <v>6.0028777</v>
      </c>
      <c r="Z13" t="e">
        <v>#N/A</v>
      </c>
      <c r="AA13">
        <v>7.19</v>
      </c>
      <c r="AB13">
        <v>3.8791000000000002</v>
      </c>
      <c r="AC13">
        <v>3.8791000000000002</v>
      </c>
      <c r="AD13" t="e">
        <v>#N/A</v>
      </c>
      <c r="AE13">
        <v>7.19</v>
      </c>
      <c r="AF13">
        <v>8.9499999999999993</v>
      </c>
      <c r="AG13">
        <v>3.7275049999999998</v>
      </c>
      <c r="AH13" t="e">
        <v>#N/A</v>
      </c>
      <c r="AI13">
        <v>6.4985710000000001</v>
      </c>
      <c r="AJ13">
        <v>4.608568</v>
      </c>
      <c r="AK13" t="e">
        <v>#N/A</v>
      </c>
      <c r="AL13">
        <v>2.9473283000000001</v>
      </c>
      <c r="AM13">
        <v>10.455909</v>
      </c>
      <c r="AN13" t="e">
        <v>#N/A</v>
      </c>
    </row>
    <row r="14" spans="1:40" x14ac:dyDescent="0.35">
      <c r="A14" s="2"/>
    </row>
    <row r="15" spans="1:40" x14ac:dyDescent="0.35">
      <c r="A15" s="2"/>
    </row>
    <row r="16" spans="1:40" x14ac:dyDescent="0.35">
      <c r="A16" s="2" t="s">
        <v>91</v>
      </c>
      <c r="B16">
        <f>MIN(_xlfn.ANCHORARRAY(B4))</f>
        <v>7.9537000000000004</v>
      </c>
      <c r="C16">
        <f t="shared" ref="C16:AN16" si="0">MIN(_xlfn.ANCHORARRAY(C4))</f>
        <v>1.2350000000000001</v>
      </c>
      <c r="D16">
        <f t="shared" si="0"/>
        <v>1.6728000000000001</v>
      </c>
      <c r="E16">
        <f t="shared" si="0"/>
        <v>-0.57499999999999996</v>
      </c>
      <c r="F16">
        <f t="shared" si="0"/>
        <v>0.315</v>
      </c>
      <c r="G16">
        <f t="shared" si="0"/>
        <v>2.5739999999999998</v>
      </c>
      <c r="H16">
        <f t="shared" si="0"/>
        <v>2.5739999999999998</v>
      </c>
      <c r="I16">
        <f t="shared" si="0"/>
        <v>7.3238029999999998</v>
      </c>
      <c r="J16">
        <f t="shared" si="0"/>
        <v>2.5739999999999998</v>
      </c>
      <c r="K16">
        <f t="shared" si="0"/>
        <v>-0.34399999999999997</v>
      </c>
      <c r="L16" t="e">
        <f t="shared" si="0"/>
        <v>#N/A</v>
      </c>
      <c r="M16">
        <f t="shared" si="0"/>
        <v>-0.57499999999999996</v>
      </c>
      <c r="N16" t="e">
        <f t="shared" si="0"/>
        <v>#N/A</v>
      </c>
      <c r="O16">
        <f t="shared" si="0"/>
        <v>0.61799999999999999</v>
      </c>
      <c r="P16">
        <f t="shared" si="0"/>
        <v>3.5359829999999999</v>
      </c>
      <c r="Q16">
        <f t="shared" si="0"/>
        <v>0.97199999999999998</v>
      </c>
      <c r="R16">
        <f t="shared" si="0"/>
        <v>-2.0799999999999999E-2</v>
      </c>
      <c r="S16" t="e">
        <f t="shared" si="0"/>
        <v>#N/A</v>
      </c>
      <c r="T16">
        <f t="shared" si="0"/>
        <v>0.19700000000000001</v>
      </c>
      <c r="U16">
        <f t="shared" si="0"/>
        <v>0.67</v>
      </c>
      <c r="V16" t="e">
        <f t="shared" si="0"/>
        <v>#N/A</v>
      </c>
      <c r="W16">
        <f t="shared" si="0"/>
        <v>2.5739999999999998</v>
      </c>
      <c r="X16" t="e">
        <f t="shared" si="0"/>
        <v>#N/A</v>
      </c>
      <c r="Y16">
        <f t="shared" si="0"/>
        <v>3.4208683999999998</v>
      </c>
      <c r="Z16" t="e">
        <f t="shared" si="0"/>
        <v>#N/A</v>
      </c>
      <c r="AA16">
        <f t="shared" si="0"/>
        <v>5.9</v>
      </c>
      <c r="AB16">
        <f t="shared" si="0"/>
        <v>0.91739999999999999</v>
      </c>
      <c r="AC16">
        <f t="shared" si="0"/>
        <v>0.91739999999999999</v>
      </c>
      <c r="AD16" t="e">
        <f t="shared" si="0"/>
        <v>#N/A</v>
      </c>
      <c r="AE16">
        <f t="shared" si="0"/>
        <v>5.9</v>
      </c>
      <c r="AF16">
        <f t="shared" si="0"/>
        <v>5.5519999999999996</v>
      </c>
      <c r="AG16">
        <f t="shared" si="0"/>
        <v>2.8041809999999998</v>
      </c>
      <c r="AH16" t="e">
        <f t="shared" si="0"/>
        <v>#N/A</v>
      </c>
      <c r="AI16">
        <f t="shared" si="0"/>
        <v>5.9022059999999996</v>
      </c>
      <c r="AJ16" t="e">
        <f t="shared" si="0"/>
        <v>#N/A</v>
      </c>
      <c r="AK16" t="e">
        <f t="shared" si="0"/>
        <v>#N/A</v>
      </c>
      <c r="AL16">
        <f t="shared" si="0"/>
        <v>2.0594030000000001</v>
      </c>
      <c r="AM16">
        <f t="shared" si="0"/>
        <v>6.8836779999999997</v>
      </c>
      <c r="AN16" t="e">
        <f t="shared" si="0"/>
        <v>#N/A</v>
      </c>
    </row>
    <row r="17" spans="1:40" x14ac:dyDescent="0.35">
      <c r="A17" s="2" t="s">
        <v>394</v>
      </c>
      <c r="B17">
        <f>MEDIAN(_xlfn.ANCHORARRAY(B4))</f>
        <v>9.2760645000000004</v>
      </c>
      <c r="C17">
        <f t="shared" ref="C17:AN17" si="1">MEDIAN(_xlfn.ANCHORARRAY(C4))</f>
        <v>3.1111499999999999</v>
      </c>
      <c r="D17">
        <f t="shared" si="1"/>
        <v>2.1666499999999997</v>
      </c>
      <c r="E17">
        <f t="shared" si="1"/>
        <v>0.35449999999999998</v>
      </c>
      <c r="F17">
        <f t="shared" si="1"/>
        <v>0.98139999999999994</v>
      </c>
      <c r="G17">
        <f t="shared" si="1"/>
        <v>3.1328554999999998</v>
      </c>
      <c r="H17">
        <f t="shared" si="1"/>
        <v>3.1328554999999998</v>
      </c>
      <c r="I17">
        <f t="shared" si="1"/>
        <v>11.810461500000001</v>
      </c>
      <c r="J17">
        <f t="shared" si="1"/>
        <v>3.1328554999999998</v>
      </c>
      <c r="K17">
        <f t="shared" si="1"/>
        <v>0.74750000000000005</v>
      </c>
      <c r="L17" t="e">
        <f t="shared" si="1"/>
        <v>#N/A</v>
      </c>
      <c r="M17">
        <f t="shared" si="1"/>
        <v>0.3342</v>
      </c>
      <c r="N17" t="e">
        <f t="shared" si="1"/>
        <v>#N/A</v>
      </c>
      <c r="O17">
        <f t="shared" si="1"/>
        <v>4.2549999999999999</v>
      </c>
      <c r="P17">
        <f t="shared" si="1"/>
        <v>5.7857675000000004</v>
      </c>
      <c r="Q17">
        <f t="shared" si="1"/>
        <v>2.6949999999999998</v>
      </c>
      <c r="R17">
        <f t="shared" si="1"/>
        <v>5.6849999999999998E-2</v>
      </c>
      <c r="S17" t="e">
        <f t="shared" si="1"/>
        <v>#N/A</v>
      </c>
      <c r="T17">
        <f t="shared" si="1"/>
        <v>1.3078000000000001</v>
      </c>
      <c r="U17">
        <f t="shared" si="1"/>
        <v>1.7549999999999999</v>
      </c>
      <c r="V17" t="e">
        <f t="shared" si="1"/>
        <v>#N/A</v>
      </c>
      <c r="W17">
        <f t="shared" si="1"/>
        <v>3.1328554999999998</v>
      </c>
      <c r="X17" t="e">
        <f t="shared" si="1"/>
        <v>#N/A</v>
      </c>
      <c r="Y17">
        <f t="shared" si="1"/>
        <v>4.8221524999999996</v>
      </c>
      <c r="Z17" t="e">
        <f t="shared" si="1"/>
        <v>#N/A</v>
      </c>
      <c r="AA17">
        <f t="shared" si="1"/>
        <v>7.26</v>
      </c>
      <c r="AB17">
        <f t="shared" si="1"/>
        <v>2.3643000000000001</v>
      </c>
      <c r="AC17">
        <f t="shared" si="1"/>
        <v>2.3643000000000001</v>
      </c>
      <c r="AD17" t="e">
        <f t="shared" si="1"/>
        <v>#N/A</v>
      </c>
      <c r="AE17">
        <f t="shared" si="1"/>
        <v>7.26</v>
      </c>
      <c r="AF17">
        <f t="shared" si="1"/>
        <v>7.5615500000000004</v>
      </c>
      <c r="AG17">
        <f t="shared" si="1"/>
        <v>4.0171954999999997</v>
      </c>
      <c r="AH17" t="e">
        <f t="shared" si="1"/>
        <v>#N/A</v>
      </c>
      <c r="AI17">
        <f t="shared" si="1"/>
        <v>7.1000814999999999</v>
      </c>
      <c r="AJ17" t="e">
        <f t="shared" si="1"/>
        <v>#N/A</v>
      </c>
      <c r="AK17" t="e">
        <f t="shared" si="1"/>
        <v>#N/A</v>
      </c>
      <c r="AL17">
        <f t="shared" si="1"/>
        <v>4.7126160000000006</v>
      </c>
      <c r="AM17">
        <f t="shared" si="1"/>
        <v>10.713100000000001</v>
      </c>
      <c r="AN17" t="e">
        <f t="shared" si="1"/>
        <v>#N/A</v>
      </c>
    </row>
    <row r="18" spans="1:40" x14ac:dyDescent="0.35">
      <c r="A18" s="2" t="s">
        <v>496</v>
      </c>
      <c r="B18">
        <f>B13</f>
        <v>11.358896</v>
      </c>
      <c r="C18">
        <f t="shared" ref="C18:AN18" si="2">C13</f>
        <v>5.1912000000000003</v>
      </c>
      <c r="D18">
        <f t="shared" si="2"/>
        <v>3.1928000000000001</v>
      </c>
      <c r="E18">
        <f t="shared" si="2"/>
        <v>2.004</v>
      </c>
      <c r="F18">
        <f t="shared" si="2"/>
        <v>1.2110000000000001</v>
      </c>
      <c r="G18">
        <f t="shared" si="2"/>
        <v>2.5739999999999998</v>
      </c>
      <c r="H18">
        <f t="shared" si="2"/>
        <v>2.5739999999999998</v>
      </c>
      <c r="I18">
        <f t="shared" si="2"/>
        <v>21.984321999999999</v>
      </c>
      <c r="J18">
        <f t="shared" si="2"/>
        <v>2.5739999999999998</v>
      </c>
      <c r="K18">
        <f t="shared" si="2"/>
        <v>2.5339999999999998</v>
      </c>
      <c r="L18" t="e">
        <f t="shared" si="2"/>
        <v>#N/A</v>
      </c>
      <c r="M18">
        <f t="shared" si="2"/>
        <v>2.004</v>
      </c>
      <c r="N18">
        <f t="shared" si="2"/>
        <v>0.70299999999999996</v>
      </c>
      <c r="O18">
        <f t="shared" si="2"/>
        <v>3.0990000000000002</v>
      </c>
      <c r="P18">
        <f t="shared" si="2"/>
        <v>6.6086999999999998</v>
      </c>
      <c r="Q18">
        <f t="shared" si="2"/>
        <v>3.9550000000000001</v>
      </c>
      <c r="R18">
        <f t="shared" si="2"/>
        <v>0.61270000000000002</v>
      </c>
      <c r="S18" t="e">
        <f t="shared" si="2"/>
        <v>#N/A</v>
      </c>
      <c r="T18">
        <f t="shared" si="2"/>
        <v>3.5339999999999998</v>
      </c>
      <c r="U18">
        <f t="shared" si="2"/>
        <v>3.0987</v>
      </c>
      <c r="V18" t="e">
        <f t="shared" si="2"/>
        <v>#N/A</v>
      </c>
      <c r="W18">
        <f t="shared" si="2"/>
        <v>2.5739999999999998</v>
      </c>
      <c r="X18" t="e">
        <f t="shared" si="2"/>
        <v>#N/A</v>
      </c>
      <c r="Y18">
        <f t="shared" si="2"/>
        <v>6.0028777</v>
      </c>
      <c r="Z18" t="e">
        <f t="shared" si="2"/>
        <v>#N/A</v>
      </c>
      <c r="AA18">
        <f t="shared" si="2"/>
        <v>7.19</v>
      </c>
      <c r="AB18">
        <f t="shared" si="2"/>
        <v>3.8791000000000002</v>
      </c>
      <c r="AC18">
        <f t="shared" si="2"/>
        <v>3.8791000000000002</v>
      </c>
      <c r="AD18" t="e">
        <f t="shared" si="2"/>
        <v>#N/A</v>
      </c>
      <c r="AE18">
        <f t="shared" si="2"/>
        <v>7.19</v>
      </c>
      <c r="AF18">
        <f t="shared" si="2"/>
        <v>8.9499999999999993</v>
      </c>
      <c r="AG18">
        <f t="shared" si="2"/>
        <v>3.7275049999999998</v>
      </c>
      <c r="AH18" t="e">
        <f t="shared" si="2"/>
        <v>#N/A</v>
      </c>
      <c r="AI18">
        <f t="shared" si="2"/>
        <v>6.4985710000000001</v>
      </c>
      <c r="AJ18">
        <f t="shared" si="2"/>
        <v>4.608568</v>
      </c>
      <c r="AK18" t="e">
        <f t="shared" si="2"/>
        <v>#N/A</v>
      </c>
      <c r="AL18">
        <f t="shared" si="2"/>
        <v>2.9473283000000001</v>
      </c>
      <c r="AM18">
        <f t="shared" si="2"/>
        <v>10.455909</v>
      </c>
      <c r="AN18" t="e">
        <f t="shared" si="2"/>
        <v>#N/A</v>
      </c>
    </row>
    <row r="19" spans="1:40" x14ac:dyDescent="0.35">
      <c r="A19" s="2"/>
    </row>
    <row r="20" spans="1:40" x14ac:dyDescent="0.35">
      <c r="A20" s="2"/>
    </row>
    <row r="21" spans="1:40" x14ac:dyDescent="0.35">
      <c r="A21" s="2"/>
    </row>
    <row r="22" spans="1:40" x14ac:dyDescent="0.35">
      <c r="A22" s="2"/>
    </row>
    <row r="23" spans="1:40" x14ac:dyDescent="0.35">
      <c r="A23" s="2"/>
    </row>
    <row r="24" spans="1:40" x14ac:dyDescent="0.35">
      <c r="A24" s="2"/>
    </row>
    <row r="25" spans="1:40" x14ac:dyDescent="0.35">
      <c r="A25" s="2"/>
    </row>
    <row r="26" spans="1:40" x14ac:dyDescent="0.35">
      <c r="A26" s="2"/>
    </row>
    <row r="27" spans="1:40" x14ac:dyDescent="0.35">
      <c r="A27" s="2"/>
    </row>
    <row r="28" spans="1:40" x14ac:dyDescent="0.35">
      <c r="A28" s="2"/>
    </row>
    <row r="29" spans="1:40" x14ac:dyDescent="0.35">
      <c r="A29" s="2"/>
    </row>
    <row r="30" spans="1:40" x14ac:dyDescent="0.35">
      <c r="A30" s="2"/>
    </row>
    <row r="31" spans="1:40" x14ac:dyDescent="0.35">
      <c r="A31" s="2"/>
    </row>
    <row r="32" spans="1:40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</sheetData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D20E4-97B2-4EB7-897A-3D28BEFA8748}">
  <dimension ref="A1:Q25"/>
  <sheetViews>
    <sheetView workbookViewId="0">
      <selection activeCell="K1" sqref="K1:N1"/>
    </sheetView>
  </sheetViews>
  <sheetFormatPr defaultRowHeight="14.5" x14ac:dyDescent="0.35"/>
  <cols>
    <col min="1" max="1" width="10.54296875" customWidth="1"/>
  </cols>
  <sheetData>
    <row r="1" spans="1:14" x14ac:dyDescent="0.35">
      <c r="B1" t="s">
        <v>431</v>
      </c>
      <c r="C1" t="s">
        <v>44</v>
      </c>
      <c r="D1" t="s">
        <v>49</v>
      </c>
      <c r="E1" t="s">
        <v>11</v>
      </c>
      <c r="F1" t="s">
        <v>46</v>
      </c>
      <c r="G1" t="s">
        <v>42</v>
      </c>
      <c r="H1" t="s">
        <v>48</v>
      </c>
      <c r="I1" t="s">
        <v>51</v>
      </c>
      <c r="J1" t="s">
        <v>1</v>
      </c>
      <c r="K1" t="s">
        <v>865</v>
      </c>
      <c r="L1" t="s">
        <v>867</v>
      </c>
      <c r="M1" t="s">
        <v>864</v>
      </c>
      <c r="N1" t="s">
        <v>866</v>
      </c>
    </row>
    <row r="2" spans="1:14" ht="25.5" customHeight="1" x14ac:dyDescent="0.35">
      <c r="A2" s="2" cm="1">
        <f t="array" ref="A2:A21">_xll.FDS(C1,"JULIAN(FMA_ROE(NTMA,-20AY,NOW,FY,""PORTAGG"",""MEANR"").dates)")</f>
        <v>38352</v>
      </c>
      <c r="B2" t="str" cm="1">
        <f t="array" ref="B2:B21">_xll.FDSB(B1,"FMA_ROE(NTMA,-20AY,NOW,FY,""PORTAGG"",""MEANR"")")</f>
        <v/>
      </c>
      <c r="C2" cm="1">
        <f t="array" ref="C2:C21">_xll.FDSB(C1,"FMA_ROE(NTMA,-20AY,NOW,FY,""PORTAGG"",""MEANR"")")</f>
        <v>15.4970825561621</v>
      </c>
      <c r="D2" cm="1">
        <f t="array" ref="D2:D21">_xll.FDSB(D1,"FMA_ROE(NTMA,-20AY,NOW,FY,""PORTAGG"",""MEANR"")")</f>
        <v>14.6738571923606</v>
      </c>
      <c r="E2" cm="1">
        <f t="array" ref="E2:E21">_xll.FDSB(E1,"FMA_ROE(NTMA,-20AY,NOW,FY,""PORTAGG"",""MEANR"")")</f>
        <v>11.827555059993299</v>
      </c>
      <c r="F2" cm="1">
        <f t="array" ref="F2:F21">_xll.FDSB(F1,"FMA_ROE(NTMA,-20AY,NOW,FY,""PORTAGG"",""MEANR"")")</f>
        <v>9.4722639547096605</v>
      </c>
      <c r="G2" cm="1">
        <f t="array" ref="G2:G21">_xll.FDSB(G1,"FMA_ROE(NTMA,-20AY,NOW,FY,""PORTAGG"",""MEANR"")")</f>
        <v>15.9587717941353</v>
      </c>
      <c r="H2" cm="1">
        <f t="array" ref="H2:H21">_xll.FDSB(H1,"FMA_ROE(NTMA,-20AY,NOW,FY,""PORTAGG"",""MEANR"")")</f>
        <v>17.001374333558701</v>
      </c>
      <c r="I2" cm="1">
        <f t="array" ref="I2:I21">_xll.FDSB(I1,"FMA_ROE(NTMA,-20AY,NOW,FY,""PORTAGG"",""MEANR"")")</f>
        <v>14.817843581598</v>
      </c>
      <c r="J2" cm="1">
        <f t="array" ref="J2:J21">_xll.FDSB(J1,"FMA_ROE(NTMA,-20AY,NOW,FY,""PORTAGG"",""MEANR"")")</f>
        <v>15.586179020045901</v>
      </c>
      <c r="K2" cm="1">
        <f t="array" ref="K2:K21">_xll.FDSB(K1,"FMA_ROE(NTMA,-20AY,NOW,FY,""PORTAGG"",""MEANR"")")</f>
        <v>15.378510988127299</v>
      </c>
      <c r="L2" cm="1">
        <f t="array" ref="L2:L21">_xll.FDSB(L1,"FMA_ROE(NTMA,-20AY,NOW,FY,""PORTAGG"",""MEANR"")")</f>
        <v>20.502702273176801</v>
      </c>
      <c r="M2" cm="1">
        <f t="array" ref="M2:M21">_xll.FDSB(M1,"FMA_ROE(NTMA,-20AY,NOW,FY,""PORTAGG"",""MEANR"")")</f>
        <v>16.226109086479301</v>
      </c>
      <c r="N2" cm="1">
        <f t="array" ref="N2:N21">_xll.FDSB(N1,"FMA_ROE(NTMA,-20AY,NOW,FY,""PORTAGG"",""MEANR"")")</f>
        <v>12.7201174133668</v>
      </c>
    </row>
    <row r="3" spans="1:14" ht="25.5" customHeight="1" x14ac:dyDescent="0.35">
      <c r="A3" s="2">
        <v>38716</v>
      </c>
      <c r="B3" t="str">
        <v/>
      </c>
      <c r="C3">
        <v>16.532509518013999</v>
      </c>
      <c r="D3">
        <v>15.7709471724654</v>
      </c>
      <c r="E3">
        <v>12.5810872006639</v>
      </c>
      <c r="F3">
        <v>9.7108092859513899</v>
      </c>
      <c r="G3">
        <v>16.670944245646201</v>
      </c>
      <c r="H3">
        <v>17.4840740170497</v>
      </c>
      <c r="I3">
        <v>15.486694777592099</v>
      </c>
      <c r="J3">
        <v>16.732203856681899</v>
      </c>
      <c r="K3">
        <v>16.630213142081299</v>
      </c>
      <c r="L3">
        <v>18.438843283905701</v>
      </c>
      <c r="M3">
        <v>17.2247287220762</v>
      </c>
      <c r="N3">
        <v>14.3538872460945</v>
      </c>
    </row>
    <row r="4" spans="1:14" ht="25.5" customHeight="1" x14ac:dyDescent="0.35">
      <c r="A4" s="2">
        <v>39080</v>
      </c>
      <c r="B4" t="str">
        <v/>
      </c>
      <c r="C4">
        <v>17.019399648616702</v>
      </c>
      <c r="D4">
        <v>15.854713654361101</v>
      </c>
      <c r="E4">
        <v>13.372977849048</v>
      </c>
      <c r="F4">
        <v>9.9459490206900902</v>
      </c>
      <c r="G4">
        <v>17.319056104251299</v>
      </c>
      <c r="H4">
        <v>19.442574250405301</v>
      </c>
      <c r="I4">
        <v>16.833970499812899</v>
      </c>
      <c r="J4">
        <v>17.387356208818399</v>
      </c>
      <c r="K4">
        <v>15.408967362426599</v>
      </c>
      <c r="L4">
        <v>17.2963282197402</v>
      </c>
      <c r="M4">
        <v>18.210010684159698</v>
      </c>
      <c r="N4">
        <v>15.068908602684299</v>
      </c>
    </row>
    <row r="5" spans="1:14" ht="25.5" customHeight="1" x14ac:dyDescent="0.35">
      <c r="A5" s="2">
        <v>39447</v>
      </c>
      <c r="B5" t="str">
        <v/>
      </c>
      <c r="C5">
        <v>15.560991405865201</v>
      </c>
      <c r="D5">
        <v>16.5705490516163</v>
      </c>
      <c r="E5">
        <v>14.712722857709</v>
      </c>
      <c r="F5">
        <v>9.9106258464836792</v>
      </c>
      <c r="G5">
        <v>18.194046530628999</v>
      </c>
      <c r="H5">
        <v>18.922548163306399</v>
      </c>
      <c r="I5">
        <v>17.9560593685279</v>
      </c>
      <c r="J5">
        <v>17.7935626477889</v>
      </c>
      <c r="K5">
        <v>15.0205314626708</v>
      </c>
      <c r="L5">
        <v>16.622012430445402</v>
      </c>
      <c r="M5">
        <v>18.887175762553799</v>
      </c>
      <c r="N5">
        <v>13.812143044596301</v>
      </c>
    </row>
    <row r="6" spans="1:14" ht="25.5" customHeight="1" x14ac:dyDescent="0.35">
      <c r="A6" s="2">
        <v>39813</v>
      </c>
      <c r="B6" t="str">
        <v/>
      </c>
      <c r="C6">
        <v>13.5690116283254</v>
      </c>
      <c r="D6">
        <v>13.8099900139916</v>
      </c>
      <c r="E6">
        <v>11.5210886767193</v>
      </c>
      <c r="F6">
        <v>6.3264501132521804</v>
      </c>
      <c r="G6">
        <v>15.513687428345399</v>
      </c>
      <c r="H6">
        <v>14.973545163604699</v>
      </c>
      <c r="I6">
        <v>16.5654843697708</v>
      </c>
      <c r="J6">
        <v>13.938459770768899</v>
      </c>
      <c r="K6">
        <v>11.8797489821456</v>
      </c>
      <c r="L6">
        <v>13.982183103512799</v>
      </c>
      <c r="M6">
        <v>13.942889841066</v>
      </c>
      <c r="N6">
        <v>10.789750222635099</v>
      </c>
    </row>
    <row r="7" spans="1:14" ht="25.5" customHeight="1" x14ac:dyDescent="0.35">
      <c r="A7" s="2">
        <v>40178</v>
      </c>
      <c r="B7" t="str">
        <v/>
      </c>
      <c r="C7">
        <v>12.8492110125335</v>
      </c>
      <c r="D7">
        <v>11.8327104416904</v>
      </c>
      <c r="E7">
        <v>11.009433764833901</v>
      </c>
      <c r="F7">
        <v>5.7137456034125096</v>
      </c>
      <c r="G7">
        <v>17.2258858021045</v>
      </c>
      <c r="H7">
        <v>14.6457818658238</v>
      </c>
      <c r="I7">
        <v>17.596574126271399</v>
      </c>
      <c r="J7">
        <v>14.004346429543</v>
      </c>
      <c r="K7">
        <v>10.993409183456601</v>
      </c>
      <c r="L7">
        <v>13.3304023919735</v>
      </c>
      <c r="M7">
        <v>10.346174503291101</v>
      </c>
      <c r="N7">
        <v>8.0585564947070996</v>
      </c>
    </row>
    <row r="8" spans="1:14" ht="25.5" customHeight="1" x14ac:dyDescent="0.35">
      <c r="A8" s="2">
        <v>40543</v>
      </c>
      <c r="B8">
        <v>10.853226729587799</v>
      </c>
      <c r="C8">
        <v>14.2386354612725</v>
      </c>
      <c r="D8">
        <v>12.6984457284378</v>
      </c>
      <c r="E8">
        <v>13.0475804034897</v>
      </c>
      <c r="F8">
        <v>7.7760884645659401</v>
      </c>
      <c r="G8">
        <v>16.663378494351999</v>
      </c>
      <c r="H8">
        <v>16.154296497439798</v>
      </c>
      <c r="I8">
        <v>20.000374237164401</v>
      </c>
      <c r="J8">
        <v>15.039943345393599</v>
      </c>
      <c r="K8">
        <v>12.025937598748101</v>
      </c>
      <c r="L8">
        <v>14.659480994909201</v>
      </c>
      <c r="M8">
        <v>15.818215992178599</v>
      </c>
      <c r="N8">
        <v>8.8199042369870302</v>
      </c>
    </row>
    <row r="9" spans="1:14" ht="25.5" customHeight="1" x14ac:dyDescent="0.35">
      <c r="A9" s="2">
        <v>40907</v>
      </c>
      <c r="B9">
        <v>10.904873441364501</v>
      </c>
      <c r="C9">
        <v>14.168071267681</v>
      </c>
      <c r="D9">
        <v>13.509284892423301</v>
      </c>
      <c r="E9">
        <v>12.3546044213534</v>
      </c>
      <c r="F9">
        <v>7.2930951173439702</v>
      </c>
      <c r="G9">
        <v>15.1353221205521</v>
      </c>
      <c r="H9">
        <v>15.199607837615799</v>
      </c>
      <c r="I9">
        <v>20.959156893823899</v>
      </c>
      <c r="J9">
        <v>15.5262408812809</v>
      </c>
      <c r="K9">
        <v>10.817665506629901</v>
      </c>
      <c r="L9">
        <v>13.0989988533626</v>
      </c>
      <c r="M9">
        <v>15.7255547384444</v>
      </c>
      <c r="N9">
        <v>8.1166013658542493</v>
      </c>
    </row>
    <row r="10" spans="1:14" ht="25.5" customHeight="1" x14ac:dyDescent="0.35">
      <c r="A10" s="2">
        <v>41274</v>
      </c>
      <c r="B10">
        <v>11.45876758647</v>
      </c>
      <c r="C10">
        <v>12.692165288154101</v>
      </c>
      <c r="D10">
        <v>12.804929450575001</v>
      </c>
      <c r="E10">
        <v>12.103787649179401</v>
      </c>
      <c r="F10">
        <v>7.6046390639022201</v>
      </c>
      <c r="G10">
        <v>15.5882414428409</v>
      </c>
      <c r="H10">
        <v>14.4781479669762</v>
      </c>
      <c r="I10">
        <v>20.792196377515399</v>
      </c>
      <c r="J10">
        <v>15.3796547722071</v>
      </c>
      <c r="K10">
        <v>10.4079638226552</v>
      </c>
      <c r="L10">
        <v>12.002383507737299</v>
      </c>
      <c r="M10">
        <v>14.800794930168999</v>
      </c>
      <c r="N10">
        <v>7.8393954249384699</v>
      </c>
    </row>
    <row r="11" spans="1:14" ht="25.5" customHeight="1" x14ac:dyDescent="0.35">
      <c r="A11" s="2">
        <v>41639</v>
      </c>
      <c r="B11">
        <v>11.083258915241499</v>
      </c>
      <c r="C11">
        <v>13.1922555858139</v>
      </c>
      <c r="D11">
        <v>12.2925364029644</v>
      </c>
      <c r="E11">
        <v>12.1465108243325</v>
      </c>
      <c r="F11">
        <v>8.9088475830290008</v>
      </c>
      <c r="G11">
        <v>15.248395144965301</v>
      </c>
      <c r="H11">
        <v>13.364031588609899</v>
      </c>
      <c r="I11">
        <v>20.047298915306001</v>
      </c>
      <c r="J11">
        <v>15.870243784691599</v>
      </c>
      <c r="K11">
        <v>10.3975296667646</v>
      </c>
      <c r="L11">
        <v>12.148614557293399</v>
      </c>
      <c r="M11">
        <v>14.1943515647563</v>
      </c>
      <c r="N11">
        <v>7.3457599670942102</v>
      </c>
    </row>
    <row r="12" spans="1:14" ht="25.5" customHeight="1" x14ac:dyDescent="0.35">
      <c r="A12" s="2">
        <v>42004</v>
      </c>
      <c r="B12">
        <v>9.9451743168813902</v>
      </c>
      <c r="C12">
        <v>12.5644042089263</v>
      </c>
      <c r="D12">
        <v>11.8034021278505</v>
      </c>
      <c r="E12">
        <v>11.887358161661499</v>
      </c>
      <c r="F12">
        <v>9.0803886544970194</v>
      </c>
      <c r="G12">
        <v>14.502800920484599</v>
      </c>
      <c r="H12">
        <v>12.232650330571399</v>
      </c>
      <c r="I12">
        <v>22.0568276514703</v>
      </c>
      <c r="J12">
        <v>15.810673900759699</v>
      </c>
      <c r="K12">
        <v>9.8706002317655095</v>
      </c>
      <c r="L12">
        <v>12.219782956479699</v>
      </c>
      <c r="M12">
        <v>13.790896513923</v>
      </c>
      <c r="N12">
        <v>7.2987048712399796</v>
      </c>
    </row>
    <row r="13" spans="1:14" ht="25.5" customHeight="1" x14ac:dyDescent="0.35">
      <c r="A13" s="2">
        <v>42369</v>
      </c>
      <c r="B13">
        <v>9.9024265265903395</v>
      </c>
      <c r="C13">
        <v>10.732136523471301</v>
      </c>
      <c r="D13">
        <v>10.9923508764539</v>
      </c>
      <c r="E13">
        <v>12.028464941777401</v>
      </c>
      <c r="F13">
        <v>8.7788981831763504</v>
      </c>
      <c r="G13">
        <v>13.2798091113486</v>
      </c>
      <c r="H13">
        <v>11.1900784012713</v>
      </c>
      <c r="I13">
        <v>21.8504635786249</v>
      </c>
      <c r="J13">
        <v>15.858031312821501</v>
      </c>
      <c r="K13">
        <v>9.8254824560818506</v>
      </c>
      <c r="L13">
        <v>12.4442703427853</v>
      </c>
      <c r="M13">
        <v>13.0367586478869</v>
      </c>
      <c r="N13">
        <v>7.2893784265994803</v>
      </c>
    </row>
    <row r="14" spans="1:14" ht="25.5" customHeight="1" x14ac:dyDescent="0.35">
      <c r="A14" s="2">
        <v>42734</v>
      </c>
      <c r="B14">
        <v>9.7998658290307095</v>
      </c>
      <c r="C14">
        <v>11.5035211675747</v>
      </c>
      <c r="D14">
        <v>11.4792366602027</v>
      </c>
      <c r="E14">
        <v>11.8967042128795</v>
      </c>
      <c r="F14">
        <v>8.62096827520989</v>
      </c>
      <c r="G14">
        <v>13.3994953105419</v>
      </c>
      <c r="H14">
        <v>12.1967915012023</v>
      </c>
      <c r="I14">
        <v>21.114607645969102</v>
      </c>
      <c r="J14">
        <v>16.049912492851799</v>
      </c>
      <c r="K14">
        <v>9.8831539131807205</v>
      </c>
      <c r="L14">
        <v>11.8415876112609</v>
      </c>
      <c r="M14">
        <v>12.322553154201101</v>
      </c>
      <c r="N14">
        <v>7.6448050780743202</v>
      </c>
    </row>
    <row r="15" spans="1:14" ht="25.5" customHeight="1" x14ac:dyDescent="0.35">
      <c r="A15" s="2">
        <v>43098</v>
      </c>
      <c r="B15">
        <v>9.8479289685659399</v>
      </c>
      <c r="C15">
        <v>11.907299006987801</v>
      </c>
      <c r="D15">
        <v>11.3979128674428</v>
      </c>
      <c r="E15">
        <v>12.246920794364801</v>
      </c>
      <c r="F15">
        <v>9.2398651910043395</v>
      </c>
      <c r="G15">
        <v>13.9322208239423</v>
      </c>
      <c r="H15">
        <v>12.7329318595365</v>
      </c>
      <c r="I15">
        <v>22.078426350894102</v>
      </c>
      <c r="J15">
        <v>16.907948658911</v>
      </c>
      <c r="K15">
        <v>10.4363064842242</v>
      </c>
      <c r="L15">
        <v>13.007558022754999</v>
      </c>
      <c r="M15">
        <v>13.8549633296522</v>
      </c>
      <c r="N15">
        <v>9.0538496506424107</v>
      </c>
    </row>
    <row r="16" spans="1:14" ht="25.5" customHeight="1" x14ac:dyDescent="0.35">
      <c r="A16" s="2">
        <v>43465</v>
      </c>
      <c r="B16">
        <v>9.5217714261901296</v>
      </c>
      <c r="C16">
        <v>12.400931175281199</v>
      </c>
      <c r="D16">
        <v>12.499008182247699</v>
      </c>
      <c r="E16">
        <v>11.651015241557801</v>
      </c>
      <c r="F16">
        <v>9.4957067852596193</v>
      </c>
      <c r="G16">
        <v>14.645799683639201</v>
      </c>
      <c r="H16">
        <v>13.1887832891224</v>
      </c>
      <c r="I16">
        <v>26.490229336787198</v>
      </c>
      <c r="J16">
        <v>18.8923615036562</v>
      </c>
      <c r="K16">
        <v>11.328389580600501</v>
      </c>
      <c r="L16">
        <v>13.222867771113201</v>
      </c>
      <c r="M16">
        <v>13.3193557094803</v>
      </c>
      <c r="N16">
        <v>10.3909656073461</v>
      </c>
    </row>
    <row r="17" spans="1:17" ht="25.5" customHeight="1" x14ac:dyDescent="0.35">
      <c r="A17" s="2">
        <v>43830</v>
      </c>
      <c r="B17">
        <v>9.0038870875203099</v>
      </c>
      <c r="C17">
        <v>11.7272452753145</v>
      </c>
      <c r="D17">
        <v>11.978678386383701</v>
      </c>
      <c r="E17">
        <v>10.4475672102116</v>
      </c>
      <c r="F17">
        <v>8.35596279152373</v>
      </c>
      <c r="G17">
        <v>14.538819869127099</v>
      </c>
      <c r="H17">
        <v>12.8709323534995</v>
      </c>
      <c r="I17">
        <v>25.011729179905998</v>
      </c>
      <c r="J17">
        <v>18.2929292712369</v>
      </c>
      <c r="K17">
        <v>10.914009645236099</v>
      </c>
      <c r="L17">
        <v>13.0917636337237</v>
      </c>
      <c r="M17">
        <v>13.411796749592799</v>
      </c>
      <c r="N17">
        <v>10.235305358457801</v>
      </c>
    </row>
    <row r="18" spans="1:17" ht="25.5" customHeight="1" x14ac:dyDescent="0.35">
      <c r="A18" s="2">
        <v>44196</v>
      </c>
      <c r="B18">
        <v>7.5322638919869096</v>
      </c>
      <c r="C18">
        <v>11.050859206460901</v>
      </c>
      <c r="D18">
        <v>11.192208682288101</v>
      </c>
      <c r="E18">
        <v>9.7147154363071309</v>
      </c>
      <c r="F18">
        <v>7.4385992980085396</v>
      </c>
      <c r="G18">
        <v>14.667779515581</v>
      </c>
      <c r="H18">
        <v>11.207468740818801</v>
      </c>
      <c r="I18">
        <v>24.5344428387709</v>
      </c>
      <c r="J18">
        <v>17.2298191407891</v>
      </c>
      <c r="K18">
        <v>8.9422344840844303</v>
      </c>
      <c r="L18">
        <v>9.7785656650372808</v>
      </c>
      <c r="M18">
        <v>11.908567848488101</v>
      </c>
      <c r="N18">
        <v>8.27578853786002</v>
      </c>
    </row>
    <row r="19" spans="1:17" ht="25.5" customHeight="1" x14ac:dyDescent="0.35">
      <c r="A19" s="2">
        <v>44561</v>
      </c>
      <c r="B19">
        <v>6.44400181202057</v>
      </c>
      <c r="C19">
        <v>12.8471719199911</v>
      </c>
      <c r="D19">
        <v>14.1061782856045</v>
      </c>
      <c r="E19">
        <v>12.199709394090799</v>
      </c>
      <c r="F19">
        <v>9.2207656739007806</v>
      </c>
      <c r="G19">
        <v>16.3837417700754</v>
      </c>
      <c r="H19">
        <v>13.922769951646799</v>
      </c>
      <c r="I19">
        <v>26.6372021629589</v>
      </c>
      <c r="J19">
        <v>20.686290275763401</v>
      </c>
      <c r="K19">
        <v>12.2539555485597</v>
      </c>
      <c r="L19">
        <v>10.899145951859399</v>
      </c>
      <c r="M19">
        <v>15.360277960938401</v>
      </c>
      <c r="N19">
        <v>11.7277999998841</v>
      </c>
    </row>
    <row r="20" spans="1:17" ht="25.5" customHeight="1" x14ac:dyDescent="0.35">
      <c r="A20" s="2">
        <v>44925</v>
      </c>
      <c r="B20">
        <v>7.7689690341126996</v>
      </c>
      <c r="C20">
        <v>14.6580605840091</v>
      </c>
      <c r="D20">
        <v>14.0029403106189</v>
      </c>
      <c r="E20">
        <v>11.818711551142201</v>
      </c>
      <c r="F20">
        <v>9.2254455713673202</v>
      </c>
      <c r="G20">
        <v>16.690651733527702</v>
      </c>
      <c r="H20">
        <v>15.8587443966116</v>
      </c>
      <c r="I20">
        <v>24.048321552738301</v>
      </c>
      <c r="J20">
        <v>20.598310588067601</v>
      </c>
      <c r="K20">
        <v>13.1476341706421</v>
      </c>
      <c r="L20">
        <v>12.015889153241799</v>
      </c>
      <c r="M20">
        <v>14.6915673510104</v>
      </c>
      <c r="N20">
        <v>13.320278986082799</v>
      </c>
    </row>
    <row r="21" spans="1:17" ht="25.5" customHeight="1" x14ac:dyDescent="0.35">
      <c r="A21" s="2">
        <v>45289</v>
      </c>
      <c r="B21">
        <v>6.5791075391831502</v>
      </c>
      <c r="C21">
        <v>13.226394097123199</v>
      </c>
      <c r="D21">
        <v>13.1491479008301</v>
      </c>
      <c r="E21">
        <v>11.93889064433</v>
      </c>
      <c r="F21">
        <v>9.2997687113842105</v>
      </c>
      <c r="G21">
        <v>19.302463641340701</v>
      </c>
      <c r="H21">
        <v>14.7207876109821</v>
      </c>
      <c r="I21">
        <v>25.304063208905301</v>
      </c>
      <c r="J21">
        <v>20.344034080875101</v>
      </c>
      <c r="K21">
        <v>13.221250861669199</v>
      </c>
      <c r="L21">
        <v>12.745985665341101</v>
      </c>
      <c r="M21">
        <v>15.368050598586001</v>
      </c>
      <c r="N21">
        <v>13.3572149047324</v>
      </c>
    </row>
    <row r="23" spans="1:17" x14ac:dyDescent="0.35">
      <c r="A23" t="s">
        <v>91</v>
      </c>
      <c r="B23" s="8">
        <f t="shared" ref="B23:N23" si="0">MIN(_xlfn.ANCHORARRAY(B2))</f>
        <v>6.44400181202057</v>
      </c>
      <c r="C23" s="8">
        <f t="shared" si="0"/>
        <v>10.732136523471301</v>
      </c>
      <c r="D23" s="8">
        <f t="shared" si="0"/>
        <v>10.9923508764539</v>
      </c>
      <c r="E23" s="8">
        <f t="shared" si="0"/>
        <v>9.7147154363071309</v>
      </c>
      <c r="F23" s="8">
        <f t="shared" si="0"/>
        <v>5.7137456034125096</v>
      </c>
      <c r="G23" s="8">
        <f t="shared" si="0"/>
        <v>13.2798091113486</v>
      </c>
      <c r="H23" s="8">
        <f t="shared" si="0"/>
        <v>11.1900784012713</v>
      </c>
      <c r="I23" s="8">
        <f t="shared" si="0"/>
        <v>14.817843581598</v>
      </c>
      <c r="J23" s="8">
        <f t="shared" si="0"/>
        <v>13.938459770768899</v>
      </c>
      <c r="K23" s="8">
        <f t="shared" si="0"/>
        <v>8.9422344840844303</v>
      </c>
      <c r="L23" s="8">
        <f t="shared" si="0"/>
        <v>9.7785656650372808</v>
      </c>
      <c r="M23" s="8">
        <f t="shared" si="0"/>
        <v>10.346174503291101</v>
      </c>
      <c r="N23" s="8">
        <f t="shared" si="0"/>
        <v>7.2893784265994803</v>
      </c>
      <c r="O23" s="8"/>
      <c r="P23" s="8"/>
      <c r="Q23" s="8"/>
    </row>
    <row r="24" spans="1:17" x14ac:dyDescent="0.35">
      <c r="A24" t="s">
        <v>394</v>
      </c>
      <c r="B24" s="8">
        <f t="shared" ref="B24:N24" si="1">MEDIAN(_xlfn.ANCHORARRAY(B2))</f>
        <v>9.8238973987983247</v>
      </c>
      <c r="C24" s="8">
        <f t="shared" si="1"/>
        <v>13.020733299173699</v>
      </c>
      <c r="D24" s="8">
        <f t="shared" si="1"/>
        <v>12.7516875895064</v>
      </c>
      <c r="E24" s="8">
        <f t="shared" si="1"/>
        <v>11.983677793053701</v>
      </c>
      <c r="F24" s="8">
        <f t="shared" si="1"/>
        <v>8.994618118763011</v>
      </c>
      <c r="G24" s="8">
        <f t="shared" si="1"/>
        <v>15.55096443559315</v>
      </c>
      <c r="H24" s="8">
        <f t="shared" si="1"/>
        <v>14.561964916400001</v>
      </c>
      <c r="I24" s="8">
        <f t="shared" si="1"/>
        <v>21.036882269896502</v>
      </c>
      <c r="J24" s="8">
        <f t="shared" si="1"/>
        <v>16.391058174766847</v>
      </c>
      <c r="K24" s="8">
        <f t="shared" si="1"/>
        <v>11.16089938202855</v>
      </c>
      <c r="L24" s="8">
        <f t="shared" si="1"/>
        <v>13.04966082823935</v>
      </c>
      <c r="M24" s="8">
        <f t="shared" si="1"/>
        <v>14.442959457883351</v>
      </c>
      <c r="N24" s="8">
        <f t="shared" si="1"/>
        <v>9.6445775045501065</v>
      </c>
      <c r="O24" s="8"/>
      <c r="P24" s="8"/>
      <c r="Q24" s="8"/>
    </row>
    <row r="25" spans="1:17" x14ac:dyDescent="0.35">
      <c r="A25" t="s">
        <v>496</v>
      </c>
      <c r="B25" s="8">
        <f t="shared" ref="B25:N25" si="2">B21</f>
        <v>6.5791075391831502</v>
      </c>
      <c r="C25" s="8">
        <f t="shared" si="2"/>
        <v>13.226394097123199</v>
      </c>
      <c r="D25" s="8">
        <f t="shared" si="2"/>
        <v>13.1491479008301</v>
      </c>
      <c r="E25" s="8">
        <f t="shared" si="2"/>
        <v>11.93889064433</v>
      </c>
      <c r="F25" s="8">
        <f t="shared" si="2"/>
        <v>9.2997687113842105</v>
      </c>
      <c r="G25" s="8">
        <f t="shared" si="2"/>
        <v>19.302463641340701</v>
      </c>
      <c r="H25" s="8">
        <f t="shared" si="2"/>
        <v>14.7207876109821</v>
      </c>
      <c r="I25" s="8">
        <f t="shared" si="2"/>
        <v>25.304063208905301</v>
      </c>
      <c r="J25" s="8">
        <f t="shared" si="2"/>
        <v>20.344034080875101</v>
      </c>
      <c r="K25" s="8">
        <f t="shared" si="2"/>
        <v>13.221250861669199</v>
      </c>
      <c r="L25" s="8">
        <f t="shared" si="2"/>
        <v>12.745985665341101</v>
      </c>
      <c r="M25" s="8">
        <f t="shared" si="2"/>
        <v>15.368050598586001</v>
      </c>
      <c r="N25" s="8">
        <f t="shared" si="2"/>
        <v>13.3572149047324</v>
      </c>
      <c r="O25" s="8"/>
      <c r="P25" s="8"/>
      <c r="Q25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583CA-1521-42D4-B4D5-EABE25AFEA35}">
  <dimension ref="A1:T20"/>
  <sheetViews>
    <sheetView topLeftCell="G1" zoomScale="88" zoomScaleNormal="10" workbookViewId="0">
      <selection activeCell="O10" sqref="O10"/>
    </sheetView>
  </sheetViews>
  <sheetFormatPr defaultRowHeight="14.5" x14ac:dyDescent="0.35"/>
  <cols>
    <col min="1" max="1" width="19.54296875" hidden="1" customWidth="1"/>
    <col min="2" max="2" width="12.54296875" hidden="1" customWidth="1"/>
    <col min="3" max="3" width="15.54296875" hidden="1" customWidth="1"/>
    <col min="4" max="4" width="13.81640625" hidden="1" customWidth="1"/>
    <col min="5" max="5" width="23.54296875" hidden="1" customWidth="1"/>
    <col min="6" max="6" width="9.54296875" hidden="1" customWidth="1"/>
    <col min="7" max="9" width="19.453125" customWidth="1"/>
    <col min="10" max="10" width="34.453125" customWidth="1"/>
    <col min="11" max="11" width="19.453125" customWidth="1"/>
    <col min="12" max="12" width="11" customWidth="1"/>
    <col min="13" max="13" width="11" bestFit="1" customWidth="1"/>
    <col min="16" max="16" width="11.453125" customWidth="1"/>
    <col min="17" max="17" width="10.453125" bestFit="1" customWidth="1"/>
    <col min="18" max="18" width="13.453125" customWidth="1"/>
    <col min="28" max="28" width="13" customWidth="1"/>
  </cols>
  <sheetData>
    <row r="1" spans="1:20" ht="18.5" x14ac:dyDescent="0.55000000000000004">
      <c r="K1" s="62" t="s">
        <v>771</v>
      </c>
      <c r="L1" s="186">
        <f ca="1">EDATE(TODAY(), -1)</f>
        <v>45503</v>
      </c>
      <c r="M1" s="116"/>
    </row>
    <row r="2" spans="1:20" ht="15" thickBot="1" x14ac:dyDescent="0.4">
      <c r="K2" s="12" t="s">
        <v>772</v>
      </c>
      <c r="L2" s="187">
        <f ca="1">EDATE(TODAY(), -4)</f>
        <v>45412</v>
      </c>
    </row>
    <row r="3" spans="1:20" ht="50.25" customHeight="1" x14ac:dyDescent="0.35">
      <c r="E3" t="s">
        <v>747</v>
      </c>
      <c r="F3" t="s">
        <v>748</v>
      </c>
      <c r="H3" t="s">
        <v>764</v>
      </c>
      <c r="I3" t="s">
        <v>561</v>
      </c>
      <c r="J3" t="s">
        <v>518</v>
      </c>
      <c r="M3" s="114" t="s">
        <v>765</v>
      </c>
      <c r="N3" t="str" cm="1">
        <f t="array" aca="1" ref="N3" ca="1">_xll.FDSRC("-","DUMMY","ECON_DATE("&amp;$L$1&amp;",,, 'MM/YYYY')")</f>
        <v>07/2024</v>
      </c>
      <c r="O3" t="str" cm="1">
        <f t="array" aca="1" ref="O3" ca="1">_xll.FDSRC("-","DUMMY","ECON_DATE("&amp;$L$2&amp;",,, 'MM/YYYY')")</f>
        <v>04/2024</v>
      </c>
      <c r="P3" s="114" t="s">
        <v>768</v>
      </c>
      <c r="Q3" s="114" t="s">
        <v>774</v>
      </c>
      <c r="R3" s="117" t="s">
        <v>775</v>
      </c>
      <c r="S3" s="117" t="s">
        <v>550</v>
      </c>
      <c r="T3" s="117" t="s">
        <v>737</v>
      </c>
    </row>
    <row r="4" spans="1:20" x14ac:dyDescent="0.35">
      <c r="A4" t="s">
        <v>431</v>
      </c>
      <c r="B4" t="s">
        <v>446</v>
      </c>
      <c r="C4" t="s">
        <v>431</v>
      </c>
      <c r="D4" t="s">
        <v>750</v>
      </c>
      <c r="E4">
        <v>53.7</v>
      </c>
      <c r="F4">
        <v>5.3</v>
      </c>
      <c r="G4" t="s">
        <v>197</v>
      </c>
      <c r="H4" s="111" t="s">
        <v>755</v>
      </c>
      <c r="I4" s="112" t="s">
        <v>674</v>
      </c>
      <c r="J4" s="113" t="str" cm="1">
        <f t="array" ref="J4">_xll.FDS(K4,"FG_COMPANY_NAME")</f>
        <v>iShares MSCI New Zealand ETF</v>
      </c>
      <c r="K4" s="113" t="s">
        <v>431</v>
      </c>
      <c r="L4" t="s">
        <v>750</v>
      </c>
      <c r="M4" cm="1">
        <f t="array" ref="M4">IF(_xll.FDSRC(,"DUMMY","ECON_EXPR_DATA('FDS_ECON["&amp;H4&amp;"]',,,M)")=0,$J$19,_xll.FDSRC(,"DUMMY","ECON_EXPR_DATA('FDS_ECON["&amp;H4&amp;"]',,,M)"))</f>
        <v>44.007697999999998</v>
      </c>
      <c r="N4" cm="1">
        <f t="array" aca="1" ref="N4" ca="1">_xll.FDSRC("-","DUMMY","ECON_EXPR_DATA('FDS_ECON["&amp;H4&amp;"]',"&amp;$N$3&amp;",,Q)")</f>
        <v>45.437874000000001</v>
      </c>
      <c r="O4" cm="1">
        <f t="array" aca="1" ref="O4" ca="1">_xll.FDSRC("-","DUMMY","ECON_EXPR_DATA('FDS_ECON["&amp;H4&amp;"]',"&amp;$O$3&amp;",,Q)")</f>
        <v>47.788229999999999</v>
      </c>
      <c r="P4">
        <f t="shared" ref="P4:P12" ca="1" si="0">IFERROR(N4-O4,$M$20)</f>
        <v>-2.3503559999999979</v>
      </c>
      <c r="Q4" cm="1">
        <f t="array" ref="Q4">_xlfn.PERCENTRANK.EXC(_xlfn._xlws.FILTER(M$4:M$16, ISNUMBER(M$4:M$16)),M4)*100</f>
        <v>28.499999999999996</v>
      </c>
      <c r="R4" cm="1">
        <f t="array" aca="1" ref="R4" ca="1">_xlfn.PERCENTRANK.EXC(_xlfn._xlws.FILTER(P$4:P$16, ISNUMBER(P$4:P$16)),P4)*100</f>
        <v>14.2</v>
      </c>
      <c r="S4">
        <f ca="1">Q4*Assumption!$E$27 + R4*Assumption!$F$27</f>
        <v>22.779999999999998</v>
      </c>
      <c r="T4" cm="1">
        <f t="array" aca="1" ref="T4" ca="1">_xlfn.PERCENTRANK.EXC(_xlfn._xlws.FILTER(S$4:S$16, ISNUMBER(S$4:S$16)),S4)*100</f>
        <v>7.1</v>
      </c>
    </row>
    <row r="5" spans="1:20" x14ac:dyDescent="0.35">
      <c r="A5" t="s">
        <v>44</v>
      </c>
      <c r="B5" t="s">
        <v>45</v>
      </c>
      <c r="C5" t="s">
        <v>44</v>
      </c>
      <c r="D5" t="s">
        <v>750</v>
      </c>
      <c r="E5">
        <v>53</v>
      </c>
      <c r="F5">
        <v>4.5</v>
      </c>
      <c r="G5" t="s">
        <v>113</v>
      </c>
      <c r="H5" s="111" t="s">
        <v>753</v>
      </c>
      <c r="I5" s="112" t="s">
        <v>576</v>
      </c>
      <c r="J5" s="113" t="str" cm="1">
        <f t="array" ref="J5">_xll.FDS(K5,"FG_COMPANY_NAME")</f>
        <v>iShares MSCI Australia ETF</v>
      </c>
      <c r="K5" s="113" t="s">
        <v>44</v>
      </c>
      <c r="L5" t="s">
        <v>750</v>
      </c>
      <c r="M5" cm="1">
        <f t="array" ref="M5">IF(_xll.FDSRC(,"DUMMY","ECON_EXPR_DATA('FDS_ECON["&amp;H5&amp;"]',,,M)")=0,$J$19,_xll.FDSRC(,"DUMMY","ECON_EXPR_DATA('FDS_ECON["&amp;H5&amp;"]',,,M)"))</f>
        <v>47.461593999999998</v>
      </c>
      <c r="N5" cm="1">
        <f t="array" aca="1" ref="N5" ca="1">_xll.FDSRC("-","DUMMY","ECON_EXPR_DATA('FDS_ECON["&amp;H5&amp;"]',"&amp;$N$3&amp;",,Q)")</f>
        <v>48.811332999999998</v>
      </c>
      <c r="O5" cm="1">
        <f t="array" aca="1" ref="O5" ca="1">_xll.FDSRC("-","DUMMY","ECON_EXPR_DATA('FDS_ECON["&amp;H5&amp;"]',"&amp;$O$3&amp;",,Q)")</f>
        <v>48.395470000000003</v>
      </c>
      <c r="P5">
        <f t="shared" ca="1" si="0"/>
        <v>0.41586299999999454</v>
      </c>
      <c r="Q5" cm="1">
        <f t="array" ref="Q5">_xlfn.PERCENTRANK.EXC(_xlfn._xlws.FILTER(M$4:M$16, ISNUMBER(M$4:M$16)),M5)*100</f>
        <v>42.8</v>
      </c>
      <c r="R5" cm="1">
        <f t="array" aca="1" ref="R5" ca="1">_xlfn.PERCENTRANK.EXC(_xlfn._xlws.FILTER(P$4:P$16, ISNUMBER(P$4:P$16)),P5)*100</f>
        <v>57.099999999999994</v>
      </c>
      <c r="S5">
        <f ca="1">Q5*Assumption!$E$27 + R5*Assumption!$F$27</f>
        <v>48.519999999999996</v>
      </c>
      <c r="T5" cm="1">
        <f t="array" aca="1" ref="T5" ca="1">_xlfn.PERCENTRANK.EXC(_xlfn._xlws.FILTER(S$4:S$16, ISNUMBER(S$4:S$16)),S5)*100</f>
        <v>50</v>
      </c>
    </row>
    <row r="6" spans="1:20" x14ac:dyDescent="0.35">
      <c r="A6" t="s">
        <v>49</v>
      </c>
      <c r="B6" t="s">
        <v>50</v>
      </c>
      <c r="C6" t="s">
        <v>49</v>
      </c>
      <c r="D6" t="s">
        <v>750</v>
      </c>
      <c r="E6">
        <v>53.7</v>
      </c>
      <c r="F6">
        <v>5.3</v>
      </c>
      <c r="G6" t="s">
        <v>116</v>
      </c>
      <c r="H6" s="111" t="s">
        <v>752</v>
      </c>
      <c r="I6" s="112" t="s">
        <v>598</v>
      </c>
      <c r="J6" s="113" t="str" cm="1">
        <f t="array" ref="J6">_xll.FDS(K6,"FG_COMPANY_NAME")</f>
        <v>iShares MSCI Canada ETF</v>
      </c>
      <c r="K6" s="113" t="s">
        <v>49</v>
      </c>
      <c r="L6" t="s">
        <v>750</v>
      </c>
      <c r="M6" cm="1">
        <f t="array" ref="M6">IF(_xll.FDSRC(,"DUMMY","ECON_EXPR_DATA('FDS_ECON["&amp;H6&amp;"]',,,M)")=0,$J$19,_xll.FDSRC(,"DUMMY","ECON_EXPR_DATA('FDS_ECON["&amp;H6&amp;"]',,,M)"))</f>
        <v>47.763652999999998</v>
      </c>
      <c r="N6" cm="1">
        <f t="array" aca="1" ref="N6" ca="1">_xll.FDSRC("-","DUMMY","ECON_EXPR_DATA('FDS_ECON["&amp;H6&amp;"]',"&amp;$N$3&amp;",,Q)")</f>
        <v>49.331885999999997</v>
      </c>
      <c r="O6" cm="1">
        <f t="array" aca="1" ref="O6" ca="1">_xll.FDSRC("-","DUMMY","ECON_EXPR_DATA('FDS_ECON["&amp;H6&amp;"]',"&amp;$O$3&amp;",,Q)")</f>
        <v>49.300910000000002</v>
      </c>
      <c r="P6">
        <f t="shared" ca="1" si="0"/>
        <v>3.0975999999995452E-2</v>
      </c>
      <c r="Q6" cm="1">
        <f t="array" ref="Q6">_xlfn.PERCENTRANK.EXC(_xlfn._xlws.FILTER(M$4:M$16, ISNUMBER(M$4:M$16)),M6)*100</f>
        <v>50</v>
      </c>
      <c r="R6" cm="1">
        <f t="array" aca="1" ref="R6" ca="1">_xlfn.PERCENTRANK.EXC(_xlfn._xlws.FILTER(P$4:P$16, ISNUMBER(P$4:P$16)),P6)*100</f>
        <v>42.8</v>
      </c>
      <c r="S6">
        <f ca="1">Q6*Assumption!$E$27 + R6*Assumption!$F$27</f>
        <v>47.120000000000005</v>
      </c>
      <c r="T6" cm="1">
        <f t="array" aca="1" ref="T6" ca="1">_xlfn.PERCENTRANK.EXC(_xlfn._xlws.FILTER(S$4:S$16, ISNUMBER(S$4:S$16)),S6)*100</f>
        <v>42.8</v>
      </c>
    </row>
    <row r="7" spans="1:20" x14ac:dyDescent="0.35">
      <c r="A7" t="s">
        <v>11</v>
      </c>
      <c r="B7" t="s">
        <v>39</v>
      </c>
      <c r="C7" t="s">
        <v>11</v>
      </c>
      <c r="D7" t="s">
        <v>750</v>
      </c>
      <c r="E7">
        <v>54.2</v>
      </c>
      <c r="F7">
        <v>3.4</v>
      </c>
      <c r="G7" t="s">
        <v>102</v>
      </c>
      <c r="H7" s="111" t="s">
        <v>756</v>
      </c>
      <c r="I7" s="112" t="s">
        <v>625</v>
      </c>
      <c r="J7" s="113" t="str" cm="1">
        <f t="array" ref="J7">_xll.FDS(K7,"FG_COMPANY_NAME")</f>
        <v>iShares MSCI Germany ETF</v>
      </c>
      <c r="K7" s="113" t="s">
        <v>11</v>
      </c>
      <c r="L7" t="s">
        <v>750</v>
      </c>
      <c r="M7" cm="1">
        <f t="array" ref="M7">IF(_xll.FDSRC(,"DUMMY","ECON_EXPR_DATA('FDS_ECON["&amp;H7&amp;"]',,,M)")=0,$J$19,_xll.FDSRC(,"DUMMY","ECON_EXPR_DATA('FDS_ECON["&amp;H7&amp;"]',,,M)"))</f>
        <v>43.196869999999997</v>
      </c>
      <c r="N7" cm="1">
        <f t="array" aca="1" ref="N7" ca="1">_xll.FDSRC("-","DUMMY","ECON_EXPR_DATA('FDS_ECON["&amp;H7&amp;"]',"&amp;$N$3&amp;",,Q)")</f>
        <v>43.781999999999996</v>
      </c>
      <c r="O7" cm="1">
        <f t="array" aca="1" ref="O7" ca="1">_xll.FDSRC("-","DUMMY","ECON_EXPR_DATA('FDS_ECON["&amp;H7&amp;"]',"&amp;$O$3&amp;",,Q)")</f>
        <v>43.319096000000002</v>
      </c>
      <c r="P7">
        <f t="shared" ca="1" si="0"/>
        <v>0.46290399999999465</v>
      </c>
      <c r="Q7" cm="1">
        <f t="array" ref="Q7">_xlfn.PERCENTRANK.EXC(_xlfn._xlws.FILTER(M$4:M$16, ISNUMBER(M$4:M$16)),M7)*100</f>
        <v>7.1</v>
      </c>
      <c r="R7" cm="1">
        <f t="array" aca="1" ref="R7" ca="1">_xlfn.PERCENTRANK.EXC(_xlfn._xlws.FILTER(P$4:P$16, ISNUMBER(P$4:P$16)),P7)*100</f>
        <v>64.2</v>
      </c>
      <c r="S7">
        <f ca="1">Q7*Assumption!$E$27 + R7*Assumption!$F$27</f>
        <v>29.940000000000005</v>
      </c>
      <c r="T7" cm="1">
        <f t="array" aca="1" ref="T7" ca="1">_xlfn.PERCENTRANK.EXC(_xlfn._xlws.FILTER(S$4:S$16, ISNUMBER(S$4:S$16)),S7)*100</f>
        <v>28.499999999999996</v>
      </c>
    </row>
    <row r="8" spans="1:20" x14ac:dyDescent="0.35">
      <c r="A8" t="s">
        <v>46</v>
      </c>
      <c r="B8" t="s">
        <v>47</v>
      </c>
      <c r="C8" t="s">
        <v>46</v>
      </c>
      <c r="D8" t="s">
        <v>750</v>
      </c>
      <c r="E8">
        <v>52.9</v>
      </c>
      <c r="F8">
        <v>2.2000000000000002</v>
      </c>
      <c r="G8" t="s">
        <v>114</v>
      </c>
      <c r="H8" s="111" t="s">
        <v>754</v>
      </c>
      <c r="I8" s="112" t="s">
        <v>643</v>
      </c>
      <c r="J8" s="113" t="str" cm="1">
        <f t="array" ref="J8">_xll.FDS(K8,"FG_COMPANY_NAME")</f>
        <v>iShares MSCI Japan ETF</v>
      </c>
      <c r="K8" s="113" t="s">
        <v>46</v>
      </c>
      <c r="L8" t="s">
        <v>750</v>
      </c>
      <c r="M8" cm="1">
        <f t="array" ref="M8">IF(_xll.FDSRC(,"DUMMY","ECON_EXPR_DATA('FDS_ECON["&amp;H8&amp;"]',,,M)")=0,$J$19,_xll.FDSRC(,"DUMMY","ECON_EXPR_DATA('FDS_ECON["&amp;H8&amp;"]',,,M)"))</f>
        <v>49.104827999999998</v>
      </c>
      <c r="N8" cm="1">
        <f t="array" aca="1" ref="N8" ca="1">_xll.FDSRC("-","DUMMY","ECON_EXPR_DATA('FDS_ECON["&amp;H8&amp;"]',"&amp;$N$3&amp;",,Q)")</f>
        <v>49.991356000000003</v>
      </c>
      <c r="O8" cm="1">
        <f t="array" aca="1" ref="O8" ca="1">_xll.FDSRC("-","DUMMY","ECON_EXPR_DATA('FDS_ECON["&amp;H8&amp;"]',"&amp;$O$3&amp;",,Q)")</f>
        <v>47.808857000000003</v>
      </c>
      <c r="P8">
        <f t="shared" ca="1" si="0"/>
        <v>2.182499</v>
      </c>
      <c r="Q8" cm="1">
        <f t="array" ref="Q8">_xlfn.PERCENTRANK.EXC(_xlfn._xlws.FILTER(M$4:M$16, ISNUMBER(M$4:M$16)),M8)*100</f>
        <v>64.2</v>
      </c>
      <c r="R8" cm="1">
        <f t="array" aca="1" ref="R8" ca="1">_xlfn.PERCENTRANK.EXC(_xlfn._xlws.FILTER(P$4:P$16, ISNUMBER(P$4:P$16)),P8)*100</f>
        <v>92.800000000000011</v>
      </c>
      <c r="S8">
        <f ca="1">Q8*Assumption!$E$27 + R8*Assumption!$F$27</f>
        <v>75.640000000000015</v>
      </c>
      <c r="T8" cm="1">
        <f t="array" aca="1" ref="T8" ca="1">_xlfn.PERCENTRANK.EXC(_xlfn._xlws.FILTER(S$4:S$16, ISNUMBER(S$4:S$16)),S8)*100</f>
        <v>78.5</v>
      </c>
    </row>
    <row r="9" spans="1:20" x14ac:dyDescent="0.35">
      <c r="A9" t="s">
        <v>42</v>
      </c>
      <c r="B9" t="s">
        <v>43</v>
      </c>
      <c r="C9" t="s">
        <v>42</v>
      </c>
      <c r="D9" t="s">
        <v>750</v>
      </c>
      <c r="E9">
        <v>53.7</v>
      </c>
      <c r="F9">
        <v>5.3</v>
      </c>
      <c r="G9" t="s">
        <v>110</v>
      </c>
      <c r="H9" s="111" t="s">
        <v>758</v>
      </c>
      <c r="I9" s="112" t="s">
        <v>706</v>
      </c>
      <c r="J9" s="113" t="str" cm="1">
        <f t="array" ref="J9">_xll.FDS(K9,"FG_COMPANY_NAME")</f>
        <v>iShares MSCI Switzerland ETF</v>
      </c>
      <c r="K9" s="113" t="s">
        <v>42</v>
      </c>
      <c r="L9" t="s">
        <v>750</v>
      </c>
      <c r="M9" cm="1">
        <f t="array" ref="M9">IF(_xll.FDSRC(,"DUMMY","ECON_EXPR_DATA('FDS_ECON["&amp;H9&amp;"]',,,M)")=0,$J$19,_xll.FDSRC(,"DUMMY","ECON_EXPR_DATA('FDS_ECON["&amp;H9&amp;"]',,,M)"))</f>
        <v>43.488599999999998</v>
      </c>
      <c r="N9" cm="1">
        <f t="array" aca="1" ref="N9" ca="1">_xll.FDSRC("-","DUMMY","ECON_EXPR_DATA('FDS_ECON["&amp;H9&amp;"]',"&amp;$N$3&amp;",,Q)")</f>
        <v>43.896877000000003</v>
      </c>
      <c r="O9" cm="1">
        <f t="array" aca="1" ref="O9" ca="1">_xll.FDSRC("-","DUMMY","ECON_EXPR_DATA('FDS_ECON["&amp;H9&amp;"]',"&amp;$O$3&amp;",,Q)")</f>
        <v>44.08605</v>
      </c>
      <c r="P9">
        <f t="shared" ca="1" si="0"/>
        <v>-0.1891729999999967</v>
      </c>
      <c r="Q9" cm="1">
        <f t="array" ref="Q9">_xlfn.PERCENTRANK.EXC(_xlfn._xlws.FILTER(M$4:M$16, ISNUMBER(M$4:M$16)),M9)*100</f>
        <v>14.2</v>
      </c>
      <c r="R9" cm="1">
        <f t="array" aca="1" ref="R9" ca="1">_xlfn.PERCENTRANK.EXC(_xlfn._xlws.FILTER(P$4:P$16, ISNUMBER(P$4:P$16)),P9)*100</f>
        <v>35.699999999999996</v>
      </c>
      <c r="S9">
        <f ca="1">Q9*Assumption!$E$27 + R9*Assumption!$F$27</f>
        <v>22.799999999999997</v>
      </c>
      <c r="T9" cm="1">
        <f t="array" aca="1" ref="T9" ca="1">_xlfn.PERCENTRANK.EXC(_xlfn._xlws.FILTER(S$4:S$16, ISNUMBER(S$4:S$16)),S9)*100</f>
        <v>14.2</v>
      </c>
    </row>
    <row r="10" spans="1:20" x14ac:dyDescent="0.35">
      <c r="A10" t="s">
        <v>48</v>
      </c>
      <c r="B10" t="s">
        <v>447</v>
      </c>
      <c r="C10" t="s">
        <v>48</v>
      </c>
      <c r="D10" t="s">
        <v>750</v>
      </c>
      <c r="E10">
        <v>54.9</v>
      </c>
      <c r="F10">
        <v>6.4</v>
      </c>
      <c r="G10" t="s">
        <v>115</v>
      </c>
      <c r="H10" s="111" t="s">
        <v>757</v>
      </c>
      <c r="I10" s="112" t="s">
        <v>447</v>
      </c>
      <c r="J10" s="113" t="str" cm="1">
        <f t="array" ref="J10">_xll.FDS(K10,"FG_COMPANY_NAME")</f>
        <v>iShares MSCI United Kingdom ETF</v>
      </c>
      <c r="K10" s="113" t="s">
        <v>48</v>
      </c>
      <c r="L10" t="s">
        <v>750</v>
      </c>
      <c r="M10" cm="1">
        <f t="array" ref="M10">IF(_xll.FDSRC(,"DUMMY","ECON_EXPR_DATA('FDS_ECON["&amp;H10&amp;"]',,,M)")=0,$J$19,_xll.FDSRC(,"DUMMY","ECON_EXPR_DATA('FDS_ECON["&amp;H10&amp;"]',,,M)"))</f>
        <v>52.111539999999998</v>
      </c>
      <c r="N10" cm="1">
        <f t="array" aca="1" ref="N10" ca="1">_xll.FDSRC("-","DUMMY","ECON_EXPR_DATA('FDS_ECON["&amp;H10&amp;"]',"&amp;$N$3&amp;",,Q)")</f>
        <v>50.395269999999996</v>
      </c>
      <c r="O10" cm="1">
        <f t="array" aca="1" ref="O10" ca="1">_xll.FDSRC("-","DUMMY","ECON_EXPR_DATA('FDS_ECON["&amp;H10&amp;"]',"&amp;$O$3&amp;",,Q)")</f>
        <v>48.247959999999999</v>
      </c>
      <c r="P10">
        <f t="shared" ca="1" si="0"/>
        <v>2.1473099999999974</v>
      </c>
      <c r="Q10" cm="1">
        <f t="array" ref="Q10">_xlfn.PERCENTRANK.EXC(_xlfn._xlws.FILTER(M$4:M$16, ISNUMBER(M$4:M$16)),M10)*100</f>
        <v>92.800000000000011</v>
      </c>
      <c r="R10" cm="1">
        <f t="array" aca="1" ref="R10" ca="1">_xlfn.PERCENTRANK.EXC(_xlfn._xlws.FILTER(P$4:P$16, ISNUMBER(P$4:P$16)),P10)*100</f>
        <v>78.5</v>
      </c>
      <c r="S10">
        <f ca="1">Q10*Assumption!$E$27 + R10*Assumption!$F$27</f>
        <v>87.080000000000013</v>
      </c>
      <c r="T10" cm="1">
        <f t="array" aca="1" ref="T10" ca="1">_xlfn.PERCENTRANK.EXC(_xlfn._xlws.FILTER(S$4:S$16, ISNUMBER(S$4:S$16)),S10)*100</f>
        <v>92.800000000000011</v>
      </c>
    </row>
    <row r="11" spans="1:20" x14ac:dyDescent="0.35">
      <c r="A11" t="s">
        <v>51</v>
      </c>
      <c r="B11" t="s">
        <v>448</v>
      </c>
      <c r="C11" t="s">
        <v>51</v>
      </c>
      <c r="D11" t="s">
        <v>750</v>
      </c>
      <c r="E11">
        <v>53.4</v>
      </c>
      <c r="F11">
        <v>6.5</v>
      </c>
      <c r="G11" t="s">
        <v>119</v>
      </c>
      <c r="H11" s="111" t="s">
        <v>751</v>
      </c>
      <c r="I11" s="112" t="s">
        <v>763</v>
      </c>
      <c r="J11" s="113" t="str" cm="1">
        <f t="array" ref="J11">_xll.FDS(K11,"FG_COMPANY_NAME")</f>
        <v>Invesco QQQ Trust Series I</v>
      </c>
      <c r="K11" s="113" t="s">
        <v>51</v>
      </c>
      <c r="L11" t="s">
        <v>750</v>
      </c>
      <c r="M11" cm="1">
        <f t="array" ref="M11">IF(_xll.FDSRC(,"DUMMY","ECON_EXPR_DATA('FDS_ECON["&amp;H11&amp;"]',,,M)")=0,$J$19,_xll.FDSRC(,"DUMMY","ECON_EXPR_DATA('FDS_ECON["&amp;H11&amp;"]',,,M)"))</f>
        <v>49.629134999999998</v>
      </c>
      <c r="N11" cm="1">
        <f t="array" aca="1" ref="N11" ca="1">_xll.FDSRC("-","DUMMY","ECON_EXPR_DATA('FDS_ECON["&amp;H11&amp;"]',"&amp;$N$3&amp;",,Q)")</f>
        <v>50.939391999999998</v>
      </c>
      <c r="O11" cm="1">
        <f t="array" aca="1" ref="O11" ca="1">_xll.FDSRC("-","DUMMY","ECON_EXPR_DATA('FDS_ECON["&amp;H11&amp;"]',"&amp;$O$3&amp;",,Q)")</f>
        <v>51.582687</v>
      </c>
      <c r="P11">
        <f t="shared" ca="1" si="0"/>
        <v>-0.64329500000000195</v>
      </c>
      <c r="Q11" cm="1">
        <f t="array" ref="Q11">_xlfn.PERCENTRANK.EXC(_xlfn._xlws.FILTER(M$4:M$16, ISNUMBER(M$4:M$16)),M11)*100</f>
        <v>78.5</v>
      </c>
      <c r="R11" cm="1">
        <f t="array" aca="1" ref="R11" ca="1">_xlfn.PERCENTRANK.EXC(_xlfn._xlws.FILTER(P$4:P$16, ISNUMBER(P$4:P$16)),P11)*100</f>
        <v>21.4</v>
      </c>
      <c r="S11">
        <f ca="1">Q11*Assumption!$E$27 + R11*Assumption!$F$27</f>
        <v>55.660000000000004</v>
      </c>
      <c r="T11" cm="1">
        <f t="array" aca="1" ref="T11" ca="1">_xlfn.PERCENTRANK.EXC(_xlfn._xlws.FILTER(S$4:S$16, ISNUMBER(S$4:S$16)),S11)*100</f>
        <v>57.099999999999994</v>
      </c>
    </row>
    <row r="12" spans="1:20" x14ac:dyDescent="0.35">
      <c r="A12" t="s">
        <v>1</v>
      </c>
      <c r="B12" t="s">
        <v>1</v>
      </c>
      <c r="C12" t="s">
        <v>1</v>
      </c>
      <c r="D12" t="s">
        <v>750</v>
      </c>
      <c r="E12">
        <v>53.4</v>
      </c>
      <c r="F12">
        <v>6.5</v>
      </c>
      <c r="G12" t="s">
        <v>119</v>
      </c>
      <c r="H12" s="111" t="s">
        <v>751</v>
      </c>
      <c r="I12" s="112" t="s">
        <v>763</v>
      </c>
      <c r="J12" s="113" t="str" cm="1">
        <f t="array" ref="J12">_xll.FDS(K12,"FG_COMPANY_NAME")</f>
        <v>SPDR S&amp;P 500 ETF Trust</v>
      </c>
      <c r="K12" s="113" t="s">
        <v>1</v>
      </c>
      <c r="L12" t="s">
        <v>750</v>
      </c>
      <c r="M12" cm="1">
        <f t="array" ref="M12">IF(_xll.FDSRC(,"DUMMY","ECON_EXPR_DATA('FDS_ECON["&amp;H12&amp;"]',,,M)")=0,$J$19,_xll.FDSRC(,"DUMMY","ECON_EXPR_DATA('FDS_ECON["&amp;H12&amp;"]',,,M)"))</f>
        <v>49.629134999999998</v>
      </c>
      <c r="N12" cm="1">
        <f t="array" aca="1" ref="N12" ca="1">_xll.FDSRC("-","DUMMY","ECON_EXPR_DATA('FDS_ECON["&amp;H12&amp;"]',"&amp;$N$3&amp;",,Q)")</f>
        <v>50.939391999999998</v>
      </c>
      <c r="O12" cm="1">
        <f t="array" aca="1" ref="O12" ca="1">_xll.FDSRC("-","DUMMY","ECON_EXPR_DATA('FDS_ECON["&amp;H12&amp;"]',"&amp;$O$3&amp;",,Q)")</f>
        <v>51.582687</v>
      </c>
      <c r="P12">
        <f t="shared" ca="1" si="0"/>
        <v>-0.64329500000000195</v>
      </c>
      <c r="Q12" cm="1">
        <f t="array" ref="Q12">_xlfn.PERCENTRANK.EXC(_xlfn._xlws.FILTER(M$4:M$16, ISNUMBER(M$4:M$16)),M12)*100</f>
        <v>78.5</v>
      </c>
      <c r="R12" cm="1">
        <f t="array" aca="1" ref="R12" ca="1">_xlfn.PERCENTRANK.EXC(_xlfn._xlws.FILTER(P$4:P$16, ISNUMBER(P$4:P$16)),P12)*100</f>
        <v>21.4</v>
      </c>
      <c r="S12">
        <f ca="1">Q12*Assumption!$E$27 + R12*Assumption!$F$27</f>
        <v>55.660000000000004</v>
      </c>
      <c r="T12" cm="1">
        <f t="array" aca="1" ref="T12" ca="1">_xlfn.PERCENTRANK.EXC(_xlfn._xlws.FILTER(S$4:S$16, ISNUMBER(S$4:S$16)),S12)*100</f>
        <v>57.099999999999994</v>
      </c>
    </row>
    <row r="13" spans="1:20" x14ac:dyDescent="0.35">
      <c r="G13" t="s">
        <v>106</v>
      </c>
      <c r="H13" s="111" t="s">
        <v>883</v>
      </c>
      <c r="I13" t="s">
        <v>621</v>
      </c>
      <c r="J13" s="113" t="str" cm="1">
        <f t="array" ref="J13">_xll.FDS(K13,"FG_COMPANY_NAME")</f>
        <v>iShares MSCI France ETF</v>
      </c>
      <c r="K13" t="s">
        <v>865</v>
      </c>
      <c r="L13" t="s">
        <v>750</v>
      </c>
      <c r="M13" cm="1">
        <f t="array" ref="M13">IF(_xll.FDSRC(,"DUMMY","ECON_EXPR_DATA('FDS_ECON["&amp;H13&amp;"]',,,M)")=0,$J$19,_xll.FDSRC(,"DUMMY","ECON_EXPR_DATA('FDS_ECON["&amp;H13&amp;"]',,,M)"))</f>
        <v>44.005420000000001</v>
      </c>
      <c r="N13" cm="1">
        <f t="array" aca="1" ref="N13" ca="1">_xll.FDSRC("-","DUMMY","ECON_EXPR_DATA('FDS_ECON["&amp;H13&amp;"]',"&amp;$N$3&amp;",,Q)")</f>
        <v>45.684513000000003</v>
      </c>
      <c r="O13" cm="1">
        <f t="array" aca="1" ref="O13" ca="1">_xll.FDSRC("-","DUMMY","ECON_EXPR_DATA('FDS_ECON["&amp;H13&amp;"]',"&amp;$O$3&amp;",,Q)")</f>
        <v>45.498753000000001</v>
      </c>
      <c r="P13">
        <f t="shared" ref="P13:P16" ca="1" si="1">IFERROR(N13-O13,$M$20)</f>
        <v>0.18576000000000192</v>
      </c>
      <c r="Q13" cm="1">
        <f t="array" ref="Q13">_xlfn.PERCENTRANK.EXC(_xlfn._xlws.FILTER(M$4:M$16, ISNUMBER(M$4:M$16)),M13)*100</f>
        <v>21.4</v>
      </c>
      <c r="R13" cm="1">
        <f t="array" aca="1" ref="R13" ca="1">_xlfn.PERCENTRANK.EXC(_xlfn._xlws.FILTER(P$4:P$16, ISNUMBER(P$4:P$16)),P13)*100</f>
        <v>50</v>
      </c>
      <c r="S13">
        <f ca="1">Q13*Assumption!$E$27 + R13*Assumption!$F$27</f>
        <v>32.839999999999996</v>
      </c>
      <c r="T13" cm="1">
        <f t="array" aca="1" ref="T13" ca="1">_xlfn.PERCENTRANK.EXC(_xlfn._xlws.FILTER(S$4:S$16, ISNUMBER(S$4:S$16)),S13)*100</f>
        <v>35.699999999999996</v>
      </c>
    </row>
    <row r="14" spans="1:20" x14ac:dyDescent="0.35">
      <c r="G14" t="s">
        <v>875</v>
      </c>
      <c r="H14" s="111" t="s">
        <v>884</v>
      </c>
      <c r="I14" t="s">
        <v>673</v>
      </c>
      <c r="J14" s="113" t="str" cm="1">
        <f t="array" ref="J14">_xll.FDS(K14,"FG_COMPANY_NAME")</f>
        <v>iShares MSCI Netherlands ETF</v>
      </c>
      <c r="K14" t="s">
        <v>867</v>
      </c>
      <c r="L14" t="s">
        <v>750</v>
      </c>
      <c r="M14" cm="1">
        <f t="array" ref="M14">IF(_xll.FDSRC(,"DUMMY","ECON_EXPR_DATA('FDS_ECON["&amp;H14&amp;"]',,,M)")=0,$J$19,_xll.FDSRC(,"DUMMY","ECON_EXPR_DATA('FDS_ECON["&amp;H14&amp;"]',,,M)"))</f>
        <v>49.181964999999998</v>
      </c>
      <c r="N14" cm="1">
        <f t="array" aca="1" ref="N14" ca="1">_xll.FDSRC("-","DUMMY","ECON_EXPR_DATA('FDS_ECON["&amp;H14&amp;"]',"&amp;$N$3&amp;",,Q)")</f>
        <v>51.493879999999997</v>
      </c>
      <c r="O14" cm="1">
        <f t="array" aca="1" ref="O14" ca="1">_xll.FDSRC("-","DUMMY","ECON_EXPR_DATA('FDS_ECON["&amp;H14&amp;"]',"&amp;$O$3&amp;",,Q)")</f>
        <v>49.325873999999999</v>
      </c>
      <c r="P14">
        <f t="shared" ca="1" si="1"/>
        <v>2.1680059999999983</v>
      </c>
      <c r="Q14" cm="1">
        <f t="array" ref="Q14">_xlfn.PERCENTRANK.EXC(_xlfn._xlws.FILTER(M$4:M$16, ISNUMBER(M$4:M$16)),M14)*100</f>
        <v>71.399999999999991</v>
      </c>
      <c r="R14" cm="1">
        <f t="array" aca="1" ref="R14" ca="1">_xlfn.PERCENTRANK.EXC(_xlfn._xlws.FILTER(P$4:P$16, ISNUMBER(P$4:P$16)),P14)*100</f>
        <v>85.7</v>
      </c>
      <c r="S14">
        <f ca="1">Q14*Assumption!$E$27 + R14*Assumption!$F$27</f>
        <v>77.12</v>
      </c>
      <c r="T14" cm="1">
        <f t="array" aca="1" ref="T14" ca="1">_xlfn.PERCENTRANK.EXC(_xlfn._xlws.FILTER(S$4:S$16, ISNUMBER(S$4:S$16)),S14)*100</f>
        <v>85.7</v>
      </c>
    </row>
    <row r="15" spans="1:20" x14ac:dyDescent="0.35">
      <c r="G15" t="s">
        <v>272</v>
      </c>
      <c r="H15" s="111"/>
      <c r="I15" t="s">
        <v>705</v>
      </c>
      <c r="J15" s="113" t="str" cm="1">
        <f t="array" ref="J15">_xll.FDS(K15,"FG_COMPANY_NAME")</f>
        <v>iShares MSCI Sweden ETF</v>
      </c>
      <c r="K15" t="s">
        <v>864</v>
      </c>
      <c r="L15" t="s">
        <v>750</v>
      </c>
      <c r="M15" cm="1">
        <f t="array" ref="M15">IF(_xll.FDSRC(,"DUMMY","ECON_EXPR_DATA('FDS_ECON["&amp;H15&amp;"]',,,M)")=0,$J$19,_xll.FDSRC(,"DUMMY","ECON_EXPR_DATA('FDS_ECON["&amp;H15&amp;"]',,,M)"))</f>
        <v>48.788089999999997</v>
      </c>
      <c r="N15" t="str" cm="1">
        <f t="array" aca="1" ref="N15" ca="1">_xll.FDSRC("-","DUMMY","ECON_EXPR_DATA('FDS_ECON["&amp;H15&amp;"]',"&amp;$N$3&amp;",,Q)")</f>
        <v>-</v>
      </c>
      <c r="O15" t="str" cm="1">
        <f t="array" aca="1" ref="O15" ca="1">_xll.FDSRC("-","DUMMY","ECON_EXPR_DATA('FDS_ECON["&amp;H15&amp;"]',"&amp;$O$3&amp;",,Q)")</f>
        <v>-</v>
      </c>
      <c r="P15">
        <f t="shared" ca="1" si="1"/>
        <v>0.48830799999999641</v>
      </c>
      <c r="Q15" cm="1">
        <f t="array" ref="Q15">_xlfn.PERCENTRANK.EXC(_xlfn._xlws.FILTER(M$4:M$16, ISNUMBER(M$4:M$16)),M15)*100</f>
        <v>57.099999999999994</v>
      </c>
      <c r="R15" cm="1">
        <f t="array" aca="1" ref="R15" ca="1">_xlfn.PERCENTRANK.EXC(_xlfn._xlws.FILTER(P$4:P$16, ISNUMBER(P$4:P$16)),P15)*100</f>
        <v>71.399999999999991</v>
      </c>
      <c r="S15">
        <f ca="1">Q15*Assumption!$E$27 + R15*Assumption!$F$27</f>
        <v>62.819999999999993</v>
      </c>
      <c r="T15" cm="1">
        <f t="array" aca="1" ref="T15" ca="1">_xlfn.PERCENTRANK.EXC(_xlfn._xlws.FILTER(S$4:S$16, ISNUMBER(S$4:S$16)),S15)*100</f>
        <v>71.399999999999991</v>
      </c>
    </row>
    <row r="16" spans="1:20" x14ac:dyDescent="0.35">
      <c r="G16" t="s">
        <v>876</v>
      </c>
      <c r="H16" s="111" t="s">
        <v>885</v>
      </c>
      <c r="I16" t="s">
        <v>641</v>
      </c>
      <c r="J16" s="113" t="str" cm="1">
        <f t="array" ref="J16">_xll.FDS(K16,"FG_COMPANY_NAME")</f>
        <v>iShares MSCI Italy ETF</v>
      </c>
      <c r="K16" t="s">
        <v>866</v>
      </c>
      <c r="L16" t="s">
        <v>750</v>
      </c>
      <c r="M16" cm="1">
        <f t="array" ref="M16">IF(_xll.FDSRC(,"DUMMY","ECON_EXPR_DATA('FDS_ECON["&amp;H16&amp;"]',,,M)")=0,$J$19,_xll.FDSRC(,"DUMMY","ECON_EXPR_DATA('FDS_ECON["&amp;H16&amp;"]',,,M)"))</f>
        <v>47.399715</v>
      </c>
      <c r="N16" cm="1">
        <f t="array" aca="1" ref="N16" ca="1">_xll.FDSRC("-","DUMMY","ECON_EXPR_DATA('FDS_ECON["&amp;H16&amp;"]',"&amp;$N$3&amp;",,Q)")</f>
        <v>46.215786000000001</v>
      </c>
      <c r="O16" cm="1">
        <f t="array" aca="1" ref="O16" ca="1">_xll.FDSRC("-","DUMMY","ECON_EXPR_DATA('FDS_ECON["&amp;H16&amp;"]',"&amp;$O$3&amp;",,Q)")</f>
        <v>49.208153000000003</v>
      </c>
      <c r="P16">
        <f t="shared" ca="1" si="1"/>
        <v>-2.9923670000000016</v>
      </c>
      <c r="Q16" cm="1">
        <f t="array" ref="Q16">_xlfn.PERCENTRANK.EXC(_xlfn._xlws.FILTER(M$4:M$16, ISNUMBER(M$4:M$16)),M16)*100</f>
        <v>35.699999999999996</v>
      </c>
      <c r="R16" cm="1">
        <f t="array" aca="1" ref="R16" ca="1">_xlfn.PERCENTRANK.EXC(_xlfn._xlws.FILTER(P$4:P$16, ISNUMBER(P$4:P$16)),P16)*100</f>
        <v>7.1</v>
      </c>
      <c r="S16">
        <f ca="1">Q16*Assumption!$E$27 + R16*Assumption!$F$27</f>
        <v>24.259999999999998</v>
      </c>
      <c r="T16" cm="1">
        <f t="array" aca="1" ref="T16" ca="1">_xlfn.PERCENTRANK.EXC(_xlfn._xlws.FILTER(S$4:S$16, ISNUMBER(S$4:S$16)),S16)*100</f>
        <v>21.4</v>
      </c>
    </row>
    <row r="18" spans="8:13" x14ac:dyDescent="0.35">
      <c r="K18" t="str" cm="1">
        <f t="array" aca="1" ref="K18" ca="1">_xll.FDSRC("-","DUMMY","ECON_DATE("&amp;$L$1&amp;",,, 'MM/YYYY')")</f>
        <v>07/2024</v>
      </c>
      <c r="L18" t="str" cm="1">
        <f t="array" aca="1" ref="L18" ca="1">_xll.FDSRC("-","DUMMY","ECON_DATE("&amp;$L$2&amp;",,, 'MM/YYYY')")</f>
        <v>04/2024</v>
      </c>
      <c r="M18" t="s">
        <v>773</v>
      </c>
    </row>
    <row r="19" spans="8:13" x14ac:dyDescent="0.35">
      <c r="H19" s="111" t="s">
        <v>759</v>
      </c>
      <c r="I19" s="111" t="s">
        <v>760</v>
      </c>
      <c r="J19" cm="1">
        <f t="array" ref="J19">IF(_xll.FDSRC("-","DUMMY","ECON_EXPR_DATA('FDS_ECON["&amp;H19&amp;"]',,,M)") = "-",$K$19,_xll.FDSRC("-","DUMMY","ECON_EXPR_DATA('FDS_ECON["&amp;H19&amp;"]',,,M)"))</f>
        <v>48.788089999999997</v>
      </c>
      <c r="K19" cm="1">
        <f t="array" aca="1" ref="K19" ca="1">_xll.FDSRC("-","DUMMY","ECON_EXPR_DATA('FDS_ECON["&amp;H19&amp;"]',"&amp;$K$18&amp;",,Q)")</f>
        <v>49.418633</v>
      </c>
      <c r="L19" cm="1">
        <f t="array" aca="1" ref="L19" ca="1">_xll.FDSRC("-","DUMMY","ECON_EXPR_DATA('FDS_ECON["&amp;H19&amp;"]',"&amp;$L$18&amp;",,Q)")</f>
        <v>49.135390000000001</v>
      </c>
      <c r="M19">
        <f ca="1">K19-L19</f>
        <v>0.2832429999999988</v>
      </c>
    </row>
    <row r="20" spans="8:13" x14ac:dyDescent="0.35">
      <c r="H20" s="111" t="s">
        <v>761</v>
      </c>
      <c r="I20" s="111" t="s">
        <v>762</v>
      </c>
      <c r="J20" cm="1">
        <f t="array" ref="J20">IF(_xll.FDSRC("-","DUMMY","ECON_EXPR_DATA('FDS_ECON["&amp;H20&amp;"]',,,M)") = "-",$K$20,_xll.FDSRC("-","DUMMY","ECON_EXPR_DATA('FDS_ECON["&amp;H20&amp;"]',,,M)"))</f>
        <v>50.669899999999998</v>
      </c>
      <c r="K20" cm="1">
        <f t="array" aca="1" ref="K20" ca="1">_xll.FDSRC("-","DUMMY","ECON_EXPR_DATA('FDS_ECON["&amp;H20&amp;"]',"&amp;$K$18&amp;",,Q)")</f>
        <v>52.007823999999999</v>
      </c>
      <c r="L20" cm="1">
        <f t="array" aca="1" ref="L20" ca="1">_xll.FDSRC("-","DUMMY","ECON_EXPR_DATA('FDS_ECON["&amp;H20&amp;"]',"&amp;$L$18&amp;",,Q)")</f>
        <v>51.519516000000003</v>
      </c>
      <c r="M20">
        <f ca="1">K20-L20</f>
        <v>0.48830799999999641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34B6-486A-4E0E-9818-F32B844CF5DC}">
  <dimension ref="A1:G17"/>
  <sheetViews>
    <sheetView workbookViewId="0">
      <selection activeCell="F21" sqref="F21"/>
    </sheetView>
  </sheetViews>
  <sheetFormatPr defaultRowHeight="14.5" x14ac:dyDescent="0.35"/>
  <cols>
    <col min="1" max="1" width="14.1796875" customWidth="1"/>
    <col min="2" max="2" width="34.453125" bestFit="1" customWidth="1"/>
    <col min="3" max="3" width="9.54296875" bestFit="1" customWidth="1"/>
    <col min="4" max="4" width="15.453125" customWidth="1"/>
    <col min="5" max="5" width="17.54296875" customWidth="1"/>
    <col min="6" max="6" width="19.453125" customWidth="1"/>
    <col min="7" max="7" width="18" customWidth="1"/>
  </cols>
  <sheetData>
    <row r="1" spans="1:7" x14ac:dyDescent="0.35">
      <c r="A1" t="s">
        <v>740</v>
      </c>
      <c r="B1" t="s">
        <v>519</v>
      </c>
      <c r="C1" t="s">
        <v>820</v>
      </c>
      <c r="D1" t="s">
        <v>846</v>
      </c>
      <c r="E1" t="s">
        <v>561</v>
      </c>
      <c r="F1" t="s">
        <v>847</v>
      </c>
      <c r="G1" t="s">
        <v>848</v>
      </c>
    </row>
    <row r="2" spans="1:7" x14ac:dyDescent="0.35">
      <c r="A2" t="s">
        <v>198</v>
      </c>
      <c r="B2" t="s">
        <v>446</v>
      </c>
      <c r="C2" t="s">
        <v>431</v>
      </c>
      <c r="D2" s="143" cm="1">
        <f t="array" ref="D2">_xll.FDS(C2,"FREF_MARKET_VALUE_COMPANY(0,,,USD,,0,,""LEGACY"")")</f>
        <v>87.768000000000001</v>
      </c>
      <c r="E2" t="s">
        <v>674</v>
      </c>
      <c r="F2" t="str">
        <f t="shared" ref="F2:F14" si="0">_xlfn.CONCAT("FC0000",RIGHT(A2,2))</f>
        <v>FC0000NZ</v>
      </c>
      <c r="G2" s="142" cm="1">
        <f t="array" ref="G2">_xll.FDSZ(F2,"FMA_MCAP(0,,,USD,""PORTAGG"")")</f>
        <v>98401.085999999996</v>
      </c>
    </row>
    <row r="3" spans="1:7" x14ac:dyDescent="0.35">
      <c r="A3" t="s">
        <v>174</v>
      </c>
      <c r="B3" t="s">
        <v>45</v>
      </c>
      <c r="C3" t="s">
        <v>44</v>
      </c>
      <c r="D3" s="143" cm="1">
        <f t="array" ref="D3">_xll.FDS(C3,"FREF_MARKET_VALUE_COMPANY(0,,,USD,,0,,""LEGACY"")")</f>
        <v>1469.22</v>
      </c>
      <c r="E3" t="s">
        <v>576</v>
      </c>
      <c r="F3" t="str">
        <f t="shared" si="0"/>
        <v>FC0000AU</v>
      </c>
      <c r="G3" s="142" cm="1">
        <f t="array" ref="G3">_xll.FDSZ(F3,"FMA_MCAP(0,,,USD,""PORTAGG"")")</f>
        <v>1776285</v>
      </c>
    </row>
    <row r="4" spans="1:7" x14ac:dyDescent="0.35">
      <c r="A4" t="s">
        <v>157</v>
      </c>
      <c r="B4" t="s">
        <v>50</v>
      </c>
      <c r="C4" t="s">
        <v>49</v>
      </c>
      <c r="D4" s="143" cm="1">
        <f t="array" ref="D4">_xll.FDS(C4,"FREF_MARKET_VALUE_COMPANY(0,,,USD,,0,,""LEGACY"")")</f>
        <v>2546.5590000000002</v>
      </c>
      <c r="E4" t="s">
        <v>598</v>
      </c>
      <c r="F4" t="str">
        <f t="shared" si="0"/>
        <v>FC0000CA</v>
      </c>
      <c r="G4" s="142" cm="1">
        <f t="array" ref="G4">_xll.FDSZ(F4,"FMA_MCAP(0,,,USD,""PORTAGG"")")</f>
        <v>2891931.3</v>
      </c>
    </row>
    <row r="5" spans="1:7" s="1" customFormat="1" x14ac:dyDescent="0.35">
      <c r="A5" s="145" t="s">
        <v>555</v>
      </c>
      <c r="B5" s="145" t="s">
        <v>39</v>
      </c>
      <c r="C5" s="145" t="s">
        <v>11</v>
      </c>
      <c r="D5" s="143" cm="1">
        <f t="array" ref="D5">_xll.FDS(C5,"FREF_MARKET_VALUE_COMPANY(0,,,USD,,0,,""LEGACY"")")</f>
        <v>925.39499999999998</v>
      </c>
      <c r="E5" s="145" t="s">
        <v>625</v>
      </c>
      <c r="F5" s="145" t="str">
        <f t="shared" si="0"/>
        <v>FC0000DE</v>
      </c>
      <c r="G5" s="146" cm="1">
        <f t="array" ref="G5">_xll.FDSZ(F5,"FMA_MCAP(0,,,USD,""PORTAGG"")")</f>
        <v>2347794.7999999998</v>
      </c>
    </row>
    <row r="6" spans="1:7" x14ac:dyDescent="0.35">
      <c r="A6" t="s">
        <v>164</v>
      </c>
      <c r="B6" t="s">
        <v>47</v>
      </c>
      <c r="C6" t="s">
        <v>46</v>
      </c>
      <c r="D6" s="143" cm="1">
        <f t="array" ref="D6">_xll.FDS(C6,"FREF_MARKET_VALUE_COMPANY(0,,,USD,,0,,""LEGACY"")")</f>
        <v>15978.459000000001</v>
      </c>
      <c r="E6" t="s">
        <v>643</v>
      </c>
      <c r="F6" t="str">
        <f t="shared" si="0"/>
        <v>FC0000JP</v>
      </c>
      <c r="G6" s="142" cm="1">
        <f t="array" ref="G6">_xll.FDSZ(F6,"FMA_MCAP(0,,,USD,""PORTAGG"")")</f>
        <v>6764038.5</v>
      </c>
    </row>
    <row r="7" spans="1:7" x14ac:dyDescent="0.35">
      <c r="A7" t="s">
        <v>276</v>
      </c>
      <c r="B7" t="s">
        <v>43</v>
      </c>
      <c r="C7" t="s">
        <v>42</v>
      </c>
      <c r="D7" s="143" cm="1">
        <f t="array" ref="D7">_xll.FDS(C7,"FREF_MARKET_VALUE_COMPANY(0,,,USD,,0,,""LEGACY"")")</f>
        <v>1306.3050000000001</v>
      </c>
      <c r="E7" t="s">
        <v>706</v>
      </c>
      <c r="F7" t="str">
        <f t="shared" si="0"/>
        <v>FC0000CH</v>
      </c>
      <c r="G7" s="142" cm="1">
        <f t="array" ref="G7">_xll.FDSZ(F7,"FMA_MCAP(0,,,USD,""PORTAGG"")")</f>
        <v>2370079.2999999998</v>
      </c>
    </row>
    <row r="8" spans="1:7" x14ac:dyDescent="0.35">
      <c r="A8" t="s">
        <v>167</v>
      </c>
      <c r="B8" t="s">
        <v>447</v>
      </c>
      <c r="C8" t="s">
        <v>48</v>
      </c>
      <c r="D8" s="143" cm="1">
        <f t="array" ref="D8">_xll.FDS(C8,"FREF_MARKET_VALUE_COMPANY(0,,,USD,,0,,""LEGACY"")")</f>
        <v>3272.3470000000002</v>
      </c>
      <c r="E8" t="s">
        <v>719</v>
      </c>
      <c r="F8" t="str">
        <f t="shared" si="0"/>
        <v>FC0000GB</v>
      </c>
      <c r="G8" s="142" cm="1">
        <f t="array" ref="G8">_xll.FDSZ(F8,"FMA_MCAP(0,,,USD,""PORTAGG"")")</f>
        <v>3412445</v>
      </c>
    </row>
    <row r="9" spans="1:7" x14ac:dyDescent="0.35">
      <c r="A9" t="s">
        <v>170</v>
      </c>
      <c r="B9" t="s">
        <v>448</v>
      </c>
      <c r="C9" t="s">
        <v>51</v>
      </c>
      <c r="D9" s="143" cm="1">
        <f t="array" ref="D9">_xll.FDS(C9,"FREF_MARKET_VALUE_COMPANY(0,,,USD,,0,,""LEGACY"")")</f>
        <v>286420.14299999998</v>
      </c>
      <c r="E9" t="s">
        <v>720</v>
      </c>
      <c r="F9" t="str">
        <f t="shared" si="0"/>
        <v>FC0000US</v>
      </c>
      <c r="G9" s="142" cm="1">
        <f t="array" ref="G9">_xll.FDSZ(F9,"FMA_MCAP(0,,,USD,""PORTAGG"")")</f>
        <v>58039256</v>
      </c>
    </row>
    <row r="10" spans="1:7" x14ac:dyDescent="0.35">
      <c r="A10" t="s">
        <v>170</v>
      </c>
      <c r="B10" t="s">
        <v>1</v>
      </c>
      <c r="C10" t="s">
        <v>1</v>
      </c>
      <c r="D10" s="143" cm="1">
        <f t="array" ref="D10">_xll.FDS(C10,"FREF_MARKET_VALUE_COMPANY(0,,,USD,,0,,""LEGACY"")")</f>
        <v>562025.11553499999</v>
      </c>
      <c r="E10" t="s">
        <v>720</v>
      </c>
      <c r="F10" t="str">
        <f t="shared" si="0"/>
        <v>FC0000US</v>
      </c>
      <c r="G10" s="142" cm="1">
        <f t="array" ref="G10">_xll.FDSZ(F10,"FMA_MCAP(0,,,USD,""PORTAGG"")")</f>
        <v>58039256</v>
      </c>
    </row>
    <row r="11" spans="1:7" x14ac:dyDescent="0.35">
      <c r="A11" t="s">
        <v>869</v>
      </c>
      <c r="B11" t="s">
        <v>874</v>
      </c>
      <c r="C11" t="s">
        <v>865</v>
      </c>
      <c r="D11" s="143" cm="1">
        <f t="array" ref="D11">_xll.FDS(C11,"FREF_MARKET_VALUE_COMPANY(0,,,USD,,0,,""LEGACY"")")</f>
        <v>669.14400000000001</v>
      </c>
      <c r="E11" t="s">
        <v>621</v>
      </c>
      <c r="F11" t="str">
        <f t="shared" si="0"/>
        <v>FC0000FR</v>
      </c>
      <c r="G11" s="142" cm="1">
        <f t="array" ref="G11">_xll.FDSZ(F11,"FMA_MCAP(0,,,USD,""PORTAGG"")")</f>
        <v>3258020.5</v>
      </c>
    </row>
    <row r="12" spans="1:7" x14ac:dyDescent="0.35">
      <c r="A12" t="s">
        <v>870</v>
      </c>
      <c r="B12" t="s">
        <v>872</v>
      </c>
      <c r="C12" t="s">
        <v>867</v>
      </c>
      <c r="D12" s="143" cm="1">
        <f t="array" ref="D12">_xll.FDS(C12,"FREF_MARKET_VALUE_COMPANY(0,,,USD,,0,,""LEGACY"")")</f>
        <v>292.84199999999998</v>
      </c>
      <c r="E12" t="s">
        <v>673</v>
      </c>
      <c r="F12" t="str">
        <f t="shared" si="0"/>
        <v>FC0000NL</v>
      </c>
      <c r="G12" s="142" cm="1">
        <f t="array" ref="G12">_xll.FDSZ(F12,"FMA_MCAP(0,,,USD,""PORTAGG"")")</f>
        <v>1145061</v>
      </c>
    </row>
    <row r="13" spans="1:7" x14ac:dyDescent="0.35">
      <c r="A13" t="s">
        <v>273</v>
      </c>
      <c r="B13" t="s">
        <v>873</v>
      </c>
      <c r="C13" t="s">
        <v>864</v>
      </c>
      <c r="D13" s="143" cm="1">
        <f t="array" ref="D13">_xll.FDS(C13,"FREF_MARKET_VALUE_COMPANY(0,,,USD,,0,,""LEGACY"")")</f>
        <v>306.05925000000002</v>
      </c>
      <c r="E13" t="s">
        <v>705</v>
      </c>
      <c r="F13" t="str">
        <f t="shared" si="0"/>
        <v>FC0000SE</v>
      </c>
      <c r="G13" s="142" cm="1">
        <f t="array" ref="G13">_xll.FDSZ(F13,"FMA_MCAP(0,,,USD,""PORTAGG"")")</f>
        <v>1069142.5</v>
      </c>
    </row>
    <row r="14" spans="1:7" x14ac:dyDescent="0.35">
      <c r="A14" t="s">
        <v>868</v>
      </c>
      <c r="B14" t="s">
        <v>871</v>
      </c>
      <c r="C14" t="s">
        <v>866</v>
      </c>
      <c r="D14" s="143" cm="1">
        <f t="array" ref="D14">_xll.FDS(C14,"FREF_MARKET_VALUE_COMPANY(0,,,USD,,0,,""LEGACY"")")</f>
        <v>466.45724999999999</v>
      </c>
      <c r="E14" t="s">
        <v>641</v>
      </c>
      <c r="F14" t="str">
        <f t="shared" si="0"/>
        <v>FC0000IT</v>
      </c>
      <c r="G14" s="142" cm="1">
        <f t="array" ref="G14">_xll.FDSZ(F14,"FMA_MCAP(0,,,USD,""PORTAGG"")")</f>
        <v>896323.94</v>
      </c>
    </row>
    <row r="15" spans="1:7" x14ac:dyDescent="0.35">
      <c r="D15" s="143"/>
      <c r="G15" s="142"/>
    </row>
    <row r="17" spans="1:7" x14ac:dyDescent="0.35">
      <c r="A17" s="46" t="s">
        <v>366</v>
      </c>
      <c r="B17" s="46" t="str" cm="1">
        <f t="array" ref="B17">_xll.FDS(C17,"FG_COMPANY_NAME")</f>
        <v>Nasdaq South Africa</v>
      </c>
      <c r="C17" s="46" t="s">
        <v>852</v>
      </c>
      <c r="D17" s="149" cm="1">
        <f t="array" ref="D17">_xll.FDSZ(C17,"FMA_MCAP(0,,,USD,""PORTAGG"")")</f>
        <v>0</v>
      </c>
      <c r="E17" s="46" t="str" cm="1">
        <f t="array" ref="E17">_xll.FDS(A17,"FG_COMPANY_NAME")</f>
        <v>South Africa</v>
      </c>
      <c r="F17" s="46" t="str">
        <f>_xlfn.CONCAT("FC0000",RIGHT(A17,2))</f>
        <v>FC0000ZA</v>
      </c>
      <c r="G17" s="149" cm="1">
        <f t="array" ref="G17">_xll.FDS(F17,"FG_MCAP_IDX(0,,,USD)")</f>
        <v>358905.03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25017808"><![CDATA[{"FC0000ZA^FG_MCAP_IDX(0,,,USD)":358905.03,"EWI^FREF_MARKET_VALUE_COMPANY(0,,,USD,,0,,\"LEGACY\")":466.45725,"FC0000IT^FMA_MCAP(0,,,USD,\"PORTAGG\")":896323.94,"EWD^FREF_MARKET_VALUE_COMPANY(0,,,USD,,0,,\"LEGACY\")":306.05925,"FC0000SE^FMA_MCAP(0,,,USD,\"PORTAGG\")":1069142.5,"EWN^FREF_MARKET_VALUE_COMPANY(0,,,USD,,0,,\"LEGACY\")":292.842,"FC0000NL^FMA_MCAP(0,,,USD,\"PORTAGG\")":1145061.0,"EWQ^FREF_MARKET_VALUE_COMPANY(0,,,USD,,0,,\"LEGACY\")":669.144,"FC0000FR^FMA_MCAP(0,,,USD,\"PORTAGG\")":3258020.5,"SPY^FREF_MARKET_VALUE_COMPANY(0,,,USD,,0,,\"LEGACY\")":562025.115535,"FC0000US^FMA_MCAP(0,,,USD,\"PORTAGG\")":58039256.0,"QQQ^FREF_MARKET_VALUE_COMPANY(0,,,USD,,0,,\"LEGACY\")":286420.143,"EWU^FREF_MARKET_VALUE_COMPANY(0,,,USD,,0,,\"LEGACY\")":3272.347,"FC0000GB^FMA_MCAP(0,,,USD,\"PORTAGG\")":3412445.0,"EWL^FREF_MARKET_VALUE_COMPANY(0,,,USD,,0,,\"LEGACY\")":1306.305,"FC0000CH^FMA_MCAP(0,,,USD,\"PORTAGG\")":2370079.3,"EWJ^FREF_MARKET_VALUE_COMPANY(0,,,USD,,0,,\"LEGACY\")":15978.459,"FC0000JP^FMA_MCAP(0,,,USD,\"PORTAGG\")":6764038.5,"EWG^FREF_MARKET_VALUE_COMPANY(0,,,USD,,0,,\"LEGACY\")":925.395,"FC0000DE^FMA_MCAP(0,,,USD,\"PORTAGG\")":2347794.8,"FC0000CA^FMA_MCAP(0,,,USD,\"PORTAGG\")":2891931.3,"EWA^FREF_MARKET_VALUE_COMPANY(0,,,USD,,0,,\"LEGACY\")":1469.22,"FC0000AU^FMA_MCAP(0,,,USD,\"PORTAGG\")":1776285.0,"ENZL^FREF_MARKET_VALUE_COMPANY(0,,,USD,,0,,\"LEGACY\")":87.768,"FC0000NZ^FMA_MCAP(0,,,USD,\"PORTAGG\")":98401.086,"NQG00809^FG_COMPANY_NAME":"Nasdaq South Africa","EWC^FREF_MARKET_VALUE_COMPANY(0,,,USD,,0,,\"LEGACY\")":2546.559,"CC_ZA^FG_COMPANY_NAME":"South Africa","NQG00809^FMA_MCAP(0,,,USD,\"PORTAGG\")":null,"DUMMY^ECON_EXPR_DATA('FDS_ECON[NTCPMIMFGSA@IT]',,,M)":47.399715,"DUMMY^ECON_EXPR_DATA('FDS_ECON[NTCPMIMFGSA@NL]',,,M)":49.181965,"DUMMY^ECON_EXPR_DATA('FDS_ECON[NTCPMIMFGSA@FR]',,,M)":44.00542,"DUMMY^ECON_EXPR_DATA('FDS_ECON[NTCPMIMFGMESA@US]',,,M)":49.629135,"DUMMY^ECON_EXPR_DATA('FDS_ECON[NTCPMIMFGSA@GB]',,,M)":52.11154,"DUMMY^ECON_EXPR_DATA('FDS_ECON[NTCPMIMFGSA@JP]',,,M)":49.104828,"DUMMY^ECON_EXPR_DATA('FDS_ECON[NTCPMIMFGSA@DE]',,,M)":43.19687,"DUMMY^ECON_EXPR_DATA('FDS_ECON[NTCPMIMFGSA@AU]',,,M)":47.461594,"DUMMY^ECON_EXPR_DATA('FDS_ECON[]',,,M)":null,"DUMMY^ECON_EXPR_DATA('FDS_ECON[NTCPMIMFGSA@CH]',,,M)":43.4886,"DUMMY^ECON_EXPR_DATA('FDS_ECON[NTCPMIMFGSA@CA]',,,M)":47.763653,"DUMMY^ECON_EXPR_DATA('FDS_ECON[NTCPMIMFGSA@NZ]',,,M)":44.007698,"CAGDPY@FR^EE_ACTUAL_ANNUAL(MED,+1)":-0.4,"CAGDPY@AU^EE_ACTUAL_ANNUAL(MED,+1)":0.25,"USDITL^FG_PRICE_CHANGE(0,-3AM)":-2.3169637,"USDANG^FG_PRICE_CHANGE(0,-3AM)":0.0,"USDUSD^FG_PRICE_CHANGE(0,-3AM)":0.0,"USDGBP^FG_PRICE_CHANGE(0,-3AM)":-3.3595562,"USDJPY^FG_PRICE_CHANGE(0,-3AM)":-7.692069,"USDCAD^FG_PRICE_CHANGE(0,-3AM)":-1.7068446,"USDNZD^FG_PRICE_CHANGE(0,-3AM)":-2.1499395,"EWA^FMA_EPS(NTMA,-20AY,0,CY,,\"PORTAGG\",\"MEANR\")":[1.18421421757289,1.35622936034371,1.68223219538503,2.01218211762237,1.47822239950882,1.49861477471222,2.04832230944667,2.08841813329258,1.8915836506348,1.71909344341549,1.51920222936301,1.20321447580294,1.28201594869045,1.44580701527009,1.37894957605166,1.31799698481148,1.26256164176903,1.41909398824033,1.56850336770513,1.47895581929429],"ENZL^JULIAN(P_PRICE_RETURNS_PR('52W',2,-10AY,0,AM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3],"EWD^FMA_DIV_YLD(NTMA,-10AY,0,AM,\"PORTAGG\",\"MEANR\")":[4.21684436152782,4.24018287905861,4.24408742755032,4.08056320879611,4.06318187580504,3.84165890242188,3.59445421457265,3.67953371607997,3.77861715506632,3.79279278099801,4.0263202315127,3.99473836004671,4.27366645677998,4.64919347006012,4.22050446500208,4.12339469056765,4.30378003446594,4.44125226129347,4.37272326157481,4.45075085641669,4.36143114167431,4.34675776980667,4.56471232538823,4.30723822955297,4.24317848451746,4.19595854042622,4.08819600530304,4.07445085474593,3.90040558081126,3.69026279021395,3.6475444971784,3.63977608361123,3.54135253784062,3.3724479854966,3.58962068337145,3.7140747519073,3.84073561425277,3.55487277913198,3.51776099160286,3.66259613943078,3.77433533207484,3.71739464705135,3.83889594769335,4.03733643537522,4.00281943337679,4.07920980416931,4.13224540751474,4.09231742101807,3.98475545091803,4.02562062467823,4.4667679660842,4.46104148019001,4.74857239704533,4.39211175321194,4.16382933288108,4.21418489544559,3.95982565328595,4.36616331074101,4.15795574555105,4.01623091167543,4.21810088531349,3.90463095220732,3.71992783281484,3.71438287249448,3.56839642932805,3.59514192740499,3.83184335373668,4.36061186694968,3.23928804099652,3.16114635595413,3.0588624818915,2.98754745438734,3.00058687872579,2.97978577248399,3.33141421278013,2.98423016166162,3.07411245644082,3.03288709370404,2.9905458544825,2.78269096200133,2.8095248111534,2.70462097375517,2.68234620024043,2.71538244815315,2.71239570144373,2.89797953867954,3.04446819190547,3.06552272156897,2.83041031973095,2.9220767257621,3.14735600064147,3.06540155698296,3.27519893641676,3.32654329774309,3.58363012858169,3.43703960025648,3.67089594257554,3.87388828210202,3.72219013922109,3.62655067154066,3.70262905069803,3.55990232791439,3.55284359218596,3.75315651252677,3.63554448639814,3.75381128990307,3.76647270016528,3.77029473596566,3.92867440844249,4.00795290468535,4.0256975178892,3.63502851871524,2.92065549436807,3.35645897172654,3.30623753592336,3.2305999509816,3.26506550220552,3.22925970660016,3.23094000575736,3.22436381294799,3.23639030132541],"EWQ^FMA_PE(NTMA,-10AY,0,AM,\"PORTAGG\",\"MEANR\")":[13.6611265422643,13.4385730932733,12.8865195720861,13.8444256314468,13.8667117363024,15.3556553987777,16.3806904032679,16.4766337219812,16.2653774316039,16.1051962930377,15.4978297603377,15.7120219474318,14.4035168111627,13.5283341105853,15.137121306656,15.3275994586794,14.7379623249789,14.2508273518429,14.1983688040375,14.2847745787054,14.4793950055038,14.5972036241849,13.4603834729077,14.1493710319285,13.8942946792116,13.8526124788766,14.0642348596708,13.8016946810467,14.5099521375212,14.4162397548059,14.1974243755866,14.7814348003355,15.211280112837,15.235447872678,14.6360211173373,14.6070460869743,14.2985626193974,15.1352822443408,15.378269150774,15.0666009448054,14.8031492764166,15.2773957236124,14.6426222392187,14.1993168392958,14.7820471397329,14.4024718919825,13.9729637950702,14.2527946614026,14.0355304093363,13.8591447188231,12.5529782816681,12.5297349321217,11.7632820738411,12.6841608954807,13.4777878618813,13.5977769794351,14.1190230802143,13.2010819156171,13.9078203954288,14.1917714615859,13.7101223736012,14.1300461883432,14.4838846643439,14.7433178453827,15.0434682522783,14.8620603662548,13.4531981354815,12.3962681448673,16.6101862257026,17.5357911422424,18.7909325123991,19.4413448373005,19.5381197528457,18.1008825476353,16.551558736781,19.2150152316124,18.2129413897599,17.2558562182916,17.7312658944218,18.1626300845938,18.1080468365373,17.9229278592178,17.5581291075133,16.8964537582195,16.3091946435646,15.6919714030196,15.7134761435831,15.1531296617123,15.8479348567502,14.8219614480132,13.8957966733355,13.8316754393974,12.8610043081871,12.4278904995655,11.3938985769475,11.7007074574237,11.1953417523518,10.0602182025603,11.215168756183,12.0026283057536,11.9922578763817,13.1722922652377,13.2122055873261,13.0407115670717,13.7329079964191,13.138907797509,13.1326026120428,13.3599250306245,13.0305199467276,12.4800075279259,11.9561600879339,12.8656583617327,13.4147515249339,13.7423248266663,14.2666486390083,14.713062026363,14.4878222472555,14.167929099143,13.3883807399848,13.5016771803984,13.7573735991581],"QQQ^FMA_PE(LTMA,-10AY,0,AM,\"PORTAGG\",\"MEANR\")":[19.4608535100563,19.3045816712062,19.414971027018,20.5332905806804,20.4748904835846,19.5960153082978,20.7927523096553,20.4998593963006,20.4561056784734,20.2708026242024,19.8437943531289,20.2807919694454,19.6136027137307,18.6464721540063,20.3794522640783,20.4328732407483,20.5228311547466,18.8271811631151,18.171940910564,18.3727241458868,18.3157234271995,18.6109432734689,18.4765804251898,19.3471848278029,19.5698721785276,19.8527484554851,19.7606111521239,20.1251896144899,20.5184590069523,21.3319746049565,21.7141306880179,21.6649216124631,21.7013956552269,21.9680667752675,21.6672268819428,22.1489490097429,21.9902708785088,22.3042785946712,22.7761542647425,22.9863844453452,23.5271162523326,25.3207360385645,24.1192849747836,23.6415291626979,23.2433827500108,23.1321419140761,22.9760281305682,23.0798570563249,23.4798620306632,23.2714903030339,20.6017551600291,20.6155398789469,18.6396623122827,19.5936624584663,20.8978946598702,21.0307549409424,21.4828962468854,20.8975577354953,21.60538969715,22.2254354651672,21.8533186493455,21.9502091876087,22.9165386404088,24.162228206776,25.5340956105812,26.1091436622057,23.8036531420065,23.3607277674832,25.0029550574526,26.4841290531288,27.3694841710792,28.8968423917037,31.2232506616751,30.6166285997889,31.0443647002,33.047506609112,35.0671545508646,34.1163793702413,32.9457007618791,32.5257002786394,32.2943037390802,31.5157305699435,31.9057690717074,31.5490528296866,31.5937221494601,30.3457949466956,31.4591249808524,32.1074978962712,32.2382111932144,27.8008877118007,26.7028018299234,27.0097581740171,25.8249989751868,25.411366301093,24.2080127568659,25.661844939708,25.0478814255614,22.9442364501996,23.54120083891,23.1708319153789,22.7617962854579,25.2345629184741,25.2426632180895,25.5146650079268,25.6688299463627,26.3395697213078,27.0501162091991,27.128582224722,26.6433973114096,25.9483017563446,24.9770167043527,27.6892615239358,29.1637516378953,30.1414057339243,30.321033646996,30.0744410915138,29.5443174859053,29.6913123647533,30.1344111542842,29.6005901239945,30.0550732988839],"DDR3512M-FDS^FG_PRICE(0)":0.89,"PASP-FDS^FG_PRICE(0)":965.0,"PLATI-FDS^FG_PRICE(0)":945.0,"W-FDS^FG_PRICE(0)":5.25,"COPP-FDS^FG_PRICE(0)":4.1475,"FC0000US^FG_PRICE(0)":418.86908,"FC0000GR^FG_PRICE(0)":9.787137,"EWI^FG_PRICE(0)":38.63,"SPY^FG_PRICE(0)":558.35,"EWJ^FG_PRICE(0)":71.54,"ENZL^FG_PRICE(0)":48.76,"EWA^FG_COMPANY_NAME":"iShares MSCI Australia ETF","FXI^P_PRICE(0)/P_PRICE_LOW_PR(0,,,,,,\"PRICE\",\"INTRA\",\"52W\")-1":0.26222432,"SPY^FMA_PCT_ABOVE_MAVG(200,0,,,,\"PORTAGG\")":75.0499001996008,"URTH^PERCENT_CHANGE(FMA_EPS(+1,0,,,,\"PORTAGG\",\"MEAN\"),FMA_EPS(+1,-3AM,,,,\"PORTAGG\",\"MEAN\"))":0.466676546414672,"VGK^FG_TOTAL_RETURNC(0,-3AM)":4.8115134,"EWD^P_PRICE(0)/P_PRICE_HIGH_PR(0,,,,,,\"PRICE\",\"INTRA\",\"52W\")":0.9864009,"EWQ^FG_TOTAL_RETURNC(0,-12AM)":7.4403405,"SPY^PERCENT_CHANGE(FMA_EPS(+1,0,,,,\"PORTAGG\",\"MEAN\"),FMA_EPS(+1,-1AM,,,,\"PORTAGG\",\"MEAN\"))":-0.0663067197968305,"EWU^FG_TOTAL_RETURNC(0,-1AM)":4.6809673,"EWJ^FG_TOTAL_RETURNC(0,-6AM)":4.2746663,"EWC^P_PRICE(0)/P_PRICE_LOW_PR(0,,,,,,\"PRICE\",\"INTRA\",\"52W\")-1":0.28080225,"EWA^FMA_PCT_ABOVE_MAVG(200,0,,,,\"PORTAGG\")":61.0169491525424,"EWJ^SIZE(FG_CONSTITUENTS)":204,"EWD^FMA_COS_DOWN(\"EPS\",\"1M\",+1,0,,,\"PORTAGG\",\"MEANR\")":13.0,"EWU^FMA_COS_UP(\"EPS\",\"1M\",+1,0,,,\"PORTAGG\",\"MEANR\")":31.0,"ENZL^SIZE(FG_CONSTITUENTS)":14,"EWI^FMA_RBICS_REV_CURRENT(30, LOC, \"PORTAGG\")":38.7145820793369,"EWQ^FG_ROE(0)":12.1911935994432,"TRYGB10Y-FDS^FG_YIELD_NAME":"United Kingdom Benchmark Bond - 10 Year","EWG^FG_COMPANY_NAME":"iShares MSCI Germany ETF","REFFFUND-FDS^(SUBARRAY(NOT_NA(NO_REPEAT_F(FG_YIELD(NOW,-10AY,D))),0,1)-SUBARRAY(NOT_NA(NO_REPEAT_F(FG_YIELD(NOW,-10AY,D))),1,1))*100":25.0,"REFEUREFI-FDS^FG_YIELD(NOW,,,0)":4.25,"TRYNL10Y-FDS^PCTCHG(FG_YIELD(0,,,,\"YTM\"),FG_YIELD(-1AM,,,,\"YTM\"))":-3.817076,"TRYCA10Y-FDS^PCTCHG(FG_YIELD(0,,,,\"YTM\"),FG_YIELD(-1AM,,,,\"YTM\"))":-4.8836913,"TRYUS10Y-FDS^FG_YIELD_NAME":"US Benchmark Bond - 10 Year","TRYNZ10Y-FDS^FG_YIELD_NAME":"New Zealand Benchmark Bond - 10 Year","VWO^FG_FCF_YIELD_NTM(0)":5.43478528438695,"EWI^FMA_PE(NTMA,0,,,\"PORTAGG\",\"MEANR\")":9.72034613068723,"EWN^JULIAN(FMA_DIV_YLD(NTMA,NOW,NOW,M,\"PORTAGG\",\"MEANR\").DATES)":45531,"QQQ^FMA_EVAL_EBITDA(NTMA,0,,,\"PORTAGG\",\"MEANR\")":16.2796335030884,"EWL^FMA_DIV_YLD(NTMA,NOW,NOW,M,\"PORTAGG\",\"MEANR\")":3.09344087867985,"EWG^FMA_PE(LTM,0,,,\"PORTAGG\",\"MEANR\")":15.3997117345745,"ENZL^FMA_EVAL_EBIT(LTMA,NOW,NOW,M,\"PORTAGG\",\"MEANR\")":21.4445840562048,"EWJ^FG_COMPANY_NAME":"iShares MSCI Japan ETF","EWD^FG_COMPANY_NAME":"iShares MSCI Sweden ETF","VGK^P_PRICE(0)/P_PRICE_HIGH_PR(0,,,USD,,,\"PRICE\",\"INTRA\",\"52W\")":0.99521863,"QQQ^P_PRICE(0)/P_PRICE_HIGH_PR(0,,,USD,,,\"PRICE\",\"INTRA\",\"52W\")":0.9347395,"VWO^P_PRICE(0)/P_PRICE_HIGH_PR(0,,,USD,,,\"PRICE\",\"INTRA\",\"52W\")":0.9753964,"CAGDPY@AU^EE_ACTUAL_ANNUAL(MED,0)":0.275776825503169,"USDANG^FG_PRICE_CHANGE(0,-1AM)":0.0,"USDCAD^FG_PRICE_CHANGE(0,-1AM)":-2.7285516,"ENZL^FMA_EPS(NTMA,-20AY,0,CY,,\"PORTAGG\",\"MEANR\")":[null,null,null,null,null,null,2.40890596176463,2.24117429803946,2.40285148565594,2.31210808961864,2.19492193820354,2.04943671601749,2.14962845087329,2.26706810161072,2.29721148308571,2.24732564412744,1.98522618259249,1.82093688879477,2.11037846476333,2.11106621771878],"EWN^FMA_DIV_YLD(NTMA,-10AY,0,AM,\"PORTAGG\",\"MEANR\")":[2.9875368558412,3.01879287593769,3.18643545668703,3.01764484263218,3.06712449436083,2.89416566381903,2.71372282178949,2.70236145819363,2.73742363225921,2.8274940470512,2.94176949158179,2.90859906567381,3.39730929229893,3.6546092788847,3.25222687035237,3.10197971102992,3.24379263176803,3.22051591030275,3.35672741714485,3.29151224295965,3.3707402030184,3.25821120153716,3.39652342269289,3.19804645988192,3.13565381336126,3.14273910768487,3.11284710232072,3.12968771799842,2.96746551615767,2.95485150127102,2.86927841261977,2.77803351812326,2.73730496310731,2.72590854398477,2.81461333755603,2.76606719988563,2.87758873896097,2.78837444839308,2.7456784637202,2.83267894635297,2.85753484013009,2.78626382481752,2.93299424388678,2.98611007049026,2.93298881130635,2.92191419271594,2.95013587037403,2.84594917176049,2.88183470386415,3.01457564624423,3.27003045558908,3.22062663851079,3.49314416410446,3.28959557412246,3.12172646058908,3.05680172137147,2.96872354192214,3.16836902229358,3.00769132725033,2.88966044054826,2.96896497406514,2.75516504851131,2.74008222914574,2.65154040471967,2.57386219012914,2.63224785466258,2.87032197535569,3.40646050637911,2.67484219791942,2.47985800973676,2.39442972385097,2.3494877870368,2.30548439496149,2.35507934191226,2.40575553622799,2.15235241634423,1.9702267835522,2.02789519970178,2.00890154501115,1.96718569909547,1.93638728011045,2.00382871388999,1.98120999516903,1.94077950403088,1.83017579400906,1.95092690249055,1.90359335067005,1.94878238241963,1.94161044481074,2.22872037765147,2.3362342781575,2.18645005763592,2.38687997099843,2.52813053355561,3.40961644798234,3.050917160333,3.67984571115541,3.12403538343494,2.93802522270526,2.68248144241238,2.77210306485241,2.52918838411431,2.67094595739118,2.6908165956007,2.68570320957914,2.63115429164613,2.71474982467204,2.6189842810053,2.85707423426482,3.03618246704263,3.11887852164135,2.80812900373952,2.6832251201867,2.56250992125015,2.48609246148155,2.51949571787089,2.56237351099036,2.50499849463366,2.51149262022425,2.60381884053478,2.6257395941572],"EWU^FMA_PE(LTMA,-10AY,0,AM,\"PORTAGG\",\"MEANR\")":[14.2925925149719,13.9671725591053,13.7097858501141,14.0070217222602,13.9009615522564,14.3085531006864,15.1831166741616,15.2523439769646,15.5935806366388,15.731722719819,15.5534844346858,15.6749172189983,15.1453950613454,14.6469727105309,15.8165099359969,15.9742211220741,15.8500997897367,15.2564397368487,15.5134985685262,15.6963411574086,15.9506779249857,16.0587747235594,16.1270996655342,16.6926973835479,16.9466153414899,17.090996375294,16.8184541061946,16.3860873840379,17.1301207677029,17.1323924705446,17.3731213198354,17.1474958282784,16.8675870270699,16.8136230856051,16.4645746032361,16.3993122723276,16.0070343363311,15.8458154642555,15.6351413269906,15.2314621604499,15.5492985215324,15.582585091364,13.9107841959167,13.8898657312745,14.0497003335159,13.9533636021285,13.848330194823,13.8951113267335,13.667712323206,13.6250788663895,12.7613493245165,12.6529582669443,11.9783817310037,12.3526139186566,12.9344829141285,12.9477071182046,13.0022709853524,12.8398295148533,13.051374320424,13.2260837356331,12.7891325764254,13.1976653017587,13.280664476202,13.537079612263,14.2298431119256,14.0024249784261,12.3306364448541,12.2224300662222,13.7181919968241,14.5306721478332,15.163994775312,15.7179218066357,16.5604330774636,16.7448761023095,15.7338639301187,18.6442599250548,19.9935424802165,19.039072175627,18.808343681971,18.3159250147562,17.7064499810122,17.1742917334659,16.4353800063626,15.5722666716362,14.8130755698662,13.9764317614183,13.6216674429629,12.5595521717165,12.467455936839,12.5177287789853,12.5497929145834,12.3330628527293,12.0619436134442,11.7889356226987,11.3037991034353,11.0282189845314,10.4693095206229,9.43057698267459,9.5592018457338,9.83169170507677,9.652772679199,10.1496595367672,10.2542453533304,10.2254692930894,10.4410670842686,10.266998333644,10.2738922685141,10.6564094878394,10.4667807820285,10.6042420070963,10.2373598319067,10.761194673134,11.3205885332922,11.3495022854326,11.4354581810845,11.5363195312408,11.6273700052891,11.6633380615566,11.6217930082331,11.8837047418445,12.1007009421019],"WL-FDS^MAX(FG_PRICE(0,-5AY))":763.4,"CPALM-FDS^MAX(FG_PRICE(0,-5AY))":8163.0,"TIOS-FDS^MAX(FG_PRICE(0,-5AY))":219.77,"FC0000CA^FG_PRICE(0)":309.2239,"QQQ^FG_PRICE_MAVG(0,,,,200)":439.43744,"EWI^FG_COMPANY_NAME":"iShares MSCI Italy ETF","ENZL^FG_COMPANY_NAME":"iShares MSCI New Zealand ETF","EWJ^FG_TOTAL_RETURNC(0,-12AM)":19.624472,"DUMMY^ECON_EXPR_DATA('FDS_ECON[NTCPMIMFGSA@EME]',,,M)":50.6699,"EWD^FMA_ROE(NTMA,-20AY,NOW,FY,\"PORTAGG\",\"MEANR\")":[16.2261090864793,17.2247287220762,18.2100106841597,18.8871757625538,13.942889841066,10.3461745032911,15.8182159921786,15.7255547384444,14.800794930169,14.1943515647563,13.790896513923,13.0367586478869,12.3225531542011,13.8549633296522,13.3193557094803,13.4117967495928,11.9085678484881,15.3602779609384,14.6915673510104,15.368050598586],"^FG_YIELD(-10AY,0,Y,,\"YTM\")":[null,null,null,null,null,null,null,null,null,null],"TRYCA10Y-FDS^FG_YIELD(-10AY,0,Y,,\"YTM\")":[1.79,1.39,1.72,2.04,1.96,1.7,0.67,1.42,3.3,3.0987],"TRYDE10Y-FDS^FG_YIELD(-10AY,0,Y,,\"YTM\")":[0.5475,0.636,0.22,0.47,0.239,-0.189,-0.575,-0.181,2.534,2.004],"CAGDPY@FR^EE_ACTUAL_ANNUAL(MED,0)":-1.01989766349816,"USDITL^FG_PRICE_CHANGE(0,-1AM)":-2.2988975,"USDUSD^FG_PRICE_CHANGE(0,-1AM)":0.0,"USDGBP^FG_PRICE_CHANGE(0,-1AM)":-2.356249,"USDJPY^FG_PRICE_CHANGE(0,-1AM)":-5.6278586,"USDNZD^FG_PRICE_CHANGE(0,-1AM)":-6.226027,"EWI^FG_TOTAL_RETURNC(-10AY,0,AM)":[-4.9970207,-2.379465,-6.7350864,2.3383737,-6.4781847,0.9406686,6.666672,0.13440847,2.2147655,2.1667838,-2.6199996,2.9549956,-3.065884,-5.921936,6.080115,-3.1018198,-1.0938168,-14.820045,-6.5451503,8.510637,3.8398743,-3.6192,-11.255855,5.8656573,-0.08935928,-3.3094823,4.7178507,-5.5653753,13.762295,1.1203289,-2.9544592,8.921778,2.6785731,7.14556,-0.120043755,6.330931,2.3004055,3.7037015,-2.3915827,0.7187128,-0.7202625,12.023651,-7.0087967,1.3875842,4.883361,-14.5017805,3.0161262,1.6614795,-4.6646237,-1.2142837,-9.472156,1.7172456,-4.090232,7.6699734,4.5437098,2.3572803,1.1155128,-6.2633457,8.233547,0.32668114,-2.2431195,1.1843085,5.1207066,0.5219221,3.2406569,-0.03376007,-8.004057,-23.861969,3.9537072,4.1743994,8.784366,7.320106,0.19267797,-5.769229,-6.693876,27.471554,2.7289867,-4.5133057,5.537915,5.1136374,2.1939516,4.2626023,-1.2575924,0.030601025,0.73393583,-3.3697605,5.183792,-5.2269993,5.291629,-3.0358195,-5.29117,-0.6281018,-8.749163,5.6142926,-13.118535,0.90090036,-4.5048656,-8.669787,12.936258,12.649357,1.4294386,9.809661,0.033330917,0.2665758,5.2176833,-3.7586868,5.547178,6.2440276,-2.7586162,-6.197965,-4.404998,13.789547,3.8321614,-2.0335972,7.190132,5.865848,-1.0604501,2.1436214,-3.625822,3.5425425,4.067898],"SPY^FMA_PE(NTMA,-10AY,0,AM,\"PORTAGG\",\"MEANR\")":[15.3577342548639,15.057373407823,15.2158601433186,15.8455797276342,16.2104075611777,16.2174404055888,16.9007316344402,16.4871616525574,16.7400144449546,16.545466872968,16.0444240546999,16.4362728160866,15.4793400021232,14.6710719327003,16.3610492475364,16.3453959893433,16.2276480501831,15.5099438140132,15.5167363536305,15.5167363536305,16.5226770167304,16.6302500091477,16.2741375215726,16.9727355062268,16.8600927379962,16.5250773290598,16.2198885352384,16.7259198325103,16.8926245294925,17.1831954500388,17.6584703048047,17.5053140013716,17.4451564315849,17.5333988469441,17.3959120024885,17.6595847875922,17.3307242372092,17.7326589226952,18.0047984906939,18.1035783284828,18.1253195758661,18.2868565768856,16.8778820674624,16.3326334585674,16.2202375877396,16.0802731020426,16.1229719405181,16.5215982660723,16.8918609628051,16.7792914495823,15.0646810992862,15.6135211048955,14.2844791781706,15.3480826784917,16.2188096213021,16.4297279067491,16.9045221719354,15.8655239829776,16.733424257917,17.1742971572958,16.5612797304876,16.7218892368926,17.1739011979753,17.7141977946727,18.2273781351774,18.310557272518,16.5763463062246,15.171626647386,20.476422094818,21.6721592860626,21.379298469798,22.1497472918153,22.9593907629499,21.3473692025286,20.5738216034097,21.91778943067,22.3046825048948,21.3120607446129,21.3859405331153,21.8971938861891,21.9090991378284,21.2541114543763,21.3411421631539,21.1185907223581,21.1741945404981,20.3656374849968,21.1688060319462,21.094174065684,21.4927760280093,19.5832845489384,19.1028318170338,19.9027612679248,17.5400420992857,17.4728508272954,15.943047974793,17.4326538226654,16.9750273863379,15.3566040037313,16.8108038353208,17.1005658419565,16.6887469160615,17.944269383832,17.4942955087965,17.6957977910986,18.1738024405997,18.1565375174434,18.9099275647542,19.558233282521,18.8240232801869,17.8410384354927,17.0473541593016,18.6621730638581,19.5251873471914,20.1686209107149,20.4876925572224,20.9576936675651,20.1492308655256,20.6029984413958,21.0117847036238,20.8250942870386,21.2102191675657],"NI-FDS^MAX(FG_PRICE(0,-5AY))":48241.0,"BRENT-FDS^MAX(FG_PRICE(0,-5AY))":140.85,"FC0000GB^FG_PRICE(0)":135.01218,"EWD^FG_PRICE_MAVG(0,,,,200)":39.309326,"EWG^FG_PRICE_MAVG(0,,,,200)":30.4147,"FXI^P_PRICE(0)/P_PRICE_HIGH_PR(0,,,,,,\"PRICE\",\"INTRA\",\"52W\")":0.8916356,"URTH^PERCENT_CHANGE(FMA_EPS(+1,0,,,,\"PORTAGG\",\"MEAN\"),FMA_EPS(+1,-1AM,,,,\"PORTAGG\",\"MEAN\"))":1.56409470280215,"VGK^FG_TOTAL_RETURNC(0,-1AM)":4.6738625,"CAGDPY@IT^EE_ACTUAL_ANNUAL(MED,+1)":0.95,"CAGDPY@JP^EE_ACTUAL_ANNUAL(MED,+1)":3.8,"CC_CA^FG_COMPANY_NAME":"Canada","USDSEK^FG_PRICE_CHANGE(0,-1AY)":-6.513822,"USDCHF^FG_PRICE_CHANGE(0,-1AY)":-3.7434042,"USDUSD^FG_PRICE_CHANGE(0,-1AY)":0.0,"USDEUR^FG_PRICE_CHANGE(0,-1AY)":-2.1814704,"USDAUD^FG_PRICE_CHANGE(0,-1AY)":-5.160493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7826133,10.4260782968222,13.6402697448185,12.750313440204,16.3243000822322],"EWL^P_PRICE_RETURNS_PR('52W',2,-10AY,0,AM)":[16.857576,5.816686,0.5669594,5.4105997,0.071918964,2.0116925,0.13437271,1.874435,1.9739509,2.6751995,-0.811255,3.6418676,-2.8544784,-5.650103,2.2281528,-4.9206553,1.0504007,-6.8441334,-12.945294,-9.870237,-9.418821,-10.926437,-9.996539,-8.512604,-2.3952842,4.480064,-6.2692223,-5.363035,-5.0786734,9.273327,11.724615,11.428261,11.479545,16.371845,20.652973,18.112862,15.289044,17.535448,20.225037,25.576614,23.987507,24.188745,14.905346,9.224844,4.7405243,-1.9907653,-2.717781,2.8054476,5.386722,2.537191,-3.3936024,-2.453363,-9.494376,-9.022427,1.4801979,5.4901004,8.200836,9.949923,19.376682,10.865045,7.863462,10.272002,21.136892,19.468521,34.67423,26.937426,11.826515,0.9810209,5.757332,8.906019,5.1705003,13.3062725,15.126694,11.085272,3.6967993,11.944604,12.034202,8.610689,11.9610195,30.525743,27.194046,30.047905,28.899145,21.93116,24.685144,15.6422615,29.993916,17.157518,20.26266,9.612846,12.940645,13.474714,0.95244646,-4.1648507,-13.959932,-11.298579,-17.585922,-17.962057,-19.774532,-12.898988,-18.090641,-4.9328623,-7.686967,-8.684617,4.4067383,6.9660425,12.380659,13.468397,15.112173,18.447542,9.115469,9.428942,15.9624815,9.699118,10.378337,10.912919,-2.0285428,3.0656815,7.7524424,6.1543226,15.836584],"EWG^FG_TOTAL_RETURNC(-10AY,0,AM)":[-3.5035014,-4.0110645,-3.8544655,7.868111,-2.7092755,1.8921852,4.0644646,1.3468027,-1.5614629,-1.7549753,-1.759404,0.3913164,-6.5910635,-7.359636,10.7698555,0.44362545,-0.47846437,-10.022193,-3.9868474,9.546232,2.5009751,-0.87685585,-6.591749,8.182203,2.417159,-2.2078395,0.66173077,-3.6349595,5.734563,5.466974,-0.93592405,4.578495,3.1271696,3.7398934,0.58995485,1.0204077,0.16291142,5.49773,0.95590353,1.1911988,-0.08045435,6.63234,-7.8954816,-1.2025893,1.9038677,-4.4716716,-1.5586674,4.2361617,-0.8000016,-4.064518,-9.5830555,0.7065892,-6.83161,6.4605713,1.6381145,-1.3919413,6.6493273,-5.468476,6.185603,-1.6399264,-5.0742984,2.4055004,6.301272,1.5082479,2.1423578,-1.387006,-10.051459,-19.450796,13.589012,7.503128,5.783522,9.592592,2.298069,-2.9732406,-9.839975,16.04985,6.0707927,-2.2677839,1.7482519,3.7488341,5.6007266,2.0245194,-0.5179107,-0.54285526,0.60327053,-5.3398013,1.8702865,-5.152506,3.516829,-4.2347136,-7.623887,1.6506195,-12.009472,5.190313,-12.394381,1.4193535,-7.5487733,-9.357792,12.145746,12.409746,0.59581995,11.736525,-2.5008917,2.1619558,5.4878116,-2.8221667,0.912416,4.8094034,-4.520732,-6.7283688,-5.4580154,15.179658,4.071343,-0.7746756,4.005432,3.6227226,-2.4251997,2.453196,-1.149118,1.2736797,4.708159],"EWA^FMA_DIV_YLD(NTMA,-10AY,0,AM,\"PORTAGG\",\"MEANR\")":[4.68770238647863,5.0981688247921,4.88600427068335,5.05729751582958,4.91504283688051,4.86739740052956,4.54828740335052,4.5684427082027,4.61582990371168,4.72128589665948,5.01055290101743,4.86690878169015,5.23730062819432,5.62951567913421,5.20214337237877,5.25630061437879,5.14131651847118,5.16485227293288,5.06107515679422,4.92426662718745,4.66488079401308,4.5362987598256,4.76932210384793,4.4165776472972,4.50105917573427,4.51307840557085,4.6867506255911,4.5571064560588,4.50001006002934,4.5141225654101,4.5717486002536,4.49977736085898,4.48460239361545,4.6383672605413,4.5498853442101,4.60366883765647,4.61549880957004,4.61835372653978,4.50514582636755,4.45514810559717,4.44755058472285,4.48703348467658,4.59136730906863,4.85353405226345,4.73986710245507,4.69277022113591,4.59945664941218,4.54738070279837,4.58504663401038,4.74035855664265,5.15152103492679,5.22325069364482,5.34606614790594,5.11040573705895,4.92273926541311,4.95245111544423,4.84352318620913,4.80310270123501,4.61133917838728,4.51386729299918,4.67175098058672,4.42810107882624,4.35137124263025,4.27506882409303,4.23245181775032,4.15687080867073,4.49462337621369,5.57965878441175,4.06095275378273,3.59095620411203,3.52137318089444,3.37979285975377,3.39267829742766,3.6209622845045,3.7764229367009,3.4687711916758,3.53401320293192,3.68018032105607,3.92576677494895,3.96793357581076,3.89164405331114,3.87746931847295,4.04001616793585,4.09252523240032,4.06412570941067,4.16276967812155,3.98050528180388,4.08295494846254,3.84404378886479,4.16543369598566,4.3854093997208,4.16654246320338,4.46012951298553,4.65076941902515,5.1330138461541,4.83355219496024,4.75407273219559,5.18458407211703,5.00023425022617,4.49016246094984,4.55658177125236,4.2475112710783,4.4748128289896,4.62811005807434,4.42963180770204,4.52782035848453,4.33078295726531,4.08718983948249,4.19383988016247,4.29654795202818,4.51551829004802,4.33155406220749,3.97495871443751,4.01294758987301,3.9839710917345,3.89800470048343,4.0178724164913,4.01694119163359,3.93051594710948,3.81952776983732,3.73294936731791],"ENZL^JULIAN(FMA_DIV_YLD(NTMA,-10AY,0,AM,\"PORTAGG\",\"MEANR\"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0],"DDR3512M-FDS^FG_PRICE(0)/MAX(FG_PRICE(0,-1AY))":0.855769230769231,"PASP-FDS^FG_PRICE(0)/MAX(FG_PRICE(0,-1AY))":0.739463601532567,"PLATI-FDS^FG_PRICE(0)/MAX(FG_PRICE(0,-1AY))":0.88400374181478,"W-FDS^FG_PRICE(0)/MAX(FG_PRICE(0,-1AY))":0.749732238486255,"COPP-FDS^FG_PRICE(0)/MAX(FG_PRICE(0,-1AY))":0.810216839226411,"FC0000JP^FG_PRICE(0)":182.80957,"FC0000NZ^FG_PRICE(0)":414.31754,"EWQ^FG_PRICE_MAVG(0,,,,60)":38.802,"EWL^FG_PRICE_MAVG(0,,,,60)":49.787334,"EWA^FG_PRICE_MAVG(0,,,,60)":24.753834,"QQQ^FG_COMPANY_NAME":"Invesco QQQ Trust Series I","SPY^P_PRICE(0)/P_PRICE_HIGH_PR(0,,,,,,\"PRICE\",\"INTRA\",\"52W\")":0.9879503,"URTH^FG_TOTAL_RETURNC(0,-12AM)":23.99701,"VWO^PERCENT_CHANGE(FMA_EPS(+1,0,,,,\"PORTAGG\",\"MEAN\"),FMA_EPS(+1,-1AM,,,,\"PORTAGG\",\"MEAN\"))":0.883349810252882,"EWI^FG_TOTAL_RETURNC(0,-1AM)":4.067898,"EWN^FG_TOTAL_RETURNC(0,-6AM)":6.953466,"SPY^P_PRICE(0)/P_PRICE_LOW_PR(0,,,,,,\"PRICE\",\"INTRA\",\"52W\")-1":0.36445832,"QQQ^FMA_PCT_ABOVE_MAVG(200,0,,,,\"PORTAGG\")":60.7843137254902,"EWL^PERCENT_CHANGE(FMA_EPS(+1,0,,,,\"PORTAGG\",\"MEAN\"),FMA_EPS(+1,-3AM,,,,\"PORTAGG\",\"MEAN\"))":4.04852968092084,"EWG^FG_TOTAL_RETURNC(0,-3AM)":4.8232675,"EWA^P_PRICE(0)/P_PRICE_HIGH_PR(0,,,,,,\"PRICE\",\"INTRA\",\"52W\")":0.9961759,"FXI^SIZE(FG_CONSTITUENTS)":52,"VGK^FMA_COS_DOWN(\"EPS\",\"1M\",+1,0,,,\"PORTAGG\",\"MEANR\")":599.0,"SPY^FMA_COS_UP(\"EPS\",\"1M\",+1,0,,,\"PORTAGG\",\"MEANR\")":242.0,"EWC^SIZE(FG_CONSTITUENTS)":88,"EWL^FG_COMPANY_NAME":"iShares MSCI Switzerland ETF","EWC^FMA_RBICS_REV_CURRENT(30, LOC, \"PORTAGG\")":39.9876322956145,"TRYIT10Y-FDS^FG_YIELD_NAME":"Italy Benchmark Bond - 10 Year","EWQ^FG_COMPANY_NAME":"iShares MSCI France ETF","REFEUREFI-FDS^(SUBARRAY(NOT_NA(NO_REPEAT_F(FG_YIELD(NOW,-10AY,D))),0,1)-SUBARRAY(NOT_NA(NO_REPEAT_F(FG_YIELD(NOW,-10AY,D))),1,1))*100":-25.0,"REFCHMPR-FDS^FG_YIELD(NOW,,,0)":1.25,"REFNZOCR-FDS^PROPER_NAME(0,,,\"SECURITY\",\"NAME\")":"New Zealand Official Cash Rate","TRYCH10Y-FDS^PCTCHG(FG_YIELD(0,,,,\"YTM\"),FG_YIELD(-1AM,,,,\"YTM\"))":-9.999996,"TRYSE10Y-FDS^FG_YIELD_NAME":"Sweden Benchmark Bond - 10 Year","TRYDE10Y-FDS^FG_YIELD_NAME":"Germany Benchmark Bond - 10 Year","CC_DE^IMF_IFS_RCPI_Q(0)":2.2863681,"VGK^FG_PE(0)":14.4389987249718,"EWN^FMA_EVAL_EBIT(LTMA,NOW,NOW,M,\"PORTAGG\",\"MEANR\")":21.1464232207719,"SPY^FG_FCF_YIELD_NTM(0)":4.09325339695339,"EWU^FMA_PE(NTMA,0,,,\"PORTAGG\",\"MEANR\")":11.7138707440388,"EWJ^JULIAN(FMA_DIV_YLD(NTMA,NOW,NOW,M,\"PORTAGG\",\"MEANR\").DATES)":45530,"EWA^FMA_EVAL_EBITDA(NTMA,0,,,\"PORTAGG\",\"MEANR\")":8.97591997166847,"EWN^FG_COMPANY_NAME":"iShares MSCI Netherlands ETF","USO^FG_TOTAL_RETURNC(0,-3AM)":0.26119947,"GLD^FG_TOTAL_RETURNC(0,-3AM)":7.767391,"EWA^FMA_ROE(NTMA,-20AY,NOW,FY,\"PORTAGG\",\"MEANR\")":[15.4970825561621,16.532509518014,17.0193996486167,15.5609914058652,13.5690116283254,12.8492110125335,14.2386354612725,14.168071267681,12.6921652881541,13.1922555858139,12.5644042089263,10.7321365234713,11.5035211675747,11.9072990069878,12.4009311752812,11.7272452753145,11.0508592064609,12.8471719199911,14.6580605840091,13.2263940971232],"TRYIN10Y-FDS^FG_YIELD(-10AY,0,Y,,\"YTM\")":[7.86,7.89,6.63,7.35,7.35,6.55,5.9,6.45,7.33,7.19],"TRYFR10Y-FDS^FG_YIELD(-10AY,0,Y,,\"YTM\")":[0.837,0.9989,0.682,0.785,0.71,0.118,-0.344,0.201,3.07,2.534],"DUMMY^ECON_EXPR_DATA('FDS_ECON[PMIDMMANHE]',,,M)":48.78809,"CAGDPY@CA^EE_ACTUAL_ANNUAL(MED,0)":-0.725414399026327,"USDITL^FG_PRICE(0)":1749.0358,"USDCAD^STD(FG_PRICE_CHANGE(0,-1AY,AM))":1.85058298883479,"USDNZD^FG_PRICE_CHANGE(0,-1AY)":-5.123079,"EWU^FG_TOTAL_RETURNC(-10AY,0,AM)":[-1.2024999,-4.81987,-4.194373,1.6017199,-2.2059321,0.6575346,3.9738655,-3.979057,5.888772,-0.46343803,-3.3397198,0.16348362,-6.692052,-6.5889177,9.300876,-1.8846393,-2.5746584,-6.3985405,-3.125,5.376351,4.0178537,0.6131172,-6.52405,4.2084217,1.6025662,-0.69401264,-4.6378613,0.09993315,2.8692603,3.5749435,1.0449648,1.9743085,1.720953,4.16919,-1.2263536,1.9513607,-1.207304,3.8748145,-0.48779845,1.0092258,4.1873455,4.634285,-7.4973345,0.23075342,4.5755386,-2.0363271,0.020432472,0.0,-1.3513446,-0.5537808,-8.4994135,1.4734149,-5.2327213,5.1395535,5.4386497,1.3509274,1.7570496,-5.2694263,4.177916,-0.5569339,-6.1294317,4.043746,3.504312,1.3542533,4.995203,-2.4131835,-11.640531,-20.307165,11.349034,-1.0384619,1.6341805,4.2313695,0.26071072,-5.1262975,-4.463589,18.606556,3.7320614,-1.5498698,3.9356709,3.6878467,4.3505907,2.8301954,-1.2896895,0.8231759,0.39310455,-3.0120492,4.596269,-4.0083113,5.804026,1.3517618,-0.7409632,0.95551014,-4.4661403,2.8173327,-7.424635,2.3848891,-3.8175344,-11.940795,8.212376,9.354043,0.93933344,5.7448983,-0.92082024,-1.2391567,6.4303637,-4.391396,0.2456069,4.3260217,-3.3653796,-1.616919,-4.5195937,7.1499467,4.451227,-1.0589957,0.15289783,4.45801,2.2508025,1.886797,-0.21585226,2.8956413,4.6809673],"EWN^FMA_PE(LTMA,-10AY,0,AM,\"PORTAGG\",\"MEANR\")":[16.62471730208,16.7183689405299,16.1632106755906,18.0265464065326,17.6890531447334,18.8459227112881,20.1223054586507,19.9157582397055,19.6536020849263,19.4797383694817,18.9306031491397,18.929865556804,17.5854878735079,16.4143702455479,17.6134397712556,18.2517716650076,17.3790308680377,16.4301880520867,16.3733958088173,16.4036116671642,16.2415206382368,16.3849644431134,15.6723003569631,16.12276435022,16.1100439821245,16.0744217663476,15.87174931831,15.5465407193769,16.2729196656778,16.3436329511664,16.402686545474,16.4847955182583,16.6536301956244,16.7272567607889,16.4779655145867,16.7096139408053,16.4179791547975,17.0140564913605,17.2696013624524,17.1976708727225,17.2377470781453,17.4781977775343,16.6659184482538,16.5599958886049,16.5902275298072,16.6204932085618,16.5176347654857,16.8681212405149,16.7053651028128,16.2922426656578,15.2568626056202,15.4390651412967,14.1347259949666,15.1125893414536,16.1413693740359,16.1500361048123,16.3294515065147,16.0663212807003,16.3913612047219,16.7508368568779,16.5260795278757,17.043682883514,17.3927126409359,18.0746968245673,18.7883981766724,18.6730724934315,17.3367558592985,16.7781881219891,17.9279656049178,18.5429953355386,19.4640975869858,20.3528619813278,21.27776599445,21.7863795432275,21.6496242181322,25.2124997430295,27.4089996125301,27.2024334193557,28.9833052381028,28.560470415873,27.9768135819614,27.1189921730992,26.7017255102151,26.3375454958282,26.0662196061201,24.4678075502536,24.664451162832,23.0179459870244,22.7615484583716,20.1757932498599,18.3316789033893,18.6655424909696,18.3036541239359,18.5096848993216,18.1613835959553,19.6804755326635,18.8318989013236,17.0352837519397,18.1086900775098,18.5719314648252,17.9438971306329,19.5801267691275,20.6531685379495,20.2958733584304,19.8621341051432,19.6212473800492,19.1783396979186,19.3078073594379,17.8706819485103,16.7427696765938,15.7191842540295,16.4242784375969,16.6271224975658,17.5010415739315,18.5631688419883,18.459171561347,18.1950723850085,18.2404227822917,18.2690040060715,17.769016294676,17.6057221577219],"CPALM-FDS^FG_PRICE_CHANGE(0,-1AM)":0.646605322059179,"EWN^FG_PRICE_MAVG(0,,,,200)":47.783436,"EWA^FG_PRICE_MAVG(0,,,,30)":24.788666,"EWI^FG_TOTAL_RETURNC(0,-3AM)":3.8475513,"EWN^FG_TOTAL_RETURNC(0,-1AM)":4.859817,"SPY^FG_TOTAL_RETURNC(0,-1AM)":2.494669,"EWU^PERCENT_CHANGE(FMA_EPS(+1,0,,,,\"PORTAGG\",\"MEAN\"),FMA_EPS(+1,-3AM,,,,\"PORTAGG\",\"MEAN\"))":0.76479183292984,"EWC^FG_TOTAL_RETURNC(0,-1AM)":5.259025,"VWO^FMA_COS_DOWN(\"EPS\",\"1M\",+1,0,,,\"PORTAGG\",\"MEANR\")":1195.0,"TRYUS10Y-FDS^PCTCHG(FG_YIELD(0,,,,\"YTM\"),FG_YIELD(-1AM,,,,\"YTM\"))":-7.270769,"TRYDE10Y-FDS^FG_YIELD(0,,,,\"YTM\")":2.262,"CC_CA^IMF_IFS_RCPI_Q(0)":2.7411842,"EWN^FMA_PE(NTMA,0,,,\"PORTAGG\",\"MEANR\")":15.1350552673232,"EWL^FMA_PE(LTM,0,,,\"PORTAGG\",\"MEANR\")":22.247598665288,"ENZL^FMA_PE(LTM,0,,,\"PORTAGG\",\"MEANR\")":49.0318079397,"EWU^FG_COMPANY_NAME":"iShares MSCI United Kingdom ETF","SPY^FG_TOTAL_RETURNC(0,-6AM)":10.594023,"QQQ^FMA_ROE(NTMA,-20AY,NOW,FY,\"PORTAGG\",\"MEANR\")":[14.817843581598,15.4866947775921,16.8339704998129,17.9560593685279,16.5654843697708,17.5965741262714,20.0003742371644,20.9591568938239,20.7921963775154,20.047298915306,22.0568276514703,21.8504635786249,21.1146076459691,22.0784263508941,26.4902293367872,25.011729179906,24.5344428387709,26.6372021629589,24.0483215527383,25.3040632089053],"TIPSCL10Y-FDS^FG_YIELD(-10AY,0,Y,,\"YTM\")":[null,null,null,null,null,null,null,null,null,null],"CAGDPY@SE^EE_ACTUAL_ANNUAL(MED,0)":6.46811686290247,"USDCHF^STD(FG_PRICE_CHANGE(0,-1AY,AM))":2.61541946465195,"USDCHF^FG_COMPANY_NAME":"Swiss Franc per U.S. Dollar","EWN^P_PRICE_RETURNS_PR('52W',2,-10AY,0,AM)":[10.342562,2.9472828,-5.3401175,0.87025166,-3.6938727,0.28851032,2.1462917,1.548028,4.7909617,4.910648,2.9629827,9.365511,0.8637309,-3.0638933,9.239697,2.0985603,2.4721265,-2.136159,-9.537477,-1.43857,-3.7667215,-4.996628,-10.332346,-6.758732,3.4897208,9.161019,-0.31152368,-3.2224298,1.2370586,12.233818,15.0491,12.21553,16.296112,21.035803,30.57555,31.62216,26.114809,30.671036,32.30537,36.388397,34.362614,38.20238,27.238571,20.895588,17.284466,7.3622108,8.1945305,6.0448766,5.956888,-0.693202,-11.280298,-7.113266,-15.912258,-14.797658,-4.850352,-4.528016,-1.3260186,-2.3047864,5.1014066,2.2729993,-0.98784566,4.979062,20.672644,17.68278,33.30121,21.478092,5.658746,-11.211991,-4.9206676,6.32571,6.7131042,12.198448,20.497763,13.35243,8.398199,21.550167,24.230076,28.461218,40.022552,81.03538,71.139786,64.34241,51.456024,44.83793,48.463486,43.835293,53.17757,27.445126,21.613216,5.7031393,-1.6943455,-2.9394627,-20.70958,-19.322432,-26.825827,-22.940372,-32.41558,-37.458427,-35.795403,-22.348267,-23.11918,-3.1506538,-2.893263,-4.406911,10.6161,13.938797,23.886383,21.832705,21.47442,26.503313,13.8125305,13.55145,20.292355,10.669637,19.213438,24.658382,17.387272,20.644402,19.467545,8.999264,23.398458],"ENZL^FMA_DIV_YLD(NTMA,-10AY,0,AM,\"PORTAGG\",\"MEANR\")":[4.53899776998386,4.57125683700049,4.52908642954425,4.54861858802081,4.42996206239352,4.29900986117998,4.26227285815805,4.39963047108167,4.52804558272602,4.40904628672229,4.69100703587149,4.58872490952011,5.01368140299907,5.24312229762307,4.90480328230218,4.81372173146439,4.76014230130616,4.87497697761261,4.86408658009916,4.58893460539354,4.58125161388613,4.44755318030269,4.47713686578656,4.12344472784573,4.22758392646862,4.33274762917669,4.57688628452683,4.5979610467228,4.61831649644341,4.47939616113487,4.65708432864585,4.62028475919394,4.45831054108891,4.44322159044133,4.33403935890692,4.43363397692153,4.35614811169676,4.41229401725204,4.36629584804597,4.36982848765889,4.20128758471335,4.2429875819929,4.17407572230652,4.3162273701021,4.31122027068862,4.22004251836243,4.05433947621799,4.05913697025415,3.86798578139725,3.97900716158369,4.36201009887598,4.25630026120151,4.18458476178962,4.0876894064958,3.96160583866143,3.76110018677953,3.68326479179612,3.73400856190404,3.56275271946662,3.40635778387703,3.43300478864385,3.37937427518384,3.37807013112157,3.22070206143111,3.14079418403057,3.11265770668215,3.16993345843363,3.44708922141302,2.65086475547861,2.49348548155558,2.52320232687724,2.41358604225787,2.29349605311253,2.47043673618507,2.40828346652555,2.44193551866225,2.36659323084655,2.46449164328886,2.63905375014513,2.62128357911712,2.56366919968066,2.74304334825687,2.65801598602007,2.62506614900432,2.58455471437226,2.65517574663648,2.66070089637992,2.78658041449777,2.77320985713675,3.07022326131236,3.05800894408413,3.10751453622366,3.05983317463859,3.27688214158403,3.35119047574955,3.2689264032382,3.20338652901515,3.38269422267673,3.428446345525,3.42511633656691,3.44883017965367,3.3143519884008,3.37058087818336,3.44299412612485,3.38217498951632,3.50870281491997,3.4406297577113,3.42082712899268,3.48529408402382,3.42427644033148,3.6013076656932,3.29014253204063,2.96827759625584,2.97043701318118,2.89706492726687,2.74179906309109,2.75023679781181,2.7593830697208,2.762752008838,2.67421207278863,2.49322019808928],"NI-FDS^FG_PRICE_CHANGE(0,-6AM)":-4.01491253226269,"COPP-FDS^MAX(FG_PRICE(0,-5AY))":5.119,"EWU^FG_PRICE(0)":37.57,"FXI^FG_TOTAL_RETURNC(0,-6AM)":12.785446,"VWO^FG_TOTAL_RETURNC(0,-3AM)":2.8553128,"EWJ^PERCENT_CHANGE(FMA_EPS(+1,0,,,,\"PORTAGG\",\"MEAN\"),FMA_EPS(+1,-3AM,,,,\"PORTAGG\",\"MEAN\"))":10.7080874988487,"ENZL^FG_TOTAL_RETURNC(0,-1AM)":8.211267,"SPY^FMA_COS_DOWN(\"EPS\",\"1M\",+1,0,,,\"PORTAGG\",\"MEANR\")":157.0,"EWC^FMA_COS_DOWN(\"EPS\",\"1M\",+1,0,,,\"PORTAGG\",\"MEANR\")":37.0,"EWD^FG_ROE(0)":17.0060137626372,"TRYQA10Y-FDS^FG_YIELD(-10AY,0,Y,,\"YTM\")":[null,null,null,null,null,null,null,null,null,null],"USDITL^FG_COMPANY_NAME":"Italian Lira per U.S. Dollar","USDCAD^FG_PRICE_CHANGE(0,-6AM)":-0.6487906,"USDNZD^FG_PRICE(0)":1.5984654,"EWL^FG_TOTAL_RETURNC(-10AY,0,AM)":[0.41803122,-3.419572,-1.6317725,3.881061,-3.1636,-0.28002262,3.9625645,1.0204077,2.7926326,2.3121476,-4.061508,2.2007942,-5.9882045,-6.0872316,6.5820217,-3.3542335,2.886796,-8.070618,-2.8463662,4.588771,3.3074617,0.7513881,-3.1966746,3.8858294,0.29791594,0.52804947,-4.5633609999999996,-2.2359788,3.1959414,4.7765255,1.0745764,3.543806,3.4225345,4.93381,0.5275488,0.11650324,-0.5528033,2.486825,-2.3122966,2.0455837,1.8900394,4.9465895,-6.480992,-1.5750289,-0.4655242,-2.1631062,-0.21814108,5.9545636,1.7960548,-1.2805939,-7.033724,3.038764,-5.5973473,5.6423306,4.3150306,2.3141384,2.0921707,-0.58155656,6.7739487,-0.15974641,-0.9600043,1.5347362,1.511538,1.6196489,4.755783,1.1533737,-8.102864,-8.157337,7.5596333,2.378416,3.111565,7.5636744,0.14350414,-1.5524209,-5.2401724,10.266256,4.303372,-1.9376457,-1.8169403,3.307891,4.81416,4.1016817,2.76407,1.7490387,2.2586465,-8.5613785,6.51989,-0.6221175,7.0678473,-8.185589,-1.520133,3.7964106,-6.7524076,-1.357758,-7.5684967,4.896295,-4.98966,-8.978701,4.626429,7.4205875,0.6860733,5.7095885,-3.600806,2.674663,7.994616,-1.5595734,-1.5779078,4.937458,-2.7185261,-6.341362,-4.4985056,8.723867,6.697607,0.0,-3.003937,1.6659498,-3.1932712,3.559029,3.1460881,3.1321406,6.1544657],"EWQ^FMA_PE(LTMA,-10AY,0,AM,\"PORTAGG\",\"MEANR\")":[15.4255219956301,15.2676290802322,14.6478445791126,15.4478417961018,15.1833746242979,16.2585399530973,17.5590988431393,17.5399411741343,17.4484382913072,17.3925517718493,17.0928864165816,17.2134106574046,16.2018849903923,15.2661802810499,16.3774708486047,16.3796450807112,15.6099587657909,14.7090533005549,15.1416256473815,15.124850892204,15.1765127198323,15.2619188509632,14.7395415172865,15.093070600551,14.8812392134884,14.8637512870336,15.0584470495502,14.9168896387796,15.6986158983787,15.6889412314576,15.5832062176459,15.6438773949671,15.7677768365969,15.805845667154,15.5566984302347,15.5432494066367,15.3446972030055,15.9446849679102,16.2793605653617,16.091336811298,15.9684031818278,16.5530969470294,15.6214282695546,15.4673578153265,15.5943383349066,15.4255146339051,15.1696652076955,15.3473106547823,15.200158081268,15.1034403151283,13.9369930986529,13.786372488238,12.8117959428372,13.5801061736455,14.5731947255995,14.5431723684416,14.6862851206007,14.3366696903221,14.6838894979361,14.9412919975648,14.7134655411954,15.1225834866721,15.6358359150116,16.0933141980819,16.622265830344,16.4388873988271,14.6441363459583,14.3441610195966,15.9010967800056,16.8652930335017,18.4902961534161,20.4594681600748,22.6072366656098,23.0803068550639,22.911359017418,28.1560525764494,29.1094623702569,27.2816852142834,27.0710572154549,26.3443247473402,25.5337290574352,24.7097661622561,23.7264908131199,22.4573724441498,21.1628647537208,19.6868150086659,18.8350018670851,17.3577983649883,17.2953438607265,16.2070506189848,15.4793464797258,15.3320251488491,14.8678883388555,14.4411733569588,13.6633400058406,13.4084060006308,12.6315720166923,11.3675648377145,11.8384112510001,12.0930440628262,11.7012699144681,12.8782828086893,12.9007030112978,12.9244305014328,13.2308014693638,13.1063165473447,13.2255443365165,13.4505599355244,13.3311935097913,12.9825633647097,12.4938024962678,13.3354417372214,14.0873839351291,14.4825154608427,15.4853083350774,15.5309918003759,15.4387666291351,15.2931888856059,14.8739325001717,14.8967413343496,15.028458536987],"WL-FDS^FG_PRICE(0)/MAX(FG_PRICE(0,-1AY))":0.729892585800367,"CPALM-FDS^FG_PRICE_MAVG(0,,,,30)":3946.8333,"EWN^FG_PRICE_MAVG(0,,,,60)":50.145,"EWC^FG_COMPANY_NAME":"iShares MSCI Canada ETF","CAGDPY@CH^EE_ACTUAL_ANNUAL(MED,+1)":8.1,"USDANG^STD(FG_PRICE_CHANGE(0,-1AY,AM))":0.101547390548198,"USDEUR^FG_PRICE_CHANGE(0,-6AM)":-2.249223,"EWJ^FMA_EPS(NTMA,-20AY,0,CY,,\"PORTAGG\",\"MEANR\")":[2.83572005832403,2.84830335934349,3.29156932486821,3.66778515674736,2.74393009109397,1.93733358061505,3.17729322550467,3.09458124193192,2.8747287105461,3.27496071085416,3.14456301788536,3.44827515089069,3.33160709427031,4.07233312791291,4.56488250158257,4.07638232764084,3.67789544317284,4.61613854439477,4.46089540048153,4.56673185665912],"EWG^FMA_PE(NTMA,-10AY,0,AM,\"PORTAGG\",\"MEANR\")":[12.5684138824964,12.4142415442774,12.0154022892922,13.0889943655129,12.9989826122206,14.0368717663562,14.8213749994138,15.3290308983866,14.5514410344855,14.0968650326133,13.5326937009761,13.6102257378736,12.5149363846906,11.5008260781316,13.2714690907575,14.0572703507699,13.4848758604764,12.3195530888269,12.1481120219163,12.5978580944169,12.7755065394228,12.7593261998522,11.8698713576851,12.7496981471905,12.8873977910698,12.7534030363997,12.9646662421008,12.7643189943667,13.6129111386941,13.950952794594,13.6862963204782,13.9889385786027,13.9737694644847,13.7520887255524,13.3618327032645,13.0703813084586,12.8067368413382,13.6674893399511,14.0481847610663,13.8516252872515,13.7384136589018,14.0245318662059,13.1139166925308,12.7480705914781,13.1752751880771,12.9763152086688,12.7246507591889,13.2768399613465,13.0405152686197,12.6567280375032,11.5569483414744,11.5925916095931,10.9309261627994,11.8134836800124,12.1105530419794,12.1338253409302,12.9807925631977,12.2141948952942,12.7511913848013,13.0214660820708,12.5139450991495,13.015560921491,13.5694997808299,14.0872778464288,14.1887287403125,14.1509538825986,12.6907237186621,11.5721298812413,15.4072253182675,16.5971365663729,17.6203864785556,18.2195459553466,17.8789536954641,16.9213414197502,14.6173288001685,16.1996170361077,16.1393198230042,15.3688849271311,15.3083667940233,15.9216104069645,15.2632821270161,14.8841803245684,14.8564615624792,14.3624607091859,14.2402664861022,13.6358879479005,13.6984344527226,12.9948592825427,13.3711344383277,12.7849182779796,11.8620758358814,11.9886762962973,11.1607123813548,10.9876829322855,9.8877913532048,10.2619094530624,9.57725592489794,8.87981932954454,9.87074391745571,10.7158687449895,10.5763907763484,11.5453013536818,11.5392153914345,11.2124691847613,11.3746518957681,10.9150254299427,10.7170569518343,11.0521072663686,10.6649519960927,10.3207022683732,9.79618831409456,10.9126282391897,11.1771400760286,11.515359541631,12.0111811118121,12.3911844231591,12.0005129856984,11.8538498839943,11.7192919865571,11.7637739444146,11.9030285004895],"PASP-FDS^FG_PRICE_CHANGE(0,-6AM)":0.0,"TIOS-FDS^FG_PRICE_CHANGE(0,-3AM)":-16.230677764566,"EWG^FG_PRICE(0)":32.47,"URTH^FG_TOTAL_RETURNC(0,-1AM)":3.295517,"VGK^PERCENT_CHANGE(FMA_EPS(+1,0,,,,\"PORTAGG\",\"MEAN\"),FMA_EPS(+1,-1AM,,,,\"PORTAGG\",\"MEAN\"))":-0.139573558357959,"EWD^PERCENT_CHANGE(FMA_EPS(+1,0,,,,\"PORTAGG\",\"MEAN\"),FMA_EPS(+1,-1AM,,,,\"PORTAGG\",\"MEAN\"))":4.11041934776966,"EWQ^PERCENT_CHANGE(FMA_EPS(+1,0,,,,\"PORTAGG\",\"MEAN\"),FMA_EPS(+1,-1AM,,,,\"PORTAGG\",\"MEAN\"))":2.15802677934156,"QQQ^PERCENT_CHANGE(FMA_EPS(+1,0,,,,\"PORTAGG\",\"MEAN\"),FMA_EPS(+1,-1AM,,,,\"PORTAGG\",\"MEAN\"))":-1.80371176832857,"EWG^PERCENT_CHANGE(FMA_EPS(+1,0,,,,\"PORTAGG\",\"MEAN\"),FMA_EPS(+1,-1AM,,,,\"PORTAGG\",\"MEAN\"))":2.30530910104187,"EWJ^FMA_COS_DOWN(\"EPS\",\"1M\",+1,0,,,\"PORTAGG\",\"MEANR\")":77.0,"EWL^FMA_RBICS_REV_CURRENT(30, LOC, \"PORTAGG\")":17.4105902747196,"REFEUREFI-FDS^PROPER_NAME(0,,,\"SECURITY\",\"NAME\")":"Eurozone Main Refinancing Operations Minimum Bid Rate","TRYNL10Y-FDS^PCTCHG(FG_YIELD(0,,,,\"YTM\"),FG_YIELD(-3AM,,,,\"YTM\"))":-13.699553,"TRYVN10Y-FDS^FG_YIELD(-10AY,0,Y,,\"YTM\")":[7.3,6.277413,7.1117578,5.6717234,4.738006,3.5404546,2.4877946,2.059403,4.687226,2.9473283],"TRYJP10Y-FDS^FG_YIELD(-10AY,0,Y,,\"YTM\")":[0.3138,0.2604,0.0315,0.0465,-0.0051,-0.0208,0.0201,0.0672,0.4224,0.6127],"CC_NZ^FG_COMPANY_NAME":"New Zealand","USDCHF^STD(FG_PRICE_CHANGE(0,-3AY,M))":2.41737824980572,"USDAUD^FG_PRICE(0)":1.4723203,"QQQ^FMA_DIV_YLD(NTMA,-10AY,0,AM,\"PORTAGG\",\"MEANR\")":[1.21275980992652,1.24246305694532,1.24902947667013,1.18921478067016,1.20753642603994,1.23107681609199,1.21346631716943,1.27610806340731,1.23607653641407,1.23902653864636,1.28104325864194,1.25814340425258,1.34500334206083,1.43333808245686,1.2636573013405,1.27662096760661,1.26976695879221,1.35895408073496,1.41613152468331,1.33735352868494,1.39099344199501,1.34470187579383,1.38054661824226,1.28997458046823,1.28314312852511,1.26947686148105,1.28668803878597,1.27920249854643,1.28715401824055,1.23257209950237,1.22415700323872,1.2061883806206,1.18832593916955,1.15696651354697,1.19841137490781,1.16856157352267,1.18450718030868,1.16279797138161,1.1226420873206,1.11376582157034,1.10103549957568,1.02366563610451,1.06479442796328,1.12169010247195,1.11922655516481,1.08976286387882,1.07614608708486,1.09273382555311,1.04729261543433,1.06020338050617,1.22662796087663,1.20067727759451,1.32896766213063,1.27028297839328,1.17801506593521,1.13885454821726,1.08542500323408,1.18493643764628,1.11413385363496,1.07599051545859,1.11569089485669,1.12381384825336,1.08849222612419,1.07169013367975,1.04232624533762,1.01086366821697,1.09357289691384,1.22247489226382,1.02556435928556,0.950459892514067,0.911566265482863,0.852613245403673,0.75975564498371,0.807805960762887,0.815701882006689,0.756676534708408,0.765618214081526,0.765726301668023,0.774742302386571,0.774855204020799,0.725072191110524,0.740744193017404,0.703280256642279,0.699267201526715,0.68532553154197,0.724921709606374,0.67857418613222,0.660564025688737,0.660969221832982,0.761252642098599,0.787356253965437,0.738789889361044,0.878393684544827,0.898361387503222,0.985597080296248,0.893432097575553,0.930411626701561,1.05005725532207,1.02322449546969,1.03218854754355,1.03728985601272,0.943828020369464,0.962017708980778,0.906241787256917,0.863925213855745,0.803683235047492,0.774593090063236,0.856345288489375,0.880194070662829,0.945694228297222,0.987182937222156,0.884791685013259,0.919279185804027,0.877770955088638,0.882730282160275,0.882553291985189,0.926316045505243,0.886912887783913,0.843646857509439,0.865601946700057,0.845666709978547],"DDR3512M-FDS^MAX(FG_PRICE(0,-5AY))":3.3053632,"PLATI-FDS^FG_PRICE_MAVG(0,,,,30)":952.0333,"BRENT-FDS^FG_PRICE_CHANGE(0,-1AY)":-0.774297931353285,"EWI^FG_PRICE_MAVG(0,,,,60)":36.9855,"QQQ^FG_PRICE_MAVG(0,,,,60)":473.74634,"EWL^FMA_PCT_ABOVE_MAVG(200,0,,,,\"PORTAGG\")":69.5652173913043,"EWA^PERCENT_CHANGE(FMA_EPS(+1,0,,,,\"PORTAGG\",\"MEAN\"),FMA_EPS(+1,-1AM,,,,\"PORTAGG\",\"MEAN\"))":2.63703871451277,"EWN^FMA_COS_DOWN(\"EPS\",\"1M\",+1,0,,,\"PORTAGG\",\"MEANR\")":15.0,"ENZL^FG_ROE(0)":3.51391620621594,"SPY^FG_COMPANY_NAME":"SPDR S&P 500 ETF Trust","REFJPTON-FDS^PROPER_NAME(0,,,\"SECURITY\",\"NAME\")":"Japan Policy Rate","TRYAU10Y-FDS^PCTCHG(FG_YIELD(0,,,,\"YTM\"),FG_YIELD(-1AM,,,,\"YTM\"))":-7.5952277,"CC_US^IMF_IFS_RCPI_Q(0)":3.19889,"EWD^FMA_PE(LTM,0,,,\"PORTAGG\",\"MEANR\")":14.458363002666,"EWG^FG_FCF_YIELD_NTM(0)":5.82004337112773,"UUP^FG_TOTAL_RETURNC(0,-1AM)":-2.4567425,"USDITL^FG_PRICE_CHANGE(0,-1AY)":-2.1814704,"USDEUR^STD(FG_PRICE_CHANGE(0,-3AY,M))":2.14381117647125,"USDAUD^FG_COMPANY_NAME":"Australian Dollar per U.S. Dollar","EWJ^FG_TOTAL_RETURNC(-10AY,0,AM)":[-3.04026,0.33898354,-3.7162185,1.9298315,-0.9696901,2.185309,5.6458592,3.076911,3.6920667,-1.1363626,-1.8059254,0.4705906,-3.9031982,-9.098303,10.634506,0.8077502,-0.6440878,-6.580019,-5.3043423,6.8870544,-1.8900394,2.4080515,-0.025248528,3.9655209,1.6583681,2.4469852,0.4777074,-1.0102987,-1.0340273,3.9893627,0.7869363,2.0300627,-0.78439116,2.545309,1.1930346,2.0759344,-0.49468875,2.5777936,4.864478,2.4477959,0.804615,6.9914937,-4.756713,-0.6386101,0.16479492,-1.7275393,-2.2877514,2.624762,-1.5480459,2.9396653,-11.223639,3.4037828,-7.4446735,5.51399,1.45576,0.6622553,1.6447306,-4.6206417,3.818202,0.29314756,-1.8085539,5.0790668,3.5941958,1.5723825,1.4429688,-1.325947,-9.916657,-5.2492437,6.1378956,4.036808,0.9290695,2.0547986,2.613914,2.4612784,-1.5958309,13.059068,2.0440698,-0.49020052,1.8360972,2.1547914,-2.3676276,0.79364777,0.16115904,-0.49861073,0.41267872,4.19786,-3.6483943,-1.8274844,1.2523055,-6.4828577,0.3027916,0.12711287,-10.155511,3.0377984,-8.420247,6.1236143,-4.024935,-8.59158,2.0706415,9.765315,-0.35886168,7.1988344,-4.896295,3.1641006,1.9580722,2.3963332,2.812028,3.5604,-4.0816364,-1.3256907,-4.0968657,8.076799,4.0871263,3.164947,4.458225,3.2262683,-5.059564,-0.39857626,1.8971324,0.8939028,3.9070487],"EWN^FMA_PE(NTMA,-10AY,0,AM,\"PORTAGG\",\"MEANR\")":[14.4572310569034,14.5620025690777,14.1098363733159,15.2708740916053,14.8867683997006,15.8007523497157,16.9244555464129,17.0369201402442,16.9328463610594,17.0008564848339,16.2948542030643,16.6806794611902,15.0305176997617,14.0706772265629,15.8316172124974,16.5384330968825,15.7856966229435,15.0778451205177,14.8648040793015,15.338114455432,14.946129809202,15.3805035896872,13.9333752763881,14.7851056451738,14.9005641092898,14.8637631844409,14.7948942973229,14.5388779245693,15.0211860973824,15.1461186354191,15.4775278626066,15.9578826740497,16.3456238317593,16.3547968889701,15.6565447300579,15.9790912658229,15.4645818309304,16.0204057170152,16.2565971851708,15.9505390881808,15.907886313488,16.3348402974721,15.6135502244024,15.3810444251276,15.677400198192,15.766916344569,15.5222598755721,16.0704301945225,15.645773743205,14.9443294080648,13.7694158149957,14.147776528876,12.9703594783904,14.0388660380348,14.8504332804713,15.1517121988869,15.7122487969033,14.924135570028,15.4834378485148,15.9277208265122,15.411123426451,16.184677901641,16.2848384764375,16.7305213072439,17.1821495250251,17.1793570029612,15.652215115505,13.7338412928161,17.5222016931927,18.4182831593396,19.3756801518124,19.8979876948291,19.8467330585131,19.2048976367134,18.6281736396446,20.734021447468,20.6487526606645,20.829866004697,21.4166993700112,22.2370681932719,22.0506622934872,21.2145092805885,21.469141563654,21.5707900107498,21.9161825784566,20.5655709939361,21.2075945846614,20.2830416368964,20.5309545626651,18.2780994873101,17.4728515755676,18.8062076996232,17.1899384650319,17.2613078155288,16.1421730596068,18.0284286033431,16.4638403813634,14.1424278736344,15.1512264680533,16.3786806604134,15.5759354883131,17.131947211805,16.4807481202809,16.2310795037391,15.8332249132083,15.9889947034409,15.7118938788891,16.3822686244203,14.8015866206495,13.6306146163874,13.1294577249204,14.6217548919958,15.1008577463554,15.8421886702625,16.3356494510167,16.3740894877925,15.8180026073579,16.1208022099742,16.1966806240122,15.3316719058278,15.1350552673232],"CPALM-FDS^FG_PRICE_CHANGE(0,-1AY)":6.47198105761642,"BRENT-FDS^FG_PRICE(0)":85.86,"FC0000CH^FG_PRICE(0)":359.43457,"EWC^FG_PRICE(0)":40.23,"EWJ^FMA_PCT_ABOVE_MAVG(200,0,,,,\"PORTAGG\")":52.4509803921569,"EWD^PERCENT_CHANGE(FMA_EPS(+1,0,,,,\"PORTAGG\",\"MEAN\"),FMA_EPS(+1,-3AM,,,,\"PORTAGG\",\"MEAN\"))":-2.15899537543031,"SPY^FG_TOTAL_RETURNC(0,-12AM)":26.058138,"EWU^FG_TOTAL_RETURNC(0,-6AM)":16.964113,"EWC^FMA_PCT_ABOVE_MAVG(200,0,,,,\"PORTAGG\")":79.5454545454545,"FXI^FMA_COS_DOWN(\"EPS\",\"1M\",+1,0,,,\"PORTAGG\",\"MEANR\")":22.0,"EWL^FMA_COS_UP(\"EPS\",\"1M\",+1,0,,,\"PORTAGG\",\"MEANR\")":20.0,"TRYDE10Y-FDS^PCTCHG(FG_YIELD(0,,,,\"YTM\"),FG_YIELD(-3AM,,,,\"YTM\"))":-14.962406,"CC_NL^IMF_IFS_RCPI_Q(0)":2.888117,"EWL^FMA_EVAL_EBITDA(NTMA,0,,,\"PORTAGG\",\"MEANR\")":13.3796704428194,"ENZL^FMA_PE(NTMA,0,,,\"PORTAGG\",\"MEANR\")":26.9779315862113,"DBA^FG_TOTAL_RETURNC(0,-1AM)":5.247569,"TRYCN10Y-FDS^FG_YIELD(-10AY,0,Y,,\"YTM\")":[3.653331,2.901145,3.070911,3.93859,3.259862,3.197311,3.1948,2.7893,2.855,2.574],"CAGDPY@DE^EE_ACTUAL_ANNUAL(MED,+1)":6.5,"USDCHF^FG_PRICE_CHANGE(0,-1AM)":-4.2700768,"USDGBP^FG_PRICE_CHANGE(0,-6AM)":-3.8536131,"EWI^P_PRICE_RETURNS_PR('52W',2,-10AY,0,AM)":[23.475147,11.969721,-5.8421016,-0.22152662,-8.489143,-8.985859,-7.9752026,-11.855668,-13.607436,-9.678167,-12.362808,-6.5526485,-4.593396,-8.11311,4.512751,-1.7036259,4.6542525,-11.686301,-22.62491,-16.152494,-14.819402,-20.105522,-26.769596,-24.699295,-22.38705,-20.23182,-22.044682,-23.258179,-11.731249,4.9610734,8.428764,9.225548,8.430576,19.481743,35.133232,38.44911,38.973618,49.05367,38.68921,48.17953,29.315483,43.25893,37.27392,27.778578,30.374468,4.152012,7.422316,2.7049303,-4.2876425,-8.064437,-15.440422,-14.6021,-18.146223,-20.7071,-10.856366,-10.003763,-13.236809,-4.8764825,1.1313915,-1.3710141,1.1341453,-0.16402006,20.288158,18.874609,27.327358,18.80529,4.545784,-22.178047,-20.051252,-11.14881,-10.696613,-4.471588,-0.28297305,-8.819753,-19.067562,1.6799212,2.121544,-2.454573,9.492564,54.491364,51.87608,52.548027,37.97301,28.601456,30.856407,32.588566,49.4668,11.126089,13.898206,13.420189,3.7928224,-1.8767715,-12.383991,-11.168587,-21.908987,-21.22957,-25.326134,-29.421885,-24.647617,-9.9261465,-13.230139,-1.5193403,3.789258,4.723704,19.618881,10.455645,33.676563,44.569004,43.329193,47.208332,25.64001,25.86584,28.84742,14.950884,23.174942,31.894516,22.29346,29.793512,19.349766,15.499842,23.608112],"EWA^FMA_PE(LTMA,-10AY,0,AM,\"PORTAGG\",\"MEANR\")":[15.4733873600374,14.5961301241015,15.2141219912311,14.6159399654796,14.7635267168464,15.1357973539842,16.2153413101021,16.2704960022116,16.3769811669073,16.2684044607572,15.8155830902183,16.0530313640782,15.6147021055695,14.8242916783018,15.7171705523667,15.5527377319771,15.9081351855028,15.2110112431526,14.9240656400827,15.0880233678482,15.4385687174031,15.7921363274939,15.5954972679473,16.4563314824928,16.583723757557,16.7947288184605,16.6421835543836,17.2185865277872,17.8138595435939,17.7601050248075,17.525706890154,17.4073042903264,17.3031016060056,16.9521872566133,16.9284877002563,16.7875724538525,16.5831790105752,16.3183191989285,16.629462206132,16.6966004821647,16.8278911331571,16.8707031856989,16.5525904197488,16.2815090514869,16.277084815913,16.1945941939155,16.2800875614586,16.3664375721876,16.4299544215423,16.0770105289925,15.048440167459,15.1109300767556,14.6610893714583,15.2374801884914,15.9106076548454,15.8666437464871,15.891415100285,15.9667925139671,16.2586098308163,16.5273083025702,16.2495305438143,16.8614052269742,17.3732494013321,17.7420544225867,18.0649174893238,18.522988237959,16.946384516145,16.1583348406845,17.188573928989,17.937792407827,18.251138983775,19.094502079276,19.8242357548298,19.4229613966267,19.5837607562288,22.2236447314244,23.2287991643691,22.4120238044229,21.8034729969148,21.3487693534007,21.0809551300924,20.7408731655517,20.0041356933885,19.2911895708631,19.1099665254231,18.2409936104833,18.5560764677824,17.5113186025618,17.984988231512,16.5087695489396,15.6714131906656,15.8160773664,15.4451641663444,15.0647434703676,14.2294591560027,14.5092909327015,14.3954358429505,13.3645992405474,13.4469785819856,14.3949187462944,14.0093594396004,14.9598157496564,14.2663938470017,14.1677267237398,14.3273091999696,14.2076625511532,14.5651627761759,15.1005216213547,14.9933003856191,14.8131305964158,14.4537759211948,15.1246224803107,16.5692900489886,16.4605107920572,16.6062394324781,16.674841958028,16.5771359977151,16.6245779381113,16.8533812611703,17.1766958123496,17.5588432214612],"PASP-FDS^FG_PRICE_CHANGE(0,-3AM)":-0.206825232678387,"COPP-FDS^FG_PRICE_CHANGE(0,-1AY)":9.34616398629053,"QQQ^FG_PRICE(0)":470.66,"FXI^PERCENT_CHANGE(FMA_EPS(+1,0,,,,\"PORTAGG\",\"MEAN\"),FMA_EPS(+1,-3AM,,,,\"PORTAGG\",\"MEAN\"))":4.5289069572635,"VGK^FG_TOTAL_RETURNC(0,-6AM)":10.790992,"EWJ^PERCENT_CHANGE(FMA_EPS(+1,0,,,,\"PORTAGG\",\"MEAN\"),FMA_EPS(+1,-1AM,,,,\"PORTAGG\",\"MEAN\"))":7.38211210464584,"ENZL^FMA_RBICS_REV_CURRENT(30, LOC, \"PORTAGG\")":14.3368259139163,"TRYCH10Y-FDS^FG_YIELD_NAME":"Treasury - Switzerland Benchmark Bond 10Y","REFGBBANK-FDS^FG_YIELD(NOW,,,0)":5.0,"TRYUS10Y-FDS^FG_YIELD(0,,,,\"YTM\")":3.8682,"VGK^FMA_EVAL_EBITDA(NTMA,0,,,\"PORTAGG\",\"MEANR\")":8.86146203585589,"EWD^JULIAN(FMA_DIV_YLD(NTMA,NOW,NOW,M,\"PORTAGG\",\"MEANR\").DATES)":45530,"SPY^FMA_PE(NTMA,0,,,\"PORTAGG\",\"MEANR\")":21.2102191675657,"EWC^FMA_EVAL_EBIT(LTMA,NOW,NOW,M,\"PORTAGG\",\"MEANR\")":16.1163345071399,"VWO^FG_TOTAL_RETURNC(0,-1AM)":2.3640037,"USDEUR^STD(FG_PRICE_CHANGE(0,-1AY,AM))":1.73448492137318,"USDNZD^STD(FG_PRICE_CHANGE(0,-3AY,M))":3.47996847402444,"CPALM-FDS^FG_PRICE_CHANGE(0,-6AM)":0.54658385093167,"EWI^FG_PRICE_MAVG(0,,,,200)":35.89065,"EWA^FG_PRICE_MAVG(0,,,,200)":24.09465,"URTH^P_PRICE(0)/P_PRICE_LOW_PR(0,,,,,,\"PRICE\",\"INTRA\",\"52W\")-1":0.33356595,"EWD^FMA_PCT_ABOVE_MAVG(200,0,,,,\"PORTAGG\")":68.1818181818182,"EWA^FG_TOTAL_RETURNC(0,-12AM)":22.535181,"FXI^FMA_COS_UP(\"EPS\",\"1M\",+1,0,,,\"PORTAGG\",\"MEANR\")":23.0,"TRYIT10Y-FDS^PCTCHG(FG_YIELD(0,,,,\"YTM\"),FG_YIELD(-3AM,,,,\"YTM\"))":-8.15915,"TRYDE10Y-FDS^PCTCHG(FG_YIELD(0,,,,\"YTM\"),FG_YIELD(-1AM,,,,\"YTM\"))":-4.2742205,"CC_FR^IMF_IFS_RCPI_Q(0)":2.2093682,"VGK^FG_FCF_YIELD_NTM(0)":5.28335888617342,"EWL^FG_FCF_YIELD_NTM(0)":4.67034597400495,"QQQ^FG_TOTAL_RETURNC(0,-6AM)":7.52486,"TRY10Y-FDS^FG_YIELD(-10AY,0,Y,,\"YTM\")":[null,null,null,null,null,null,null,null,null,null],"CAGDPY@DE^EE_ACTUAL_ANNUAL(MED,0)":6.06252463833905,"USDSEK^STD(FG_PRICE_CHANGE(0,-3AY,M))":2.969808137363,"QQQ^FMA_PE(NTMA,-10AY,0,AM,\"PORTAGG\",\"MEANR\")":[17.8774265439494,17.4358804061516,17.3800777038902,18.3086652065781,17.9260725004848,16.9980704058706,18.0987091619455,17.6059471023599,18.1281357559271,18.0168586017461,17.3969213472783,18.4078753607615,17.5018453826991,16.3910050672669,18.6430470979958,18.7137447256753,18.7259851052622,17.3170674814134,16.8542378058808,17.8254483642314,17.4707196772289,18.0088908096734,17.4042186207255,18.6503515019565,18.5955203818666,18.5401567694144,18.179631471741,18.2731934442536,18.2558391175546,19.3264981523412,20.0414707039038,20.1423112765091,20.3610006572493,20.9496030825611,20.1186057994094,20.7942796579655,20.2834092575162,20.37612210329,20.7484258693142,20.7440600684044,20.7947525332183,21.9577295229524,20.7809153180452,19.7763057603438,19.496332881483,19.9645984616079,20.087014612319,20.4605850933668,21.1669367978178,20.8792510819679,18.1117946040948,18.6653245927101,17.1033334043296,18.2358552069316,19.6719211421104,20.3249038810677,21.4178628496702,19.5948127789881,20.8118707355088,21.4344602929846,20.4901666047782,20.2764991426123,21.0429224675815,22.0033636055341,22.8643637761971,23.2368813136395,21.3634002771718,19.9634009383931,25.1037492636022,27.3863827051622,27.8529336667593,28.9761161424032,31.2978925851233,28.9720153324495,28.4102236339195,29.678510451649,30.0425998818987,28.8909635467967,27.8476226514322,27.7168775873812,28.1854609796345,26.9600675272844,28.3868304120016,28.2074750124458,28.4368664231477,27.00014954038,28.9228226986539,29.5043889376879,29.4736291900543,25.3824193305527,24.7940749737171,26.3267245853426,22.4601553381739,21.9131373577837,20.0562076233316,23.0159826342251,22.2114627670991,19.7737905946967,21.3641207563804,21.3731691213144,20.9152250670471,23.5583325225121,23.0997179031221,24.4385592678958,24.5979455672586,25.7817002774847,26.3872346353663,25.8855678851135,24.5199622972953,23.1704665737264,21.9620002033314,24.3013389340521,25.0896941037527,26.1838983309296,26.2087997885724,26.188453362784,25.2292684893005,26.0458808580915,26.9613697724333,25.806613981776,26.0421999475104],"ENZL^FMA_PE(LTMA,-10AY,0,AM,\"PORTAGG\",\"MEANR\")":[18.0499421595283,17.9126714362189,18.3045959452555,18.4770941038802,19.2517944830086,19.9099548347242,20.5337322033324,20.2006707560209,20.0268930910607,20.0576477764403,19.5513642099931,19.7639402537867,19.2539410452504,18.7045496449507,19.5345624371053,19.5938339966836,19.9313764801637,19.1505838899285,19.2608458712223,19.325896815245,19.4245354060829,19.7113687304568,19.5382774134355,20.5680266521813,20.8464649710822,20.9063120390254,20.0749684485734,20.0556404165628,20.0370985414004,20.6890630841297,19.7021358680457,19.759660497624,19.9491833529165,20.018662549414,20.2505820863943,20.2788784152449,20.5392140483977,20.6402295727802,21.2738816920246,21.3866708406207,22.3889251547657,22.1156094890306,22.6915007290246,22.3954716683229,22.2664753550181,22.3681191062191,22.8475905494538,22.9621223800791,23.8662064914046,23.5544135019859,22.2858963009436,22.629419151301,22.9248217065475,23.2385573286067,24.1815760550784,24.1751665012234,24.2062875026305,24.2654507439174,24.6848111926374,25.3011340521027,27.6180524236735,28.3667682013023,28.6950554485386,31.2537203147485,32.6498180472433,32.5486469717738,31.1164202842496,30.3305862666326,31.708147555774,32.5400463154974,32.5329458902903,33.5507821673309,34.5065602866794,33.6679366748454,35.187822523204,35.3171921537724,38.4767661003216,37.1346259511647,34.3437409257866,34.4217893534116,34.6020721785856,34.8523571738549,36.0767168652815,36.5669282873246,37.9228829617447,38.5296768639937,39.2928678220484,37.6784650585292,39.1845135697741,35.9252840202751,35.2856899235504,35.0505468006381,34.6100890008135,33.6730168098908,33.026014321905,33.1517368904988,34.207658276063,32.0475885492217,31.1603399728811,30.0396210906062,29.2983499603626,29.9135173023169,29.6107728543115,28.9149156253527,28.5523055121322,28.015046681685,26.051774127829,25.3922147114173,24.3961927734974,23.8230599621873,22.3274437998573,22.1181784092918,24.0799065843605,23.4971445876958,23.3289896193867,24.0463237926062,24.3759284370946,24.4868905874189,24.2372924934923,25.0047589519961,26.6047124811587],"EWG^FMA_ROE(NTMA,-20AY,NOW,FY,\"PORTAGG\",\"MEANR\")":[11.8275550599933,12.5810872006639,13.372977849048,14.712722857709,11.5210886767193,11.0094337648339,13.0475804034897,12.3546044213534,12.1037876491794,12.1465108243325,11.8873581616615,12.0284649417774,11.8967042128795,12.2469207943648,11.6510152415578,10.4475672102116,9.71471543630713,12.1997093940908,11.8187115511422,11.93889064433],"EWD^SIZE(FG_CONSTITUENTS)":45,"EWC^FG_TOTAL_RETURNC(-10AY,0,AM)":[1.0766029,-6.0864267,-3.1756341,0.20080805,-2.2760987,-7.9002085,5.417609,-3.3904374,9.124494,-5.9580207,-2.9664218,-4.672897,-5.0980387,-7.7272773,8.419168,-4.5435724,-3.9487958,-4.5205474,3.4433246,8.506703,8.223259,-2.6377976,-0.67316294,3.5699606,1.6244054,-0.15594363,-0.624758,1.571703,2.2494555,4.165077,-2.0909727,1.3113499,-2.8846204,0.45696497,2.3917794,4.1433334,-0.8960545,4.66547,-0.38009882,0.10405779,4.0180445,1.3495326,-7.490015,-0.8276403,2.3584843,0.42538643,1.4343739,1.8589973,0.9641886,-1.8417418,-9.833217,2.6204228,-8.939779,12.075472,4.1900516,-0.7540405,3.183794,-3.5063088,4.942012,0.10482073,-1.7801046,2.6297092,-0.103873014,2.703631,1.9504547,0.97283125,-8.338869,-25.117796,21.539211,0.11947155,2.4529696,8.313727,4.7429323,-5.184931,-2.952969,14.575505,2.6790142,-1.0669231,5.130708,5.875051,5.695832,5.1944375,-0.8457482,0.32154322,0.32051802,-3.3280075,7.90416,-2.3226142,0.92384815,-2.1243155,2.41158,6.2009335,-8.721363,1.5384555,-8.975613,3.883493,-0.93458295,-11.149227,6.5636992,4.4082165,-3.2372475,8.156454,-4.54163,-1.32159,4.7619104,-4.034096,3.4353614,3.4402966,-3.6333144,-2.9582381,-5.9175134,10.101652,7.2699666,0.05452633,0.19073486,4.106605,-1.5673935,-0.98195076,0.35158396,3.0466437,5.259025],"EWU^FG_TOTAL_RETURNC(0,-3AM)":7.4796557,"EWC^FMA_ROE(NTMA,-20AY,NOW,FY,\"PORTAGG\",\"MEANR\")":[14.6738571923606,15.7709471724654,15.8547136543611,16.5705490516163,13.8099900139916,11.8327104416904,12.6984457284378,13.5092848924233,12.804929450575,12.2925364029644,11.8034021278505,10.9923508764539,11.4792366602027,11.3979128674428,12.4990081822477,11.9786783863837,11.1922086822881,14.1061782856045,14.0029403106189,13.1491479008301],"USDCHF^FG_PRICE(0)":0.84855,"EWD^P_PRICE_RETURNS_PR('52W',2,-10AY,0,AM)":[8.693493,-1.2727082,-4.281223,0.86021423,-5.589998,-2.3093224,-0.61775446,-2.9622078,-2.1174014,-4.971993,-4.727292,-4.983288,-6.5965295,-9.75647,-2.6905239,-7.75947,-3.3637762,-13.091821,-18.11444,-10.473543,-8.683979,-10.385376,-13.387614,-7.9949856,-1.3747573,5.2229166,-4.4159594,-4.665911,-0.43517947,14.757895,14.393353,13.211226,13.02272,18.985199,28.921091,26.029575,21.50755,27.700603,31.282055,28.484917,22.180641,23.96754,15.597582,9.336495,4.4814587,-2.431929,-4.41224,-0.5984247,-0.94363093,-2.5199413,-15.024233,-10.41854,-14.262128,-14.848221,-6.8861127,-5.4747224,1.4985919,-3.7986338,5.9779406,-2.8357804,-10.250574,-8.60042,13.51372,12.098169,26.462292,14.413393,5.2574396,-15.198785,-9.23127,6.650114,2.6587486,18.674814,32.149887,22.693848,9.129214,26.821745,22.55553,27.317083,35.03207,82.39329,70.52282,62.79924,54.492973,43.1543,38.89084,29.484426,46.17517,17.467796,21.773863,5.163443,-5.0035295,-4.1656017,-20.257551,-20.37754,-29.860342,-26.111149,-33.137638,-36.0132,-33.84978,-23.228819,-27.29792,-10.211963,-3.3576787,-12.131924,6.2526107,0.99829435,13.244974,8.884168,12.066555,23.17419,4.4020414,11.586559,23.231815,7.987237,14.712393,21.216059,8.335054,19.762611,20.565392,15.272177,29.48128],"PASP-FDS^FG_PRICE_CHANGE(0,-1AM)":4.32432432432432,"TRYMX10Y-FDS^FG_YIELD(-10AY,0,Y,,\"YTM\")":[5.8237,6.2537,7.5651,7.6401,8.7069,6.8373,5.552,7.558,9.0223,8.95],"USDUSD^STD(FG_PRICE_CHANGE(0,-1AY,AM))":0.0,"USDCAD^FG_COMPANY_NAME":"Canadian Dollar per U.S. Dollar"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415451,16.6617703289926,22.2767073851685,22.9687104615331,24.3449867619937],"ENZL^P_PRICE_RETURNS_PR('52W',2,-10AY,0,AM)":[25.00683,3.3031225,4.670298,9.209024,12.749648,7.628536,8.312106,0.83146095,0.47211647,-5.0462666,-12.912416,-9.534836,-15.653503,-12.323981,-3.4706771,-7.555169,-1.6717434,-5.6719723,-7.7569666,3.4760833,7.6375127,12.448978,26.236475,37.02644,47.63384,50.126053,23.400259,23.708618,11.597323,32.269108,23.936033,8.162081,7.6562405,12.167358,13.995802,9.961689,4.152441,7.3923707,12.532436,12.841833,22.99831,16.396093,16.050316,21.153248,17.193449,11.4178295,8.741915,5.470836,11.653269,6.7557573,0.2780676,8.868432,0.2032876,2.1306157,6.1311364,10.915017,12.686896,10.174942,13.758814,17.886246,5.9624553,10.067833,22.279406,20.654179,29.2261,23.633469,10.86787,-12.229377,0.34964085,5.25285,6.368232,10.605693,22.61164,13.687265,18.92885,23.804546,21.116304,20.325232,15.762925,46.32152,31.720947,23.299658,13.123918,5.8589816,5.7263017,9.680033,7.740867,-10.053337,-12.534052,-23.020119,-10.869855,-9.330153,-21.67635,-21.01115,-24.736982,-19.619762,-23.775131,-29.63311,-30.397856,-17.10202,-14.993275,0.30043125,-8.5211935,-9.162045,0.11956692,3.4167051,8.507276,4.710984,-0.5551934,6.871724,-2.4090886,-0.40950775,1.6126633,-6.786948,-5.132723,-4.6717644,-6.3977957,-4.270768,-1.4715075,-5.6004643,9.774804],"TIOS-FDS^FG_PRICE_MAVG(0,,,,30)":102.117,"FC0000AU^FG_PRICE(0)":380.06387,"EWQ^FG_PRICE_MAVG(0,,,,30)":38.518,"EWJ^P_PRICE(0)/P_PRICE_LOW_PR(0,,,,,,\"PRICE\",\"INTRA\",\"52W\")-1":0.25069928,"EWI^FMA_PCT_ABOVE_MAVG(200,0,,,,\"PORTAGG\")":64.0,"EWQ^P_PRICE(0)/P_PRICE_HIGH_PR(0,,,,,,\"PRICE\",\"INTRA\",\"52W\")":0.9349766,"QQQ^FG_TOTAL_RETURNC(0,-3AM)":3.2810807,"EWC^FG_TOTAL_RETURNC(0,-12AM)":19.38585,"VWO^FMA_COS_UP(\"EPS\",\"1M\",+1,0,,,\"PORTAGG\",\"MEANR\")":965.0,"QQQ^FMA_COS_DOWN(\"EPS\",\"1M\",+1,0,,,\"PORTAGG\",\"MEANR\")":36.0,"SPY^FMA_RBICS_REV_CURRENT(30, LOC, \"PORTAGG\")":12.5765138366263,"REFCATARG-FDS^FG_YIELD(NOW,,,0)":4.5,"TRYSE10Y-FDS^FG_YIELD(0,,,,\"YTM\")":2.073,"TRYCA10Y-FDS^FG_YIELD_NAME":"Canada Benchmark Bond - 10 Year","EWI^JULIAN(FMA_DIV_YLD(NTMA,NOW,NOW,M,\"PORTAGG\",\"MEANR\").DATES)":45531,"EWU^FMA_EVAL_EBITDA(NTMA,0,,,\"PORTAGG\",\"MEANR\")":7.63830214278797,"USO^P_PRICE(0)/P_PRICE_HIGH_PR(0,,,USD,,,\"PRICE\",\"INTRA\",\"52W\")":0.92039317,"GLD^FG_TOTAL_RETURNC(0,-1AM)":5.73256,"EWI^FMA_ROE(NTMA,-20AY,NOW,FY,\"PORTAGG\",\"MEANR\")":[12.7201174133668,14.3538872460945,15.0689086026843,13.8121430445963,10.7897502226351,8.0585564947071,8.81990423698703,8.11660136585425,7.83939542493847,7.34575996709421,7.29870487123998,7.28937842659948,7.64480507807432,9.05384965064241,10.3909656073461,10.2353053584578,8.27578853786002,11.7277999998841,13.3202789860828,13.3572149047324],"CAGDPY@US^EE_ACTUAL_ANNUAL(MED,+1)":-3.2,"CC_DE^FG_COMPANY_NAME":"Germany","USDJPY^STD(FG_PRICE_CHANGE(0,-1AY,AM))":3.34896839656272,"EWD^FG_TOTAL_RETURNC(-10AY,0,AM)":[-2.141428,-3.5394251,-1.5834391,3.7438035,-3.5918653,1.6827703,6.405151,-3.1682074,2.022612,-0.99125504,-1.9684076,-1.4303446,-3.8170397,-6.789112,6.122446,-0.6631315,-0.011467934,-8.55329,0.2557516,5.867338,4.061961,-1.7201483,-6.32835,4.706764,3.1038165,-0.5536318,-3.3750832,-1.1523187,4.4258,5.4780126,0.2646327,4.3550014,4.6791077,2.9598236,1.2211561,1.4819264,0.26285648,4.515004,-0.8082509,-3.1188548,-0.6979823,7.0206404,-6.504965,-1.297164,-0.059735775,-3.7656844,-0.83328485,4.883647,0.5312443,2.020526,-12.827539,2.1321177,-4.7343674,6.0388207,2.2372842,0.19893646,7.313037,-8.788162,7.5975537,-2.3670554,-7.1404877,5.257511,6.863749,0.8584976,6.5843463,-3.264451,-5.94427,-18.926924,14.372719,7.1707487,3.5707355,12.864935,2.3308635,-1.2500048,-4.9507675,18.023087,2.2894382,0.4939437,3.2686234,5.782962,6.9291234,1.977706,-1.3869703,4.5814633,-1.3510764,-7.345915,7.3012233,-5.1555037,6.039119,-11.742126,-8.270675,6.716025,-11.025768,1.7822266,-13.095629,10.171676,-10.732132,-11.3307,12.109959,8.913183,0.41872263,8.074355,-0.42289495,-2.9728174,8.578932,-6.04676,-0.5720854,2.8768659,-5.3970814,-2.5421262,-6.5817475,18.409098,10.898495,-5.295163,5.7784915,1.0622144,-1.5515506,3.863752,0.094389915,-1.6397536,6.2642097],"EWJ^FMA_DIV_YLD(NTMA,-10AY,0,AM,\"PORTAGG\",\"MEANR\")":[2.08374180140113,2.00545374807216,2.12750805939975,1.94863501610075,1.946428192021,2.00432054588738,1.87834190262488,1.86334318932593,1.81187662192873,1.82498370805908,1.92477570472252,1.93382677692171,2.05112479339955,2.34214314687921,2.06311066289316,2.01981949048267,2.09978413047512,2.28045936184802,2.48527142938945,2.34376570627402,2.39094788334759,2.36844391779497,2.53894228951929,2.38055813556632,2.39459623089796,2.37169454377698,2.3060109133492,2.1885683110496,2.12449635040399,2.10091573860012,2.16104578716086,2.17748486692378,2.21407683036057,2.19172837721417,2.15318197392326,2.1717059367162,2.23320309912541,2.15654878610097,2.05531968888097,2.08435027077737,2.05879632782467,2.00562916069213,2.19077462782696,2.28771578081579,2.20675187675582,2.26006504477001,2.30306871971896,2.25156992187565,2.30619078181481,2.21792325480422,2.54032337567241,2.47348196798905,2.75036359596829,2.64997481913668,2.56991061921489,2.60032708973296,2.56608151726657,2.70802802355154,2.68339003087462,2.66241951544119,2.78888071898196,2.597275251738,2.51832009084467,2.46703565069828,2.42607937345393,2.47384993519479,2.76169772404813,2.87196509534092,2.82850564123667,2.57904796076175,2.52613264409786,2.52095279315777,2.39601555304812,2.34970030244665,2.41428895236243,2.16686416887045,2.1230516009369,2.15371374144602,2.12331496657383,2.03186145673102,2.13850285314803,2.14637172502948,2.18852376999932,2.24014021861567,2.28376227151313,2.19492983955954,2.24766785367213,2.33193993371144,2.3061200013872,2.48476483877569,2.53107097261202,2.44941626257747,2.59144098377952,2.63541945049942,2.66971372900005,2.61584539927894,2.62000870920905,2.7676853747092,2.71232636791224,2.59534132444825,2.75009606337879,2.61531946236751,2.6236984375387,2.63400456670947,2.56541138651427,2.46964499674181,2.32416271960109,2.35339072188236,2.38295727137419,2.3888924504773,2.47849822736187,2.40249186312664,2.42815251022587,2.27954205244458,2.19334319463937,2.15769906164831,2.25013639250043,2.23635840684827,2.23314016901472,2.31224685295103,2.42368715063833],"WL-FDS^FG_PRICE_CHANGE(0,-3AM)":2.53956569746046,"PLATI-FDS^FG_PRICE_CHANGE(0,-1AY)":-4.06091370558376,"EWL^PERCENT_CHANGE(FMA_EPS(+1,0,,,,\"PORTAGG\",\"MEAN\"),FMA_EPS(+1,-1AM,,,,\"PORTAGG\",\"MEAN\"))":3.70091466033722,"ENZL^FG_TOTAL_RETURNC(0,-6AM)":9.088874,"ENZL^FMA_COS_DOWN(\"EPS\",\"1M\",+1,0,,,\"PORTAGG\",\"MEANR\")":7.0,"EWA^FG_ROE(0)":12.5108203133605,"TRYGB10Y-FDS^PCTCHG(FG_YIELD(0,,,,\"YTM\"),FG_YIELD(-3AM,,,,\"YTM\"))":-9.012093,"VWO^FMA_EVAL_EBITDA(NTMA,0,,,\"PORTAGG\",\"MEANR\")":8.97770263753823,"EWQ^FMA_PE(NTMA,0,,,\"PORTAGG\",\"MEANR\")":13.7573735991581,"EWA^FMA_PE(NTMA,0,,,\"PORTAGG\",\"MEANR\")":17.8614632315917,"EWN^FMA_ROE(NTMA,-20AY,NOW,FY,\"PORTAGG\",\"MEANR\")":[20.5027022731768,18.4388432839057,17.2963282197402,16.6220124304454,13.9821831035128,13.3304023919735,14.6594809949092,13.0989988533626,12.0023835077373,12.1486145572934,12.2197829564797,12.4442703427853,11.8415876112609,13.007558022755,13.2228677711132,13.0917636337237,9.77856566503728,10.8991459518594,12.0158891532418,12.7459856653411],"USDANG^FG_PRICE_CHANGE(0,-1AY)":0.0,"USDUSD^FG_PRICE_CHANGE(0,-6AM)":0.0,"USDAUD^STD(FG_PRICE_CHANGE(0,-3AY,M))":3.06365637155364,"EWU^FMA_EPS(NTMA,-20AY,0,CY,,\"PORTAGG\",\"MEANR\")":[2.78829402631307,2.94932484667975,3.75488864741091,4.07523919059458,2.818707383858,2.6972177795125,3.36495665882676,3.43468170545609,3.30605625416888,3.23218168522276,2.60589751741525,2.12294202915382,2.123898319152,2.42405089418043,2.57732227429949,2.53482233795695,2.03507562384137,2.71427224340631,3.12760121442786,3.00269886912718],"SPY^FMA_PE(LTMA,-10AY,0,AM,\"PORTAGG\",\"MEANR\")":[16.5165946550167,16.4096128850155,16.4969161494494,17.1148636188273,17.5468381992888,16.9537685922532,17.59103730002,17.494488374599,17.5680610301991,17.5147419982975,17.3008322285926,17.5341496877117,16.9143178043277,16.2382947723804,17.4898374777228,17.4962548504994,17.3971259074637,16.2966838906097,16.18819342752,16.18819342752,16.565182572191,16.7505275257683,16.7740158310483,17.3852036643489,17.5951209737213,17.6374793074859,17.5366805511185,18.2966696531517,18.8703487494046,19.0923490355538,19.4949236055791,19.3499987353811,19.2294920728576,19.1914525240663,19.0763408400651,19.1828759477783,18.9549776375272,19.3338918115731,19.6519421968673,19.8806944296486,20.2347233132771,21.2764575982761,19.7961415133282,19.442240691761,19.1526422058075,18.8327101658661,18.6134370089549,18.6682207451327,18.765530971868,18.5967626970535,16.9561687381188,17.1354986723572,15.3994994148198,16.3121261717659,17.1101396920555,17.136536634805,17.3127489552315,16.9484130001522,17.4039736504324,17.7922613536084,17.521408279488,17.794849770959,18.3401011048704,19.0907003478438,19.9048224719265,20.0106295049207,17.9045011587721,17.5178035440557,19.36223142437,20.4473825843083,21.0312906216844,22.2460277136366,23.6538679236928,23.3763137427665,23.2777949175097,25.377006459161,27.1699695133812,26.2991881714123,26.2931693975887,26.0316261057633,25.6812835487621,25.1175797905106,24.8303764485983,24.2806967103706,24.0129849896188,23.1118513439538,23.3454320268327,23.0559700750324,23.3890702013022,21.3974826073206,20.7184478631199,20.8206405937866,20.0247566197936,19.8217811966934,18.8282728381917,19.3722304086352,18.8942899266669,17.442091289629,18.2029673093134,18.1633734014933,17.4632106641751,18.4998907291421,18.0557703029734,18.1208409931733,18.331645338095,18.4393232077919,19.0102312868127,19.6778684618193,19.5032035873703,19.0496651932481,18.560928434487,20.3771053463371,21.7256395465349,22.4272031581724,22.7769945451275,22.7674307809079,22.4370609165264,22.5516578823856,22.7756128862945,22.7684861842802,23.1813878573769],"BRENT-FDS^FG_PRICE(0)/MAX(FG_PRICE(0,-1AY))":0.870614479821537,"TIOS-FDS^FG_PRICE(0)":98.63,"EWQ^FG_PRICE(0)":39.83,"EWG^FG_PRICE_MAVG(0,,,,60)":31.056,"EWJ^P_PRICE(0)/P_PRICE_HIGH_PR(0,,,,,,\"PRICE\",\"INTRA\",\"52W\")":0.99010456,"EWD^FG_TOTAL_RETURNC(0,-12AM)":29.48128,"EWQ^FG_TOTAL_RETURNC(0,-6AM)":1.356101,"QQQ^FG_TOTAL_RETURNC(0,-1AM)":1.4572144,"EWC^P_PRICE(0)/P_PRICE_HIGH_PR(0,,,,,,\"PRICE\",\"INTRA\",\"52W\")":0.9930808,"VGK^SIZE(FG_CONSTITUENTS)":1287,"QQQ^FMA_COS_UP(\"EPS\",\"1M\",+1,0,,,\"PORTAGG\",\"MEANR\")":48.0,"QQQ^FMA_RBICS_REV_CURRENT(30, LOC, \"PORTAGG\")":0.834681122892297,"REFFFUND-FDS^FG_YIELD(NOW,,,0)":5.5,"REFCATARG-FDS^PROPER_NAME(0,,,\"SECURITY\",\"NAME\")":"Canada Target Rate","TRYAU10Y-FDS^FG_YIELD(0,,,,\"YTM\")":3.954,"EWD^FMA_EVAL_EBIT(LTMA,NOW,NOW,M,\"PORTAGG\",\"MEANR\")":16.2041448775468,"EWU^FG_FCF_YIELD_NTM(0)":6.26630391869435,"EWG^FMA_EVAL_EBIT(LTMA,NOW,NOW,M,\"PORTAGG\",\"MEANR\")":13.709384251534,"USO^FG_TOTAL_RETURNC(0,-6AM)":4.648304,"SPY^P_PRICE(0)/P_PRICE_HIGH_PR(0,,,USD,,,\"PRICE\",\"INTRA\",\"52W\")":0.9879503,"TRYUS10Y-FDS^FG_YIELD(-10AY,0,Y,,\"YTM\")":[2.1881,2.2961,2.4752,2.4325,2.6836,1.9185,0.9174,1.5119,3.8776,3.8791],"CAGDPY@US^EE_ACTUAL_ANNUAL(MED,0)":-3.31108668288718,"CC_AU^FG_COMPANY_NAME":"Australia","USDJPY^FG_PRICE_CHANGE(0,-6AM)":-2.862966,"EWN^FG_TOTAL_RETURNC(-10AY,0,AM)":[0.5312681,-1.9512177,-3.4411252,6.9557667,-2.3568094,0.28877258,5.2653313,-0.50801635,2.7101398,1.6061187,-1.9065142,2.3291945,-7.283765,-5.769229,8.814585,-0.7182777,-1.3261259,-4.221308,-2.695769,8.399296,0.28398037,1.2135983,-8.244598,6.407428,2.9069781,-0.60533285,-0.5684078,-3.674966,3.220737,3.410983,2.37329,5.776024,4.309058,4.914522,-0.9730816,6.2803626,-0.48971176,2.985561,0.22300482,-0.2542913,1.6876101,6.366217,-5.748147,0.5029917,1.1573434,-3.9270282,-0.20537376,3.998685,-0.40970445,-4.4620275,-9.539586,4.430616,-7.974082,7.810104,5.2556753,0.8434534,4.550016,-4.879999,6.3043118,2.2049308,-3.5850286,2.3692012,2.8929472,1.8431783,4.19935,-1.714462,-8.451128,-15.76873,12.636507,6.371188,6.6916347,7.4585557,2.4564385,-2.676326,-1.6041279,14.585161,6.138563,1.633048,4.0170193,4.475236,6.4796686,1.0822892,-0.63924193,2.7629972,4.6405077,-5.3673387,4.7868013,-4.664111,1.281631,-10.055858,-4.991126,3.151989,-13.014936,2.1857977,-9.293884,8.219564,-8.226019,-12.428403,8.502293,14.315855,0.2761364,12.275135,-3.8642764,1.5441179,2.148199,1.6304374,0.6501436,5.1389813,-7.3761406,-8.803063,-3.3535004,15.199351,6.2289476,3.2937407,3.5574913,3.6447406,-1.4551342,4.450369,-0.26182532,-4.1409492,4.859817],"EWG^FMA_DIV_YLD(NTMA,-10AY,0,AM,\"PORTAGG\",\"MEANR\")":[3.17618926569511,3.20661567750948,3.34585983047912,3.12789091800153,3.15277066275975,2.93783683182674,2.78173214454678,2.70153237687039,2.86187400223114,2.9389200999986,3.05332498243139,3.033085982023,3.31556701153143,3.57531943159165,3.06952451142673,2.88268759826885,3.00904047839554,3.34471113459531,3.45962809725543,3.31832241204475,3.2918871979604,3.27075647027927,3.5188308242084,3.26557764935111,3.19675864165343,3.21951048426387,3.14147322244269,3.19209528187892,2.98009368795117,2.90539953181078,2.95452596437925,2.93001700406668,2.8942566420826,2.93556448903773,3.01526269202359,3.07977661898126,3.18322919498603,2.99038375230085,2.90485634173562,2.9348950838008,2.95370495795088,2.90586428947241,3.12778045347504,3.24717650440132,3.16382522416928,3.19735356792212,3.27480156728605,3.13887377399888,3.20498513642196,3.32370763382734,3.66294288862884,3.66230039381574,3.96862957428848,3.69673979217806,3.61231623795558,3.61859325369304,3.3924738345004,3.61970059541176,3.48770832349963,3.40513700319641,3.55231236928533,3.40266575427458,3.26949880799525,3.09715514407385,3.07735047874971,3.0821977072985,3.43280005946778,4.05034714806666,3.28296036926388,3.12222063838843,2.95125896022591,2.82705014598854,2.80109955153885,2.86108839689258,3.16361807274184,2.81345230526804,2.70870184953438,2.81322050851559,2.84200926461744,2.7434249769713,2.77521941074842,2.80497326819081,2.78734356877661,2.81953591939753,2.85217513372546,2.96361969267839,2.9643055686188,3.12109430506412,3.04004934365879,3.19621646994913,3.4702635522923,3.43340152522897,3.69682281990904,3.74348504500663,4.1350592398918,4.02206005365405,4.2043028509899,4.53756922953842,4.13497504669277,3.76314665528583,3.80913941787237,3.5015276919582,3.52099338927732,3.59150387777393,3.50639902551289,3.60675682757833,3.66581513402699,3.57560277005313,3.71117760545318,3.85852448007125,4.0682675227399,3.65843623835112,3.55310279376187,3.53571583562247,3.43329000176114,3.24692297836378,3.35223110800483,3.38246482494226,3.41879576952376,3.42366199847652,3.39490286693089],"WL-FDS^FG_PRICE_CHANGE(0,-1AM)":3.81963853176821,"PLATI-FDS^FG_PRICE_CHANGE(0,-6AM)":5.58659217877095,"VWO^PERCENT_CHANGE(FMA_EPS(+1,0,,,,\"PORTAGG\",\"MEAN\"),FMA_EPS(+1,-3AM,,,,\"PORTAGG\",\"MEAN\"))":0.632794803448124,"ENZL^FG_TOTAL_RETURNC(0,-3AM)":9.380304,"ENZL^FMA_COS_UP(\"EPS\",\"1M\",+1,0,,,\"PORTAGG\",\"MEANR\")":5.0,"REFAUCASH-FDS^(SUBARRAY(NOT_NA(NO_REPEAT_F(FG_YIELD(NOW,-10AY,D))),0,1)-SUBARRAY(NOT_NA(NO_REPEAT_F(FG_YIELD(NOW,-10AY,D))),1,1))*100":25.0,"TRYGB10Y-FDS^PCTCHG(FG_YIELD(0,,,,\"YTM\"),FG_YIELD(-1AM,,,,\"YTM\"))":-1.4822121,"TRYNL10Y-FDS^FG_YIELD(0,,,,\"YTM\")":2.545,"VWO^FMA_DIV_YLD(NTMA,NOW,NOW,M,\"PORTAGG\",\"MEANR\")":2.9435751847481,"TRYSA10Y-FDS^FG_YIELD(-10AY,0,Y,,\"YTM\")":[null,null,3.8912454,3.7299898,4.5715504,2.8775356,2.0844028,2.5113702,4.613973,4.608568],"USDEUR^FG_PRICE_CHANGE(0,-3AM)":-2.3169637,"EWI^FMA_EPS(NTMA,-20AY,0,CY,,\"PORTAGG\",\"MEANR\")":[3.169168339117,3.12405993279458,5.04981282066684,5.56224784875388,4.17624790880873,3.08892808052067,3.32359348097665,2.98712765861625,2.83099275676073,2.51709042577162,2.20451072320163,1.95489186317479,1.78844259381098,2.35129536081733,2.64924756496654,2.59251661571796,1.99711745729498,2.96400297596909,3.54736708862932,3.81180271683843],"COPP-FDS^FG_PRICE_CHANGE(0,-6AM)":8.16273308123614,"SPY^FG_PRICE_MAVG(0,,,,30)":545.9843,"ENZL^FG_PRICE_MAVG(0,,,,200)":46.03779,"EWJ^FG_TOTAL_RETURNC(0,-3AM)":6.8247437,"VGK^P_PRICE(0)/P_PRICE_HIGH_PR(0,,,,,,\"PRICE\",\"INTRA\",\"52W\")":0.99521863,"QQQ^P_PRICE(0)/P_PRICE_HIGH_PR(0,,,,,,\"PRICE\",\"INTRA\",\"52W\")":0.9347395,"URTH^SIZE(FG_CONSTITUENTS)":1430,"TRYIT10Y-FDS^PCTCHG(FG_YIELD(0,,,,\"YTM\"),FG_YIELD(-1AM,,,,\"YTM\"))":-1.7245996,"TRYNZ10Y-FDS^PCTCHG(FG_YIELD(0,,,,\"YTM\"),FG_YIELD(-1AM,,,,\"YTM\"))":-1.7538215,"TRYCA10Y-FDS^FG_YIELD(0,,,,\"YTM\")":3.1279,"VWO^JULIAN(FMA_DIV_YLD(NTMA,NOW,NOW,M,\"PORTAGG\",\"MEANR\").DATES)":45504,"EWJ^FMA_PE(LTM,0,,,\"PORTAGG\",\"MEANR\")":17.5773483343069,"ENZL^FG_FCF_YIELD_NTM(0)":1.57916941329352,"TRYTW10Y-FDS^FG_YIELD(-10AY,0,Y,,\"YTM\")":[1.6015,1.015,1.2037,0.9478,0.8648,0.672,0.315,0.7413,1.2812,1.211],"CAGDPY@CA^EE_ACTUAL_ANNUAL(MED,+1)":-0.65,"USDSEK^FG_PRICE(0)":10.2473,"USDUSD^FG_PRICE(0)":1.0,"EWQ^FG_TOTAL_RETURNC(-10AY,0,AM)":[-1.7112255,-4.0623846,-5.444235,5.1979184,-3.3681035,0.95237494,4.1666627,-0.3018856,2.4981022,-0.5539119,-1.6311765,1.8810034,-5.5764914,-5.6264935,8.964062,-2.4447083,-1.2336314,-5.8609486,-2.533275,6.2995553,2.569425,0.0,-7.037121,6.776643,-0.08351207,-0.5432546,1.0924339,-2.3275137,4.5873165,2.6541471,-0.91487765,6.3026905,5.8157086,4.8179865,-0.28002858,2.4661303,0.44068098,4.286194,0.9708762,0.5128145,-0.14382005,7.110822,-5.4126797,-0.7271588,4.394901,-4.636967,-0.32767653,3.2765388,1.0469556,-1.4442742,-10.927046,1.0372043,-6.403393,5.4711223,5.7276607,0.4088521,4.3773413,-5.624187,8.19838,-0.45676827,-3.7037075,1.8720269,4.1429996,1.5720248,3.4098983,-2.203846,-9.452271,-18.285519,5.5414557,3.9278507,6.3595176,6.058395,1.8238187,-5.1368713,-5.0231576,24.343597,2.1623373,-3.887242,4.569316,2.7753234,8.072388,3.6151052,-0.984174,0.6811738,0.23418665,-2.4922073,4.6592116,-3.6886334,5.725026,-3.8510919,-5.6608796,3.0568838,-9.502882,4.8558354,-9.952587,5.7908654,-5.9743524,-10.878241,12.691296,9.53958,1.6656518,9.99999,-0.89551806,1.6976953,6.542814,-4.068738,2.235639,3.2402515,-2.5771856,-6.783658,-5.1418962,11.4632845,4.7971845,-0.17865896,2.8125763,2.984333,-1.9560516,1.2068987,-5.91954,1.164639,4.212451],"EWU^FMA_PE(NTMA,-10AY,0,AM,\"PORTAGG\",\"MEANR\")":[13.5557307291156,13.1355101964125,13.0351701391203,13.5634694393154,13.903198413452,15.0745886123042,15.7673388929755,15.5444133060368,16.1150749560633,15.9826389200667,15.2172990369064,15.2775100923026,14.3473149702538,13.8822810181968,15.342959762407,15.4114620864583,15.3998647431995,15.5045578309475,15.612412794759,15.9542588032802,16.2175590994556,16.0303554522739,15.7076688160778,16.1830905739224,16.0510023350374,15.7618153054096,14.9845031846469,14.2207135127035,14.3394525458697,14.3254374262404,14.3874260448601,14.4601227978655,14.3108472927418,14.7786969487001,14.4784752972587,14.7127350565832,14.4363703648257,14.5413076611886,14.490782578503,14.2532812229524,14.7771218833858,14.5875802890754,13.116669102772,13.2236066575751,13.8111767484273,13.5404844802632,13.2933875981989,13.2538713603503,12.8615345804753,12.7726243200956,11.708490269748,11.8078128714442,11.4061714361872,11.9127003307761,12.3996300525624,12.5347448196817,12.6584151769049,12.179310959912,12.587925071526,12.7804648970031,11.9957798242495,12.4875835194207,12.6216209385445,12.9936396162924,13.5909814871824,13.2652793091719,11.8680728997362,11.352387230417,15.2540103016577,15.7806538905947,15.8883761571476,15.6708636957142,15.335029835533,14.4044216958857,12.9634391083281,14.6357174891849,14.6784570428739,13.6520698806609,13.7601498222767,13.622989443072,13.2942447563564,13.1852922087574,12.7540894395681,12.3975179964642,12.1586100627239,11.8984041035805,12.1943708544878,11.7157265012309,12.2677481522469,12.1739906327401,11.9513201635207,11.3117129367954,10.8203395738645,10.5375737626959,9.91119699244553,9.90257533294086,9.48439430331365,8.46711139299561,8.9990275976749,9.75570387542128,9.91479137833936,10.558378410613,10.5157001781152,10.2363275731441,10.83191178982,10.236786674451,10.2183858084732,10.7778646738848,10.3466496556132,10.4275401746652,9.92034323182933,10.4391876481502,11.0068145436794,11.0558731478554,11.1500020846872,11.541281187907,11.6452719241776,11.5525010417078,11.3385124619034,11.6127259637368,11.7138707440388],"DDR3512M-FDS^FG_PRICE_CHANGE(0,-1AM)":-2.34646093150723,"PLATI-FDS^FG_PRICE_CHANGE(0,-3AM)":-9.30902111324377,"EWN^FG_TOTAL_RETURNC(0,-3AM)":0.2544403,"EWU^SIZE(FG_CONSTITUENTS)":81,"QQQ^FG_ROE(0)":22.4474121424173,"EWN^FMA_DIV_YLD(NTMA,NOW,NOW,M,\"PORTAGG\",\"MEANR\")":2.60879720848069,"QQQ^FMA_PE(LTM,0,,,\"PORTAGG\",\"MEANR\")":34.6614227471005,"TLT^FG_TOTAL_RETURNC(0,-1AM)":4.665947,"TRYID10Y-FDS^FG_YIELD(-10AY,0,Y,,\"YTM\")":[7.922017,8.942368,7.89735,6.462641,8.148183,7.263584,5.902206,6.458283,6.936579,6.498571],"TRYKR10Y-FDS^FG_YIELD(-10AY,0,Y,,\"YTM\")":[2.6272,2.0852,2.0916,2.4797,1.9804,1.6728,1.7238,2.2417,3.6906,3.1928],"USDEUR^FG_PRICE_CHANGE(0,-1AM)":-2.2988975,"EWD^FMA_EPS(NTMA,-20AY,0,CY,,\"PORTAGG\",\"MEANR\")":[1.55275820794805,1.54581744522321,2.18886161040082,2.54439610565031,1.55027933568846,1.36361799599867,2.27207932583515,2.18253517023992,2.32063293486455,2.31545066006368,2.02872425818202,1.94857888922314,1.75138174890933,2.10390186893761,2.115438961001,2.04500092616456,2.21310873799954,2.48981565234839,2.56381617192707,2.51009258677616],"COPP-FDS^FG_PRICE_CHANGE(0,-3AM)":-13.6926438455936,"ENZL^FG_PRICE_MAVG(0,,,,60)":46.493664,"EWJ^FG_TOTAL_RETURNC(0,-1AM)":3.9070487,"VGK^PERCENT_CHANGE(FMA_EPS(+1,0,,,,\"PORTAGG\",\"MEAN\"),FMA_EPS(+1,-3AM,,,,\"PORTAGG\",\"MEAN\"))":0.92609698416987,"EWA^FG_TOTAL_RETURNC(0,-6AM)":11.026788,"URTH^FMA_COS_DOWN(\"EPS\",\"1M\",+1,0,,,\"PORTAGG\",\"MEANR\")":539.0,"TRYSE10Y-FDS^PCTCHG(FG_YIELD(0,,,,\"YTM\"),FG_YIELD(-3AM,,,,\"YTM\"))":-15.075789,"TRYAU10Y-FDS^FG_YIELD_NAME":"Australia Benchmark Bond - 10 Year","VGK^FMA_EVAL_EBIT(LTMA,NOW,NOW,M,\"PORTAGG\",\"MEANR\")":13.3463272698328,"EWG^FMA_EVAL_EBITDA(NTMA,0,,,\"PORTAGG\",\"MEANR\")":8.51954596819227,"ENZL^FMA_DIV_YLD(NTMA,NOW,NOW,M,\"PORTAGG\",\"MEANR\")":2.47828639752246,"CAGDPY@NZ^EE_ACTUAL_ANNUAL(MED,+1)":-6.15,"USDSEK^FG_COMPANY_NAME":"Swedish Krona per U.S. Dollar","USDUSD^FG_COMPANY_NAME":"U.S. Dollar per U.S. Dollar","SPY^FG_TOTAL_RETURNC(-10AY,0,AM)":[1.9091249,-1.1188388,0.288558,4.5883536,1.2871623,-3.2243192,4.29219,-1.9034684,2.3476243,0.27068853,-2.2337198,2.604425,-5.451441,-5.1010313,11.00893,0.34956932,-0.4312575,-6.595564,-0.08300543,6.5169454,0.58989525,1.894629,-1.189506,5.0614476,0.5714774,-1.1870742,-0.99683404,3.9380908,2.1569252,2.0592809,3.2755375,0.040864944,1.0783792,1.5246987,0.3379345,2.3037076,-0.83431005,3.114009,2.5793076,1.940167,2.0947576,6.6776633,-4.57707,-2.7415514,1.2958407,0.92287064,1.2933135,3.737843,3.574729,0.1910448,-9.239138,3.83538,-9.034431,6.320894,5.7970405,1.8079042,4.032135,-5.308473,5.806148,2.8873682,-2.9456675,1.4321804,2.6438713,3.6608338,3.2230735,1.1645913,-9.295201,-13.934792,15.70121,3.789103,0.48886538,6.785786,7.8309536,-4.810256,-0.71907043,10.209715,2.5791883,-0.374192,2.7805448,4.3954372,6.1347246,-0.0047564507,2.1612763,3.0278206,2.1785975,-3.1969726,5.7083607,1.1649489,3.1379938,-7.441151,-1.2037575,6.0321927,-10.735565,0.7912636,-8.014441,8.3215,-2.2718966,-9.52186,7.2300673,1.5963197,-2.5321543,5.800128,-2.322024,1.6756892,3.6327362,0.9833336,4.695809,4.2934537,-1.6983271,-4.4869423,-3.9300144,10.696888,4.9779654,3.3578038,3.4217477,3.2723904,-2.4872422,3.1447291,3.778386,0.09922981,2.494669],"EWL^FMA_PE(NTMA,-10AY,0,AM,\"PORTAGG\",\"MEANR\")":[16.1158865051966,15.9079759634702,15.7061721151113,16.3738988714137,15.8354705739412,16.3567959534295,17.6281338147808,17.627552240632,17.8262808224987,17.6337153950386,16.9606270935542,17.7868243487537,16.4956290184996,15.6176173440146,16.9542634487277,16.9893104258978,17.100512927453,16.2358473101891,16.2822068640712,16.3261880759362,16.7255752354645,17.2976131951892,16.602106812582,17.1947093969876,17.254981166165,17.1666806011293,16.6051569296645,16.280127472902,16.7960184834277,17.2085932255089,17.5438016459009,17.4179607696992,17.8214731202023,18.0706202636987,17.7872142217951,17.7365683346339,17.3340073823077,17.7546068746608,17.8056902577492,17.6901826652349,17.6917910480203,17.768946527039,16.5582122766861,16.0706668651794,16.1471310380195,15.7571036038549,15.5840372409696,16.358453265246,16.1561749914272,16.0676655498757,15.2670910387073,15.6771336259389,14.5150176052196,15.4945136299608,16.3380739480788,16.579177769501,16.9142242174332,16.4693844988537,17.1768867870763,17.1411411998364,16.8990330378957,17.1095214315649,17.3143982178051,17.5284411459798,17.9720331604032,18.1544404817865,16.481213972625,15.3945458553283,18.5691493087563,19.0085351770023,19.2584216021768,19.7520268608468,19.4802405765169,18.9894049898151,17.5020770271253,18.8436571141205,18.847751434853,18.4239060344743,18.2374865926649,18.7724596144391,18.3596237252368,19.3911816465349,19.9269516489171,19.6950373626581,19.9537018354844,18.2893250346712,18.975985090026,18.7082585425851,19.8815990246241,18.0274270613335,18.0709321099099,18.5456386601219,17.9257583177869,17.1169805057366,15.8442994929332,16.8854921880258,16.1739590993689,14.756109342418,15.7281862207067,16.6155055319314,16.4376244726169,17.3376477123223,17.041634285392,16.9133780613305,17.540422422225,17.2005575242223,16.315950627388,16.9997936395707,16.6025339141459,16.1711476608732,15.2779235753588,16.252255309098,16.8506095866157,17.2973296542004,17.4399993079901,17.6928879629312,16.7881903151474,16.9415675303201,17.0724548561639,17.3236963198039,17.6222898973855],"DDR3512M-FDS^FG_PRICE_MAVG(0,,,,30)":0.8980385,"PLATI-FDS^FG_PRICE_CHANGE(0,-1AM)":0.0,"QQQ^FG_PRICE_MAVG(0,,,,30)":465.033,"EWN^PERCENT_CHANGE(FMA_EPS(+1,0,,,,\"PORTAGG\",\"MEAN\"),FMA_EPS(+1,-3AM,,,,\"PORTAGG\",\"MEAN\"))":1.08083344264034,"EWU^FMA_COS_DOWN(\"EPS\",\"1M\",+1,0,,,\"PORTAGG\",\"MEANR\")":44.0,"EWU^FG_ROE(0)":13.8950914816627,"REFFFUND-FDS^PROPER_NAME(0,,,\"SECURITY\",\"NAME\")":"US Federal Funds Target Rate","QQQ^JULIAN(FMA_DIV_YLD(NTMA,NOW,NOW,M,\"PORTAGG\",\"MEANR\").DATES)":45532,"VWO^FG_TOTAL_RETURNC(0,-6AM)":9.25001,"TRYAE10Y-FDS^FG_YIELD(-10AY,0,Y,,\"YTM\")":[null,null,null,3.371059,3.6940188,2.542721,1.7060698,2.0444937,4.2739367,null],"TRYPL10Y-FDS^FG_YIELD(-10AY,0,Y,,\"YTM\")":[2.5048,2.9303,3.6245,3.292,2.8144,2.1086,1.235,3.6216,6.8411,5.1912],"USDEUR^FG_PRICE(0)":0.9033016,"EWN^FMA_EPS(NTMA,-20AY,0,CY,,\"PORTAGG\",\"MEANR\")":[1.49109929215903,1.5900517234348,2.15625739003115,2.62697068480407,1.79921066251297,1.65442974417331,2.1135843669069,1.84050659390711,1.84155905202006,1.85694784607263,1.61003576125895,1.5506283745409,1.60511092021475,1.99467947715871,2.00955458235889,1.99085799541384,2.00892946055423,2.43601807945448,2.4294142632387,2.95560750497075],"COPP-FDS^FG_PRICE_CHANGE(0,-1AM)":2.10487444608567,"EWU^FG_PRICE_MAVG(0,,,,200)":34.1807,"ENZL^FG_PRICE_MAVG(0,,,,30)":47.0789,"VGK^FMA_PCT_ABOVE_MAVG(200,0,,,,\"PORTAGG\")":63.370253164557,"QQQ^PERCENT_CHANGE(FMA_EPS(+1,0,,,,\"PORTAGG\",\"MEAN\"),FMA_EPS(+1,-3AM,,,,\"PORTAGG\",\"MEAN\"))":-2.87094111333209,"EWA^FG_TOTAL_RETURNC(0,-3AM)":9.742176,"URTH^FMA_COS_UP(\"EPS\",\"1M\",+1,0,,,\"PORTAGG\",\"MEANR\")":658.0,"TRYSE10Y-FDS^PCTCHG(FG_YIELD(0,,,,\"YTM\"),FG_YIELD(-1AM,,,,\"YTM\"))":1.2206961,"TRYNZ10Y-FDS^FG_YIELD(0,,,,\"YTM\")":4.2854,"VGK^FMA_DIV_YLD(NTMA,NOW,NOW,M,\"PORTAGG\",\"MEANR\")":3.47569561820273,"EWN^FMA_PE(LTM,0,,,\"PORTAGG\",\"MEANR\")":22.1114381895373,"ENZL^JULIAN(FMA_DIV_YLD(NTMA,NOW,NOW,M,\"PORTAGG\",\"MEANR\").DATES)":45530,"CAGDPY@NZ^EE_ACTUAL_ANNUAL(MED,0)":-6.9,"USDANG^STD(FG_PRICE_CHANGE(0,-3AY,M))":0.0594600681310969,"USDGBP^STD(FG_PRICE_CHANGE(0,-3AY,M))":2.35418337899108,"TRYAU10Y-FDS^FG_YIELD(-10AY,0,Y,,\"YTM\")":[2.81,2.88,2.76,2.63,2.315,1.375,0.972,1.671,4.051,3.955],"USDAUD^FG_PRICE_CHANGE(0,-3AM)":-2.5250316,"QQQ^P_PRICE_RETURNS_PR('52W',2,-10AY,0,AM)":[33.3786,26.601732,21.937263,26.229132,21.831835,21.805405,21.192778,22.804749,26.851833,21.874952,15.023446,16.714931,7.386589,1.9219756,15.290523,9.502053,9.94898,3.2431483,-4.4762077,4.2612314,-2.2656262,0.3340006,0.7682085,4.4645905,11.967003,19.80914,3.864038,5.228412,5.9031606,26.471817,27.112543,22.76976,29.270626,30.223274,30.760824,26.392782,23.522686,24.666859,29.62954,30.655527,31.301426,36.448143,29.77649,22.133816,20.441269,20.690287,25.764442,24.380123,31.67199,29.643906,8.757782,10.128117,-1.5645564,-4.2025924,4.4618845,13.173866,18.874895,5.085933,10.041022,10.53282,1.5152454,1.5518546,21.181726,23.072565,40.717113,38.413692,19.806744,5.0492406,15.626848,33.70054,31.088411,34.54976,59.319473,48.646797,42.04111,46.20781,47.555256,42.826843,46.148014,71.54971,56.321156,46.099426,47.011723,41.87876,29.933918,30.894112,40.44498,34.386314,28.925873,10.013843,10.929001,18.065298,-7.483202,-6.6959143,-19.610453,-13.443971,-18.599289,-23.859913,-26.353628,-29.367739,-33.15966,-12.507635,-14.729929,-15.107309,-0.90897083,17.284012,29.108597,24.663757,23.993444,32.6771,27.409018,39.880943,54.759644,45.51406,50.5739,45.53448,35.0541,31.882381,32.334282,21.804678,26.451742],"NI-FDS^FG_PRICE(0)/MAX(FG_PRICE(0,-1AY))":0.786603995299647,"EWJ^FG_PRICE_MAVG(0,,,,30)":68.567,"VWO^P_PRICE(0)/P_PRICE_LOW_PR(0,,,,,,\"PRICE\",\"INTRA\",\"52W\")-1":0.19076216,"EWD^FG_TOTAL_RETURNC(0,-6AM)":8.113014,"EWG^FMA_PCT_ABOVE_MAVG(200,0,,,,\"PORTAGG\")":55.1724137931034,"ENZL^FMA_PCT_ABOVE_MAVG(200,0,,,,\"PORTAGG\")":50.0,"EWN^FMA_COS_UP(\"EPS\",\"1M\",+1,0,,,\"PORTAGG\",\"MEANR\")":27.0,"TRYJP10Y-FDS^FG_YIELD_NAME":"Japan Benchmark Bond - 10 Year","TRYJP10Y-FDS^PCTCHG(FG_YIELD(0,,,,\"YTM\"),FG_YIELD(-3AM,,,,\"YTM\"))":-16.456167,"EWD^FMA_EVAL_EBITDA(NTMA,0,,,\"PORTAGG\",\"MEANR\")":10.8253308477289,"EWL^JULIAN(FMA_DIV_YLD(NTMA,NOW,NOW,M,\"PORTAGG\",\"MEANR\").DATES)":45530,"EWL^FMA_ROE(NTMA,-20AY,NOW,FY,\"PORTAGG\",\"MEANR\")":[15.9587717941353,16.6709442456462,17.3190561042513,18.194046530629,15.5136874283454,17.2258858021045,16.663378494352,15.1353221205521,15.5882414428409,15.2483951449653,14.5028009204846,13.2798091113486,13.3994953105419,13.9322208239423,14.6457996836392,14.5388198691271,14.667779515581,16.3837417700754,16.6906517335277,19.3024636413407],"USDITL^FG_PRICE_CHANGE(0,-6AM)":-2.249223,"EWU^FMA_DIV_YLD(NTMA,-10AY,0,AM,\"PORTAGG\",\"MEANR\")":[3.8939000024378,4.02568901527128,4.13741205516024,4.03438047362769,4.10215042588262,4.03355271104342,3.88455792026231,4.00296449388807,3.88844358353282,3.91962851530386,4.13804681346131,4.13411151054038,4.40330814254911,4.61757512108467,4.24105576916204,4.18969086940279,4.26197298066329,4.43757670350483,4.49378642132755,4.40524170943115,4.27161646826222,4.26389121689296,4.29507137871567,4.11933406835795,4.09745546043174,4.14721691885416,4.31888205947074,4.42913487817907,4.30538169759831,4.27728853989947,4.29897374225063,4.31102412417398,4.37740344097825,4.22907210147073,4.33000584214458,4.29049183943381,4.37501655109856,4.29549488536781,4.30692663097111,4.35769112111682,4.19117596008474,4.17752092678488,4.62090205560636,4.56453427272181,4.34550826976631,4.36684540434837,4.40328539217437,4.38740150172169,4.49932025422653,4.51545714486658,4.90392857919125,4.93792891369125,5.33864081854259,5.17333949403614,4.97377466886614,4.91543375327701,4.84786985591018,4.92935276557738,4.78177441982617,4.74175797522619,5.08460971741738,4.87191754992539,4.82458297415275,4.74565832707938,4.53389721927597,4.65223406176755,5.33492581494782,6.40110213801438,5.05345440807693,4.20096482747017,4.14316398180816,4.05455268310272,4.06182581141152,4.21766611612453,4.59790484340782,3.98530709476724,3.88264698943808,4.11277787314334,4.06811652089806,4.03512255733986,3.96250545983086,3.90571382900188,4.00005494218507,4.11933174579902,4.20259683344389,4.18124228273255,4.04066790658352,4.14550551605971,3.89372747981517,3.88945559822605,3.91011786108805,3.94349267566723,4.05183836400288,4.03526083382787,4.24100197822465,4.15004078522264,4.32718426535901,4.81127828050566,4.53486689703184,4.27490911531077,4.2434778808573,4.10027111614822,4.11922810932503,4.28774249024938,4.09994918619519,4.38801138192922,4.43682759433648,4.25633616782761,4.50051778659175,4.4562728448942,4.66761360449011,4.44928670276552,4.2666636081457,4.30647302633028,4.21005319024997,4.02843620281349,3.92103041548847,3.91013816407669,3.97959794272042,3.86970337449233,3.82934804192383],"EWG^FMA_PE(LTMA,-10AY,0,AM,\"PORTAGG\",\"MEANR\")":[14.1541128765517,13.9799193039688,13.5688544660239,14.5040611433695,14.4725752664206,15.5170900420646,16.4876845059821,16.5071546374315,16.2071471148336,15.9189706267038,15.5071914783133,15.3559619315227,14.4727773031348,13.454206220469,14.5079666048689,14.9352418338507,14.1578032571999,12.9203121797463,12.6455940636623,12.750551098617,12.8774956899626,12.9581233750893,12.6032339725898,13.1261045937001,13.3600459210731,13.5006440738195,13.8066915068456,13.6906856338566,14.7543214533916,15.1569157937766,14.9651402877224,14.9553294848312,14.9052500055754,14.7811984215352,14.5323861553863,14.3072250456737,14.00534830264,14.620290824259,15.1591843759979,15.2958574678366,15.2737781513871,15.5180203963069,14.2561362408636,14.0968131677569,14.1565295055017,14.0150096773454,13.8875658519637,14.223454063265,14.1538490130327,13.90480165962,12.9240150540877,12.9507195561361,12.0319922841516,12.9114390280699,13.2194048887983,13.1627985387774,13.4024037169548,13.1361696809323,13.4330279335727,13.6835608467173,13.5188905032313,14.0483642067835,14.7654979567248,15.237152155503,15.5547283472162,15.4653816691164,14.0375587989804,13.7381109609629,15.1193969274634,16.1874562198896,17.5447071627898,19.0002303665622,19.977484048461,20.3686765918774,18.454888146162,21.7792673195934,22.1024897534218,20.7439723697634,20.2950863016861,20.0291321024798,19.4302320586967,18.8793861133493,18.4249803462471,17.6385109122793,16.9936260460474,16.0047752899768,15.6146080613151,14.278988295446,14.164792146425,13.4795741608987,12.5328882361799,12.5400447183139,12.2663865298395,12.1318582997624,11.4863075331315,11.4952851030175,10.7206151879967,10.0410500884358,10.509548552705,11.0465769499606,10.5628546659387,11.4600910640014,11.3463293345368,11.3264560851669,11.4300404391818,11.2915354973394,11.2300243832564,11.4462046246636,11.2443157990962,11.0545024951529,10.6118195575951,11.5683607161323,11.9669463071893,12.0943752029651,12.512116920973,12.6077604778037,12.5271827672627,12.4960292981614,12.4597386725938,12.5408961291615,12.6931288501435],"W-FDS^FG_PRICE_CHANGE(0,-1AM)":-1.12994350282485,"EWG^FG_PRICE_MAVG(0,,,,30)":31.090666,"EWL^P_PRICE(0)/P_PRICE_HIGH_PR(0,,,,,,\"PRICE\",\"INTRA\",\"52W\")":0.9952857,"EWA^SIZE(FG_CONSTITUENTS)":59,"EWJ^FMA_RBICS_REV_CURRENT(30, LOC, \"PORTAGG\")":19.3945730460787,"REFSEREPO-FDS^PROPER_NAME(0,,,\"SECURITY\",\"NAME\")":"Sweden Repo Rate","REFCATARG-FDS^(SUBARRAY(NOT_NA(NO_REPEAT_F(FG_YIELD(NOW,-10AY,D))),0,1)-SUBARRAY(NOT_NA(NO_REPEAT_F(FG_YIELD(NOW,-10AY,D))),1,1))*100":-25.0,"SPY^FMA_DIV_YLD(NTMA,NOW,NOW,M,\"PORTAGG\",\"MEANR\")":1.37486322442019,"EWA^FMA_EVAL_EBIT(LTMA,NOW,NOW,M,\"PORTAGG\",\"MEANR\")":12.8579719360296,"UUP^FG_TOTAL_RETURNC(0,-3AM)":-2.0500362,"TRYPE10Y-FDS^FG_YIELD(-10AY,0,Y,,\"YTM\")":[5.681629,7.426917,6.415413,5.167133,5.645114,4.243226,3.535983,5.889906,7.923381,6.6087],"USDAUD^FG_PRICE_CHANGE(0,-1AM)":-3.791231,"EWU^P_PRICE_RETURNS_PR('52W',2,-10AY,0,AM)":[15.797376999999999,5.241835,-3.0560553,-0.92360973,-5.8556676,-2.1706223,-3.8355708,-3.9558291,-2.818948,-4.958558,-8.617663,-8.204115,-13.050633,-14.915979,-2.930981,-7.8596115,-6.6152215,-13.161498,-19.090431,-11.207342,-12.776184,-12.646228,-14.737331,-11.29415,-3.4086227,2.6869774,-10.967625,-8.596158,-3.4887016,10.536957,11.167658,7.7955484,5.2861214,8.743418,15.326524,13.264298,9.708333,14.755737,19.670057,20.837582,22.385906,23.63764,13.1853695,11.250126,13.993299499999999,7.558799,8.916473,6.7061186,6.676042,2.6582599,-6.0941877,-5.662632,-13.686103,-13.777775,-1.7200589,-0.6216824,-3.3001125,-6.491494,-1.8142223,-3.1471014,-7.8382134,-4.5010924,9.07197,8.943892,22.283459,12.031185,-6.1158657,-26.490122,-19.219662,-15.611762,-17.672295,-13.708109,-7.1878614,-15.957081,-22.426819,-9.933597,-10.314571,-9.521162,1.8073559,38.473656,29.770386,33.289337,30.964172,26.68184,27.846468,29.67596,41.97334,14.903105,17.198193,17.593801,15.223575,12.187254,2.7083993,2.42275,-3.6870718,-2.1952212,-6.2973022,-14.923609,-12.733757,0.2699852,-4.3402615,-0.34154058,-0.37469864,-2.5404513,8.040512,1.4520168,9.328461,12.898731,11.924911,25.046766,11.475205,8.110261,11.871648,4.6735406,5.8078885,13.225675,7.5167775,14.576912,13.799787,12.485802,21.852016],"NI-FDS^FG_PRICE_CHANGE(0,-1AY)":-17.7843281748956,"EWN^FG_PRICE_MAVG(0,,,,30)":48.986332,"VWO^P_PRICE(0)/P_PRICE_HIGH_PR(0,,,,,,\"PRICE\",\"INTRA\",\"52W\")":0.9753964,"EWD^FG_TOTAL_RETURNC(0,-3AM)":4.620385,"SPY^FG_TOTAL_RETURNC(0,-3AM)":6.472862,"EWC^FG_TOTAL_RETURNC(0,-6AM)":10.445774,"EWQ^SIZE(FG_CONSTITUENTS)":62,"TRYJP10Y-FDS^PCTCHG(FG_YIELD(0,,,,\"YTM\"),FG_YIELD(-1AM,,,,\"YTM\"))":-13.35144,"TRYCH10Y-FDS^FG_YIELD(0,,,,\"YTM\")":0.432,"CC_AU^IMF_IFS_RCPI_Q(0)":3.81451,"EWD^FG_FCF_YIELD_NTM(0)":5.11494579425284,"SPY^FMA_PE(LTM,0,,,\"PORTAGG\",\"MEANR\")":26.0961284707948,"EWJ^FMA_EVAL_EBIT(LTMA,NOW,NOW,M,\"PORTAGG\",\"MEANR\")":17.1811600131021,"EWJ^FMA_ROE(NTMA,-20AY,NOW,FY,\"PORTAGG\",\"MEANR\")":[9.47226395470966,9.71080928595139,9.94594902069009,9.91062584648368,6.32645011325218,5.71374560341251,7.77608846456594,7.29309511734397,7.60463906390222,8.908847583029,9.08038865449702,8.77889818317635,8.62096827520989,9.23986519100434,9.49570678525962,8.35596279152373,7.43859929800854,9.22076567390078,9.22544557136732,9.29976871138421],"USDJPY^STD(FG_PRICE_CHANGE(0,-3AY,M))":3.28220732526,"EWL^FMA_DIV_YLD(NTMA,-10AY,0,AM,\"PORTAGG\",\"MEANR\")":[3.32530100104957,3.33758239566843,3.37361384468172,3.20128607857254,3.2767375946586,3.36762278133565,3.15848356988339,3.14103229440832,3.09117482424065,3.11968017597202,3.25468180915561,3.12201934162986,3.32819030559926,3.53516565380828,3.26455704320683,3.24736124598495,3.23684845889407,3.4571379634011,3.54828042321088,3.5538669130486,3.50550200625508,3.42966137637841,3.57876537196987,3.48615151384692,3.47182675758284,3.48476947847103,3.61367273131737,3.67065751543921,3.5515299160489,3.46166022077229,3.3772564752183,3.4159388189971,3.35116143554805,3.28817822977732,3.27724962432943,3.29146711236547,3.35102835015999,3.26883982541692,3.26644535953982,3.23851253772421,3.21930724944088,3.16619765886904,3.40401769292851,3.49854681834639,3.47180095515981,3.5440530456081,3.5660646339402,3.36141438105834,3.39083745103237,3.40547656696375,3.59423160036587,3.51687501845188,3.70017693287683,3.48455263504756,3.33618169851596,3.32452480499752,3.25364139928345,3.34394352440257,3.20945601946695,3.2115890050262,3.24884662076499,3.20600759257504,3.15571583102478,3.09756733932483,3.01744949160882,2.97803094012175,3.30262117982551,3.60339583344938,3.216132913106,3.16019848697846,3.08997732847329,2.94878577645623,2.94859169797465,2.96764160738653,3.1626143277898,2.88257072408931,2.82250726212148,2.88706632338615,2.91272826287135,2.80313555779613,2.75890126445856,2.70348796377062,2.61317597348044,2.60051277505695,2.55371204875654,2.77007761849418,2.64988636229782,2.66566292992914,2.518180608054,2.74894172037043,2.79973645000499,2.7489529858745,2.84152955009802,2.94755010738307,3.17367943316107,3.05767462958791,3.18602444998537,3.47279460316976,3.29245694869363,3.1446089189557,3.19849997513639,3.05170334571279,3.13212059946089,3.20532383921204,3.06914292279134,3.11780046690485,3.20059169146379,3.12831467558551,3.22882462848249,3.35482479377067,3.5669739322742,3.3860360323139,3.27188692633068,3.25881738932339,3.30363572883904,3.2623862770419,3.38103826524166,3.2698686700364,3.23833990452955,3.17394192037579,3.10415949679511],"EWC^FMA_PE(LTMA,-10AY,0,AM,\"PORTAGG\",\"MEANR\")":[16.4896600252732,15.924991418636,15.6194617362458,15.7189486163917,15.6551400912254,15.7348971903101,17.0329169622469,17.0235714352198,17.3451494840462,17.1912616787092,16.9963899848439,16.8745200996888,16.6395060560288,16.0687087312842,16.9065966592196,16.6279639159919,16.468944508956,15.5883753476423,15.7408114629064,15.994335335287,16.4169682941824,16.6508315628322,16.7752080357024,17.2074508805517,17.5418761829945,17.8917527785756,18.1845228225861,18.7201934728063,19.4573423664621,19.8875178302108,19.3935176217041,19.1638925815045,18.8062020102816,18.5828981091768,18.0729866663529,17.9837102668751,17.5983992151104,17.6540699516057,17.5730762582819,17.1944836866206,17.2069151729046,16.9594510542672,15.8440303406712,15.6942942467633,15.6307439403457,15.4324112241232,15.4956522413703,15.5014086612429,15.3370320252058,15.03811676012,13.9183815133443,14.0584253480958,13.1506051245164,14.4850562718873,14.7252061834248,14.7083814108673,14.6523541362338,14.4162919571714,14.4933225115679,14.5144473317687,14.4218130030175,14.6756535592106,14.7030382006761,15.1019996324581,15.3465759618884,15.5810708098276,14.3479619341519,14.0306383280526,15.7410780810271,17.204524579097,17.2879474690113,17.9460114549109,18.3957894377478,18.354516773248,18.0598721058882,19.9683346390638,20.4843925873203,20.1128469764759,19.9904739717302,19.5972303493167,19.2868840082329,18.835578146848,18.4734226766652,17.8507865424943,17.2698509779197,16.4351220158601,16.6269099007365,15.8983986125119,15.5109070736185,15.0163361401331,15.2489708409917,15.0925888368124,14.6000199213932,14.3362577197463,13.5079109507469,13.359082815033,13.0411276007626,12.1836645984848,12.5532228767837,12.6796852476804,12.1232651471646,12.8868905579343,12.5722768144174,12.5942592166376,12.8217551200811,12.8251301945017,12.9557909809665,13.519238728193,13.4858594709275,13.3014635846757,12.9051369837269,13.7910864903529,14.6107523943959,14.7647654328629,14.8629546203225,14.9675013510465,14.9068101070035,14.8620087587734,14.8184995529433,15.1690529986033,15.3777406136285],"NI-FDS^FG_PRICE_CHANGE(0,-3AM)":-17.3784250802271,"W-FDS^FG_PRICE_MAVG(0,,,,30)":5.2980833,"EWC^FG_PRICE_MAVG(0,,,,200)":37.15445,"EWL^FG_TOTAL_RETURNC(0,-6AM)":15.094364,"EWA^FMA_COS_DOWN(\"EPS\",\"1M\",+1,0,,,\"PORTAGG\",\"MEANR\")":35.0,"EWG^FMA_RBICS_REV_CURRENT(30, LOC, \"PORTAGG\")":22.7047771550907,"TRYGR10Y-FDS^FG_YIELD(-10AY,0,Y,,\"YTM\")":[9.61,8.24,7.15,4.14,4.37,1.45,0.618,1.315,4.585,3.099],"USDNZD^STD(FG_PRICE_CHANGE(0,-1AY,AM))":3.41394493804209,"EWJ^P_PRICE_RETURNS_PR('52W',2,-10AY,0,AM)":[7.9221606,-0.09035468,-3.4013927,-2.3529649,-3.5297215,1.8870234,8.291769,15.009367,20.329021,14.33078,7.5937986,6.4124346,5.28692,-4.4540644,9.786677,8.205628,8.935106,-0.4092157,-10.731804,-7.432103,-12.41535,-10.306263,-7.63008,-4.416937,1.1149049,13.957346,2.3382068,1.628983,1.2301326,15.598226,18.088018,14.481711,14.766895,15.581142,17.339718,17.248703,12.767029,12.911022,18.027664,21.957243,24.223019,27.809275,20.779312,17.620241,18.175816,13.797617,9.883261,10.798883,9.304607,9.709907,-7.1382523,-6.27172,-13.783664,-15.130335,-9.594506,-8.410894,-7.057667,-9.793848,-4.470372,-6.33449,-6.582326,-4.830432,11.275757,9.304941,19.942701,12.034882,-0.5233705,-6.3652396,-2.22615,6.648636,3.6807299,5.5018783,11.038613,7.506907,2.1208644,12.5897045,14.343107,15.311586,25.749361,40.54203,29.279495,24.195969,24.296497,21.186602,19.22307,20.596838,18.081356,2.5335193,1.7379522,-6.414562,-5.8284817,-7.6977134,-15.060425,-12.774981,-20.60858,-15.324754,-19.06687,-29.000748,-24.896324,-15.904867,-17.24301,-4.77131,-10.052729,-7.324493,3.922677,5.146837,17.334938,15.571224,14.4333,23.529387,17.301727,14.279806,19.378971,14.886761,26.187157,26.746368,17.572653,14.363527,12.77746,10.42738,19.624472],"BRENT-FDS^FG_PRICE_CHANGE(0,-6AM)":0.0,"EWN^FG_PRICE(0)":50.49,"EWD^FG_TOTAL_RETURNC(0,-1AM)":6.2642097,"SPY^PERCENT_CHANGE(FMA_EPS(+1,0,,,,\"PORTAGG\",\"MEAN\"),FMA_EPS(+1,-3AM,,,,\"PORTAGG\",\"MEAN\"))":-0.927417656437951,"EWC^FG_TOTAL_RETURNC(0,-3AM)":8.847248,"SPY^SIZE(FG_CONSTITUENTS)":503,"EWQ^FMA_COS_DOWN(\"EPS\",\"1M\",+1,0,,,\"PORTAGG\",\"MEANR\")":24.0,"REFAUCASH-FDS^FG_YIELD(NOW,,,0)":4.35,"CC_NZ^IMF_IFS_RCPI_Q(0)":3.330626,"EWD^FMA_DIV_YLD(NTMA,NOW,NOW,M,\"PORTAGG\",\"MEANR\")":3.22654389589151,"SPY^JULIAN(FMA_DIV_YLD(NTMA,NOW,NOW,M,\"PORTAGG\",\"MEANR\").DATES)":45531,"EWJ^FMA_EVAL_EBITDA(NTMA,0,,,\"PORTAGG\",\"MEANR\")":9.94904262155558,"EWA^FG_FCF_YIELD_NTM(0)":4.71998860273989,"GLD^P_PRICE(0)/P_PRICE_HIGH_PR(0,,,USD,,,\"PRICE\",\"INTRA\",\"52W\")":0.9954703,"CC_US^FG_COMPANY_NAME":"United States","EWJ^FMA_PE(NTMA,-10AY,0,AM,\"PORTAGG\",\"MEANR\")":[13.5853551672164,14.2193721704423,13.3080668984153,14.4804093238916,14.4745442823379,14.0049465045586,15.1015622612669,15.3433500462714,15.990336581676,16.4442959111096,15.361516294561,15.2945835495182,14.3419856697855,12.5924212414596,14.2727260185402,14.7080836919782,14.0510774359549,13.0426919626841,12.2461647226099,13.1174483767359,12.8681650989449,13.3571394345416,12.6017917646962,13.3997319137909,13.3799013926922,13.5377618034342,13.8377644062971,14.4683283851473,14.6251240939044,14.7509543435014,14.1099273732975,14.0151906133296,13.8517339091738,14.2661438925281,14.4098260449383,14.1975512215718,13.5791667906042,14.0118512503269,14.6644285977656,14.6507880939663,14.7172858599221,15.117756388905,13.2622462956589,12.6801796785625,13.2500432444426,13.0240820445911,12.7818554015054,13.0674705273985,12.7548311939246,13.3330644352468,11.619247497941,12.1906148522882,11.1053605202922,11.8133778530483,12.4615144830221,12.4698544979362,12.7530035590355,12.3477351375638,12.7197216014517,12.8818593898066,12.3809222220557,13.313704832097,13.8299758431929,14.2181336370353,14.6332849383593,14.3412898408244,12.9860798644863,12.6663557739952,13.9097038286828,16.2361895383659,17.4949088605714,17.6379809008466,17.9704358105326,18.4266505967521,17.4819339289334,18.8137930816713,18.5371118463015,18.0640157121093,17.6430214787252,17.8870569250133,16.812028895872,16.6482848398338,16.2998163810571,15.7826056545252,15.1205359365878,15.5469467441896,15.1726133699497,14.5439174406811,14.5635169427363,13.5152167810674,13.3086143375216,13.61371694955,12.82540765537,12.6693308771002,12.4879390823289,12.7444683897205,12.7336355347833,12.0819000039688,12.3067895641422,12.9052186956924,12.2409885005702,12.9582729645987,13.0807610695621,13.0822354315225,13.4722164668339,14.0898732906333,14.9256185140784,14.6836226389465,14.3842731373195,14.3529147737848,13.8151888343672,14.2279661310645,14.0456219856881,14.9457682630481,15.5316832856982,15.7889832991007,15.1889395185509,15.4379657877082,15.6037481761411,15.0389425828532,14.3151012155572],"PASP-FDS^FG_PRICE_CHANGE(0,-1AY)":-22.1774193548387,"BRENT-FDS^FG_PRICE_MAVG(0,,,,30)":85.86,"SPY^FG_PRICE_MAVG(0,,,,200)":510.87225,"EWG^FG_TOTAL_RETURNC(0,-12AM)":18.450129,"EWL^SIZE(FG_CONSTITUENTS)":46,"EWN^FMA_RBICS_REV_CURRENT(30, LOC, \"PORTAGG\")":25.4058816390781,"REFJPTON-FDS^(SUBARRAY(NOT_NA(NO_REPEAT_F(FG_YIELD(NOW,-10AY,D))),0,1)-SUBARRAY(NOT_NA(NO_REPEAT_F(FG_YIELD(NOW,-10AY,D))),1,1))*100":15.0,"EWU^FMA_DIV_YLD(NTMA,NOW,NOW,M,\"PORTAGG\",\"MEANR\")":3.82664382350161,"EWI^P_PRICE(0)/P_PRICE_HIGH_PR(0,,,,,,\"PRICE\",\"INTRA\",\"52W\")":0.98120403,"ENZL^PERCENT_CHANGE(FMA_EPS(+1,0,,,,\"PORTAGG\",\"MEAN\"),FMA_EPS(+1,-1AM,,,,\"PORTAGG\",\"MEAN\"))":1.56748980177801,"EWD^FMA_PE(NTMA,0,,,\"PORTAGG\",\"MEANR\")":16.1460361031552,"EWC^JULIAN(FMA_DIV_YLD(NTMA,NOW,NOW,M,\"PORTAGG\",\"MEANR\").DATES)":45531,"EWJ^P_PRICE(0)/P_PRICE_HIGH_PR(0,,,USD,,,\"PRICE\",\"INTRA\",\"52W\")":0.99010456,"EWC^FMA_PE(NTMA,-10AY,0,AM,\"PORTAGG\",\"MEANR\")":[15.2353364171694,14.4669615135205,14.1773581291505,14.6833875282305,15.474738549924,16.2941310340358,17.5003578800495,16.9096580819672,17.4069962252229,16.5226054424966,15.8010056858038,15.4401448935463,14.9472886737369,14.1153782603108,15.0299767289757,14.5163637920177,14.5111065889039,14.5123687005723,14.9356765539306,15.9022638758418,16.6967421165616,16.6590359121926,16.3047485840416,16.4443458875862,16.3327585141235,16.1197752308045,15.8475075306213,15.8637114368276,15.8868071632117,16.167178844355,15.817264823507,16.0076919937756,15.6903318404951,15.7326574806776,15.2613184681593,15.5739303878692,15.4428776967322,15.7716774901123,15.8883441224396,15.7758989416684,15.9212397952306,15.358155919928,14.4316732396112,14.1789927411653,14.2224557326043,13.9893639087634,14.2442586935319,14.1865297614449,13.9350656214092,13.5635404959644,12.3115795795106,12.6739502969311,12.0305953023311,13.6247522563778,14.1221263560808,14.0924883190617,13.9505097931946,13.4355374963899,13.6844987120702,13.7110185372121,13.644417231601,13.9521812334812,13.8837761008145,14.3781711187593,14.5184963575003,14.6380568724598,13.7130085427237,12.3404216005918,16.9629006237754,18.5409427796611,17.5572522091094,17.6757284110797,17.4066338447151,16.2835722568021,15.2557072920609,16.3081555104496,15.8929621297086,15.4127708612444,15.1177284599745,15.3144529510295,15.5854182671706,15.5262544810534,15.591245526626,15.1683244842629,14.9317314841787,14.4040311088948,14.8634375719614,14.5261458624829,14.5017460401356,13.8529167267255,13.9405302851221,13.7520395675047,12.6062626781824,12.4983161589908,11.3258813381832,11.5881255265379,11.6536895196543,10.7697750610447,11.536900278832,12.1278136910741,11.9755981376474,13.0053447453915,12.6887683062268,12.5800830470159,13.0863738307846,12.843166475262,12.859310037055,13.493257329192,13.1267021800214,12.6003534314073,12.0004294186304,12.8314773046773,13.6715422245635,13.9235000967892,14.1787605323582,14.6378182886827,14.3040500501614,14.1008618554681,13.9395322862181,14.3440976233238,14.570886500393],"PASP-FDS^FG_PRICE_MAVG(0,,,,30)":937.0,"SPY^FG_PRICE_MAVG(0,,,,60)":546.9695,"EWG^P_PRICE(0)/P_PRICE_LOW_PR(0,,,,,,\"PRICE\",\"INTRA\",\"52W\")-1":0.31430888,"TRYNZ10Y-FDS^PCTCHG(FG_YIELD(0,,,,\"YTM\"),FG_YIELD(-3AM,,,,\"YTM\"))":-12.340706,"CC_GB^FG_COMPANY_NAME":"United Kingdom","EWN^FMA_EVAL_EBITDA(NTMA,0,,,\"PORTAGG\",\"MEANR\")":12.2052651363488,"EWA^FMA_PE(LTM,0,,,\"PORTAGG\",\"MEANR\")":19.6812652534356,"CC_CH^FG_COMPANY_NAME":"Switzerland","EWC^P_PRICE_RETURNS_PR('52W',2,-10AY,0,AM)":[22.249817,10.847723,3.8608313,5.505812,2.132976,-2.1379173,-1.3864279,-5.4143133,-0.69097877,-7.4305477,-14.9185295,-19.867266,-24.693716,-26.077007,-17.22467,-23.69265,-22.493708,-19.649559,-21.154387,-11.444807,-12.176168,-9.596163,-6.926596,1.121378,8.284378,17.169535,7.041967,14.275837,21.650124,38.34003,25.616014,17.28611,5.831349,8.600044,11.94433,13.735676,9.772289,15.073109,15.085101,13.689602,15.656078,12.529934,6.324649,4.079807,9.908188,9.664429,8.639013,6.7534924,8.25057,1.5204668,-8.112997,-5.803198,-17.481888,-8.8104725,2.70288,2.7791023,3.6077857,-0.44849515,4.422462,1.2203097,-1.5309334,2.9904604,14.063883,14.156378,28.563427,15.147507,1.3009429,-23.206097,-9.970629,-6.5877495,-8.803338,-1.3249099,6.2859297,-2.7841449,-5.5568037,5.253637,6.113124,3.9695382,13.449931,68.60309,46.62465,52.60012,49.096703,38.09526,32.173264,34.854996,49.941887,27.827787,25.64274,22.144377,21.08494,21.45765,4.8905015,1.4057398,-7.056218,-3.7562132,-4.9603167,-12.64947,-14.6495285,-7.7901483,-11.591953,-1.5671492,-8.9385805,-15.388739,-5.018151,-6.7575035,4.294181,5.189812,1.0201931,10.333061,-2.205801,2.72218,13.87651,5.3461075,10.568655,18.091917,9.603321,13.089204,10.419917,9.300077,19.38585],"ENZL^FMA_PE(NTMA,-10AY,0,AM,\"PORTAGG\",\"MEANR\")":[17.4259904450878,17.1434768936459,17.5243217017609,17.7251641549364,18.2917707617884,19.0072246264718,19.3006254187479,18.1043931296327,18.0759076286895,18.424554884382,17.5914634949339,18.1941471365985,17.5972212316474,17.0520458015831,18.1075099779365,18.1379607697507,18.3385479390308,17.4459611775633,17.5055700249101,18.3416168353346,18.7141378948304,19.331173304405,18.7374625774006,20.3178607591973,20.5270298712538,20.2039922311374,18.9897903016628,18.7656825133195,18.5495807002171,19.1948752259908,18.3456235290234,18.8857915094758,19.5356711103918,19.5714607692372,19.8424949775921,19.5261826732486,19.7971305304056,19.8317741727984,20.3723595613449,20.1124178847908,20.939465306716,20.655247547598,20.8462380710614,19.9684626391939,19.9113535617366,20.3814593982282,21.160631644616,21.1629539138984,22.2377233067451,21.4693190006079,19.756010431076,19.8997261490503,20.0278637880904,20.3989684691626,21.5707196690684,22.3388870569747,22.7211010011621,22.90753285581,23.7202873176142,24.5724502677144,25.2753786879671,25.2725234863641,24.7427020098082,26.0413182788816,26.0858022951486,26.1070900822365,25.9075376731227,24.0640069291665,29.579622890246,31.1965313479556,30.6484934785557,31.7760425679871,33.4400458431509,31.8295035349733,32.8102514059019,32.1588818109295,34.8358448284718,33.6491308665846,31.507983403909,32.1056061869123,32.4756251586594,32.3381342517209,33.9301751590274,33.9187212658759,34.7672165856944,34.1038282744414,33.8459688774979,31.5632423775245,32.2585404681688,29.227064470653,28.9278478499414,29.4549390389838,28.7863079035269,26.780744768853,25.747076801141,26.1559707779372,26.9350110394369,24.4113815015044,23.4680164474744,23.2167648788871,23.2049178414548,24.0290819403296,24.011013925857,23.0870006206023,23.6750083418395,23.4845394606897,20.8521691751906,20.964921379109,20.3354044471677,20.166110375564,19.1494814094559,20.2900103937602,22.9720675812572,22.5111139193157,22.4782074581876,25.2815236006387,25.2564775876662,24.9767849885702,23.8866712709015,24.8893087607956,26.9779315862113],"EWG^FG_TOTAL_RETURNC(0,-6AM)":8.586502,"TRYIT10Y-FDS^FG_YIELD(0,,,,\"YTM\")":3.647,"CC_CH^IMF_IFS_RCPI_Q(0)":1.3619826,"EWN^FG_FCF_YIELD_NTM(0)":4.02695048949754,"USDUSD^STD(FG_PRICE_CHANGE(0,-3AY,M))":0.0,"EWU^FG_PRICE_MAVG(0,,,,30)":36.063667,"EWI^FG_ROE(0)":12.9252681431313,"ENZL^FMA_EVAL_EBITDA(NTMA,0,,,\"PORTAGG\",\"MEANR\")":12.6081690424035,"TLT^P_PRICE(0)/P_PRICE_HIGH_PR(0,,,USD,,,\"PRICE\",\"INTRA\",\"52W\")":0.9697723,"EWI^FMA_PE(LTMA,-10AY,0,AM,\"PORTAGG\",\"MEANR\")":[17.5675207028686,17.7168681134793,16.806588900707,18.1616559059125,18.3633865917437,23.6574287171266,45.3660681485857,42.7687759519394,39.7060108182417,37.0356016652559,33.630075705595,31.218779264466,28.1855295965427,24.573027639182,23.3586482603796,21.6984993755562,18.3026807585256,15.2240940767902,15.3964541226054,15.3175156511975,15.2931220355081,15.5467365638152,14.3199944785174,14.7343350315856,14.9356455971554,14.6536235051942,15.1727222518743,14.6758649437878,27.5909278530279,27.3488655567196,85.9689272923756,79.2897551877249,72.2320717746234,65.7915756784264,57.6012479012179,51.1501572746172,43.4460588613506,36.6466347019993,30.270561998868,22.6084592030132,15.5073974754213,15.8236403691236,14.2133860010366,14.0836991602724,14.1811937174317,13.3622936323602,13.2895626234646,13.2808057715658,12.6608499150742,12.333076822306,11.4370931755035,11.1889792538667,10.4209629178755,11.1069665460259,11.3132451904946,11.324216150149,11.341703111743,10.8916213104995,11.1091412017896,11.2657213350809,11.1152851854124,11.3118920649741,11.6394543729842,11.9159892515684,12.2369216075069,12.4302592681293,11.3567081312941,11.0732652527067,12.5449908813885,14.4046913543627,16.3272804755843,17.6993978571511,17.8040005475175,18.1124181519946,17.7986766419726,22.0709542281702,23.3794160380475,20.2234159826661,20.3525735166553,19.8113155156551,19.1407610114618,18.636459448785,18.0744722789775,17.3983841935048,15.7882782038712,14.7482677299391,14.2235277460482,12.7154053085387,12.1188588627988,11.7300894184922,10.6475829192046,10.578645980567,10.4148019498813,10.1313627279421,9.43453528870768,8.9997182757173,8.3913347026396,7.92177868909253,8.11812219945579,8.03031800470959,7.49673666392136,8.13571254150703,8.22912587318896,8.27558180972448,8.37785429534273,8.2071572421251,8.54893772162655,8.53179561995333,8.35414517340685,8.25238875038985,7.90017820948708,8.33742818487287,8.85440833166031,8.9580067949301,9.34647597709894,9.48265739025572,9.46394961942179,9.53093150360186,9.42033974868277,9.70102886573637,9.82262099546662],"EWJ^FMA_COS_UP(\"EPS\",\"1M\",+1,0,,,\"PORTAGG\",\"MEANR\")":99.0,"CC_JP^IMF_IFS_RCPI_Q(0)":2.7266946,"USDAUD^STD(FG_PRICE_CHANGE(0,-1AY,AM))":2.50864195117814,"NI-FDS^FG_PRICE(0)":16735.0,"EWD^P_PRICE(0)/P_PRICE_LOW_PR(0,,,,,,\"PRICE\",\"INTRA\",\"52W\")-1":0.37102818,"EWU^FG_TOTAL_RETURNC(0,-12AM)":21.852016,"EWG^FG_TOTAL_RETURNC(0,-1AM)":4.708159,"EWG^FMA_COS_DOWN(\"EPS\",\"1M\",+1,0,,,\"PORTAGG\",\"MEANR\")":29.0,"EWN^FG_ROE(0)":10.9322088235696,"EWL^FMA_PE(NTMA,0,,,\"PORTAGG\",\"MEANR\")":17.6222898973855,"EWQ^FMA_ROE(NTMA,-20AY,NOW,FY,\"PORTAGG\",\"MEANR\")":[15.3785109881273,16.6302131420813,15.4089673624266,15.0205314626708,11.8797489821456,10.9934091834566,12.0259375987481,10.8176655066299,10.4079638226552,10.3975296667646,9.87060023176551,9.82548245608185,9.88315391318072,10.4363064842242,11.3283895806005,10.9140096452361,8.94223448408443,12.2539555485597,13.1476341706421,13.2212508616692],"USDGBP^STD(FG_PRICE_CHANGE(0,-1AY,AM))":1.92975840151035,"QQQ^FG_TOTAL_RETURNC(-10AY,0,AM)":[3.2919288,-0.89733005,1.1758685,6.2118053,-0.56655407,-2.9803813,6.3892484,-2.4343371,3.6296487,0.6401539,-2.8289378,4.555249,-5.316001,-5.5903196,14.446556,0.41285753,0.3029108,-8.897644,-1.5653491,6.489873,-2.8576672,4.1713953,-3.2087862,8.390558,1.4839888,1.0221004,-0.6279707,1.5713096,0.94606876,5.087292,3.3545375,1.9268751,2.8279781,3.8458705,-2.3035824,4.542482,-0.60483813,1.9578695,3.9807558,1.7323375,1.4451027,9.206474,-1.6990006,-4.075706,1.2240052,4.244554,1.8038511,3.4780025,5.1345587,-0.33032894,-12.142742,3.0141473,-8.761001,5.6220174,7.1919203,3.9242387,6.3230515,-7.847351,6.3184857,4.2197704,-3.4426033,-0.2729118,4.8174024,4.6215177,4.374218,3.8387656,-7.217884,-9.7695465,18.186724,6.557083,4.2413235,6.971669,12.611162,-5.530876,0.15945435,8.184088,4.855573,0.5112529,-0.1335144,0.6880045,7.695234,-1.848805,6.4291954,3.236711,2.6085973,-4.3488383,7.467711,3.517139,0.59503317,-12.389493,-1.4212608,7.1654797,-15.609259,-1.3248205,-8.012783,11.155748,-3.502816,-10.530406,3.4391403,-0.23113489,-4.8054457,11.192012,-0.91136694,6.6911817,3.1465888,8.010912,4.5665026,5.4066777,-2.2713125,-4.2645693,-3.617382,12.886965,5.320108,4.549229,2.534163,1.2738109,-2.535981,5.474293,5.1353455,-3.1746328,1.4572144],"URTH^P_PRICE(0)/P_PRICE_HIGH_PR(0,,,,,,\"PRICE\",\"INTRA\",\"52W\")":0.99138,"TLT^FG_TOTAL_RETURNC(0,-3AM)":10.698378,"USDGBP^FG_PRICE_CHANGE(0,-1AY)":-4.309654,"USDAUD^FG_PRICE_CHANGE(0,-6AM)":-4.129863,"EWL^FG_PRICE_MAVG(0,,,,30)":50.510666,"EWU^P_PRICE(0)/P_PRICE_LOW_PR(0,,,,,,\"PRICE\",\"INTRA\",\"52W\")-1":0.24651623,"VWO^SIZE(FG_CONSTITUENTS)":4826,"SPY^FG_ROE(0)":18.6100670030457,"VWO^FMA_EVAL_EBIT(LTMA,NOW,NOW,M,\"PORTAGG\",\"MEANR\")":14.389736458339,"SPY^FMA_ROE(NTMA,-20AY,NOW,FY,\"PORTAGG\",\"MEANR\")":[15.5861790200459,16.7322038566819,17.3873562088184,17.7935626477889,13.9384597707689,14.004346429543,15.0399433453936,15.5262408812809,15.3796547722071,15.8702437846916,15.8106739007597,15.8580313128215,16.0499124928518,16.907948658911,18.8923615036562,18.2929292712369,17.2298191407891,20.6862902757634,20.5983105880676,20.3440340808751],"USDITL^STD(FG_PRICE_CHANGE(0,-1AY,AM))":1.73448349262239,"EWL^FMA_PE(LTMA,-10AY,0,AM,\"PORTAGG\",\"MEANR\")":[17.3539928572813,17.2390486678371,17.1092423619627,17.86211683113,17.3711032964226,16.7440319208932,17.9927049686476,18.0057057591524,18.1099158780794,18.0693604212683,17.7817289676049,18.2707243230194,17.371847139995,16.691410917137,17.7453533686521,17.6137578222839,17.6314829668322,16.8363858727615,16.5783891912488,16.6117158821393,16.824160045369,17.1775544307544,17.0378550509882,17.5095143018059,17.8300975184506,18.0433584306362,17.6943701688787,17.4763960214786,18.2374078751182,18.5772824353765,19.6747100975888,19.4975827109566,19.4973317145334,19.5386254545056,19.3702711095981,19.2997632097881,19.0387741667981,19.4599988337422,20.13607810303,20.4091044531578,20.7340196335678,22.067639457681,21.2302793261804,20.7201011040339,20.3370620961571,19.7690867283219,19.276078670819,19.3572772057617,18.9066756731289,18.5872699523067,17.5664867812438,17.742928349255,16.2499286151444,17.5160456010995,18.3536329338024,18.2760040041127,18.2864101923843,18.052804106508,18.3689302500905,18.3673367136422,18.2372817421703,18.4172927386057,18.692996902878,19.0487546820496,19.7716261654978,20.0458451423964,18.0103108276406,17.6569427540259,18.6529191202244,19.1148205219934,19.5228556210744,20.2090900483269,20.6185257422787,20.726785328341,19.6687450615421,21.3947244321635,21.98194698614,21.0579697707616,20.4823143891709,20.4534914808584,20.1621697374367,20.6227092593136,20.9584342647451,20.8960039400341,21.2304273567212,20.0601012799142,20.6505894312832,20.4228335226732,21.7329557875816,19.8370875217288,18.497536832785,18.635226208317,18.5252337933173,18.2521042374855,17.6449377919869,18.3072357900102,17.9219548976916,16.8038665517126,17.8235640318276,19.5093021541453,20.3127299290721,21.1456451258013,20.6998200244037,20.3873275558125,20.3020936492928,19.9348962068841,19.2110939489651,19.2995228603663,18.853942694775,18.4173647036501,17.4707998827059,17.9689667110713,18.4261307484942,18.737105640175,19.1960160000363,19.1669498153087,18.8061423898343,18.7478935807349,18.7548493091593,18.8429459256677,18.9890257751456],"TIOS-FDS^FG_PRICE_CHANGE(0,-1AM)":-7.46786752978704,"EWL^FG_ROE(0)":19.1996921658492,"REFNZOCR-FDS^FG_YIELD(NOW,,,0)":5.25,"EWA^FG_TOTAL_RETURNC(-10AY,0,AM)":[0.92902184,-12.371135,4.705882,-5.176568,-1.556915,-2.1304965,7.392299,-1.2668967,1.8391848,-5.3338885,-5.0288916,-0.526309,-7.8884125,-8.668405,7.6615214,1.0090351,3.7654161,-8.125008,-2.0408094,11.342585,3.5862803,-1.7561495,-0.9648025,9.257317,-1.1488736,0.43584108,-2.7965307,3.075397,0.69749355,5.0049067,2.5701046,3.6446452,-1.2747288,-3.5173595,2.8118134,3.7614703,-0.5747199,-0.22231936,1.6042709,0.13158321,3.9882421,3.323269,-4.6783686,-3.5056949,1.634872,-0.40213466,3.4196258,1.0172486,0.48161745,-3.6165595,-9.99096,5.5750966,-4.8861446,5.766237,4.518664,1.1278152,1.7657995,-0.59360266,5.652058,1.1091352,-5.9236526,3.9645553,2.0188332,0.39577484,1.6418099,0.39560795,-11.908931,-27.932411,18.206894,5.367565,7.6073885,6.945169,2.0507813,-5.0239205,0.10075569,17.262196,3.7052631,-0.8764565,3.2000065,1.7543912,5.573368,1.5571594,-0.6917119,-0.64910054,-0.038433075,-5.190313,7.2992682,-6.4625797,4.6524763,-9.686446,6.557369,10.935556,-7.8710675,1.5052915,-11.209196,5.964589,-1.6710579,-10.5545635,3.9499998,10.966802,-1.3168991,11.588371,-8.259827,-1.3985991,2.5709271,-3.1114936,1.5266061,3.5362482,-4.366618,-2.7576864,-4.463047,9.002436,10.899496,-1.9720614,0.25146008,3.093648,-2.9602587,1.1282921,2.9175282,0.32746792,6.28314],"EWL^FG_PRICE(0)":52.78,"EWN^FG_TOTAL_RETURNC(0,-12AM)":23.398458,"EWU^P_PRICE(0)/P_PRICE_HIGH_PR(0,,,,,,\"PRICE\",\"INTRA\",\"52W\")":0.9970807,"EWJ^FG_FCF_YIELD_NTM(0)":4.06285480986591,"USDCAD^STD(FG_PRICE_CHANGE(0,-3AY,M))":1.78482769575188,"SPY^P_PRICE_RETURNS_PR('52W',2,-10AY,0,AM)":[24.660957,19.222593,13.991523,16.62178,15.747107,16.117323,15.581285,13.639652,14.343739,11.89971,6.961429,9.117484,1.5246153,-2.8407514,7.5451255,2.9678464,1.4358401,-2.0977497,-6.2048674,1.8463135,0.097203255,0.9723067,2.804768,5.266583,11.972248,16.590382,3.9212704,7.6993585,10.498905,24.325752,23.81791,17.20866,17.143845,17.854774,19.164288,16.223717,14.414406,19.394566,23.341692,21.329355,21.255516,26.742554,17.105639,13.848591,13.844895,13.417196,14.497126,15.965986,21.264244,18.240929,4.251611,6.1897993,-5.742514,-5.7022038,4.549575,9.4401,12.396407,5.4566383,10.313547,9.251881,2.3740888,3.652966,17.211782,17.014767,32.611073,26.342762,8.319605,-7.5033245,1.8412113,11.625695,6.0159564,10.032916,23.812151,14.726973,10.968137,17.541122,17.242754,15.459394,24.429953,58.69522,45.57388,40.877594,42.586838,37.568985,31.199825,32.56712,41.14951,29.565561,30.271362,18.60758,16.338802,18.162786,-0.6193757,0.35094023,-9.805804,-5.1715193,-9.301877,-15.227896,-13.833076,-13.640886,-18.38858,-4.3966293,-7.7693224,-11.558765,-1.1174798,5.3981185,17.087269,14.37676,13.39488,19.705069,9.798109,16.853333,25.857162,22.951841,30.18179,34.14805,24.417614,27.080559,26.463472,20.901155,26.058138],"EWL^FMA_COS_DOWN(\"EPS\",\"1M\",+1,0,,,\"PORTAGG\",\"MEANR\")":23.0,"EWQ^FMA_RBICS_REV_CURRENT(30, LOC, \"PORTAGG\")":11.6478883688616,"REFJPTON-FDS^FG_YIELD(NOW,,,0)":0.25,"COPP-FDS^FG_PRICE_MAVG(0,,,,30)":4.1035,"EWI^FG_TOTAL_RETURNC(0,-6AM)":11.104918,"EWU^FMA_PE(LTM,0,,,\"PORTAGG\",\"MEANR\")":14.3762798928255,"EWA^FMA_DIV_YLD(NTMA,NOW,NOW,M,\"PORTAGG\",\"MEANR\")":3.73559027653157,"TRYCH10Y-FDS^FG_YIELD(-10AY,0,Y,,\"YTM\")":[0.314,null,-0.12,-0.09,-0.176,-0.434,-0.49,-0.111,1.617,0.703],"EWG^P_PRICE_RETURNS_PR('52W',2,-10AY,0,AM)":[13.956749,1.0346055,-8.19819,-3.3219814,-9.314364,-3.7496328,-3.5980344,-0.5595565,-3.8252473,-7.456422,-8.398986,-4.2050543,-7.557851,-10.505051,3.107679,-4.3545904,-1.7876923,-13.271772,-19.981808,-13.507962,-9.938538,-11.028528,-13.603187,-6.8983374,2.0802498,7.757008,-2.3649395,-6.0524583,-0.18740892,17.33234,19.2322,15.238274,15.283024,20.97019,30.671835,23.125256,19.335472,28.738546,29.415058,35.581112,28.124655,29.54036,20.439768,13.781881,12.470091,3.5325885,1.3211012,4.991162,3.5413623,-4.6081305,-15.672713,-16.076565,-22.053802,-21.872986,-13.786173,-13.951403,-9.944296,-10.883999,-2.4084985,-9.292269,-13.200659,-8.999139,8.930386,9.797514,21.335018,11.500084,-1.3237476,-19.305157,-14.150125,-2.3698092,-2.739489,8.367467,18.137026,10.649848,-6.1517057,6.776035,11.419082,10.423923,20.497835,60.885895,49.571407,42.224648,33.493126,21.147274,19.852901,16.234266,31.331135,7.336879,4.7524214,1.2601614,-6.8104625,-8.695126,-23.92131,-21.25249,-30.92494,-29.562145,-35.269833,-38.017403,-32.386024,-19.13079,-21.412737,-8.131266,-3.2212138,-2.734381,15.233874,9.282923,24.088001,30.957104,32.43587,36.277664,15.932202,17.71679,21.783829,8.147621,15.364552,18.630993,8.236456,14.112139,11.226201,8.01003,18.450129],"EWA^FMA_PE(NTMA,-10AY,0,AM,\"PORTAGG\",\"MEANR\")":[14.8837061335486,13.7651822782994,14.4583196005296,13.9787887366389,14.5753170986522,15.1758064103674,16.3202924327073,16.3355477603444,16.4213110115082,15.9971485556846,14.9874429632086,15.4756964764117,14.7220544771883,13.8922709773265,15.1341249209764,15.1108691793716,15.6090031910733,15.2354727820965,15.0515481407167,15.4630079606924,16.1850679988962,16.5798765196975,15.6793180520264,16.7960469997983,16.5430967328746,16.3790373466085,15.6544092944133,15.9002484980174,15.8846500116394,15.8237933512267,15.7599476648083,15.8964112756412,15.9641508675512,15.3746191871798,15.6986894025766,15.6366848976938,15.563195942514,15.4254496003211,15.7763962109535,15.9470087164507,16.0258597214481,15.8908130817157,15.5597740514577,14.7277990890281,15.1145864306011,15.1727839697011,15.4879372293169,15.6759553130813,15.790217262636,15.3018169312989,14.0317320238701,14.3189280448125,13.9820356702779,14.6168114468825,15.3518467142567,15.2927673519464,15.4549351199215,15.626562934297,16.1962504917731,16.4919031255818,15.9437412283025,16.7449982633798,17.0527756268467,17.3687962428363,17.4933476632186,17.9651222517117,16.4740804479575,13.264921881059,16.9921319474198,18.381193527115,18.5141487834734,19.2626578296886,19.5936908184514,18.4278545001366,17.8340709257632,19.6073741732098,19.2925968216095,18.4830404608928,17.9550506925964,17.689863812977,18.1136219529595,18.1241859724021,17.4585007834763,16.8788253408793,17.2124065823664,16.6486569814499,17.3990137940307,16.8112273266607,17.6404288897118,16.2086261777331,15.4791782688763,16.2389710047929,15.0445005468484,14.2416960535531,12.9211597965459,13.8005419836527,13.9419542211853,12.7237458749886,13.261584287164,14.6176737524335,14.140006619417,14.9980664475796,14.503631790876,14.0134021387802,14.5568008791714,14.1902734950577,14.8761971073171,15.6496102849425,15.3439677818528,14.9055833664575,14.3833890488939,15.1408417013455,16.457562372089,16.3875808805063,16.5487881812136,16.8032602398994,16.3563582814844,16.453694383871,16.8519299785716,17.3299789293755,17.8614632315917],"QQQ^FG_TOTAL_RETURNC(0,-12AM)":26.451742,"EWG^P_PRICE(0)/P_PRICE_HIGH_PR(0,,,,,,\"PRICE\",\"INTRA\",\"52W\")":0.99152607,"EWU^FMA_RBICS_REV_CURRENT(30, LOC, \"PORTAGG\")":19.9086912855245,"CC_GB^IMF_IFS_RCPI_Q(0)":2.8697004,"EWU^JULIAN(FMA_DIV_YLD(NTMA,NOW,NOW,M,\"PORTAGG\",\"MEANR\").DATES)":45530,"USDCAD^FG_PRICE_CHANGE(0,-1AY)":-0.9190798,"NI-FDS^FG_PRICE_CHANGE(0,-1AM)":7.37888995829323,"EWU^FG_PRICE_MAVG(0,,,,60)":35.736332,"EWI^PERCENT_CHANGE(FMA_EPS(+1,0,,,,\"PORTAGG\",\"MEAN\"),FMA_EPS(+1,-3AM,,,,\"PORTAGG\",\"MEAN\"))":-1.65471292149223,"EWA^JULIAN(FMA_DIV_YLD(NTMA,NOW,NOW,M,\"PORTAGG\",\"MEANR\").DATES)":45531,"TRYEU10Y-FDS^FG_YIELD(-10AY,0,Y,,\"YTM\")":[0.5475,0.636,0.2082,0.4294,0.239,-0.189,-0.575,-0.181,2.533,2.004],"TIOS-FDS^FG_PRICE(0)/MAX(FG_PRICE(0,-1AY))":0.684170366259711,"QQQ^P_PRICE(0)/P_PRICE_LOW_PR(0,,,,,,\"PRICE\",\"INTRA\",\"52W\")-1":0.37479186,"EWA^FMA_RBICS_REV_CURRENT(30, LOC, \"PORTAGG\")":43.3292251971782,"EWL^FMA_EVAL_EBIT(LTMA,NOW,NOW,M,\"PORTAGG\",\"MEANR\")":16.9741138903613,"USDCAD^FG_PRICE(0)":1.34755,"NI-FDS^FG_PRICE_MAVG(0,,,,30)":16092.167,"EWI^PERCENT_CHANGE(FMA_EPS(+1,0,,,,\"PORTAGG\",\"MEAN\"),FMA_EPS(+1,-1AM,,,,\"PORTAGG\",\"MEAN\"))":2.72463616237744,"EWG^SIZE(FG_CONSTITUENTS)":59,"CC_JP^FG_COMPANY_NAME":"Japan","EWA^P_PRICE_RETURNS_PR('52W',2,-10AY,0,AM)":[20.751774,-3.2728314,-3.3245504,-3.4360647,-2.508688,0.73816776,-0.88799596,-4.1344585,-5.7632446,-11.657154,-16.375023,-18.298935,-25.381613,-22.285908,-20.092201,-16.71241,-10.277552,-15.7730465,-23.17136,-13.35935,-11.872995,-9.4662075,-4.6286583,4.7514915,12.415862,23.621845,8.38995,13.896751,10.52928,30.390549,32.11827,23.12628,17.702663,15.362465,19.639374,15.164911,14.281237,13.532352,18.086672,15.283167,19.05055,17.143965,8.865595,1.3550639,4.6216607,7.71116,8.347929,4.833567,6.603086,3.3913374,-8.775187,-3.8158774,-12.100124,-9.944159,-1.2551844,3.486383,3.6196947,3.420508,6.216693,5.7490587,-0.9919882,6.7955613,21.04516,15.106928,23.908197,16.76097,-1.5908062,-28.844786,-18.539692,-13.654709,-12.05669,-6.980592,1.7585754,-7.8196406,-9.552753,4.9984455,7.787001,6.42128,18.37864,76.03113,57.217552,48.008095,39.84535,29.914797,27.744114,27.032196,36.167408,8.617687,9.609771,-3.1103015,3.1167507,12.420856,-1.8955946,-1.9457042,-12.330378,-6.4942956,-8.02148,-13.225544,-17.155218,-0.26964545,-5.958271,16.711891,0.037443638,-11.085015,-2.5924623,-3.4985542,8.04348,6.9311857,2.6735067,11.6234665,2.7376413,0.7733226,13.24848,-0.5136907,8.716261,14.737356,7.5396657,12.245536,14.397812,10.256958,22.535181],"TIOS-FDS^FG_PRICE_CHANGE(0,-1AY)":-9.22227335480903,"REFAUCASH-FDS^PROPER_NAME(0,,,\"SECURITY\",\"NAME\")":"Australia Target Cash Rate","EWQ^FMA_EVAL_EBIT(LTMA,NOW,NOW,M,\"PORTAGG\",\"MEANR\")":13.3018075765211,"TRYTR7Y-FDS^FG_YIELD(-10AY,0,Y,,\"YTM\")":[7.979133,10.679033,11.110786,11.586128,15.896213,12.034795,12.534946,23.870693,7.323803,21.984322],"EWL^FG_PRICE_MAVG(0,,,,200)":47.79545,"TLT^FG_TOTAL_RETURNC(0,-6AM)":5.6331515,"TRYZA10Y-FDS^FG_YIELD(-10AY,0,Y,,\"YTM\")":[7.9537,9.7513,8.9047,8.58389,9.37766,9.011772,9.174469,9.791837,10.764477,11.358896],"USDITL^STD(FG_PRICE_CHANGE(0,-3AY,M))":2.14381118993651,"EWD^FMA_PE(LTMA,-10AY,0,AM,\"PORTAGG\",\"MEANR\")":[15.8372840366843,15.9691624183514,16.1000925345175,17.3208469203877,17.7434912110587,18.6644946609124,20.3028254397121,19.9884372154015,19.3174890612572,19.3143446016606,18.5696114920095,18.4216041063192,17.5856684596746,16.3059765139157,17.1606950306039,16.906220085457,16.1075875065437,14.8347806892059,15.5788877722231,15.5131893624256,15.654626448611,15.6146234712481,15.2774407656381,15.8425074431522,16.0366726342064,16.4515801527288,17.4301617457435,17.2096276272975,18.1978977023908,18.2306000773971,17.4411948352494,17.6001252534946,17.6333708179951,18.0905701056251,17.5229900569017,17.3240670000655,16.6651647642071,17.7146987001221,18.5637459837511,18.0209705224099,17.8917428432806,18.4110489892098,16.9913152915228,16.8339577519838,16.8300248064505,16.6373271482966,16.4769912290327,16.6243819627993,16.915950921663,16.930242746771,15.0130501385392,14.9522686594712,13.8014625125488,16.041285925152,18.1595410936155,17.8396800527696,17.9546772654055,17.1113430564192,17.1495017519452,16.928913202139,15.7954335523062,16.5192870872897,16.8763109702807,15.8831275318796,16.4495457405733,14.1297722719964,12.8819296635769,12.759855699121,14.5965738585746,15.7768100275779,17.2538844896362,17.2166254318239,17.2245695263862,18.1879497676028,14.9791604107906,16.9423526935777,17.4140597345515,17.8800786162843,17.5604129321876,18.0909014695465,17.9047530612841,17.7609918637145,17.9995935103517,17.5703109186024,17.5401253723411,16.9402892981383,16.425730212589,16.509361382477,16.8942642798081,11.9905119710736,11.6552366196826,12.1034767148539,12.2495902206745,13.6765471679512,13.3867029210081,14.734059264034,14.4806385930517,14.0445348004802,13.4361560871556,14.2042674119078,15.6850845640333,24.8133321956733,25.6790377823522,24.4215121745004,23.3628183517047,22.231183099723,20.8775337081474,19.6881436698266,17.937375213917,16.7595290826955,15.7461825469791,16.0992800751376,17.9664134766413,15.3500929707044,15.7867160603531,15.9085794415529,15.9350505329229,15.9913829357997,16.0624556804875,16.4273065144878,16.6908686258535],"TIOS-FDS^FG_PRICE_CHANGE(0,-6AM)":-21.0075284318437,"REFNZOCR-FDS^(SUBARRAY(NOT_NA(NO_REPEAT_F(FG_YIELD(NOW,-10AY,D))),0,1)-SUBARRAY(NOT_NA(NO_REPEAT_F(FG_YIELD(NOW,-10AY,D))),1,1))*100":-25.0,"TRYNL10Y-FDS^FG_YIELD_NAME":"Netherlands Benchmark Bond - 10 Year","EWQ^FMA_EVAL_EBITDA(NTMA,0,,,\"PORTAGG\",\"MEANR\")":9.13586379169084,"PLATI-FDS^MAX(FG_PRICE(0,-5AY))":1272.59,"EWG^PERCENT_CHANGE(FMA_EPS(+1,0,,,,\"PORTAGG\",\"MEAN\"),FMA_EPS(+1,-3AM,,,,\"PORTAGG\",\"MEAN\"))":-1.07922963531204,"EWG^FMA_COS_UP(\"EPS\",\"1M\",+1,0,,,\"PORTAGG\",\"MEANR\")":28.0,"USO^FG_TOTAL_RETURNC(0,-1AM)":2.101338,"URTH^FG_TOTAL_RETURNC(0,-6AM)":9.9275,"TRYFR10Y-FDS^FG_YIELD(0,,,,\"YTM\")":2.986,"EWQ^FG_FCF_YIELD_NTM(0)":5.89419184688092,"DBA^P_PRICE(0)/P_PRICE_HIGH_PR(0,,,USD,,,\"PRICE\",\"INTRA\",\"52W\")":0.93478674,"EWU^FMA_ROE(NTMA,-20AY,NOW,FY,\"PORTAGG\",\"MEANR\")":[17.0013743335587,17.4840740170497,19.4425742504053,18.9225481633064,14.9735451636047,14.6457818658238,16.1542964974398,15.1996078376158,14.4781479669762,13.3640315886099,12.2326503305714,11.1900784012713,12.1967915012023,12.7329318595365,13.1887832891224,12.8709323534995,11.2074687408188,13.9227699516468,15.8587443966116,14.7207876109821],"USDSEK^STD(FG_PRICE_CHANGE(0,-1AY,AM))":3.59403618815725,"USDGBP^FG_PRICE(0)":0.7600806,"CPALM-FDS^FG_PRICE(0)/MAX(FG_PRICE(0,-1AY))":0.883817427385892,"VWO^FG_PE_NTM(0,,,90,0)":12.8821687467339,"ENZL^FMA_ROE(NTMA,-20AY,NOW,FY,\"PORTAGG\",\"MEANR\")":[null,null,null,null,null,null,10.8532267295878,10.9048734413645,11.45876758647,11.0832589152415,9.94517431688139,9.90242652659034,9.79986582903071,9.84792896856594,9.52177142619013,9.00388708752031,7.53226389198691,6.44400181202057,7.7689690341127,6.57910753918315],"USDNZD^FG_PRICE_CHANGE(0,-6AM)":-2.6134908,"EWJ^FMA_PE(LTMA,-10AY,0,AM,\"PORTAGG\",\"MEANR\")":[15.0149201880092,15.566943702358,14.749047096752,15.8589010011577,16.1447011610813,15.5201868786192,16.9321203067015,16.8725663433186,17.0017364181923,17.2168527003656,16.7365111727758,16.6950939021377,16.0226881239397,14.523335426108,15.7895603955417,16.2670470739019,15.7732983628588,14.6339361659907,13.8051582203488,13.906687540865,13.7931562937423,14.0067677039624,13.6669861583647,14.0810064402976,14.1755301974202,14.3534458161,14.7716916195493,15.6551924501315,16.2906434986563,16.6807875682828,15.9475569637409,15.790375239555,15.5963855462278,15.643490033175,15.6176848621052,15.42324775254,14.8812100403607,15.0466824256912,15.5211225833806,15.9842027337117,16.3566554731427,16.7712133162518,14.4932574540538,14.2542395217387,14.3063805276655,14.1263253549623,13.9104417820475,13.9870392098219,13.6928659310873,13.9803538867761,12.5105080687653,12.78260160934,11.5056854632034,12.0416162871618,12.6835180820457,12.687555236804,12.7861524693058,12.6661563783869,12.8569130440768,13.0092835396401,12.7294125330792,13.5013232023661,14.0585815282535,14.7328737245686,15.3717244512473,15.1531769933045,13.9774594975131,13.8489007002888,14.2722872116267,15.5262141872468,16.8446612508732,17.6868486877593,18.6932054546298,20.2757107912591,20.5228658332281,22.7867984337022,23.7156391978063,22.9628108870217,21.6770992801852,21.4181741000386,20.7751518729489,20.3594317741321,19.819055728357,19.1609402776708,18.300711447691,18.1859537496884,17.4988758558058,16.5437207618553,16.2052438295047,14.972903520758,14.7535764117931,14.7097424623242,14.3571385524263,14.1735912290766,13.9344025624939,13.9346950190429,13.7759908727508,13.1199383640511,13.1162985309241,13.5367090043918,12.7940411131398,13.4952020264739,13.6544225344261,13.6346618364367,13.7566853146172,14.0471854832872,14.6050873590669,14.6592530358832,14.6531630279939,14.7737520947607,14.5043277902702,15.1756533579671,15.2915763078604,16.373540036211,17.0440593100094,17.0076377753227,16.7354032044267,16.7434980756866,16.7892788763365,16.422285419949,15.9010034349896],"CAGDPY@JP^EE_ACTUAL_ANNUAL(MED,0)":3.60665526864134,"USDJPY^FG_COMPANY_NAME":"Japanese Yen per U.S. Dollar","EWI^FG_TOTAL_RETURNC(0,-12AM)":23.608112,"EWL^FG_TOTAL_RETURNC(0,-1AM)":6.1544657,"EWD^FMA_COS_UP(\"EPS\",\"1M\",+1,0,,,\"PORTAGG\",\"MEANR\")":17.0,"QQQ^FMA_EVAL_EBIT(LTMA,NOW,NOW,M,\"PORTAGG\",\"MEANR\")":24.7144027004367,"EWA^JULIAN(FMA_ROE(NTMA,-20AY,NOW,FY,\"PORTAGG\",\"MEANR\").DATES)":[38352,38716,39080,39447,39813,40178,40543,40907,41274,41639,42004,42369,42734,43098,43465,43830,44196,44561,44925,45289],"W-FDS^FG_PRICE_CHANGE(0,-6AM)":-9.09090909090909,"EWC^FG_ROE(0)":10.8932877006616,"CC_IT^IMF_IFS_RCPI_Q(0)":0.80847347,"QQQ^FG_FCF_YIELD_NTM(0)":3.60693410354333,"DBA^FG_TOTAL_RETURNC(0,-3AM)":-2.317351,"USDSEK^FG_PRICE_CHANGE(0,-6AM)":-0.96787214,"EWI^FMA_PE(NTMA,-10AY,0,AM,\"PORTAGG\",\"MEANR\")":[13.8013716688956,13.5374430676881,12.4396349836215,13.0012291690605,12.4198311581761,14.0040164193245,15.5512236592378,15.6616611687816,15.6385586257862,15.7682128531581,14.7175453381228,15.1468655223764,14.4423069780737,13.4761394113482,14.7189076664203,15.0400503047353,14.2706754891433,13.034168832855,12.9384392812333,13.2202400917411,13.4221143217494,13.7815013289343,11.626870367261,12.452074341917,12.383527948578,11.7584050927027,12.2404668822241,11.6123180238421,13.5892654975916,13.0825952970425,12.7903887811697,13.5888089080726,13.3991037145028,13.5484967635559,13.0624139103122,13.4349831159478,13.0829474903747,13.5903687427109,13.5765474854277,13.247855643762,12.9476628628246,13.4329503806043,12.5113627539402,12.4578319062636,13.0278504905678,11.192915137146,11.3692943819695,11.590095834428,10.85156098129,10.6168313074978,9.75324974930965,9.6557025765513,9.14870761961641,9.90714655744303,10.579188236159,10.7934562425866,10.8816871916434,9.86254027332778,10.4639889943715,10.7011713256543,10.5133520374046,10.779550435768,11.038340613616,11.2325740446506,11.5142226201628,11.6480165770384,10.5432842641668,9.44387654154973,13.3387446940507,15.8762872533126,17.2745504025756,17.3373189843054,15.9079809952002,14.7416049174279,13.1127120388979,15.1239107684721,14.8119690654421,13.3547576062008,13.701980133488,13.9401895555931,13.4871809804814,13.5982743353451,13.5054283138897,13.1660069809345,11.9968823855508,11.6422300770862,11.7310813628874,11.0354007788597,11.0757781106889,10.6054622005951,9.83888117357742,9.78729385281844,9.47563261783566,9.07744000110074,7.91831072745627,7.71910789583498,7.41426077715249,7.06662743762716,7.78565646180999,8.0184941054944,7.74849157212238,8.42317401597185,8.25846077016601,8.38546168310321,8.58843610479894,8.12436312729496,8.70293086602038,8.75894527940749,8.43612390431228,8.26959023250955,7.78544513223225,8.36235721181425,8.90130129430784,8.88649178154729,9.26148528316797,9.80584638869922,9.58787141172296,9.6257646896941,9.2909336228145,9.64602457268253,9.72034613068723],"EWI^FG_PRICE_MAVG(0,,,,30)":37.022667,"EWI^P_PRICE(0)/P_PRICE_LOW_PR(0,,,,,,\"PRICE\",\"INTRA\",\"52W\")-1":0.33138037,"EWN^SIZE(FG_CONSTITUENTS)":53,"TRYFR10Y-FDS^PCTCHG(FG_YIELD(0,,,,\"YTM\"),FG_YIELD(-3AM,,,,\"YTM\"))":-4.752789,"USDEUR^FG_COMPANY_NAME":"Euro per U.S. Dollar","W-FDS^FG_PRICE_CHANGE(0,-3AM)":-24.2150848069289,"CC_SE^IMF_IFS_RCPI_Q(0)":3.39215,"QQQ^FMA_DIV_YLD(NTMA,NOW,NOW,M,\"PORTAGG\",\"MEANR\")":0.844452787498592,"USDSEK^FG_PRICE_CHANGE(0,-3AM)":-3.7943184,"TRYUS10Y-FDS^PCTCHG(FG_YIELD(0,,,,\"YTM\"),FG_YIELD(-3AM,,,,\"YTM\"))":-16.140219,"VWO^FG_PE(0)":15.1562834207055,"USDNZD^FG_COMPANY_NAME":"New Zealand Dollar per U.S. Dollar","BRENT-FDS^FG_PRICE_CHANGE(0,-1AM)":0.0,"FXI^FG_TOTAL_RETURNC(0,-3AM)":-2.6019514,"UUP^P_PRICE(0)/P_PRICE_HIGH_PR(0,,,USD,,,\"PRICE\",\"INTRA\",\"52W\")":0.93452674,"USDANG^FG_PRICE(0)":1.79,"DDR3512M-FDS^FG_PRICE_CHANGE(0,-6AM)":-8.16591187988877,"QQQ^SIZE(FG_CONSTITUENTS)":102,"EWQ^FG_PRICE_MAVG(0,,,,200)":39.426125,"FXI^PERCENT_CHANGE(FMA_EPS(+1,0,,,,\"PORTAGG\",\"MEAN\"),FMA_EPS(+1,-1AM,,,,\"PORTAGG\",\"MEAN\"))":1.51723946425667,"EWC^FMA_COS_UP(\"EPS\",\"1M\",+1,0,,,\"PORTAGG\",\"MEANR\")":44.0,"EWL^FMA_EPS(NTMA,-20AY,0,CY,,\"PORTAGG\",\"MEANR\")":[1.15167978614637,1.184604896687,1.51903625271091,1.83335061944152,1.66417500457453,1.62932904763549,1.96787353815353,1.86668659044302,1.99956682614325,2.16083764016243,2.02137608124255,1.83898355626911,1.75546716180555,2.01138269666406,2.17519879472254,2.28084252382763,2.36864078682371,2.66234515884581,2.58388720632297,2.86470858427176],"EWA^FMA_COS_UP(\"EPS\",\"1M\",+1,0,,,\"PORTAGG\",\"MEANR\")":21.0,"EWJ^FMA_PE(NTMA,0,,,\"PORTAGG\",\"MEANR\")":14.3151012155572,"GLD^FG_TOTAL_RETURNC(0,-6AM)":23.052132,"TRYPH10Y-FDS^FG_YIELD(-10AY,0,Y,,\"YTM\")":[3.8633,4.1,4.6281,5.6986,7.1730304,4.847582,3.4208684,4.796723,6.9293385,6.0028777],"EWQ^FG_TOTAL_RETURNC(0,-3AM)":-0.8145869,"USDCHF^FG_PRICE_CHANGE(0,-6AM)":-3.6340952,"EWA^FG_TOTAL_RETURNC(0,-1AM)":6.28314,"REFSEREPO-FDS^(SUBARRAY(NOT_NA(NO_REPEAT_F(FG_YIELD(NOW,-10AY,D))),0,1)-SUBARRAY(NOT_NA(NO_REPEAT_F(FG_YIELD(NOW,-10AY,D))),1,1))*100":-25.0,"EWI^FMA_EVAL_EBITDA(NTMA,0,,,\"PORTAGG\",\"MEANR\")":7.00678943519516,"TRYGB10Y-FDS^FG_YIELD(-10AY,0,Y,,\"YTM\")":[1.8155,2.0248,1.2817,1.2536,1.3339,0.822,0.197,0.966,3.662,3.534],"WL-FDS^FG_PRICE_MAVG(0,,,,30)":524.7767,"TRYAU10Y-FDS^PCTCHG(FG_YIELD(0,,,,\"YTM\"),FG_YIELD(-3AM,,,,\"YTM\"))":-10.095493,"EWG^JULIAN(FMA_DIV_YLD(NTMA,NOW,NOW,M,\"PORTAGG\",\"MEANR\").DATES)":45530,"CAGDPY@IT^EE_ACTUAL_ANNUAL(MED,0)":0.464184965048982,"EWQ^FMA_PCT_ABOVE_MAVG(200,0,,,,\"PORTAGG\")":50.0,"EWC^FMA_EVAL_EBITDA(NTMA,0,,,\"PORTAGG\",\"MEANR\")":9.76569783023175,"EWQ^P_PRICE_RETURNS_PR('52W',2,-10AY,0,AM)":[11.927187,-0.05798936,-8.857316,-3.2256424,-7.793647,-3.6643744,-5.814022,-6.195468,-6.7140636,-7.908386,-8.535105,-2.9277802,-6.745201,-8.265579,5.712807,-2.4861157,0.19818544,-6.5642414,-12.573981,-6.7851305,-6.7202687,-8.011097,-11.355514,-7.0959272,-1.6913235,3.6038756,-4.3629827,-3.7650585,1.906693,13.413107,12.671757,12.972916,16.032768,21.672153,31.043339,26.598942,26.412928,32.55131,33.27824,36.241913,30.07884,35.726143,29.565084,20.996893,19.372236,8.604431,8.55254,9.299922,10.071516,5.1460624,-8.2344475,-7.755703,-13.676369,-14.861721,-4.8342586,-3.745246,-3.7614405,-4.757726,4.5194983,-0.3480196,-5.0330935,-2.7668357,14.770317,15.377844,27.961004,18.19867,1.2282014,-17.338234,-16.699923,-8.268887,-9.827882,-3.9260626,2.9198408,-5.400711,-13.726878,5.1167727,4.3406487,2.5445938,14.276338,48.946156,52.517937,52.235092,41.559937,34.38276,33.594154,35.972775,49.834454,16.055525,20.102728,17.784214,8.393645,8.690584,-8.985215,-7.539564,-16.23779,-11.986751,-17.438322,-24.538929,-19.015472,-7.5877786,-11.136007,1.9378304,6.801069,5.3925037,22.224545,15.52471,28.883612,28.3046,30.320549,36.30797,16.47358,16.752445,20.348692,9.212435,13.298714,16.743874,5.580008,11.386275,2.5551796,0.4404068,7.4403405],"EWC^FG_PRICE_MAVG(0,,,,30)":38.642666,"URTH^FMA_PCT_ABOVE_MAVG(200,0,,,,\"PORTAGG\")":67.3211781206171,"ENZL^P_PRICE(0)/P_PRICE_LOW_PR(0,,,,,,\"PRICE\",\"INTRA\",\"52W\")-1":0.18839574,"EWC^FG_FCF_YIELD_NTM(0)":5.80959663003586,"CAGDPY@SE^EE_ACTUAL_ANNUAL(MED,+1)":6.15,"ENZL^FG_TOTAL_RETURNC(-10AY,0,AM)":[-0.048953295,-6.343132,3.085494,1.4967084,2.7795672,-2.8250039,5.351174,-0.048840046,-0.7573962,-6.154603,-6.2665405,0.6029248,-6.3070774,-3.1678379,13.494814,-1.6075432,7.998061,-6.778306,3.0225277,12.122881,3.2337785,-1.1623621,4.377401,9.201884,0.94583035,-1.5332162,-7.0717993,-0.9774327,-2.5751412,8.4102745,-0.69060326,-3.0598044,1.8173218,4.0394545,5.960667,2.756071,-1.9852161,1.5298367,-3.0772507,-0.24085045,6.1937213,2.5911093,-0.9856224,1.2028217,-1.7418027,-0.85505843,3.415811,-0.1034081,3.5196662,-2.8000057,-9.074074,8.305049,-2.0938098,4.3884397,2.892816,5.764568,-0.17211437,-3.065139,7.088995,3.2221794,-6.9509926,0.7996917,1.1803389,6.865561,5.9327006,-1.1387169,-7.731241,-18.142986,16.747152,1.6712308,8.22382,7.334292,3.028512,-6.427574,5.8452964,9.275794,5.501652,-1.784426,-7.6366305,-0.55972934,5.0976157,-5.6996465,0.20911694,0.44118166,2.228725,-2.2915304,3.973937,-8.771926,2.5919318,-12.486708,5.6310654,1.1580825,-9.213156,-4.165733,-5.247998,7.2702885,-3.0561268,-9.800559,2.4251103,9.09934,5.2016735,6.1451554,-6.279916,0.44943094,1.5253186,-3.0849278,0.082445145,2.4196863,-6.9450083,-3.0641258,-7.3379993,12.378168,7.337785,-2.629131,-4.6166897,0.9991169,-0.37371516,-0.88261366,1.9776225,-0.8798897,8.211267],"PASP-FDS^MAX(FG_PRICE(0,-5AY))":3158.12,"EWI^FMA_PE(LTM,0,,,\"PORTAGG\",\"MEANR\")":11.3461782161056,"CAGDPY@NL^EE_ACTUAL_ANNUAL(MED,+1)":9.5,"VWO^FG_TOTAL_RETURNC(0,-12AM)":12.100899,"ENZL^P_PRICE(0)/P_PRICE_HIGH_PR(0,,,,,,\"PRICE\",\"INTRA\",\"52W\")":0.9810865,"EWC^FMA_DIV_YLD(NTMA,NOW,NOW,M,\"PORTAGG\",\"MEANR\")":3.15032499205735,"ENZL^JULIAN(FG_TOTAL_RETURNC(-10AY,0,AM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3],"EWA^FG_PRICE(0)":26.05,"EWU^PERCENT_CHANGE(FMA_EPS(+1,0,,,,\"PORTAGG\",\"MEAN\"),FMA_EPS(+1,-1AM,,,,\"PORTAGG\",\"MEAN\"))":2.08397371369741,"EWQ^FMA_DIV_YLD(NTMA,NOW,NOW,M,\"PORTAGG\",\"MEANR\")":3.33717566365683,"CAGDPY@NL^EE_ACTUAL_ANNUAL(MED,0)":9.85408501996988,"CPALM-FDS^FG_PRICE_CHANGE(0,-3AM)":0.471698113207553,"ENZL^PERCENT_CHANGE(FMA_EPS(+1,0,,,,\"PORTAGG\",\"MEAN\"),FMA_EPS(+1,-3AM,,,,\"PORTAGG\",\"MEAN\"))":1.3653213846837,"TRYGB10Y-FDS^FG_YIELD(0,,,,\"YTM\")":3.988,"EWQ^FMA_PE(LTM,0,,,\"PORTAGG\",\"MEANR\")":16.9785614114267,"EWC^FMA_PE(NTMA,0,,,\"PORTAGG\",\"MEANR\")":14.570886500393,"USDCHF^FG_PRICE_CHANGE(0,-3AM)":-7.0744095,"EWI^FMA_DIV_YLD(NTMA,-10AY,0,AM,\"PORTAGG\",\"MEANR\")":[3.58687276806257,3.65692673008838,3.9844462990643,3.87477681546849,4.05193855202883,3.78064644679077,3.41457510831913,3.125377393635,3.19476475548292,3.1795958859064,3.37438331846557,3.23010026788753,3.36161607645676,3.62841633647296,3.55964105371687,3.5514159722485,3.79938978820956,4.4017271090213,4.51023358267433,4.35488020888038,4.31378091072643,4.46586461677135,5.07002309476829,4.7596557895217,4.7844665322188,4.98743852009876,4.72184418267947,4.86934011807984,4.30189669673509,4.35892248650116,4.31029051930143,3.94803293960845,3.91933641965632,3.83574998414522,3.85933669293698,3.77611740327441,3.83099842294314,3.67563943116242,3.80407245657845,3.88790622436544,3.98923373121954,3.73255029834072,3.97217746579567,4.10658130199849,3.89973611984773,4.4739153095238,4.49608845866901,4.3825683159902,4.6468821163243,4.70037028921162,5.07084586437648,5.11495576533126,5.4543874162368,5.0880560616989,4.81990355712117,4.67259052648487,4.63436453652087,5.100473645315,4.84056531922918,4.74982077570667,4.86869677955522,4.74352820058867,4.64847542361789,4.56961812429887,4.44693216965644,4.43213205703168,5.00870337290942,6.32249178308411,5.2174963925638,4.64308221155338,4.34334919763104,4.31479763628359,3.99841115369264,4.20217598856109,4.56357830568491,3.87059193919859,3.93311493651857,4.18450813737488,4.12158272097112,4.0266971265498,4.17511761975796,4.09625271062973,4.11374828784535,4.20048139554794,4.39015084236153,4.5360390589236,4.38394896472426,4.594218274264,4.59285433991443,4.80874726815908,5.07032951742041,5.03238422882457,5.11557226472741,5.09435706025578,5.79665808227738,5.80992713463567,5.82384677065365,6.28025772839109,5.77312539170413,5.54483375042533,5.83546194736085,5.42929540805749,5.57739276786834,5.49430819882341,5.39790572246111,5.68716740384613,5.34838842766694,5.22225193256251,5.45734396200653,5.50587372074155,5.81248357827925,5.50425210435816,5.4807296433606,5.47278881411196,5.32621309107531,5.07952817824143,5.23536127133161,5.29876718302353,5.49637883079903,5.33298322255994,5.37083285427579],"VWO^FMA_PCT_ABOVE_MAVG(200,0,,,,\"PORTAGG\")":40.8393694077546,"EWU^FMA_PCT_ABOVE_MAVG(200,0,,,,\"PORTAGG\")":66.25,"VGK^FMA_COS_UP(\"EPS\",\"1M\",+1,0,,,\"PORTAGG\",\"MEANR\")":427.0,"REFGBBANK-FDS^(SUBARRAY(NOT_NA(NO_REPEAT_F(FG_YIELD(NOW,-10AY,D))),0,1)-SUBARRAY(NOT_NA(NO_REPEAT_F(FG_YIELD(NOW,-10AY,D))),1,1))*100":-25.0,"CAGDPY@GB^EE_ACTUAL_ANNUAL(MED,+1)":-2.65,"REFGBBANK-FDS^PROPER_NAME(0,,,\"SECURITY\",\"NAME\")":"UK Bank Rate","TRYJP10Y-FDS^FG_YIELD(0,,,,\"YTM\")":0.893,"EWQ^JULIAN(FMA_DIV_YLD(NTMA,NOW,NOW,M,\"PORTAGG\",\"MEANR\").DATES)":45530,"EWC^FMA_PE(LTM,0,,,\"PORTAGG\",\"MEANR\")":18.2823413248964,"CPALM-FDS^FG_PRICE(0)":4047.0,"VGK^FG_TOTAL_RETURNC(0,-12AM)":18.860376,"EWL^FG_TOTAL_RETURNC(0,-12AM)":15.836584,"EWI^SIZE(FG_CONSTITUENTS)":26,"EWD^FMA_RBICS_REV_CURRENT(30, LOC, \"PORTAGG\")":27.5589453559563,"CAGDPY@GB^EE_ACTUAL_ANNUAL(MED,0)":-3.3,"USDJPY^FG_PRICE_CHANGE(0,-1AY)":-0.6390214,"EWQ^FMA_DIV_YLD(NTMA,-10AY,0,AM,\"PORTAGG\",\"MEANR\")":[3.53449264250309,3.60642241787376,3.79245477632353,3.56431452312046,3.6137803169295,3.34695905287827,3.12865411889008,3.19378604686373,3.25936036402556,3.29678485145618,3.40140349581537,3.31628632424072,3.59015840176273,3.86679485130894,3.44599857925435,3.40791727778393,3.5545243458729,3.76745889317465,3.82314253795407,3.79176097937437,3.72354967436848,3.6820882209492,3.94708425680415,3.72646040247659,3.74980287770418,3.73046198304488,3.70661878784429,3.688641076478,3.48663397649763,3.47527578284128,3.51220981378499,3.3841796787393,3.26205326860896,3.23198180743746,3.36778203017407,3.3835391734679,3.46161170784297,3.2946530053581,3.24307618743418,3.29574737662011,3.32111484492617,3.21234849816491,3.36432495116874,3.4649735497601,3.31632075908034,3.37589832875501,3.46150214120478,3.36982915012033,3.39356509019616,3.43057471304561,3.78522223718089,3.78888782182625,4.04822311899557,3.84223095530803,3.63806080754626,3.60714051352918,3.47063957355959,3.7199495581519,3.52589895119471,3.5047856256123,3.62507544569111,3.50862384277518,3.44725553313298,3.37893159187036,3.32075569020494,3.36007587155647,3.72782087677705,4.39591839734673,3.51148115927034,3.32473580215534,3.16080354602117,3.12354814622197,3.11206784043943,3.28315424173129,3.46614540391083,2.86594112571329,2.90449557545226,3.02601493560582,2.88006278485536,2.77370333923732,2.68498394565805,2.66882639191992,2.68400170628429,2.69450488217034,2.75791849640837,2.8494374154462,2.78564323441223,2.86772298536865,2.73696707949631,2.87554980172638,3.08298630312566,3.03576432147956,3.14918620624511,3.19031015269252,3.48080440489892,3.285599734676,3.46061876236672,3.82864411984234,3.49612863278984,3.29252884508624,3.33254747397433,3.10197589553721,3.15712768282323,3.22819746926736,3.11736703334176,3.25052866940322,3.26452439937645,3.23244609194429,3.30801554772023,3.42144304778843,3.58907671426783,3.35887510654443,3.2303869117415,3.17472632879551,3.13245542873567,3.0531297120642,3.12184304164532,3.18592127180822,3.39405850434892,3.40237667824497,3.35552331850763],"REFCHMPR-FDS^(SUBARRAY(NOT_NA(NO_REPEAT_F(FG_YIELD(NOW,-10AY,D))),0,1)-SUBARRAY(NOT_NA(NO_REPEAT_F(FG_YIELD(NOW,-10AY,D))),1,1))*100":-25.0,"SPY^FMA_EVAL_EBIT(LTMA,NOW,NOW,M,\"PORTAGG\",\"MEANR\")":20.9862401211732,"W-FDS^MAX(FG_PRICE(0,-5AY))":14.2525,"VGK^P_PRICE(0)/P_PRICE_LOW_PR(0,,,,,,\"PRICE\",\"INTRA\",\"52W\")-1":0.28532505,"EWL^P_PRICE(0)/P_PRICE_LOW_PR(0,,,,,,\"PRICE\",\"INTRA\",\"52W\")-1":0.27027678,"EWI^FMA_COS_DOWN(\"EPS\",\"1M\",+1,0,,,\"PORTAGG\",\"MEANR\")":7.0,"EWJ^FG_ROE(0)":9.34841890927651,"CAGDPY@CH^EE_ACTUAL_ANNUAL(MED,0)":6.98087557861584,"USDJPY^FG_PRICE(0)":145.385,"SPY^FMA_DIV_YLD(NTMA,-10AY,0,AM,\"PORTAGG\",\"MEANR\")":[2.08613123405872,2.12937693039832,2.14189578642781,2.07002631581591,2.0680933957143,2.16375759886847,2.09873762013911,2.19605947647737,2.14862876423484,2.1596182086592,2.21998032604999,2.18401485147453,2.32980610957663,2.47274902491464,2.23783932054705,2.26973449566627,2.27640297797762,2.45182025901469,2.47519773454617,2.47519773454617,2.29270141173246,2.26932855728746,2.31263725945446,2.21237101127921,2.21111441796507,2.23797538893244,2.27525181909795,2.20902614044826,2.17813894557729,2.15083471997405,2.10455079975663,2.11477117249291,2.10879459552998,2.0939789692741,2.10621630619407,2.0833066114422,2.11758022867729,2.06074268842083,2.02373699685138,1.98743180911749,1.9630925267995,1.86366230926016,1.98433360458719,2.05715340307065,2.05587288441969,2.05793025473945,2.05172486254481,2.00019565306877,1.94700692160839,1.95598188865906,2.18035993261037,2.10375816465922,2.33784327559332,2.21310039138251,2.10759963480262,2.08594448799516,2.02695435818052,2.15345449073457,2.04816008865621,2.00568935242467,2.08063231098013,2.06091678882782,2.02683710373055,1.9756997976927,1.92659429253257,1.92155771702071,2.14572950135165,2.4777813634037,2.08412587734575,1.98317131648159,1.96492324997882,1.82339545443899,1.69965822874651,1.78763741581046,1.80968996230454,1.64990023811296,1.58941421417244,1.60434742748732,1.57925339445456,1.52248506868596,1.44945240007585,1.45861702850367,1.44337972651529,1.42041193669121,1.40218617436394,1.45526004545669,1.39349387351684,1.38332187552058,1.34694786773899,1.47575119430097,1.51104855856517,1.42354233206835,1.59898244956486,1.59571010642718,1.75683330446515,1.63248460107917,1.6930612328695,1.88138455878428,1.7707088985777,1.7523784430395,1.80400550934924,1.71561595661175,1.7686139335101,1.7479745997526,1.69249471167089,1.68529154979438,1.61553028584096,1.55892674435046,1.59754434808977,1.68913045967076,1.76478752624789,1.60175681169562,1.54364922666662,1.50194151959414,1.47142307325458,1.42713213163734,1.48796980580968,1.44367653321558,1.40768185019047,1.41657192959201,1.37946466302865],"EWL^FG_TOTAL_RETURNC(0,-3AM)":12.923681,"SPY^FMA_EVAL_EBITDA(NTMA,0,,,\"PORTAGG\",\"MEANR\")":14.460169873561,"EWC^FMA_DIV_YLD(NTMA,-10AY,0,AM,\"PORTAGG\",\"MEANR\")":[2.75013004366271,2.87549346177884,2.98982336011257,2.94726098853546,2.93374790167422,2.97926796930909,2.84975029796081,2.94880403440373,2.81336369953463,2.9035305544884,3.01761063071885,3.11562931915344,3.15492870358546,3.38228261251717,3.19763334416641,3.31381762917627,3.33150414545434,3.35714533709028,3.34256100760867,3.16715824627692,3.05014927767596,3.02661244899757,3.08031867373022,2.97221708976925,2.9504054302299,2.92895843339913,2.92769418489753,2.88617476684592,2.82228199954817,2.80252020523353,2.88074790409572,2.89385841892924,2.93573978875242,2.92460093336778,3.03983135200613,3.04942668385022,3.08187259007426,2.98033222192467,2.92549746889418,2.93939695591726,2.90768089224411,2.94390903678617,3.13272547253015,3.18679481647357,3.1393849930569,3.11266586494903,3.06731781683034,3.07079172608658,3.09444392811897,3.17398287086951,3.48662717353365,3.38926990555538,3.62960202174541,3.34217551711028,3.27702630141593,3.28183325236327,3.17951724635356,3.3558003421476,3.31897631701878,3.32959324386531,3.39213479429932,3.3268529993569,3.37054226229242,3.24688046235831,3.24160198244809,3.23860491092579,3.54561819129622,4.56688179580767,3.75626884634437,3.64801319633486,3.57743118838986,3.38992420740988,3.30930113758765,3.43080282657168,3.529313464535,3.17236282210262,3.11515554205945,3.14992608623059,2.9804457227924,2.84899749594978,2.73996217899389,2.62112529194407,2.70920830304046,2.70031986943881,2.72646072094658,2.81880353539334,2.74364001794742,2.77017706135207,2.76845543653867,2.88231641838468,2.87507502204958,2.81064773395395,3.07116332644503,3.10288528098664,3.38565173407243,3.32211746054201,3.37332143655997,3.63074056956856,3.44180783961037,3.29918183331999,3.45060054854333,3.27844192565659,3.35358543408163,3.39073878257973,3.22713896148343,3.3340590258903,3.29264536723386,3.15349651974272,3.50101168973921,3.63507319957846,3.80884660950414,3.50552295350669,3.35843963849127,3.31239260592349,3.25820911474263,3.10719119270513,3.09541254878962,3.26374494833736,3.34950759018179,3.2249682776258,3.15964024502855],"W-FDS^FG_PRICE_CHANGE(0,-1AY)":-7.85432207108381,"EWI^FMA_COS_UP(\"EPS\",\"1M\",+1,0,,,\"PORTAGG\",\"MEANR\")":12.0,"EWG^FG_ROE(0)":10.7667267252775,"REFCHMPR-FDS^PROPER_NAME(0,,,\"SECURITY\",\"NAME\")":"Swiss Policy Rate - Sight Deposit Rate","DBA^FG_TOTAL_RETURNC(0,-6AM)":12.128043,"EWD^FMA_PE(NTMA,-10AY,0,AM,\"PORTAGG\",\"MEANR\")":[14.7457568698236,14.5531033798052,14.4454945216643,15.6989876845885,15.7744000208695,16.171040317399,17.3936140410266,16.9545597539632,15.9476540578821,16.4926284571713,15.5464548105308,15.809778978784,14.9965770666275,13.8730992366131,15.4017512338316,15.5641889758175,15.0261046652154,14.5798742716645,15.1632909635731,14.8532741525922,15.2560793560229,15.0941833698299,14.3485672325312,15.2593380109794,15.420307915822,15.624836630138,16.2347847568305,15.9826380093637,16.424532560606,16.3948013417411,16.3898648505327,17.1350019210313,17.090100577415,18.0171480827448,16.5201185066963,16.1686002397141,15.527577465035,16.8113671936394,17.3207387816282,16.573902426218,16.113894235022,16.6689299160921,16.3892673839327,15.8207495332629,15.9748155896869,15.5827031058785,15.3503417864848,15.6151325209726,16.0199325725503,15.8808559138146,14.0809130922592,14.1915621293259,13.3263765362382,14.01717215435,14.7869103765623,14.6835089300983,15.8948738932569,14.3328236748467,15.0017797984324,15.0584291660687,13.7512240655399,15.0453002048751,15.7674486136389,15.6167541320281,16.3488040699666,16.2492114445815,15.0630381290316,13.5125281930114,17.3171449480634,18.5148241565065,19.3609126176098,18.7583191295647,18.2147545514288,18.4138837559341,16.1581038836843,17.5033495810956,17.3199356158423,18.432346274444,18.7197263433983,20.0974331697043,18.8962133285467,18.4647860649019,18.7405183741818,18.5648229161331,18.5375913756903,17.7627464691348,18.1312430623354,18.1587274996516,18.6097938446093,16.410150248422,15.09071169184,15.4373461309641,14.5433017398059,16.1191446210384,14.3236751130013,15.475397438393,14.0577078785891,12.7757624614638,13.2058547675843,12.9299144510863,12.8387678257836,14.0768479507097,14.0822005508063,13.3758039909305,13.7653836087039,13.539760546032,13.4420820288463,13.4139237253275,12.8091602570811,12.9090225088888,12.3913850859726,13.4775505387575,15.7259900145403,15.4696094009987,16.2650688356761,16.4211459844151,16.0949492914779,16.0453762657209,15.9641918478139,16.1138481716497,16.1460361031552],"EWN^P_PRICE(0)/P_PRICE_LOW_PR(0,,,,,,\"PRICE\",\"INTRA\",\"52W\")-1":0.39129233,"TRYFR10Y-FDS^PCTCHG(FG_YIELD(0,,,,\"YTM\"),FG_YIELD(-1AM,,,,\"YTM\"))":-2.7361522,"TRYBR10Y-FDS^FG_YIELD(-10AY,0,Y,,\"YTM\")":[12.319731,15.989595,11.062725,9.887577,8.936093,6.883678,6.961219,10.970291,12.900059,10.455909],"BRENT-FDS^FG_PRICE_CHANGE(0,-3AM)":0.0,"EWD^FG_PRICE_MAVG(0,,,,60)":40.432667,"FXI^FG_TOTAL_RETURNC(0,-12AM)":-2.9885292,"EWQ^FMA_COS_UP(\"EPS\",\"1M\",+1,0,,,\"PORTAGG\",\"MEANR\")":26.0,"QQQ^FMA_PE(NTMA,0,,,\"PORTAGG\",\"MEANR\")":26.0421999475104,"TRYMY10Y-FDS^FG_YIELD(-10AY,0,Y,,\"YTM\")":[4.131911,4.345605,4.195897,3.902544,4.235642,3.300551,2.804181,3.573893,4.131847,3.727505],"USDSEK^FG_PRICE_CHANGE(0,-1AM)":-5.3782406,"ENZL^JULIAN(FMA_DIV_YLD(LTMA,-10AY,0,AM,\"PORTAGG\",\"MEANR\").DATES)":[41880,41911,41941,41971,42002,42033,42062,42090,42123,42153,42184,42214,42244,42276,42306,42335,42367,42398,42429,42458,42489,42517,42550,42580,42611,42642,42671,42703,42733,42762,42794,42823,42853,42881,42915,42944,42976,43007,43035,43068,43098,43129,43159,43188,43217,43249,43280,43308,43341,43371,43402,43433,43462,43494,43524,43553,43584,43614,43644,43675,43706,43735,43767,43798,43826,43859,43889,43917,43950,43980,44011,44041,44071,44103,44133,44162,44194,44225,44253,44284,44315,44344,44376,44406,44435,44468,44498,44529,44559,44589,44620,44649,44680,44708,44741,44771,44802,44833,44862,44894,44924,44953,44985,45014,45044,45072,45106,45135,45167,45198,45226,45259,45289,45320,45351,45379,45411,45441,45471,45502,45530],"EWN^P_PRICE(0)/P_PRICE_HIGH_PR(0,,,,,,\"PRICE\",\"INTRA\",\"52W\")":0.95210266,"TRYFR10Y-FDS^FG_YIELD_NAME":"France Benchmark Bond - 10 Year","EWU^FMA_EVAL_EBIT(LTMA,NOW,NOW,M,\"PORTAGG\",\"MEANR\")":10.8404104322897,"EWD^FG_PRICE_MAVG(0,,,,30)":40.025333,"EWN^PERCENT_CHANGE(FMA_EPS(+1,0,,,,\"PORTAGG\",\"MEAN\"),FMA_EPS(+1,-1AM,,,,\"PORTAGG\",\"MEAN\"))":4.80821214329348,"EWC^PERCENT_CHANGE(FMA_EPS(+1,0,,,,\"PORTAGG\",\"MEAN\"),FMA_EPS(+1,-3AM,,,,\"PORTAGG\",\"MEAN\"))":2.14284497058983,"USDANG^FG_PRICE_CHANGE(0,-6AM)":0.0,"DDR3512M-FDS^FG_PRICE_CHANGE(0,-1AY)":-6.80656571828211,"EWD^FG_PRICE(0)":42.07,"EWN^FMA_PCT_ABOVE_MAVG(200,0,,,,\"PORTAGG\")":50.9433962264151,"EWC^PERCENT_CHANGE(FMA_EPS(+1,0,,,,\"PORTAGG\",\"MEAN\"),FMA_EPS(+1,-1AM,,,,\"PORTAGG\",\"MEAN\"))":3.73126981600836,"VGK^FG_PE_NTM(0,,,90,0)":13.3861639182105,"EWQ^FMA_EPS(NTMA,-20AY,0,CY,,\"PORTAGG\",\"MEANR\")":[2.02293794620879,2.09338204215347,2.69740018358616,3.1669085058651,2.36664992614361,2.07401175960449,2.36258917800502,2.15605314606315,2.15764377090538,2.15768724966229,1.78907537429816,1.66363137331966,1.69319582409989,2.10907755629154,2.23155948612122,2.19705970688086,1.85109750447789,2.46081748750493,2.8026651908005,2.92070467991761],"FXI^FG_TOTAL_RETURNC(0,-1AM)":3.012526,"EWJ^FMA_DIV_YLD(NTMA,NOW,NOW,M,\"PORTAGG\",\"MEANR\")":2.40927940416505,"UUP^FG_TOTAL_RETURNC(0,-6AM)":0.3559947,"USDANG^FG_COMPANY_NAME":"Netherlands Antilles Guilder per U.S. Dollar","EWQ^P_PRICE(0)/P_PRICE_LOW_PR(0,,,,,,\"PRICE\",\"INTRA\",\"52W\")-1":0.18330371,"DDR3512M-FDS^FG_PRICE_CHANGE(0,-3AM)":-7.46402071159002,"EWA^P_PRICE(0)/P_PRICE_LOW_PR(0,,,,,,\"PRICE\",\"INTRA\",\"52W\")-1":0.273216,"VGK^JULIAN(FMA_DIV_YLD(NTMA,NOW,NOW,M,\"PORTAGG\",\"MEANR\").DATES)":45504,"WL-FDS^FG_PRICE_CHANGE(0,-1AY)":-23.1342254104014,"FXI^FMA_PCT_ABOVE_MAVG(200,0,,,,\"PORTAGG\")":62.7450980392157,"TRYCH10Y-FDS^PCTCHG(FG_YIELD(0,,,,\"YTM\"),FG_YIELD(-3AM,,,,\"YTM\"))":-50.68493,"EWG^FMA_EPS(NTMA,-20AY,0,CY,,\"PORTAGG\",\"MEANR\")":[1.52066411043583,1.60643474084628,2.11909900762238,2.80661608339197,1.99715132688841,1.74300870329695,2.17390808983831,2.1750966873774,2.27358500860511,2.40616014173578,2.13415894814862,1.96165601541568,1.94158660997406,2.40362877806351,2.32116072306873,2.08815829612982,1.98003612030208,2.44944590598376,2.36386839889078,2.65638349123077],"EWJ^FG_PRICE_MAVG(0,,,,200)":67.39105,"EWI^FMA_EVAL_EBIT(LTMA,NOW,NOW,M,\"PORTAGG\",\"MEANR\")":11.273514592503,"EWG^FMA_DIV_YLD(NTMA,NOW,NOW,M,\"PORTAGG\",\"MEANR\")":3.37341654193881,"WL-FDS^FG_PRICE_CHANGE(0,-6AM)":-9.41310356039667,"EWQ^FG_TOTAL_RETURNC(0,-1AM)":4.212451,"EWC^FMA_EPS(NTMA,-20AY,0,CY,,\"PORTAGG\",\"MEANR\")":[1.20309203563583,1.51116357259943,1.75142389864603,2.13167450038286,1.71974218387406,1.79551827424964,2.09754276006241,2.2894893869441,2.21761530023934,2.02017545762442,1.86130476812284,1.52246252495242,1.66157074539786,1.86172454535832,1.97740509819126,2.07393921799229,1.95784087398727,2.66448337817763,2.74920456102042,2.68301216298059],"EWJ^FG_PRICE_MAVG(0,,,,60)":68.6935,"EWA^PERCENT_CHANGE(FMA_EPS(+1,0,,,,\"PORTAGG\",\"MEAN\"),FMA_EPS(+1,-3AM,,,,\"PORTAGG\",\"MEAN\"))":-1.64875384862388,"TRYCA10Y-FDS^PCTCHG(FG_YIELD(0,,,,\"YTM\"),FG_YIELD(-3AM,,,,\"YTM\"))":-16.746964,"EWG^FMA_PE(NTMA,0,,,\"PORTAGG\",\"MEANR\")":11.9030285004895,"TRYZA10Y-FDS^JULIAN(FG_YIELD(-10AY,0,CY,,\"YTM\").DATES)":[42004,42369,42734,43098,43465,43830,44196,44561,44925,45289],"URTH^FG_TOTAL_RETURNC(0,-3AM)":6.4813375,"EWQ^PERCENT_CHANGE(FMA_EPS(+1,0,,,,\"PORTAGG\",\"MEAN\"),FMA_EPS(+1,-3AM,,,,\"PORTAGG\",\"MEAN\"))":-2.23496746471884,"REFSEREPO-FDS^FG_YIELD(NOW,,,0)":3.5,"EWI^FG_FCF_YIELD_NTM(0)":5.53629189196255,"EWC^FG_PRICE_MAVG(0,,,,60)":38.0575,"ENZL^FG_TOTAL_RETURNC(0,-12AM)":9.774804,"USDGBP^FG_COMPANY_NAME":"British Pounds per U.S. Dollar","EWA^JULIAN(FMA_EPS(NTMA,-20AY,0,CY,,\"PORTAGG\",\"MEANR\").DATES)":[38352,38716,39080,39447,39813,40178,40543,40907,41274,41639,42004,42369,42734,43098,43465,43830,44196,44561,44925,45289],"WL-FDS^FG_PRICE(0)":557.2,"EWI^FMA_DIV_YLD(NTMA,NOW,NOW,M,\"PORTAGG\",\"MEANR\")":5.34971634812909,"DUMMY^ECON_DATE(45503,,, 'MM/YYYY')":"07/2024","DUMMY^ECON_DATE(45412,,, 'MM/YYYY')":"04/2024","DUMMY^ECON_EXPR_DATA('FDS_ECON[NTCPMIMFGSA@NZ]',07/2024,,Q)":45.437874,"DUMMY^ECON_EXPR_DATA('FDS_ECON[NTCPMIMFGSA@NZ]',04/2024,,Q)":47.78823,"DUMMY^ECON_EXPR_DATA('FDS_ECON[NTCPMIMFGSA@AU]',07/2024,,Q)":48.811333,"DUMMY^ECON_EXPR_DATA('FDS_ECON[NTCPMIMFGSA@AU]',04/2024,,Q)":48.39547,"DUMMY^ECON_EXPR_DATA('FDS_ECON[NTCPMIMFGSA@CA]',07/2024,,Q)":49.331886,"DUMMY^ECON_EXPR_DATA('FDS_ECON[NTCPMIMFGSA@CA]',04/2024,,Q)":49.30091,"DUMMY^ECON_EXPR_DATA('FDS_ECON[NTCPMIMFGSA@DE]',07/2024,,Q)":43.782,"DUMMY^ECON_EXPR_DATA('FDS_ECON[NTCPMIMFGSA@DE]',04/2024,,Q)":43.319096,"DUMMY^ECON_EXPR_DATA('FDS_ECON[NTCPMIMFGSA@JP]',07/2024,,Q)":49.991356,"DUMMY^ECON_EXPR_DATA('FDS_ECON[NTCPMIMFGSA@JP]',04/2024,,Q)":47.808857,"DUMMY^ECON_EXPR_DATA('FDS_ECON[NTCPMIMFGSA@CH]',07/2024,,Q)":43.896877,"DUMMY^ECON_EXPR_DATA('FDS_ECON[NTCPMIMFGSA@CH]',04/2024,,Q)":44.08605,"DUMMY^ECON_EXPR_DATA('FDS_ECON[NTCPMIMFGSA@GB]',07/2024,,Q)":50.395269999999996,"DUMMY^ECON_EXPR_DATA('FDS_ECON[NTCPMIMFGSA@GB]',04/2024,,Q)":48.24796,"DUMMY^ECON_EXPR_DATA('FDS_ECON[NTCPMIMFGMESA@US]',07/2024,,Q)":50.939392,"DUMMY^ECON_EXPR_DATA('FDS_ECON[NTCPMIMFGMESA@US]',04/2024,,Q)":51.582687,"DUMMY^ECON_EXPR_DATA('FDS_ECON[NTCPMIMFGSA@FR]',07/2024,,Q)":45.684513,"DUMMY^ECON_EXPR_DATA('FDS_ECON[NTCPMIMFGSA@FR]',04/2024,,Q)":45.498753,"DUMMY^ECON_EXPR_DATA('FDS_ECON[NTCPMIMFGSA@NL]',07/2024,,Q)":51.49388,"DUMMY^ECON_EXPR_DATA('FDS_ECON[NTCPMIMFGSA@NL]',04/2024,,Q)":49.325874,"DUMMY^ECON_EXPR_DATA('FDS_ECON[]',07/2024,,Q)":null,"DUMMY^ECON_EXPR_DATA('FDS_ECON[]',04/2024,,Q)":null,"DUMMY^ECON_EXPR_DATA('FDS_ECON[NTCPMIMFGSA@IT]',07/2024,,Q)":46.215786,"DUMMY^ECON_EXPR_DATA('FDS_ECON[NTCPMIMFGSA@IT]',04/2024,,Q)":49.208153,"DUMMY^ECON_EXPR_DATA('FDS_ECON[PMIDMMANHE]',07/2024,,Q)":49.418633,"DUMMY^ECON_EXPR_DATA('FDS_ECON[PMIDMMANHE]',04/2024,,Q)":49.13539,"DUMMY^ECON_EXPR_DATA('FDS_ECON[NTCPMIMFGSA@EME]',07/2024,,Q)":52.007824,"DUMMY^ECON_EXPR_DATA('FDS_ECON[NTCPMIMFGSA@EME]',04/2024,,Q)":51.519516}]]></FdsFormulaCache>
</file>

<file path=customXml/itemProps1.xml><?xml version="1.0" encoding="utf-8"?>
<ds:datastoreItem xmlns:ds="http://schemas.openxmlformats.org/officeDocument/2006/customXml" ds:itemID="{D4481ED5-1F92-4313-BE45-4485F3C6614A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Charts</vt:lpstr>
      </vt:variant>
      <vt:variant>
        <vt:i4>1</vt:i4>
      </vt:variant>
    </vt:vector>
  </HeadingPairs>
  <TitlesOfParts>
    <vt:vector size="28" baseType="lpstr">
      <vt:lpstr>Assumption</vt:lpstr>
      <vt:lpstr>Aset class Rankings</vt:lpstr>
      <vt:lpstr>Asset class</vt:lpstr>
      <vt:lpstr>OUTPUT_COUNTRY</vt:lpstr>
      <vt:lpstr>PORTFOLIO</vt:lpstr>
      <vt:lpstr>OUTPUT_PPT</vt:lpstr>
      <vt:lpstr>mnemonics</vt:lpstr>
      <vt:lpstr>Value -2 </vt:lpstr>
      <vt:lpstr>LIQIDITY 2</vt:lpstr>
      <vt:lpstr>Quality - 2</vt:lpstr>
      <vt:lpstr>Momnetum ranking</vt:lpstr>
      <vt:lpstr>Safety</vt:lpstr>
      <vt:lpstr>Timing</vt:lpstr>
      <vt:lpstr>Leading Indicator</vt:lpstr>
      <vt:lpstr>t -PE</vt:lpstr>
      <vt:lpstr>Forwa Pe</vt:lpstr>
      <vt:lpstr>DY </vt:lpstr>
      <vt:lpstr>Monthly Returns</vt:lpstr>
      <vt:lpstr>Yearly returns</vt:lpstr>
      <vt:lpstr>Index earnings</vt:lpstr>
      <vt:lpstr>GDP_GROWTH</vt:lpstr>
      <vt:lpstr>Currency- 2</vt:lpstr>
      <vt:lpstr>CAD</vt:lpstr>
      <vt:lpstr>Country Int rates </vt:lpstr>
      <vt:lpstr>Index ROE</vt:lpstr>
      <vt:lpstr>Economic Momentum</vt:lpstr>
      <vt:lpstr>Market Capitalisation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ETF</cp:keywords>
  <cp:lastModifiedBy>prasham jain</cp:lastModifiedBy>
  <dcterms:created xsi:type="dcterms:W3CDTF">2023-02-28T05:25:38Z</dcterms:created>
  <dcterms:modified xsi:type="dcterms:W3CDTF">2024-08-30T11:36:49Z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