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690C1C6-B310-48F7-89CB-F82601EACC5A}" xr6:coauthVersionLast="47" xr6:coauthVersionMax="47" xr10:uidLastSave="{00000000-0000-0000-0000-000000000000}"/>
  <bookViews>
    <workbookView xWindow="38290" yWindow="-110" windowWidth="29020" windowHeight="15700" firstSheet="20" activeTab="28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Risk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Economic Momentum (2)" sheetId="61" r:id="rId29"/>
    <sheet name="Market Capitalisation" sheetId="57" r:id="rId30"/>
  </sheets>
  <definedNames>
    <definedName name="_xlnm._FilterDatabase" localSheetId="11" hidden="1">'Momnetum ranking'!$A$2:$AI$18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D12" i="57" a="1"/>
  <c r="D11" i="57" a="1"/>
  <c r="G11" i="57" a="1"/>
  <c r="G10" i="57" a="1"/>
  <c r="G14" i="57" a="1"/>
  <c r="D13" i="57" a="1"/>
  <c r="G13" i="57" a="1"/>
  <c r="G12" i="57" a="1"/>
  <c r="D10" i="57" a="1"/>
  <c r="D9" i="57" a="1"/>
  <c r="G9" i="57" a="1"/>
  <c r="D8" i="57" a="1"/>
  <c r="G7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8" i="57" a="1"/>
  <c r="D7" i="57" a="1"/>
  <c r="D6" i="57" a="1"/>
  <c r="G6" i="57" a="1"/>
  <c r="D5" i="57" a="1"/>
  <c r="D5" i="57" l="1"/>
  <c r="G6" i="57"/>
  <c r="D6" i="57"/>
  <c r="D7" i="57"/>
  <c r="G8" i="57"/>
  <c r="D17" i="57"/>
  <c r="E17" i="57"/>
  <c r="B17" i="57"/>
  <c r="G2" i="57"/>
  <c r="D2" i="57"/>
  <c r="G3" i="57"/>
  <c r="D3" i="57"/>
  <c r="G4" i="57"/>
  <c r="D4" i="57"/>
  <c r="G5" i="57"/>
  <c r="G7" i="57"/>
  <c r="D8" i="57"/>
  <c r="G9" i="57"/>
  <c r="D9" i="57"/>
  <c r="D10" i="57"/>
  <c r="G12" i="57"/>
  <c r="G13" i="57"/>
  <c r="D13" i="57"/>
  <c r="G14" i="57"/>
  <c r="G10" i="57"/>
  <c r="G11" i="57"/>
  <c r="D11" i="57"/>
  <c r="D12" i="57"/>
  <c r="D14" i="57"/>
  <c r="G17" i="57"/>
  <c r="M16" i="61" a="1"/>
  <c r="M4" i="61" a="1"/>
  <c r="M12" i="61" a="1"/>
  <c r="M14" i="61" a="1"/>
  <c r="M11" i="61" a="1"/>
  <c r="M5" i="61" a="1"/>
  <c r="M13" i="61" a="1"/>
  <c r="M8" i="61" a="1"/>
  <c r="M6" i="61" a="1"/>
  <c r="M10" i="61" a="1"/>
  <c r="M9" i="61" a="1"/>
  <c r="M7" i="61" a="1"/>
  <c r="M7" i="61" l="1"/>
  <c r="M9" i="61"/>
  <c r="M10" i="61"/>
  <c r="M6" i="61"/>
  <c r="M8" i="61"/>
  <c r="M13" i="61"/>
  <c r="M5" i="61"/>
  <c r="M11" i="61"/>
  <c r="M14" i="61"/>
  <c r="M12" i="61"/>
  <c r="M4" i="61"/>
  <c r="M16" i="61"/>
  <c r="J20" i="61" a="1"/>
  <c r="J19" i="61" a="1"/>
  <c r="J13" i="61" a="1"/>
  <c r="J9" i="61" a="1"/>
  <c r="J7" i="61" a="1"/>
  <c r="J4" i="61" a="1"/>
  <c r="J15" i="61" a="1"/>
  <c r="J16" i="61" a="1"/>
  <c r="J11" i="61" a="1"/>
  <c r="J14" i="61" a="1"/>
  <c r="J8" i="61" a="1"/>
  <c r="J12" i="61" a="1"/>
  <c r="J6" i="61" a="1"/>
  <c r="J10" i="61" a="1"/>
  <c r="J5" i="61" a="1"/>
  <c r="J5" i="61" l="1"/>
  <c r="J10" i="61"/>
  <c r="J6" i="61"/>
  <c r="J12" i="61"/>
  <c r="J8" i="61"/>
  <c r="J14" i="61"/>
  <c r="J11" i="61"/>
  <c r="J16" i="61"/>
  <c r="J15" i="61"/>
  <c r="J4" i="61"/>
  <c r="J7" i="61"/>
  <c r="J9" i="61"/>
  <c r="J13" i="61"/>
  <c r="J19" i="61"/>
  <c r="J20" i="61"/>
  <c r="M15" i="61" a="1"/>
  <c r="M15" i="61" l="1"/>
  <c r="M16" i="48" a="1"/>
  <c r="M12" i="48" a="1"/>
  <c r="M9" i="48" a="1"/>
  <c r="M5" i="48" a="1"/>
  <c r="M13" i="48" a="1"/>
  <c r="M10" i="48" a="1"/>
  <c r="M4" i="48" a="1"/>
  <c r="M14" i="48" a="1"/>
  <c r="M8" i="48" a="1"/>
  <c r="M11" i="48" a="1"/>
  <c r="M7" i="48" a="1"/>
  <c r="M6" i="48" a="1"/>
  <c r="M6" i="48" l="1"/>
  <c r="M7" i="48"/>
  <c r="M11" i="48"/>
  <c r="M8" i="48"/>
  <c r="M14" i="48"/>
  <c r="M4" i="48"/>
  <c r="M10" i="48"/>
  <c r="M13" i="48"/>
  <c r="M5" i="48"/>
  <c r="M9" i="48"/>
  <c r="M12" i="48"/>
  <c r="M16" i="48"/>
  <c r="L2" i="61"/>
  <c r="L1" i="61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Q23" i="12" a="1"/>
  <c r="Q19" i="12" a="1"/>
  <c r="Q13" i="12" a="1"/>
  <c r="J20" i="48" a="1"/>
  <c r="M2" i="38" a="1"/>
  <c r="AK4" i="9" a="1"/>
  <c r="U4" i="9" a="1"/>
  <c r="E4" i="9" a="1"/>
  <c r="M21" i="12" a="1"/>
  <c r="L14" i="12" a="1"/>
  <c r="M3" i="12" a="1"/>
  <c r="E12" i="12" a="1"/>
  <c r="J7" i="39" a="1"/>
  <c r="H4" i="39" a="1"/>
  <c r="M14" i="28" a="1"/>
  <c r="L9" i="28" a="1"/>
  <c r="K4" i="28" a="1"/>
  <c r="E15" i="28" a="1"/>
  <c r="E7" i="28" a="1"/>
  <c r="O9" i="1" a="1"/>
  <c r="H14" i="1" a="1"/>
  <c r="F12" i="1" a="1"/>
  <c r="K9" i="1" a="1"/>
  <c r="I7" i="1" a="1"/>
  <c r="D23" i="1" a="1"/>
  <c r="D14" i="49" a="1"/>
  <c r="E6" i="60" a="1"/>
  <c r="O23" i="12" a="1"/>
  <c r="G11" i="12" a="1"/>
  <c r="D15" i="28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P23" i="12" a="1"/>
  <c r="P19" i="12" a="1"/>
  <c r="P13" i="12" a="1"/>
  <c r="P9" i="12" a="1"/>
  <c r="P5" i="12" a="1"/>
  <c r="K9" i="12" a="1"/>
  <c r="F19" i="12" a="1"/>
  <c r="G6" i="12" a="1"/>
  <c r="B11" i="12" a="1"/>
  <c r="C14" i="39" a="1"/>
  <c r="H9" i="28" a="1"/>
  <c r="J19" i="1" a="1"/>
  <c r="G5" i="1" a="1"/>
  <c r="C16" i="55" a="1"/>
  <c r="C10" i="40" a="1"/>
  <c r="E10" i="60" a="1"/>
  <c r="C16" i="13" a="1"/>
  <c r="O19" i="12" a="1"/>
  <c r="L21" i="12" a="1"/>
  <c r="M8" i="12" a="1"/>
  <c r="E19" i="12" a="1"/>
  <c r="F6" i="12" a="1"/>
  <c r="B10" i="12" a="1"/>
  <c r="J6" i="39" a="1"/>
  <c r="H3" i="39" a="1"/>
  <c r="L14" i="28" a="1"/>
  <c r="K9" i="28" a="1"/>
  <c r="M3" i="28" a="1"/>
  <c r="G9" i="28" a="1"/>
  <c r="O8" i="1" a="1"/>
  <c r="J19" i="48" a="1"/>
  <c r="L2" i="38" a="1"/>
  <c r="AJ4" i="9" a="1"/>
  <c r="T4" i="9" a="1"/>
  <c r="D4" i="9" a="1"/>
  <c r="K2" i="7" a="1"/>
  <c r="I2" i="47" a="1"/>
  <c r="I11" i="52" a="1"/>
  <c r="I9" i="52" a="1"/>
  <c r="I7" i="52" a="1"/>
  <c r="I5" i="52" a="1"/>
  <c r="I3" i="52" a="1"/>
  <c r="U15" i="56" a="1"/>
  <c r="U11" i="56" a="1"/>
  <c r="U7" i="56" a="1"/>
  <c r="I16" i="56" a="1"/>
  <c r="I8" i="56" a="1"/>
  <c r="C25" i="56" a="1"/>
  <c r="O13" i="12" a="1"/>
  <c r="O9" i="12" a="1"/>
  <c r="K14" i="12" a="1"/>
  <c r="L3" i="12" a="1"/>
  <c r="D7" i="28" a="1"/>
  <c r="I19" i="1" a="1"/>
  <c r="G14" i="1" a="1"/>
  <c r="L11" i="1" a="1"/>
  <c r="J9" i="1" a="1"/>
  <c r="H7" i="1" a="1"/>
  <c r="F5" i="1" a="1"/>
  <c r="C15" i="1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G2" i="46" a="1"/>
  <c r="I12" i="56" a="1"/>
  <c r="O5" i="12" a="1"/>
  <c r="C13" i="39" a="1"/>
  <c r="J16" i="48" a="1"/>
  <c r="K2" i="38" a="1"/>
  <c r="AI4" i="9" a="1"/>
  <c r="S4" i="9" a="1"/>
  <c r="C4" i="9" a="1"/>
  <c r="G11" i="43" a="1"/>
  <c r="G3" i="43" a="1"/>
  <c r="D15" i="42" a="1"/>
  <c r="D13" i="42" a="1"/>
  <c r="D11" i="42" a="1"/>
  <c r="D9" i="42" a="1"/>
  <c r="D7" i="42" a="1"/>
  <c r="D5" i="42" a="1"/>
  <c r="J15" i="48" a="1"/>
  <c r="J2" i="38" a="1"/>
  <c r="AH4" i="9" a="1"/>
  <c r="R4" i="9" a="1"/>
  <c r="B4" i="9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E2" i="46" a="1"/>
  <c r="G11" i="52" a="1"/>
  <c r="G7" i="52" a="1"/>
  <c r="G5" i="52" a="1"/>
  <c r="G8" i="56" a="1"/>
  <c r="C23" i="56" a="1"/>
  <c r="Q22" i="12" a="1"/>
  <c r="Q12" i="12" a="1"/>
  <c r="Q8" i="12" a="1"/>
  <c r="Q4" i="12" a="1"/>
  <c r="M20" i="12" a="1"/>
  <c r="G23" i="12" a="1"/>
  <c r="F18" i="12" a="1"/>
  <c r="G5" i="12" a="1"/>
  <c r="K3" i="28" a="1"/>
  <c r="G19" i="1" a="1"/>
  <c r="J11" i="1" a="1"/>
  <c r="H10" i="43" a="1"/>
  <c r="G9" i="52" a="1"/>
  <c r="G3" i="52" a="1"/>
  <c r="S15" i="56" a="1"/>
  <c r="S11" i="56" a="1"/>
  <c r="S7" i="56" a="1"/>
  <c r="G16" i="56" a="1"/>
  <c r="G12" i="56" a="1"/>
  <c r="C14" i="13" a="1"/>
  <c r="Q18" i="12" a="1"/>
  <c r="L13" i="12" a="1"/>
  <c r="K8" i="12" a="1"/>
  <c r="E11" i="12" a="1"/>
  <c r="B8" i="12" a="1"/>
  <c r="J4" i="39" a="1"/>
  <c r="F14" i="39" a="1"/>
  <c r="C11" i="39" a="1"/>
  <c r="M13" i="28" a="1"/>
  <c r="L8" i="28" a="1"/>
  <c r="G8" i="28" a="1"/>
  <c r="D14" i="28" a="1"/>
  <c r="D6" i="28" a="1"/>
  <c r="O6" i="1" a="1"/>
  <c r="L13" i="1" a="1"/>
  <c r="H9" i="1" a="1"/>
  <c r="F7" i="1" a="1"/>
  <c r="C13" i="1" a="1"/>
  <c r="J14" i="48" a="1"/>
  <c r="I2" i="38" a="1"/>
  <c r="AG4" i="9" a="1"/>
  <c r="Q4" i="9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F11" i="52" a="1"/>
  <c r="F9" i="52" a="1"/>
  <c r="F7" i="52" a="1"/>
  <c r="F5" i="52" a="1"/>
  <c r="F3" i="52" a="1"/>
  <c r="V14" i="56" a="1"/>
  <c r="V10" i="56" a="1"/>
  <c r="V6" i="56" a="1"/>
  <c r="J15" i="56" a="1"/>
  <c r="J11" i="56" a="1"/>
  <c r="J7" i="56" a="1"/>
  <c r="B17" i="56" a="1"/>
  <c r="C13" i="13" a="1"/>
  <c r="P22" i="12" a="1"/>
  <c r="P18" i="12" a="1"/>
  <c r="P12" i="12" a="1"/>
  <c r="P8" i="12" a="1"/>
  <c r="P4" i="12" a="1"/>
  <c r="L20" i="12" a="1"/>
  <c r="K13" i="12" a="1"/>
  <c r="M7" i="12" a="1"/>
  <c r="F23" i="12" a="1"/>
  <c r="E18" i="12" a="1"/>
  <c r="G10" i="12" a="1"/>
  <c r="F5" i="12" a="1"/>
  <c r="B7" i="12" a="1"/>
  <c r="J3" i="39" a="1"/>
  <c r="F13" i="39" a="1"/>
  <c r="C10" i="39" a="1"/>
  <c r="L13" i="28" a="1"/>
  <c r="K8" i="28" a="1"/>
  <c r="H15" i="28" a="1"/>
  <c r="H7" i="28" a="1"/>
  <c r="J13" i="48" a="1"/>
  <c r="H2" i="38" a="1"/>
  <c r="AF4" i="9" a="1"/>
  <c r="P4" i="9" a="1"/>
  <c r="I7" i="56" a="1"/>
  <c r="C12" i="13" a="1"/>
  <c r="O18" i="12" a="1"/>
  <c r="O8" i="12" a="1"/>
  <c r="K20" i="12" a="1"/>
  <c r="L7" i="12" a="1"/>
  <c r="E23" i="12" a="1"/>
  <c r="G15" i="12" a="1"/>
  <c r="F10" i="12" a="1"/>
  <c r="E5" i="12" a="1"/>
  <c r="K13" i="28" a="1"/>
  <c r="D13" i="28" a="1"/>
  <c r="O4" i="1" a="1"/>
  <c r="J13" i="1" a="1"/>
  <c r="H11" i="1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9" i="52" a="1"/>
  <c r="E7" i="52" a="1"/>
  <c r="E5" i="52" a="1"/>
  <c r="E3" i="52" a="1"/>
  <c r="U14" i="56" a="1"/>
  <c r="U10" i="56" a="1"/>
  <c r="U6" i="56" a="1"/>
  <c r="I15" i="56" a="1"/>
  <c r="I11" i="56" a="1"/>
  <c r="B16" i="56" a="1"/>
  <c r="O22" i="12" a="1"/>
  <c r="O12" i="12" a="1"/>
  <c r="O4" i="12" a="1"/>
  <c r="M12" i="12" a="1"/>
  <c r="B6" i="12" a="1"/>
  <c r="J2" i="39" a="1"/>
  <c r="F12" i="39" a="1"/>
  <c r="C9" i="39" a="1"/>
  <c r="M7" i="28" a="1"/>
  <c r="G15" i="28" a="1"/>
  <c r="G7" i="28" a="1"/>
  <c r="D5" i="28" a="1"/>
  <c r="L15" i="1" a="1"/>
  <c r="J12" i="48" a="1"/>
  <c r="G2" i="38" a="1"/>
  <c r="AE4" i="9" a="1"/>
  <c r="O4" i="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T6" i="56" a="1"/>
  <c r="H15" i="56" a="1"/>
  <c r="H11" i="56" a="1"/>
  <c r="H7" i="56" a="1"/>
  <c r="B15" i="56" a="1"/>
  <c r="C11" i="13" a="1"/>
  <c r="R21" i="12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O21" i="12" a="1"/>
  <c r="O15" i="12" a="1"/>
  <c r="O11" i="12" a="1"/>
  <c r="O7" i="12" a="1"/>
  <c r="O3" i="12" a="1"/>
  <c r="M18" i="12" a="1"/>
  <c r="L11" i="12" a="1"/>
  <c r="K6" i="12" a="1"/>
  <c r="G21" i="12" a="1"/>
  <c r="F14" i="12" a="1"/>
  <c r="E9" i="12" a="1"/>
  <c r="G3" i="12" a="1"/>
  <c r="J14" i="39" a="1"/>
  <c r="H11" i="39" a="1"/>
  <c r="F8" i="39" a="1"/>
  <c r="C5" i="39" a="1"/>
  <c r="M11" i="28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N2" i="47" a="1"/>
  <c r="L2" i="46" a="1"/>
  <c r="F12" i="52" a="1"/>
  <c r="F10" i="52" a="1"/>
  <c r="F8" i="52" a="1"/>
  <c r="F6" i="52" a="1"/>
  <c r="F4" i="52" a="1"/>
  <c r="V16" i="56" a="1"/>
  <c r="V12" i="56" a="1"/>
  <c r="V8" i="56" a="1"/>
  <c r="J17" i="56" a="1"/>
  <c r="J13" i="56" a="1"/>
  <c r="J9" i="56" a="1"/>
  <c r="J5" i="56" a="1"/>
  <c r="B9" i="56" a="1"/>
  <c r="C5" i="13" a="1"/>
  <c r="P20" i="12" a="1"/>
  <c r="P14" i="12" a="1"/>
  <c r="P10" i="12" a="1"/>
  <c r="P6" i="12" a="1"/>
  <c r="K23" i="12" a="1"/>
  <c r="M15" i="12" a="1"/>
  <c r="L10" i="12" a="1"/>
  <c r="K5" i="12" a="1"/>
  <c r="G20" i="12" a="1"/>
  <c r="F13" i="12" a="1"/>
  <c r="E8" i="12" a="1"/>
  <c r="B15" i="12" a="1"/>
  <c r="J11" i="39" a="1"/>
  <c r="H8" i="39" a="1"/>
  <c r="N2" i="38" a="1"/>
  <c r="AL4" i="9" a="1"/>
  <c r="V4" i="9" a="1"/>
  <c r="F4" i="9" a="1"/>
  <c r="Q9" i="12" a="1"/>
  <c r="Q5" i="12" a="1"/>
  <c r="K22" i="12" a="1"/>
  <c r="M14" i="12" a="1"/>
  <c r="L9" i="12" a="1"/>
  <c r="K4" i="12" a="1"/>
  <c r="G19" i="12" a="1"/>
  <c r="F12" i="12" a="1"/>
  <c r="E7" i="12" a="1"/>
  <c r="B12" i="12" a="1"/>
  <c r="J8" i="39" a="1"/>
  <c r="H5" i="39" a="1"/>
  <c r="F2" i="39" a="1"/>
  <c r="K15" i="28" a="1"/>
  <c r="M9" i="28" a="1"/>
  <c r="L4" i="28" a="1"/>
  <c r="J11" i="48" a="1"/>
  <c r="AB4" i="9" a="1"/>
  <c r="H14" i="43" a="1"/>
  <c r="D6" i="42" a="1"/>
  <c r="A2" i="5" a="1"/>
  <c r="J2" i="46" a="1"/>
  <c r="H9" i="52" a="1"/>
  <c r="H5" i="52" a="1"/>
  <c r="T15" i="56" a="1"/>
  <c r="T8" i="56" a="1"/>
  <c r="I13" i="56" a="1"/>
  <c r="F21" i="12" a="1"/>
  <c r="K7" i="28" a="1"/>
  <c r="G11" i="28" a="1"/>
  <c r="F9" i="1" a="1"/>
  <c r="C17" i="40" a="1"/>
  <c r="E11" i="60" a="1"/>
  <c r="H5" i="60" a="1"/>
  <c r="C7" i="52" a="1"/>
  <c r="G12" i="12" a="1"/>
  <c r="H2" i="18" a="1"/>
  <c r="E6" i="52" a="1"/>
  <c r="AA4" i="9" a="1"/>
  <c r="H15" i="42" a="1"/>
  <c r="F10" i="42" a="1"/>
  <c r="F2" i="46" a="1"/>
  <c r="C6" i="13" a="1"/>
  <c r="Q7" i="12" a="1"/>
  <c r="K21" i="12" a="1"/>
  <c r="K10" i="12" a="1"/>
  <c r="F9" i="12" a="1"/>
  <c r="B5" i="12" a="1"/>
  <c r="H6" i="39" a="1"/>
  <c r="C3" i="39" a="1"/>
  <c r="E11" i="28" a="1"/>
  <c r="O12" i="1" a="1"/>
  <c r="J15" i="1" a="1"/>
  <c r="J12" i="1" a="1"/>
  <c r="F6" i="1" a="1"/>
  <c r="G3" i="1" a="1"/>
  <c r="D8" i="49" a="1"/>
  <c r="I12" i="1" a="1"/>
  <c r="L5" i="1" a="1"/>
  <c r="D7" i="49" a="1"/>
  <c r="F5" i="60" a="1"/>
  <c r="B3" i="12" a="1"/>
  <c r="H8" i="28" a="1"/>
  <c r="G3" i="60" a="1"/>
  <c r="F4" i="12" a="1"/>
  <c r="C18" i="55" a="1"/>
  <c r="F14" i="1" a="1"/>
  <c r="K7" i="1" a="1"/>
  <c r="C17" i="55" a="1"/>
  <c r="I3" i="42" a="1"/>
  <c r="C3" i="52" a="1"/>
  <c r="D3" i="28" a="1"/>
  <c r="C10" i="55" a="1"/>
  <c r="C2" i="5" a="1"/>
  <c r="J10" i="48" a="1"/>
  <c r="C6" i="42" a="1"/>
  <c r="E2" i="18" a="1"/>
  <c r="N2" i="7" a="1"/>
  <c r="T7" i="56" a="1"/>
  <c r="H13" i="56" a="1"/>
  <c r="I5" i="56" a="1"/>
  <c r="R14" i="12" a="1"/>
  <c r="E21" i="12" a="1"/>
  <c r="M6" i="28" a="1"/>
  <c r="H10" i="28" a="1"/>
  <c r="L8" i="1" a="1"/>
  <c r="F3" i="1" a="1"/>
  <c r="C16" i="40" a="1"/>
  <c r="H10" i="60" a="1"/>
  <c r="G5" i="60" a="1"/>
  <c r="I15" i="1" a="1"/>
  <c r="M15" i="28" a="1"/>
  <c r="E10" i="28" a="1"/>
  <c r="H15" i="1" a="1"/>
  <c r="H12" i="1" a="1"/>
  <c r="K5" i="1" a="1"/>
  <c r="C12" i="1" a="1"/>
  <c r="D6" i="49" a="1"/>
  <c r="F10" i="60" a="1"/>
  <c r="L3" i="28" a="1"/>
  <c r="C6" i="40" a="1"/>
  <c r="B2" i="15" a="1"/>
  <c r="H16" i="56" a="1"/>
  <c r="Q3" i="12" a="1"/>
  <c r="H14" i="39" a="1"/>
  <c r="O20" i="12" a="1"/>
  <c r="D4" i="28" a="1"/>
  <c r="E3" i="12" a="1"/>
  <c r="E12" i="60" a="1"/>
  <c r="S17" i="56" a="1"/>
  <c r="Z4" i="9" a="1"/>
  <c r="H13" i="43" a="1"/>
  <c r="G14" i="42" a="1"/>
  <c r="J2" i="7" a="1"/>
  <c r="A2" i="46" a="1"/>
  <c r="C9" i="52" a="1"/>
  <c r="C5" i="52" a="1"/>
  <c r="S14" i="56" a="1"/>
  <c r="P7" i="12" a="1"/>
  <c r="M19" i="12" a="1"/>
  <c r="M9" i="12" a="1"/>
  <c r="B4" i="12" a="1"/>
  <c r="H2" i="39" a="1"/>
  <c r="C2" i="39" a="1"/>
  <c r="G10" i="28" a="1"/>
  <c r="D11" i="28" a="1"/>
  <c r="O11" i="1" a="1"/>
  <c r="L8" i="12" a="1"/>
  <c r="F11" i="39" a="1"/>
  <c r="E5" i="60" a="1"/>
  <c r="L14" i="1" a="1"/>
  <c r="C11" i="40" a="1"/>
  <c r="H7" i="52" a="1"/>
  <c r="C6" i="1" a="1"/>
  <c r="G12" i="42" a="1"/>
  <c r="D8" i="42" a="1"/>
  <c r="H12" i="60" a="1"/>
  <c r="C2" i="38" a="1"/>
  <c r="B8" i="56" a="1"/>
  <c r="K13" i="1" a="1"/>
  <c r="J6" i="52" a="1"/>
  <c r="I10" i="1" a="1"/>
  <c r="C14" i="55" a="1"/>
  <c r="L18" i="61" a="1"/>
  <c r="O3" i="61" a="1"/>
  <c r="F2" i="5" a="1"/>
  <c r="T9" i="56" a="1"/>
  <c r="J2" i="18" a="1"/>
  <c r="H6" i="60" a="1"/>
  <c r="J9" i="48" a="1"/>
  <c r="D10" i="42" a="1"/>
  <c r="D2" i="18" a="1"/>
  <c r="H12" i="56" a="1"/>
  <c r="H5" i="56" a="1"/>
  <c r="C4" i="13" a="1"/>
  <c r="Q14" i="12" a="1"/>
  <c r="G8" i="12" a="1"/>
  <c r="L6" i="28" a="1"/>
  <c r="O10" i="1" a="1"/>
  <c r="K8" i="1" a="1"/>
  <c r="C14" i="1" a="1"/>
  <c r="C15" i="40" a="1"/>
  <c r="G10" i="60" a="1"/>
  <c r="S6" i="56" a="1"/>
  <c r="L19" i="12" a="1"/>
  <c r="J8" i="48" a="1"/>
  <c r="Y4" i="9" a="1"/>
  <c r="G13" i="43" a="1"/>
  <c r="F14" i="42" a="1"/>
  <c r="I5" i="42" a="1"/>
  <c r="N2" i="15" a="1"/>
  <c r="E2" i="7" a="1"/>
  <c r="J12" i="52" a="1"/>
  <c r="J8" i="52" a="1"/>
  <c r="J4" i="52" a="1"/>
  <c r="V13" i="56" a="1"/>
  <c r="F20" i="12" a="1"/>
  <c r="J4" i="9" a="1"/>
  <c r="L2" i="47" a="1"/>
  <c r="H4" i="1" a="1"/>
  <c r="E14" i="12" a="1"/>
  <c r="M4" i="12" a="1"/>
  <c r="E4" i="28" a="1"/>
  <c r="H20" i="1" a="1"/>
  <c r="C15" i="55" a="1"/>
  <c r="B7" i="56" a="1"/>
  <c r="C12" i="42" a="1"/>
  <c r="T17" i="56" a="1"/>
  <c r="X4" i="9" a="1"/>
  <c r="C10" i="42" a="1"/>
  <c r="C24" i="56" a="1"/>
  <c r="R23" i="12" a="1"/>
  <c r="R6" i="12" a="1"/>
  <c r="F8" i="12" a="1"/>
  <c r="K6" i="28" a="1"/>
  <c r="O7" i="1" a="1"/>
  <c r="G12" i="1" a="1"/>
  <c r="J8" i="1" a="1"/>
  <c r="C11" i="1" a="1"/>
  <c r="C14" i="40" a="1"/>
  <c r="H9" i="60" a="1"/>
  <c r="H4" i="60" a="1"/>
  <c r="G15" i="1" a="1"/>
  <c r="J5" i="1" a="1"/>
  <c r="D5" i="49" a="1"/>
  <c r="G4" i="60" a="1"/>
  <c r="F9" i="39" a="1"/>
  <c r="E9" i="28" a="1"/>
  <c r="F15" i="1" a="1"/>
  <c r="I11" i="1" a="1"/>
  <c r="H11" i="52" a="1"/>
  <c r="B10" i="56" a="1"/>
  <c r="L5" i="12" a="1"/>
  <c r="E6" i="28" a="1"/>
  <c r="L7" i="1" a="1"/>
  <c r="T11" i="56" a="1"/>
  <c r="H17" i="56" a="1"/>
  <c r="K15" i="12" a="1"/>
  <c r="G4" i="28" a="1"/>
  <c r="I20" i="1" a="1"/>
  <c r="Q20" i="12" a="1"/>
  <c r="F4" i="39" a="1"/>
  <c r="H14" i="28" a="1"/>
  <c r="F3" i="60" a="1"/>
  <c r="H8" i="56" a="1"/>
  <c r="P3" i="12" a="1"/>
  <c r="L19" i="1" a="1"/>
  <c r="J6" i="1" a="1"/>
  <c r="L23" i="12" a="1"/>
  <c r="H11" i="60" a="1"/>
  <c r="J7" i="48" a="1"/>
  <c r="H8" i="43" a="1"/>
  <c r="H5" i="42" a="1"/>
  <c r="I2" i="15" a="1"/>
  <c r="D2" i="7" a="1"/>
  <c r="V5" i="56" a="1"/>
  <c r="G11" i="56" a="1"/>
  <c r="O14" i="12" a="1"/>
  <c r="K19" i="12" a="1"/>
  <c r="K7" i="12" a="1"/>
  <c r="E20" i="12" a="1"/>
  <c r="F10" i="39" a="1"/>
  <c r="L15" i="28" a="1"/>
  <c r="H6" i="28" a="1"/>
  <c r="D10" i="28" a="1"/>
  <c r="O5" i="1" a="1"/>
  <c r="F9" i="60" a="1"/>
  <c r="C21" i="55" a="1"/>
  <c r="C4" i="42" a="1"/>
  <c r="R3" i="12" a="1"/>
  <c r="E5" i="28" a="1"/>
  <c r="AM4" i="9" a="1"/>
  <c r="H10" i="39" a="1"/>
  <c r="W4" i="9" a="1"/>
  <c r="D14" i="42" a="1"/>
  <c r="H12" i="52" a="1"/>
  <c r="H8" i="52" a="1"/>
  <c r="H4" i="52" a="1"/>
  <c r="T13" i="56" a="1"/>
  <c r="R22" i="12" a="1"/>
  <c r="Q6" i="12" a="1"/>
  <c r="J13" i="39" a="1"/>
  <c r="M5" i="28" a="1"/>
  <c r="K11" i="1" a="1"/>
  <c r="I8" i="1" a="1"/>
  <c r="C10" i="1" a="1"/>
  <c r="C13" i="40" a="1"/>
  <c r="G9" i="60" a="1"/>
  <c r="I5" i="1" a="1"/>
  <c r="D4" i="49" a="1"/>
  <c r="G11" i="1" a="1"/>
  <c r="F8" i="60" a="1"/>
  <c r="H5" i="43" a="1"/>
  <c r="E8" i="60" a="1"/>
  <c r="C11" i="52" a="1"/>
  <c r="L4" i="12" a="1"/>
  <c r="I13" i="1" a="1"/>
  <c r="J6" i="48" a="1"/>
  <c r="G8" i="43" a="1"/>
  <c r="I9" i="42" a="1"/>
  <c r="G4" i="42" a="1"/>
  <c r="H2" i="15" a="1"/>
  <c r="J10" i="56" a="1"/>
  <c r="B14" i="56" a="1"/>
  <c r="R13" i="12" a="1"/>
  <c r="M6" i="12" a="1"/>
  <c r="G18" i="12" a="1"/>
  <c r="G7" i="12" a="1"/>
  <c r="K14" i="28" a="1"/>
  <c r="G6" i="28" a="1"/>
  <c r="O3" i="1" a="1"/>
  <c r="D2" i="38" a="1"/>
  <c r="G5" i="43" a="1"/>
  <c r="H9" i="56" a="1"/>
  <c r="H3" i="28" a="1"/>
  <c r="G20" i="1" a="1"/>
  <c r="L10" i="28" a="1"/>
  <c r="C11" i="55" a="1"/>
  <c r="M11" i="12" a="1"/>
  <c r="J5" i="48" a="1"/>
  <c r="N4" i="9" a="1"/>
  <c r="C14" i="42" a="1"/>
  <c r="B2" i="7" a="1"/>
  <c r="G12" i="52" a="1"/>
  <c r="G8" i="52" a="1"/>
  <c r="G4" i="52" a="1"/>
  <c r="S13" i="56" a="1"/>
  <c r="T5" i="56" a="1"/>
  <c r="L18" i="12" a="1"/>
  <c r="J12" i="39" a="1"/>
  <c r="L5" i="28" a="1"/>
  <c r="H8" i="1" a="1"/>
  <c r="H5" i="1" a="1"/>
  <c r="C9" i="1" a="1"/>
  <c r="C12" i="40" a="1"/>
  <c r="F4" i="60" a="1"/>
  <c r="R12" i="12" a="1"/>
  <c r="O6" i="12" a="1"/>
  <c r="L6" i="12" a="1"/>
  <c r="F15" i="12" a="1"/>
  <c r="F7" i="12" a="1"/>
  <c r="M12" i="28" a="1"/>
  <c r="H5" i="28" a="1"/>
  <c r="D9" i="28" a="1"/>
  <c r="L20" i="1" a="1"/>
  <c r="E9" i="60" a="1"/>
  <c r="C2" i="15" a="1"/>
  <c r="I9" i="56" a="1"/>
  <c r="K10" i="1" a="1"/>
  <c r="H2" i="47" a="1"/>
  <c r="F12" i="42" a="1"/>
  <c r="G4" i="1" a="1"/>
  <c r="G22" i="12" a="1"/>
  <c r="G6" i="52" a="1"/>
  <c r="C7" i="39" a="1"/>
  <c r="K19" i="1" a="1"/>
  <c r="F6" i="42" a="1"/>
  <c r="H9" i="42" a="1"/>
  <c r="F4" i="42" a="1"/>
  <c r="B13" i="56" a="1"/>
  <c r="Q21" i="12" a="1"/>
  <c r="C5" i="1" a="1"/>
  <c r="M13" i="12" a="1"/>
  <c r="H11" i="42" a="1"/>
  <c r="J4" i="48" a="1"/>
  <c r="M4" i="9" a="1"/>
  <c r="G7" i="43" a="1"/>
  <c r="F2" i="15" a="1"/>
  <c r="A2" i="7" a="1"/>
  <c r="S5" i="56" a="1"/>
  <c r="H10" i="56" a="1"/>
  <c r="K18" i="12" a="1"/>
  <c r="F7" i="39" a="1"/>
  <c r="K5" i="28" a="1"/>
  <c r="G8" i="1" a="1"/>
  <c r="L4" i="1" a="1"/>
  <c r="C8" i="1" a="1"/>
  <c r="C9" i="40" a="1"/>
  <c r="H8" i="60" a="1"/>
  <c r="E4" i="60" a="1"/>
  <c r="G5" i="28" a="1"/>
  <c r="E8" i="28" a="1"/>
  <c r="K20" i="1" a="1"/>
  <c r="K14" i="1" a="1"/>
  <c r="F11" i="1" a="1"/>
  <c r="K4" i="1" a="1"/>
  <c r="C20" i="55" a="1"/>
  <c r="L10" i="1" a="1"/>
  <c r="C7" i="40" a="1"/>
  <c r="E2" i="38" a="1"/>
  <c r="R20" i="12" a="1"/>
  <c r="L12" i="12" a="1"/>
  <c r="F4" i="1" a="1"/>
  <c r="H6" i="52" a="1"/>
  <c r="G7" i="56" a="1"/>
  <c r="G13" i="28" a="1"/>
  <c r="D16" i="49" a="1"/>
  <c r="K3" i="1" a="1"/>
  <c r="C4" i="43" a="1"/>
  <c r="J6" i="56" a="1"/>
  <c r="I13" i="42" a="1"/>
  <c r="G8" i="42" a="1"/>
  <c r="E12" i="52" a="1"/>
  <c r="E8" i="52" a="1"/>
  <c r="E4" i="52" a="1"/>
  <c r="U12" i="56" a="1"/>
  <c r="P21" i="12" a="1"/>
  <c r="R11" i="12" a="1"/>
  <c r="R5" i="12" a="1"/>
  <c r="E15" i="12" a="1"/>
  <c r="E6" i="12" a="1"/>
  <c r="J10" i="39" a="1"/>
  <c r="L12" i="28" a="1"/>
  <c r="G10" i="1" a="1"/>
  <c r="H12" i="28" a="1"/>
  <c r="G11" i="60" a="1"/>
  <c r="F2" i="38" a="1"/>
  <c r="L4" i="9" a="1"/>
  <c r="H6" i="43" a="1"/>
  <c r="D4" i="42" a="1"/>
  <c r="E2" i="15" a="1"/>
  <c r="G10" i="56" a="1"/>
  <c r="B11" i="56" a="1"/>
  <c r="M5" i="12" a="1"/>
  <c r="F6" i="39" a="1"/>
  <c r="M4" i="28" a="1"/>
  <c r="D8" i="28" a="1"/>
  <c r="F8" i="1" a="1"/>
  <c r="J4" i="1" a="1"/>
  <c r="C7" i="1" a="1"/>
  <c r="C8" i="40" a="1"/>
  <c r="G8" i="60" a="1"/>
  <c r="H3" i="60" a="1"/>
  <c r="G14" i="12" a="1"/>
  <c r="G4" i="12" a="1"/>
  <c r="J9" i="39" a="1"/>
  <c r="K12" i="28" a="1"/>
  <c r="H4" i="28" a="1"/>
  <c r="J20" i="1" a="1"/>
  <c r="J14" i="1" a="1"/>
  <c r="I4" i="1" a="1"/>
  <c r="C19" i="55" a="1"/>
  <c r="H3" i="52" a="1"/>
  <c r="F5" i="39" a="1"/>
  <c r="I14" i="1" a="1"/>
  <c r="J5" i="39" a="1"/>
  <c r="L11" i="28" a="1"/>
  <c r="I4" i="9" a="1"/>
  <c r="E4" i="12" a="1"/>
  <c r="J7" i="1" a="1"/>
  <c r="G3" i="28" a="1"/>
  <c r="G7" i="1" a="1"/>
  <c r="H10" i="52" a="1"/>
  <c r="O10" i="12" a="1"/>
  <c r="G13" i="1" a="1"/>
  <c r="K10" i="28" a="1"/>
  <c r="E14" i="28" a="1"/>
  <c r="D13" i="49" a="1"/>
  <c r="K4" i="9" a="1"/>
  <c r="H13" i="42" a="1"/>
  <c r="F8" i="42" a="1"/>
  <c r="M2" i="47" a="1"/>
  <c r="D12" i="52" a="1"/>
  <c r="D8" i="52" a="1"/>
  <c r="D4" i="52" a="1"/>
  <c r="T12" i="56" a="1"/>
  <c r="I17" i="56" a="1"/>
  <c r="Q11" i="12" a="1"/>
  <c r="R4" i="12" a="1"/>
  <c r="L15" i="12" a="1"/>
  <c r="P11" i="12" a="1"/>
  <c r="J10" i="1" a="1"/>
  <c r="V17" i="56" a="1"/>
  <c r="C8" i="39" a="1"/>
  <c r="N2" i="46" a="1"/>
  <c r="H4" i="9" a="1"/>
  <c r="C8" i="42" a="1"/>
  <c r="L2" i="5" a="1"/>
  <c r="C2" i="47" a="1"/>
  <c r="S10" i="56" a="1"/>
  <c r="R10" i="12" a="1"/>
  <c r="G13" i="12" a="1"/>
  <c r="F3" i="39" a="1"/>
  <c r="K11" i="28" a="1"/>
  <c r="G14" i="28" a="1"/>
  <c r="C4" i="1" a="1"/>
  <c r="G12" i="60" a="1"/>
  <c r="H7" i="60" a="1"/>
  <c r="E3" i="60" a="1"/>
  <c r="B2" i="38" a="1"/>
  <c r="C7" i="43" a="1"/>
  <c r="H3" i="42" a="1"/>
  <c r="J10" i="52" a="1"/>
  <c r="H13" i="39" a="1"/>
  <c r="D15" i="49" a="1"/>
  <c r="C9" i="55" a="1"/>
  <c r="U16" i="56" a="1"/>
  <c r="G4" i="9" a="1"/>
  <c r="D12" i="42" a="1"/>
  <c r="D3" i="42" a="1"/>
  <c r="G2" i="5" a="1"/>
  <c r="B2" i="47" a="1"/>
  <c r="V9" i="56" a="1"/>
  <c r="G15" i="56" a="1"/>
  <c r="Q10" i="12" a="1"/>
  <c r="F3" i="12" a="1"/>
  <c r="C12" i="39" a="1"/>
  <c r="M10" i="28" a="1"/>
  <c r="H13" i="28" a="1"/>
  <c r="L6" i="1" a="1"/>
  <c r="C3" i="1" a="1"/>
  <c r="C13" i="55" a="1"/>
  <c r="F12" i="60" a="1"/>
  <c r="G7" i="60" a="1"/>
  <c r="K18" i="61" a="1"/>
  <c r="N3" i="61" a="1"/>
  <c r="A2" i="38" a="1"/>
  <c r="C6" i="43" a="1"/>
  <c r="I7" i="42" a="1"/>
  <c r="C15" i="13" a="1"/>
  <c r="R19" i="12" a="1"/>
  <c r="K12" i="12" a="1"/>
  <c r="K3" i="12" a="1"/>
  <c r="E13" i="12" a="1"/>
  <c r="H12" i="39" a="1"/>
  <c r="E18" i="28" a="1"/>
  <c r="E3" i="28" a="1"/>
  <c r="F20" i="1" a="1"/>
  <c r="H13" i="1" a="1"/>
  <c r="H10" i="1" a="1"/>
  <c r="K6" i="1" a="1"/>
  <c r="L3" i="1" a="1"/>
  <c r="C12" i="55" a="1"/>
  <c r="AN4" i="9" a="1"/>
  <c r="K2" i="18" a="1"/>
  <c r="J14" i="56" a="1"/>
  <c r="M23" i="12" a="1"/>
  <c r="D18" i="28" a="1"/>
  <c r="F7" i="60" a="1"/>
  <c r="H7" i="42" a="1"/>
  <c r="R18" i="12" a="1"/>
  <c r="G10" i="52" a="1"/>
  <c r="C10" i="13" a="1"/>
  <c r="E7" i="60" a="1"/>
  <c r="A4" i="9" a="1"/>
  <c r="I11" i="42" a="1"/>
  <c r="G6" i="42" a="1"/>
  <c r="D2" i="5" a="1"/>
  <c r="M2" i="46" a="1"/>
  <c r="S9" i="56" a="1"/>
  <c r="H14" i="56" a="1"/>
  <c r="R15" i="12" a="1"/>
  <c r="R9" i="12" a="1"/>
  <c r="F22" i="12" a="1"/>
  <c r="F11" i="12" a="1"/>
  <c r="B14" i="12" a="1"/>
  <c r="E13" i="28" a="1"/>
  <c r="O15" i="1" a="1"/>
  <c r="F13" i="1" a="1"/>
  <c r="F10" i="1" a="1"/>
  <c r="I6" i="1" a="1"/>
  <c r="J3" i="1" a="1"/>
  <c r="AD4" i="9" a="1"/>
  <c r="C3" i="43" a="1"/>
  <c r="C9" i="13" a="1"/>
  <c r="K11" i="12" a="1"/>
  <c r="H9" i="39" a="1"/>
  <c r="C6" i="39" a="1"/>
  <c r="M8" i="28" a="1"/>
  <c r="G12" i="28" a="1"/>
  <c r="H19" i="1" a="1"/>
  <c r="L9" i="1" a="1"/>
  <c r="D12" i="49" a="1"/>
  <c r="E10" i="52" a="1"/>
  <c r="AC4" i="9" a="1"/>
  <c r="G6" i="60" a="1"/>
  <c r="E12" i="28" a="1"/>
  <c r="M22" i="12" a="1"/>
  <c r="K15" i="1" a="1"/>
  <c r="H6" i="56" a="1"/>
  <c r="C4" i="39" a="1"/>
  <c r="C7" i="13" a="1"/>
  <c r="H11" i="28" a="1"/>
  <c r="F6" i="60" a="1"/>
  <c r="H6" i="1" a="1"/>
  <c r="D11" i="49" a="1"/>
  <c r="G15" i="43" a="1"/>
  <c r="Q15" i="12" a="1"/>
  <c r="O13" i="1" a="1"/>
  <c r="G2" i="18" a="1"/>
  <c r="G9" i="1" a="1"/>
  <c r="G6" i="56" a="1"/>
  <c r="L22" i="12" a="1"/>
  <c r="L12" i="1" a="1"/>
  <c r="H3" i="1" a="1"/>
  <c r="P15" i="12" a="1"/>
  <c r="U8" i="56" a="1"/>
  <c r="D9" i="49" a="1"/>
  <c r="I15" i="42" a="1"/>
  <c r="R8" i="12" a="1"/>
  <c r="D12" i="28" a="1"/>
  <c r="G9" i="12" a="1"/>
  <c r="G14" i="56" a="1"/>
  <c r="C18" i="40" a="1"/>
  <c r="O14" i="1" a="1"/>
  <c r="D10" i="52" a="1"/>
  <c r="D6" i="52" a="1"/>
  <c r="G10" i="42" a="1"/>
  <c r="R7" i="12" a="1"/>
  <c r="F19" i="1" a="1"/>
  <c r="M10" i="12" a="1"/>
  <c r="B9" i="12" a="1"/>
  <c r="D10" i="49" a="1"/>
  <c r="L7" i="28" a="1"/>
  <c r="F11" i="60" a="1"/>
  <c r="K2" i="46" a="1"/>
  <c r="E22" i="12" a="1"/>
  <c r="K12" i="1" a="1"/>
  <c r="I9" i="1" a="1"/>
  <c r="E10" i="12" a="1"/>
  <c r="B13" i="12" a="1"/>
  <c r="G6" i="1" a="1"/>
  <c r="T16" i="56" a="1"/>
  <c r="I3" i="1" a="1"/>
  <c r="H7" i="39" a="1"/>
  <c r="H7" i="39" l="1"/>
  <c r="I3" i="1"/>
  <c r="T16" i="56"/>
  <c r="G6" i="1"/>
  <c r="B13" i="12"/>
  <c r="E10" i="12"/>
  <c r="I9" i="1"/>
  <c r="K12" i="1"/>
  <c r="E22" i="12"/>
  <c r="K2" i="46"/>
  <c r="F11" i="60"/>
  <c r="L7" i="28"/>
  <c r="D10" i="49"/>
  <c r="B9" i="12"/>
  <c r="M10" i="12"/>
  <c r="F19" i="1"/>
  <c r="R7" i="12"/>
  <c r="G10" i="42"/>
  <c r="D6" i="52"/>
  <c r="D10" i="52"/>
  <c r="O14" i="1"/>
  <c r="C18" i="40"/>
  <c r="G14" i="56"/>
  <c r="G9" i="12"/>
  <c r="D12" i="28"/>
  <c r="R8" i="12"/>
  <c r="I15" i="42"/>
  <c r="D9" i="49"/>
  <c r="U8" i="56"/>
  <c r="P15" i="12"/>
  <c r="H3" i="1"/>
  <c r="L12" i="1"/>
  <c r="L22" i="12"/>
  <c r="G6" i="56"/>
  <c r="G9" i="1"/>
  <c r="G2" i="18"/>
  <c r="O13" i="1"/>
  <c r="Q15" i="12"/>
  <c r="G15" i="43"/>
  <c r="D11" i="49"/>
  <c r="H6" i="1"/>
  <c r="F6" i="60"/>
  <c r="H11" i="28"/>
  <c r="C7" i="13"/>
  <c r="C4" i="39"/>
  <c r="H6" i="56"/>
  <c r="K15" i="1"/>
  <c r="M22" i="12"/>
  <c r="E12" i="28"/>
  <c r="G6" i="60"/>
  <c r="AC4" i="9"/>
  <c r="E10" i="52"/>
  <c r="D12" i="49"/>
  <c r="L9" i="1"/>
  <c r="H19" i="1"/>
  <c r="G12" i="28"/>
  <c r="M8" i="28"/>
  <c r="C6" i="39"/>
  <c r="H9" i="39"/>
  <c r="K11" i="12"/>
  <c r="C9" i="13"/>
  <c r="C3" i="43"/>
  <c r="AD4" i="9"/>
  <c r="J3" i="1"/>
  <c r="I6" i="1"/>
  <c r="F10" i="1"/>
  <c r="F13" i="1"/>
  <c r="O15" i="1"/>
  <c r="E13" i="28"/>
  <c r="B14" i="12"/>
  <c r="F11" i="12"/>
  <c r="F22" i="12"/>
  <c r="R9" i="12"/>
  <c r="R15" i="12"/>
  <c r="H14" i="56"/>
  <c r="S9" i="56"/>
  <c r="M2" i="46"/>
  <c r="D2" i="5"/>
  <c r="G6" i="42"/>
  <c r="I11" i="42"/>
  <c r="A13" i="9"/>
  <c r="A12" i="9"/>
  <c r="A11" i="9"/>
  <c r="A10" i="9"/>
  <c r="A9" i="9"/>
  <c r="A8" i="9"/>
  <c r="A7" i="9"/>
  <c r="A4" i="9"/>
  <c r="A6" i="9"/>
  <c r="A5" i="9"/>
  <c r="E7" i="60"/>
  <c r="C10" i="13"/>
  <c r="G10" i="52"/>
  <c r="R18" i="12"/>
  <c r="H7" i="42"/>
  <c r="F7" i="60"/>
  <c r="D18" i="28"/>
  <c r="M23" i="12"/>
  <c r="J14" i="56"/>
  <c r="K2" i="18"/>
  <c r="AN4" i="9"/>
  <c r="C12" i="55"/>
  <c r="L3" i="1"/>
  <c r="K6" i="1"/>
  <c r="H10" i="1"/>
  <c r="H13" i="1"/>
  <c r="F20" i="1"/>
  <c r="E3" i="28"/>
  <c r="E18" i="28"/>
  <c r="H12" i="39"/>
  <c r="E13" i="12"/>
  <c r="K3" i="12"/>
  <c r="K12" i="12"/>
  <c r="R19" i="12"/>
  <c r="C15" i="13"/>
  <c r="I7" i="42"/>
  <c r="C6" i="43"/>
  <c r="A2" i="38"/>
  <c r="N3" i="61"/>
  <c r="K18" i="61"/>
  <c r="G7" i="60"/>
  <c r="F12" i="60"/>
  <c r="C13" i="55"/>
  <c r="C3" i="1"/>
  <c r="L6" i="1"/>
  <c r="H13" i="28"/>
  <c r="M10" i="28"/>
  <c r="C12" i="39"/>
  <c r="F3" i="12"/>
  <c r="Q10" i="12"/>
  <c r="G15" i="56"/>
  <c r="V9" i="56"/>
  <c r="B2" i="47"/>
  <c r="G2" i="5"/>
  <c r="D3" i="42"/>
  <c r="D12" i="42"/>
  <c r="G4" i="9"/>
  <c r="U16" i="56"/>
  <c r="C9" i="55"/>
  <c r="D15" i="49"/>
  <c r="H13" i="39"/>
  <c r="J10" i="52"/>
  <c r="H3" i="42"/>
  <c r="C7" i="43"/>
  <c r="B2" i="38"/>
  <c r="E3" i="60"/>
  <c r="H7" i="60"/>
  <c r="G12" i="60"/>
  <c r="C4" i="1"/>
  <c r="G14" i="28"/>
  <c r="K11" i="28"/>
  <c r="F3" i="39"/>
  <c r="G13" i="12"/>
  <c r="R10" i="12"/>
  <c r="S10" i="56"/>
  <c r="C2" i="47"/>
  <c r="L2" i="5"/>
  <c r="C8" i="42"/>
  <c r="H4" i="9"/>
  <c r="N2" i="46"/>
  <c r="C8" i="39"/>
  <c r="V17" i="56"/>
  <c r="J10" i="1"/>
  <c r="P11" i="12"/>
  <c r="L15" i="12"/>
  <c r="R4" i="12"/>
  <c r="Q11" i="12"/>
  <c r="I17" i="56"/>
  <c r="T12" i="56"/>
  <c r="D4" i="52"/>
  <c r="D8" i="52"/>
  <c r="D12" i="52"/>
  <c r="M2" i="47"/>
  <c r="F8" i="42"/>
  <c r="H13" i="42"/>
  <c r="K4" i="9"/>
  <c r="D13" i="49"/>
  <c r="E14" i="28"/>
  <c r="K10" i="28"/>
  <c r="G13" i="1"/>
  <c r="O10" i="12"/>
  <c r="H10" i="52"/>
  <c r="G7" i="1"/>
  <c r="G3" i="28"/>
  <c r="J7" i="1"/>
  <c r="E4" i="12"/>
  <c r="I4" i="9"/>
  <c r="L11" i="28"/>
  <c r="J5" i="39"/>
  <c r="I14" i="1"/>
  <c r="F5" i="39"/>
  <c r="H3" i="52"/>
  <c r="C19" i="55"/>
  <c r="I4" i="1"/>
  <c r="J14" i="1"/>
  <c r="J20" i="1"/>
  <c r="H4" i="28"/>
  <c r="K12" i="28"/>
  <c r="J9" i="39"/>
  <c r="G4" i="12"/>
  <c r="G14" i="12"/>
  <c r="H3" i="60"/>
  <c r="G8" i="60"/>
  <c r="C8" i="40"/>
  <c r="C7" i="1"/>
  <c r="J4" i="1"/>
  <c r="F8" i="1"/>
  <c r="D8" i="28"/>
  <c r="M4" i="28"/>
  <c r="F6" i="39"/>
  <c r="M5" i="12"/>
  <c r="B11" i="56"/>
  <c r="G10" i="56"/>
  <c r="E2" i="15"/>
  <c r="D4" i="42"/>
  <c r="H6" i="43"/>
  <c r="L4" i="9"/>
  <c r="F2" i="38"/>
  <c r="G11" i="60"/>
  <c r="H12" i="28"/>
  <c r="G10" i="1"/>
  <c r="L12" i="28"/>
  <c r="J10" i="39"/>
  <c r="E6" i="12"/>
  <c r="E15" i="12"/>
  <c r="R5" i="12"/>
  <c r="R11" i="12"/>
  <c r="P21" i="12"/>
  <c r="U12" i="56"/>
  <c r="E4" i="52"/>
  <c r="E8" i="52"/>
  <c r="E12" i="52"/>
  <c r="G8" i="42"/>
  <c r="I13" i="42"/>
  <c r="J6" i="56"/>
  <c r="C4" i="43"/>
  <c r="K3" i="1"/>
  <c r="D16" i="49"/>
  <c r="G13" i="28"/>
  <c r="G7" i="56"/>
  <c r="H6" i="52"/>
  <c r="F4" i="1"/>
  <c r="L12" i="12"/>
  <c r="R20" i="12"/>
  <c r="E2" i="38"/>
  <c r="C7" i="40"/>
  <c r="L10" i="1"/>
  <c r="C20" i="55"/>
  <c r="K4" i="1"/>
  <c r="F11" i="1"/>
  <c r="K14" i="1"/>
  <c r="K20" i="1"/>
  <c r="E8" i="28"/>
  <c r="G5" i="28"/>
  <c r="E4" i="60"/>
  <c r="H8" i="60"/>
  <c r="C9" i="40"/>
  <c r="C8" i="1"/>
  <c r="L4" i="1"/>
  <c r="G8" i="1"/>
  <c r="K5" i="28"/>
  <c r="F7" i="39"/>
  <c r="K18" i="12"/>
  <c r="H10" i="56"/>
  <c r="S5" i="56"/>
  <c r="A2" i="7"/>
  <c r="F2" i="15"/>
  <c r="G7" i="43"/>
  <c r="M4" i="9"/>
  <c r="J4" i="48"/>
  <c r="H11" i="42"/>
  <c r="M13" i="12"/>
  <c r="C5" i="1"/>
  <c r="Q21" i="12"/>
  <c r="B13" i="56"/>
  <c r="F4" i="42"/>
  <c r="H9" i="42"/>
  <c r="F6" i="42"/>
  <c r="K19" i="1"/>
  <c r="C7" i="39"/>
  <c r="G6" i="52"/>
  <c r="G22" i="12"/>
  <c r="G4" i="1"/>
  <c r="F12" i="42"/>
  <c r="H2" i="47"/>
  <c r="K10" i="1"/>
  <c r="I9" i="56"/>
  <c r="C2" i="15"/>
  <c r="E9" i="60"/>
  <c r="L20" i="1"/>
  <c r="D9" i="28"/>
  <c r="H5" i="28"/>
  <c r="M12" i="28"/>
  <c r="F7" i="12"/>
  <c r="F15" i="12"/>
  <c r="L6" i="12"/>
  <c r="O6" i="12"/>
  <c r="R12" i="12"/>
  <c r="F4" i="60"/>
  <c r="C12" i="40"/>
  <c r="C9" i="1"/>
  <c r="H5" i="1"/>
  <c r="H8" i="1"/>
  <c r="L5" i="28"/>
  <c r="J12" i="39"/>
  <c r="L18" i="12"/>
  <c r="T5" i="56"/>
  <c r="S13" i="56"/>
  <c r="G4" i="52"/>
  <c r="G8" i="52"/>
  <c r="G12" i="52"/>
  <c r="B2" i="7"/>
  <c r="C14" i="42"/>
  <c r="N4" i="9"/>
  <c r="J5" i="48"/>
  <c r="M11" i="12"/>
  <c r="C11" i="55"/>
  <c r="L10" i="28"/>
  <c r="G20" i="1"/>
  <c r="H3" i="28"/>
  <c r="H9" i="56"/>
  <c r="G5" i="43"/>
  <c r="D2" i="38"/>
  <c r="O3" i="1"/>
  <c r="G6" i="28"/>
  <c r="K14" i="28"/>
  <c r="G7" i="12"/>
  <c r="G18" i="12"/>
  <c r="M6" i="12"/>
  <c r="R13" i="12"/>
  <c r="B14" i="56"/>
  <c r="J10" i="56"/>
  <c r="H2" i="15"/>
  <c r="G4" i="42"/>
  <c r="I9" i="42"/>
  <c r="G8" i="43"/>
  <c r="J6" i="48"/>
  <c r="I13" i="1"/>
  <c r="L4" i="12"/>
  <c r="C11" i="52"/>
  <c r="E8" i="60"/>
  <c r="H5" i="43"/>
  <c r="F8" i="60"/>
  <c r="G11" i="1"/>
  <c r="D4" i="49"/>
  <c r="I5" i="1"/>
  <c r="G9" i="60"/>
  <c r="C13" i="40"/>
  <c r="C10" i="1"/>
  <c r="I8" i="1"/>
  <c r="K11" i="1"/>
  <c r="M5" i="28"/>
  <c r="J13" i="39"/>
  <c r="Q6" i="12"/>
  <c r="R22" i="12"/>
  <c r="T13" i="56"/>
  <c r="H4" i="52"/>
  <c r="H8" i="52"/>
  <c r="H12" i="52"/>
  <c r="D14" i="42"/>
  <c r="W4" i="9"/>
  <c r="H10" i="39"/>
  <c r="AM4" i="9"/>
  <c r="E5" i="28"/>
  <c r="R3" i="12"/>
  <c r="C4" i="42"/>
  <c r="C21" i="55"/>
  <c r="F9" i="60"/>
  <c r="O5" i="1"/>
  <c r="D10" i="28"/>
  <c r="H6" i="28"/>
  <c r="L15" i="28"/>
  <c r="F10" i="39"/>
  <c r="E20" i="12"/>
  <c r="K7" i="12"/>
  <c r="K19" i="12"/>
  <c r="O14" i="12"/>
  <c r="G11" i="56"/>
  <c r="V5" i="56"/>
  <c r="D2" i="7"/>
  <c r="I2" i="15"/>
  <c r="H5" i="42"/>
  <c r="H8" i="43"/>
  <c r="J7" i="48"/>
  <c r="H11" i="60"/>
  <c r="L23" i="12"/>
  <c r="J6" i="1"/>
  <c r="L19" i="1"/>
  <c r="P3" i="12"/>
  <c r="H8" i="56"/>
  <c r="F3" i="60"/>
  <c r="H14" i="28"/>
  <c r="F4" i="39"/>
  <c r="Q20" i="12"/>
  <c r="I20" i="1"/>
  <c r="G4" i="28"/>
  <c r="K15" i="12"/>
  <c r="H17" i="56"/>
  <c r="T11" i="56"/>
  <c r="L7" i="1"/>
  <c r="E6" i="28"/>
  <c r="L5" i="12"/>
  <c r="B10" i="56"/>
  <c r="H11" i="52"/>
  <c r="I11" i="1"/>
  <c r="F15" i="1"/>
  <c r="E9" i="28"/>
  <c r="F9" i="39"/>
  <c r="G4" i="60"/>
  <c r="D5" i="49"/>
  <c r="J5" i="1"/>
  <c r="G15" i="1"/>
  <c r="H4" i="60"/>
  <c r="H9" i="60"/>
  <c r="C14" i="40"/>
  <c r="C11" i="1"/>
  <c r="J8" i="1"/>
  <c r="G12" i="1"/>
  <c r="O7" i="1"/>
  <c r="K6" i="28"/>
  <c r="F8" i="12"/>
  <c r="R6" i="12"/>
  <c r="R23" i="12"/>
  <c r="C24" i="56"/>
  <c r="C10" i="42"/>
  <c r="X4" i="9"/>
  <c r="T17" i="56"/>
  <c r="C12" i="42"/>
  <c r="B7" i="56"/>
  <c r="C15" i="55"/>
  <c r="H20" i="1"/>
  <c r="E4" i="28"/>
  <c r="M4" i="12"/>
  <c r="E14" i="12"/>
  <c r="H4" i="1"/>
  <c r="L2" i="47"/>
  <c r="J4" i="9"/>
  <c r="F20" i="12"/>
  <c r="V13" i="56"/>
  <c r="J4" i="52"/>
  <c r="J8" i="52"/>
  <c r="J12" i="52"/>
  <c r="E2" i="7"/>
  <c r="N2" i="15"/>
  <c r="I5" i="42"/>
  <c r="F14" i="42"/>
  <c r="G13" i="43"/>
  <c r="Y4" i="9"/>
  <c r="J8" i="48"/>
  <c r="L19" i="12"/>
  <c r="S6" i="56"/>
  <c r="G10" i="60"/>
  <c r="C15" i="40"/>
  <c r="C14" i="1"/>
  <c r="K8" i="1"/>
  <c r="O10" i="1"/>
  <c r="L6" i="28"/>
  <c r="G8" i="12"/>
  <c r="Q14" i="12"/>
  <c r="C4" i="13"/>
  <c r="H5" i="56"/>
  <c r="H12" i="56"/>
  <c r="D2" i="18"/>
  <c r="D10" i="42"/>
  <c r="J9" i="48"/>
  <c r="H6" i="60"/>
  <c r="J2" i="18"/>
  <c r="T9" i="56"/>
  <c r="F2" i="5"/>
  <c r="O3" i="61"/>
  <c r="L18" i="61"/>
  <c r="C14" i="55"/>
  <c r="I10" i="1"/>
  <c r="J6" i="52"/>
  <c r="K13" i="1"/>
  <c r="B8" i="56"/>
  <c r="C2" i="38"/>
  <c r="H12" i="60"/>
  <c r="D8" i="42"/>
  <c r="G12" i="42"/>
  <c r="C6" i="1"/>
  <c r="H7" i="52"/>
  <c r="C11" i="40"/>
  <c r="L14" i="1"/>
  <c r="E5" i="60"/>
  <c r="F11" i="39"/>
  <c r="L8" i="12"/>
  <c r="O11" i="1"/>
  <c r="D11" i="28"/>
  <c r="G10" i="28"/>
  <c r="C2" i="39"/>
  <c r="H2" i="39"/>
  <c r="B4" i="12"/>
  <c r="M9" i="12"/>
  <c r="M19" i="12"/>
  <c r="P7" i="12"/>
  <c r="S14" i="56"/>
  <c r="C5" i="52"/>
  <c r="C9" i="52"/>
  <c r="A2" i="46"/>
  <c r="J2" i="7"/>
  <c r="G14" i="42"/>
  <c r="H13" i="43"/>
  <c r="Z4" i="9"/>
  <c r="S17" i="56"/>
  <c r="E12" i="60"/>
  <c r="E3" i="12"/>
  <c r="D4" i="28"/>
  <c r="O20" i="12"/>
  <c r="H14" i="39"/>
  <c r="Q3" i="12"/>
  <c r="H16" i="56"/>
  <c r="B2" i="15"/>
  <c r="C6" i="40"/>
  <c r="L3" i="28"/>
  <c r="F10" i="60"/>
  <c r="D6" i="49"/>
  <c r="C12" i="1"/>
  <c r="K5" i="1"/>
  <c r="H12" i="1"/>
  <c r="H15" i="1"/>
  <c r="E10" i="28"/>
  <c r="M15" i="28"/>
  <c r="I15" i="1"/>
  <c r="G5" i="60"/>
  <c r="H10" i="60"/>
  <c r="C16" i="40"/>
  <c r="F3" i="1"/>
  <c r="L8" i="1"/>
  <c r="H10" i="28"/>
  <c r="M6" i="28"/>
  <c r="E21" i="12"/>
  <c r="R14" i="12"/>
  <c r="I5" i="56"/>
  <c r="H13" i="56"/>
  <c r="T7" i="56"/>
  <c r="N2" i="7"/>
  <c r="E2" i="18"/>
  <c r="C6" i="42"/>
  <c r="J10" i="48"/>
  <c r="C2" i="5"/>
  <c r="C10" i="55"/>
  <c r="D3" i="28"/>
  <c r="C3" i="52"/>
  <c r="I3" i="42"/>
  <c r="C17" i="55"/>
  <c r="K7" i="1"/>
  <c r="F14" i="1"/>
  <c r="C18" i="55"/>
  <c r="F4" i="12"/>
  <c r="G3" i="60"/>
  <c r="H8" i="28"/>
  <c r="B3" i="12"/>
  <c r="F5" i="60"/>
  <c r="D7" i="49"/>
  <c r="L5" i="1"/>
  <c r="I12" i="1"/>
  <c r="D8" i="49"/>
  <c r="G3" i="1"/>
  <c r="F6" i="1"/>
  <c r="J12" i="1"/>
  <c r="J15" i="1"/>
  <c r="O12" i="1"/>
  <c r="E11" i="28"/>
  <c r="C3" i="39"/>
  <c r="H6" i="39"/>
  <c r="B5" i="12"/>
  <c r="F9" i="12"/>
  <c r="K10" i="12"/>
  <c r="K21" i="12"/>
  <c r="Q7" i="12"/>
  <c r="C6" i="13"/>
  <c r="F2" i="46"/>
  <c r="F10" i="42"/>
  <c r="H15" i="42"/>
  <c r="AA4" i="9"/>
  <c r="E6" i="52"/>
  <c r="H2" i="18"/>
  <c r="G12" i="12"/>
  <c r="C7" i="52"/>
  <c r="H5" i="60"/>
  <c r="E11" i="60"/>
  <c r="C17" i="40"/>
  <c r="F9" i="1"/>
  <c r="G11" i="28"/>
  <c r="K7" i="28"/>
  <c r="F21" i="12"/>
  <c r="I13" i="56"/>
  <c r="T8" i="56"/>
  <c r="T15" i="56"/>
  <c r="H5" i="52"/>
  <c r="H9" i="52"/>
  <c r="J2" i="46"/>
  <c r="A2" i="5"/>
  <c r="D6" i="42"/>
  <c r="H14" i="43"/>
  <c r="AB4" i="9"/>
  <c r="J11" i="48"/>
  <c r="L4" i="28"/>
  <c r="M9" i="28"/>
  <c r="K15" i="28"/>
  <c r="F2" i="39"/>
  <c r="H5" i="39"/>
  <c r="J8" i="39"/>
  <c r="B12" i="12"/>
  <c r="E7" i="12"/>
  <c r="F12" i="12"/>
  <c r="G19" i="12"/>
  <c r="K4" i="12"/>
  <c r="L9" i="12"/>
  <c r="M14" i="12"/>
  <c r="K22" i="12"/>
  <c r="Q5" i="12"/>
  <c r="Q9" i="12"/>
  <c r="F4" i="9"/>
  <c r="V4" i="9"/>
  <c r="AL4" i="9"/>
  <c r="N2" i="38"/>
  <c r="H8" i="39"/>
  <c r="J11" i="39"/>
  <c r="B15" i="12"/>
  <c r="E8" i="12"/>
  <c r="F13" i="12"/>
  <c r="G20" i="12"/>
  <c r="K5" i="12"/>
  <c r="L10" i="12"/>
  <c r="M15" i="12"/>
  <c r="K23" i="12"/>
  <c r="P6" i="12"/>
  <c r="P10" i="12"/>
  <c r="P14" i="12"/>
  <c r="P20" i="12"/>
  <c r="C5" i="13"/>
  <c r="B9" i="56"/>
  <c r="J5" i="56"/>
  <c r="J9" i="56"/>
  <c r="J13" i="56"/>
  <c r="J17" i="56"/>
  <c r="V8" i="56"/>
  <c r="V12" i="56"/>
  <c r="V16" i="56"/>
  <c r="F4" i="52"/>
  <c r="F6" i="52"/>
  <c r="F8" i="52"/>
  <c r="F10" i="52"/>
  <c r="F12" i="52"/>
  <c r="L2" i="46"/>
  <c r="N2" i="47"/>
  <c r="B2" i="5"/>
  <c r="D2" i="15"/>
  <c r="F2" i="18"/>
  <c r="J3" i="42"/>
  <c r="J5" i="42"/>
  <c r="J7" i="42"/>
  <c r="J9" i="42"/>
  <c r="J11" i="42"/>
  <c r="J13" i="42"/>
  <c r="J15" i="42"/>
  <c r="G6" i="43"/>
  <c r="G14" i="43"/>
  <c r="M11" i="28"/>
  <c r="C5" i="39"/>
  <c r="F8" i="39"/>
  <c r="H11" i="39"/>
  <c r="J14" i="39"/>
  <c r="G3" i="12"/>
  <c r="E9" i="12"/>
  <c r="F14" i="12"/>
  <c r="G21" i="12"/>
  <c r="K6" i="12"/>
  <c r="L11" i="12"/>
  <c r="M18" i="12"/>
  <c r="O3" i="12"/>
  <c r="O7" i="12"/>
  <c r="O11" i="12"/>
  <c r="O15" i="12"/>
  <c r="O21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R21" i="12"/>
  <c r="C11" i="13"/>
  <c r="B15" i="56"/>
  <c r="H7" i="56"/>
  <c r="H11" i="56"/>
  <c r="H15" i="56"/>
  <c r="T6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O4" i="9"/>
  <c r="AE4" i="9"/>
  <c r="G2" i="38"/>
  <c r="J12" i="48"/>
  <c r="L15" i="1"/>
  <c r="D5" i="28"/>
  <c r="G7" i="28"/>
  <c r="G15" i="28"/>
  <c r="M7" i="28"/>
  <c r="C9" i="39"/>
  <c r="F12" i="39"/>
  <c r="J2" i="39"/>
  <c r="B6" i="12"/>
  <c r="M12" i="12"/>
  <c r="O4" i="12"/>
  <c r="O12" i="12"/>
  <c r="O22" i="12"/>
  <c r="B16" i="56"/>
  <c r="I11" i="56"/>
  <c r="I15" i="56"/>
  <c r="U6" i="56"/>
  <c r="U10" i="56"/>
  <c r="U14" i="56"/>
  <c r="E3" i="52"/>
  <c r="E5" i="52"/>
  <c r="E7" i="52"/>
  <c r="E9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H11" i="1"/>
  <c r="J13" i="1"/>
  <c r="O4" i="1"/>
  <c r="D13" i="28"/>
  <c r="K13" i="28"/>
  <c r="E5" i="12"/>
  <c r="F10" i="12"/>
  <c r="G15" i="12"/>
  <c r="E23" i="12"/>
  <c r="L7" i="12"/>
  <c r="K20" i="12"/>
  <c r="O8" i="12"/>
  <c r="O18" i="12"/>
  <c r="C12" i="13"/>
  <c r="I7" i="56"/>
  <c r="P4" i="9"/>
  <c r="AF4" i="9"/>
  <c r="H2" i="38"/>
  <c r="J13" i="48"/>
  <c r="H7" i="28"/>
  <c r="H15" i="28"/>
  <c r="K8" i="28"/>
  <c r="L13" i="28"/>
  <c r="C10" i="39"/>
  <c r="F13" i="39"/>
  <c r="J3" i="39"/>
  <c r="B7" i="12"/>
  <c r="F5" i="12"/>
  <c r="G10" i="12"/>
  <c r="E18" i="12"/>
  <c r="F23" i="12"/>
  <c r="M7" i="12"/>
  <c r="K13" i="12"/>
  <c r="L20" i="12"/>
  <c r="P4" i="12"/>
  <c r="P8" i="12"/>
  <c r="P12" i="12"/>
  <c r="P18" i="12"/>
  <c r="P22" i="12"/>
  <c r="C13" i="13"/>
  <c r="B17" i="56"/>
  <c r="J7" i="56"/>
  <c r="J11" i="56"/>
  <c r="J15" i="56"/>
  <c r="V6" i="56"/>
  <c r="V10" i="56"/>
  <c r="V14" i="56"/>
  <c r="F3" i="52"/>
  <c r="F5" i="52"/>
  <c r="F7" i="52"/>
  <c r="F9" i="52"/>
  <c r="F11" i="52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Q4" i="9"/>
  <c r="AG4" i="9"/>
  <c r="I2" i="38"/>
  <c r="J14" i="48"/>
  <c r="C13" i="1"/>
  <c r="F7" i="1"/>
  <c r="H9" i="1"/>
  <c r="L13" i="1"/>
  <c r="O6" i="1"/>
  <c r="D6" i="28"/>
  <c r="D14" i="28"/>
  <c r="G8" i="28"/>
  <c r="L8" i="28"/>
  <c r="M13" i="28"/>
  <c r="C11" i="39"/>
  <c r="F14" i="39"/>
  <c r="J4" i="39"/>
  <c r="B8" i="12"/>
  <c r="E11" i="12"/>
  <c r="K8" i="12"/>
  <c r="L13" i="12"/>
  <c r="Q18" i="12"/>
  <c r="C14" i="13"/>
  <c r="G12" i="56"/>
  <c r="G16" i="56"/>
  <c r="S7" i="56"/>
  <c r="S11" i="56"/>
  <c r="S15" i="56"/>
  <c r="G3" i="52"/>
  <c r="G9" i="52"/>
  <c r="H10" i="43"/>
  <c r="J11" i="1"/>
  <c r="G19" i="1"/>
  <c r="K3" i="28"/>
  <c r="G5" i="12"/>
  <c r="F18" i="12"/>
  <c r="G23" i="12"/>
  <c r="M20" i="12"/>
  <c r="Q4" i="12"/>
  <c r="Q8" i="12"/>
  <c r="Q12" i="12"/>
  <c r="Q22" i="12"/>
  <c r="C23" i="56"/>
  <c r="G8" i="56"/>
  <c r="G5" i="52"/>
  <c r="G7" i="52"/>
  <c r="G11" i="52"/>
  <c r="E2" i="46"/>
  <c r="G2" i="47"/>
  <c r="I2" i="7"/>
  <c r="K2" i="5"/>
  <c r="M2" i="15"/>
  <c r="C3" i="42"/>
  <c r="C5" i="42"/>
  <c r="C7" i="42"/>
  <c r="C9" i="42"/>
  <c r="C11" i="42"/>
  <c r="C13" i="42"/>
  <c r="C15" i="42"/>
  <c r="C11" i="43"/>
  <c r="B4" i="9"/>
  <c r="R4" i="9"/>
  <c r="AH4" i="9"/>
  <c r="J2" i="38"/>
  <c r="J15" i="48"/>
  <c r="D5" i="42"/>
  <c r="D7" i="42"/>
  <c r="D9" i="42"/>
  <c r="D11" i="42"/>
  <c r="D13" i="42"/>
  <c r="D15" i="42"/>
  <c r="G3" i="43"/>
  <c r="G11" i="43"/>
  <c r="C4" i="9"/>
  <c r="S4" i="9"/>
  <c r="AI4" i="9"/>
  <c r="K2" i="38"/>
  <c r="J16" i="48"/>
  <c r="C13" i="39"/>
  <c r="O5" i="12"/>
  <c r="I12" i="56"/>
  <c r="G2" i="46"/>
  <c r="M2" i="5"/>
  <c r="A2" i="18"/>
  <c r="E3" i="42"/>
  <c r="E5" i="42"/>
  <c r="E7" i="42"/>
  <c r="E9" i="42"/>
  <c r="E11" i="42"/>
  <c r="E13" i="42"/>
  <c r="E15" i="42"/>
  <c r="H3" i="43"/>
  <c r="H11" i="43"/>
  <c r="C15" i="1"/>
  <c r="F5" i="1"/>
  <c r="H7" i="1"/>
  <c r="J9" i="1"/>
  <c r="L11" i="1"/>
  <c r="G14" i="1"/>
  <c r="I19" i="1"/>
  <c r="D7" i="28"/>
  <c r="L3" i="12"/>
  <c r="K14" i="12"/>
  <c r="O9" i="12"/>
  <c r="O13" i="12"/>
  <c r="C25" i="56"/>
  <c r="I8" i="56"/>
  <c r="I16" i="56"/>
  <c r="U7" i="56"/>
  <c r="U11" i="56"/>
  <c r="U15" i="56"/>
  <c r="I3" i="52"/>
  <c r="I5" i="52"/>
  <c r="I7" i="52"/>
  <c r="I9" i="52"/>
  <c r="I11" i="52"/>
  <c r="I2" i="47"/>
  <c r="K2" i="7"/>
  <c r="D4" i="9"/>
  <c r="T4" i="9"/>
  <c r="AJ4" i="9"/>
  <c r="L2" i="38"/>
  <c r="J19" i="48"/>
  <c r="O8" i="1"/>
  <c r="G9" i="28"/>
  <c r="M3" i="28"/>
  <c r="K9" i="28"/>
  <c r="L14" i="28"/>
  <c r="H3" i="39"/>
  <c r="J6" i="39"/>
  <c r="B10" i="12"/>
  <c r="F6" i="12"/>
  <c r="E19" i="12"/>
  <c r="M8" i="12"/>
  <c r="L21" i="12"/>
  <c r="O19" i="12"/>
  <c r="C16" i="13"/>
  <c r="E10" i="60"/>
  <c r="C10" i="40"/>
  <c r="C16" i="55"/>
  <c r="G5" i="1"/>
  <c r="J19" i="1"/>
  <c r="H9" i="28"/>
  <c r="C14" i="39"/>
  <c r="B11" i="12"/>
  <c r="G6" i="12"/>
  <c r="F19" i="12"/>
  <c r="K9" i="12"/>
  <c r="P5" i="12"/>
  <c r="P9" i="12"/>
  <c r="P13" i="12"/>
  <c r="P19" i="12"/>
  <c r="P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D15" i="28"/>
  <c r="G11" i="12"/>
  <c r="O23" i="12"/>
  <c r="E6" i="60"/>
  <c r="D14" i="49"/>
  <c r="D23" i="1"/>
  <c r="I7" i="1"/>
  <c r="K9" i="1"/>
  <c r="F12" i="1"/>
  <c r="H14" i="1"/>
  <c r="O9" i="1"/>
  <c r="E7" i="28"/>
  <c r="E15" i="28"/>
  <c r="K4" i="28"/>
  <c r="L9" i="28"/>
  <c r="M14" i="28"/>
  <c r="H4" i="39"/>
  <c r="J7" i="39"/>
  <c r="E12" i="12"/>
  <c r="M3" i="12"/>
  <c r="L14" i="12"/>
  <c r="M21" i="12"/>
  <c r="E4" i="9"/>
  <c r="U4" i="9"/>
  <c r="AK4" i="9"/>
  <c r="M2" i="38"/>
  <c r="J20" i="48"/>
  <c r="Q13" i="12"/>
  <c r="Q19" i="12"/>
  <c r="Q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Q5" i="61" a="1"/>
  <c r="Q5" i="61" s="1"/>
  <c r="Q4" i="61" a="1"/>
  <c r="Q4" i="61" s="1"/>
  <c r="Q12" i="61" a="1"/>
  <c r="Q12" i="61" s="1"/>
  <c r="Q16" i="61" a="1"/>
  <c r="Q16" i="61" s="1"/>
  <c r="Q9" i="61" a="1"/>
  <c r="Q9" i="61" s="1"/>
  <c r="Q13" i="61" a="1"/>
  <c r="Q13" i="61" s="1"/>
  <c r="Q6" i="61" a="1"/>
  <c r="Q6" i="61" s="1"/>
  <c r="Q8" i="61" a="1"/>
  <c r="Q8" i="61" s="1"/>
  <c r="Q10" i="61" a="1"/>
  <c r="Q10" i="61" s="1"/>
  <c r="Q14" i="61" a="1"/>
  <c r="Q14" i="61" s="1"/>
  <c r="Q7" i="61" a="1"/>
  <c r="Q7" i="61" s="1"/>
  <c r="Q11" i="61" a="1"/>
  <c r="Q11" i="61" s="1"/>
  <c r="Q15" i="61" a="1"/>
  <c r="Q15" i="61" s="1"/>
  <c r="C23" i="12"/>
  <c r="O4" i="61" a="1"/>
  <c r="O5" i="61" a="1"/>
  <c r="O6" i="61" a="1"/>
  <c r="O7" i="61" a="1"/>
  <c r="O8" i="61" a="1"/>
  <c r="O9" i="61" a="1"/>
  <c r="O10" i="61" a="1"/>
  <c r="O11" i="61" a="1"/>
  <c r="O12" i="61" a="1"/>
  <c r="O13" i="61" a="1"/>
  <c r="O14" i="61" a="1"/>
  <c r="O15" i="61" a="1"/>
  <c r="O16" i="61" a="1"/>
  <c r="N4" i="61" a="1"/>
  <c r="N5" i="61" a="1"/>
  <c r="N6" i="61" a="1"/>
  <c r="N7" i="61" a="1"/>
  <c r="N8" i="61" a="1"/>
  <c r="N9" i="61" a="1"/>
  <c r="N10" i="61" a="1"/>
  <c r="N11" i="61" a="1"/>
  <c r="N12" i="61" a="1"/>
  <c r="N13" i="61" a="1"/>
  <c r="N14" i="61" a="1"/>
  <c r="N15" i="61" a="1"/>
  <c r="N16" i="61" a="1"/>
  <c r="L19" i="61" a="1"/>
  <c r="L20" i="61" a="1"/>
  <c r="K19" i="61" a="1"/>
  <c r="K20" i="61" a="1"/>
  <c r="M15" i="48" a="1"/>
  <c r="K20" i="61" l="1"/>
  <c r="K19" i="61"/>
  <c r="L20" i="61"/>
  <c r="L19" i="61"/>
  <c r="N16" i="61"/>
  <c r="N15" i="61"/>
  <c r="N14" i="61"/>
  <c r="N13" i="61"/>
  <c r="N12" i="61"/>
  <c r="N11" i="61"/>
  <c r="N10" i="61"/>
  <c r="N9" i="61"/>
  <c r="N8" i="61"/>
  <c r="N7" i="61"/>
  <c r="N6" i="61"/>
  <c r="N5" i="61"/>
  <c r="N4" i="61"/>
  <c r="O16" i="61"/>
  <c r="O15" i="61"/>
  <c r="O14" i="61"/>
  <c r="O13" i="61"/>
  <c r="O12" i="61"/>
  <c r="O11" i="61"/>
  <c r="O10" i="61"/>
  <c r="O9" i="61"/>
  <c r="O8" i="61"/>
  <c r="O7" i="61"/>
  <c r="O6" i="61"/>
  <c r="O5" i="61"/>
  <c r="O4" i="61"/>
  <c r="M19" i="61"/>
  <c r="M15" i="48"/>
  <c r="O4" i="28"/>
  <c r="I23" i="12"/>
  <c r="E25" i="59" s="1"/>
  <c r="F36" i="59"/>
  <c r="F37" i="59"/>
  <c r="O3" i="28"/>
  <c r="O8" i="28"/>
  <c r="O13" i="28"/>
  <c r="H35" i="59"/>
  <c r="O5" i="28"/>
  <c r="O15" i="28"/>
  <c r="O11" i="28"/>
  <c r="H38" i="59"/>
  <c r="F38" i="59"/>
  <c r="O9" i="28"/>
  <c r="G39" i="59"/>
  <c r="G37" i="59"/>
  <c r="F35" i="59"/>
  <c r="S4" i="52"/>
  <c r="H39" i="59"/>
  <c r="S16" i="52"/>
  <c r="S5" i="52"/>
  <c r="H23" i="12"/>
  <c r="S9" i="52"/>
  <c r="G36" i="59"/>
  <c r="H36" i="59"/>
  <c r="H37" i="59"/>
  <c r="G38" i="59"/>
  <c r="F39" i="59"/>
  <c r="G35" i="59"/>
  <c r="M20" i="61" l="1"/>
  <c r="P11" i="61" s="1"/>
  <c r="P10" i="61"/>
  <c r="P14" i="61"/>
  <c r="P6" i="61"/>
  <c r="P4" i="61"/>
  <c r="P16" i="61"/>
  <c r="O6" i="28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P8" i="56" s="1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3" i="61" l="1"/>
  <c r="P8" i="61"/>
  <c r="P7" i="61"/>
  <c r="P5" i="61"/>
  <c r="P15" i="61"/>
  <c r="R4" i="61" s="1" a="1"/>
  <c r="R4" i="61" s="1"/>
  <c r="S4" i="61" s="1"/>
  <c r="P9" i="61"/>
  <c r="P12" i="61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N35" i="59"/>
  <c r="M35" i="59"/>
  <c r="L35" i="59"/>
  <c r="R16" i="61" l="1" a="1"/>
  <c r="R16" i="61" s="1"/>
  <c r="S16" i="61" s="1"/>
  <c r="R13" i="61" a="1"/>
  <c r="R13" i="61" s="1"/>
  <c r="S13" i="61" s="1"/>
  <c r="R5" i="61" a="1"/>
  <c r="R5" i="61" s="1"/>
  <c r="S5" i="61" s="1"/>
  <c r="R15" i="61" a="1"/>
  <c r="R15" i="61" s="1"/>
  <c r="S15" i="61" s="1"/>
  <c r="R14" i="61" a="1"/>
  <c r="R14" i="61" s="1"/>
  <c r="S14" i="61" s="1"/>
  <c r="R11" i="61" a="1"/>
  <c r="R11" i="61" s="1"/>
  <c r="S11" i="61" s="1"/>
  <c r="R9" i="61" a="1"/>
  <c r="R9" i="61" s="1"/>
  <c r="S9" i="61" s="1"/>
  <c r="R8" i="61" a="1"/>
  <c r="R8" i="61" s="1"/>
  <c r="S8" i="61" s="1"/>
  <c r="R10" i="61" a="1"/>
  <c r="R10" i="61" s="1"/>
  <c r="S10" i="61" s="1"/>
  <c r="R7" i="61" a="1"/>
  <c r="R7" i="61" s="1"/>
  <c r="S7" i="61" s="1"/>
  <c r="R6" i="61" a="1"/>
  <c r="R6" i="61" s="1"/>
  <c r="S6" i="61" s="1"/>
  <c r="R12" i="61" a="1"/>
  <c r="R12" i="61" s="1"/>
  <c r="S12" i="61" s="1"/>
  <c r="L22" i="56"/>
  <c r="I9" i="59" s="1"/>
  <c r="M22" i="56"/>
  <c r="I10" i="59" s="1"/>
  <c r="N22" i="56"/>
  <c r="I11" i="59" s="1"/>
  <c r="K3" i="60"/>
  <c r="M36" i="59"/>
  <c r="L37" i="59"/>
  <c r="N39" i="59"/>
  <c r="N36" i="59"/>
  <c r="M37" i="59"/>
  <c r="L38" i="59"/>
  <c r="N37" i="59"/>
  <c r="M38" i="59"/>
  <c r="L39" i="59"/>
  <c r="L36" i="59"/>
  <c r="N38" i="59"/>
  <c r="M39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T5" i="61" l="1" a="1"/>
  <c r="T5" i="61" s="1"/>
  <c r="T12" i="61" a="1"/>
  <c r="T12" i="61" s="1"/>
  <c r="T7" i="61" a="1"/>
  <c r="T7" i="61" s="1"/>
  <c r="T4" i="61" a="1"/>
  <c r="T4" i="61" s="1"/>
  <c r="T14" i="61" a="1"/>
  <c r="T14" i="61" s="1"/>
  <c r="T11" i="61" a="1"/>
  <c r="T11" i="61" s="1"/>
  <c r="T10" i="61" a="1"/>
  <c r="T10" i="61" s="1"/>
  <c r="T8" i="61" a="1"/>
  <c r="T8" i="61" s="1"/>
  <c r="T9" i="61" a="1"/>
  <c r="T9" i="61" s="1"/>
  <c r="T15" i="61" a="1"/>
  <c r="T15" i="61" s="1"/>
  <c r="T13" i="61" a="1"/>
  <c r="T13" i="61" s="1"/>
  <c r="T16" i="61" a="1"/>
  <c r="T16" i="61" s="1"/>
  <c r="T6" i="61" a="1"/>
  <c r="T6" i="61" s="1"/>
  <c r="M3" i="60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Q8" i="48" a="1"/>
  <c r="Q8" i="48" s="1"/>
  <c r="Q13" i="48" a="1"/>
  <c r="Q13" i="48" s="1"/>
  <c r="Q16" i="48" a="1"/>
  <c r="Q16" i="48" s="1"/>
  <c r="Q12" i="48" a="1"/>
  <c r="Q12" i="48" s="1"/>
  <c r="Q7" i="48" a="1"/>
  <c r="Q7" i="48" s="1"/>
  <c r="Q15" i="48" a="1"/>
  <c r="Q15" i="48" s="1"/>
  <c r="Q6" i="48" a="1"/>
  <c r="Q6" i="48" s="1"/>
  <c r="Q11" i="48" a="1"/>
  <c r="Q11" i="48" s="1"/>
  <c r="Q14" i="48" a="1"/>
  <c r="Q14" i="48" s="1"/>
  <c r="Q9" i="48" a="1"/>
  <c r="Q9" i="48" s="1"/>
  <c r="Q4" i="48" a="1"/>
  <c r="Q4" i="48" s="1"/>
  <c r="Q10" i="48" a="1"/>
  <c r="Q10" i="48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O3" i="42" l="1"/>
  <c r="O15" i="42"/>
  <c r="S15" i="42" s="1"/>
  <c r="O12" i="42" l="1"/>
  <c r="S12" i="42" s="1"/>
  <c r="O13" i="42"/>
  <c r="S13" i="42" s="1"/>
  <c r="O14" i="42"/>
  <c r="S14" i="42" s="1"/>
  <c r="K126" i="15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V12" i="28" l="1"/>
  <c r="V13" i="28"/>
  <c r="N15" i="28"/>
  <c r="V15" i="28"/>
  <c r="N14" i="28"/>
  <c r="V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AE2" i="12" l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1" i="8"/>
  <c r="H22" i="12" l="1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I20" i="12" l="1"/>
  <c r="H20" i="12" l="1"/>
  <c r="J20" i="12" s="1"/>
  <c r="E37" i="59" s="1"/>
  <c r="C19" i="12" l="1"/>
  <c r="L39" i="8"/>
  <c r="I19" i="12" l="1"/>
  <c r="E28" i="59" s="1"/>
  <c r="H19" i="12"/>
  <c r="C28" i="59" s="1"/>
  <c r="J19" i="12" l="1"/>
  <c r="E36" i="59" s="1"/>
  <c r="L2" i="48"/>
  <c r="L1" i="48" l="1"/>
  <c r="K18" i="48" a="1"/>
  <c r="K19" i="48" a="1"/>
  <c r="K20" i="48" a="1"/>
  <c r="N3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6" i="48" l="1"/>
  <c r="N15" i="48"/>
  <c r="N14" i="48"/>
  <c r="N13" i="48"/>
  <c r="N12" i="48"/>
  <c r="N11" i="48"/>
  <c r="N10" i="48"/>
  <c r="N9" i="48"/>
  <c r="N8" i="48"/>
  <c r="N7" i="48"/>
  <c r="N6" i="48"/>
  <c r="N5" i="48"/>
  <c r="N4" i="48"/>
  <c r="N3" i="48"/>
  <c r="K20" i="48"/>
  <c r="K19" i="48"/>
  <c r="K18" i="48"/>
  <c r="M20" i="48"/>
  <c r="M19" i="48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S5" i="48" s="1"/>
  <c r="R7" i="48" a="1"/>
  <c r="R7" i="48" s="1"/>
  <c r="S7" i="48" s="1"/>
  <c r="R9" i="48" a="1"/>
  <c r="R9" i="48" s="1"/>
  <c r="S9" i="48" s="1"/>
  <c r="R11" i="48" a="1"/>
  <c r="R11" i="48" s="1"/>
  <c r="S11" i="48" s="1"/>
  <c r="R13" i="48" a="1"/>
  <c r="R13" i="48" s="1"/>
  <c r="S13" i="48" s="1"/>
  <c r="R8" i="48" a="1"/>
  <c r="R8" i="48" s="1"/>
  <c r="S8" i="48" s="1"/>
  <c r="R10" i="48" a="1"/>
  <c r="R10" i="48" s="1"/>
  <c r="S10" i="48" s="1"/>
  <c r="R14" i="48" a="1"/>
  <c r="R14" i="48" s="1"/>
  <c r="S14" i="48" s="1"/>
  <c r="R16" i="48" a="1"/>
  <c r="R16" i="48" s="1"/>
  <c r="S16" i="48" s="1"/>
  <c r="R6" i="48" a="1"/>
  <c r="R6" i="48" s="1"/>
  <c r="S6" i="48" s="1"/>
  <c r="R12" i="48" a="1"/>
  <c r="R12" i="48" s="1"/>
  <c r="S12" i="48" s="1"/>
  <c r="R15" i="48" a="1"/>
  <c r="R15" i="48" s="1"/>
  <c r="S15" i="48" s="1"/>
  <c r="R4" i="48" a="1"/>
  <c r="R4" i="48" s="1"/>
  <c r="S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T4" i="48" l="1" a="1"/>
  <c r="T4" i="48" s="1"/>
  <c r="T5" i="48" a="1"/>
  <c r="T5" i="48" s="1"/>
  <c r="T7" i="48" a="1"/>
  <c r="T7" i="48" s="1"/>
  <c r="T9" i="48" a="1"/>
  <c r="T9" i="48" s="1"/>
  <c r="T11" i="48" a="1"/>
  <c r="T11" i="48" s="1"/>
  <c r="T13" i="48" a="1"/>
  <c r="T13" i="48" s="1"/>
  <c r="T15" i="48" a="1"/>
  <c r="T15" i="48" s="1"/>
  <c r="T6" i="48" a="1"/>
  <c r="T6" i="48" s="1"/>
  <c r="T8" i="48" a="1"/>
  <c r="T8" i="48" s="1"/>
  <c r="T10" i="48" a="1"/>
  <c r="T10" i="48" s="1"/>
  <c r="T12" i="48" a="1"/>
  <c r="T12" i="48" s="1"/>
  <c r="T14" i="48" a="1"/>
  <c r="T14" i="48" s="1"/>
  <c r="T16" i="48" a="1"/>
  <c r="T16" i="48" s="1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11" i="42" l="1"/>
  <c r="C18" i="12"/>
  <c r="O10" i="42" l="1"/>
  <c r="S10" i="42" s="1"/>
  <c r="O6" i="42"/>
  <c r="S6" i="42" s="1"/>
  <c r="O9" i="42"/>
  <c r="D20" i="1"/>
  <c r="D19" i="1"/>
  <c r="O7" i="42" l="1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E24" i="8"/>
  <c r="U2" i="12" s="1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AB13" i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U11" i="28" l="1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E16" i="8"/>
  <c r="AC2" i="12" s="1"/>
  <c r="F16" i="8"/>
  <c r="AD2" i="12" s="1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E20" i="8"/>
  <c r="Z2" i="12" s="1"/>
  <c r="H16" i="8"/>
  <c r="AB2" i="12" s="1"/>
  <c r="G16" i="8"/>
  <c r="AA2" i="12" s="1"/>
  <c r="F12" i="8"/>
  <c r="W2" i="12" s="1"/>
  <c r="G12" i="8"/>
  <c r="X2" i="12" s="1"/>
  <c r="E12" i="8"/>
  <c r="V2" i="12" s="1"/>
  <c r="K14" i="13" l="1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AF2" i="12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F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F14" i="12" s="1"/>
  <c r="AB11" i="12" a="1"/>
  <c r="AB11" i="12" s="1"/>
  <c r="AF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I12" i="12" s="1"/>
  <c r="AB3" i="12" a="1"/>
  <c r="AB3" i="12" s="1"/>
  <c r="AI3" i="12" s="1"/>
  <c r="AB10" i="12" a="1"/>
  <c r="AB10" i="12" s="1"/>
  <c r="AI10" i="12" s="1"/>
  <c r="AI7" i="12" l="1"/>
  <c r="AF12" i="12"/>
  <c r="AI8" i="12"/>
  <c r="AF10" i="12"/>
  <c r="AF3" i="12"/>
  <c r="AI15" i="12"/>
  <c r="AI14" i="12"/>
  <c r="L22" i="55"/>
  <c r="M14" i="55" s="1"/>
  <c r="AF13" i="12"/>
  <c r="AH6" i="12" s="1" a="1"/>
  <c r="AH6" i="12" s="1"/>
  <c r="J10" i="40" s="1"/>
  <c r="AI11" i="12"/>
  <c r="AI4" i="12"/>
  <c r="AI6" i="12"/>
  <c r="AI9" i="12"/>
  <c r="AI5" i="12"/>
  <c r="AH9" i="12" l="1" a="1"/>
  <c r="AH9" i="12" s="1"/>
  <c r="J11" i="40" s="1"/>
  <c r="J9" i="49" s="1"/>
  <c r="AH15" i="12" a="1"/>
  <c r="AH15" i="12" s="1"/>
  <c r="J18" i="40" s="1"/>
  <c r="AH5" i="12" a="1"/>
  <c r="AH5" i="12" s="1"/>
  <c r="J12" i="40" s="1"/>
  <c r="M12" i="40" s="1"/>
  <c r="AH13" i="12" a="1"/>
  <c r="AH13" i="12" s="1"/>
  <c r="J16" i="40" s="1"/>
  <c r="F19" i="55" s="1"/>
  <c r="J19" i="55" s="1"/>
  <c r="M16" i="55"/>
  <c r="AH7" i="12" a="1"/>
  <c r="AH7" i="12" s="1"/>
  <c r="J7" i="40" s="1"/>
  <c r="J5" i="49" s="1"/>
  <c r="M17" i="55"/>
  <c r="AH11" i="12" a="1"/>
  <c r="AH11" i="12" s="1"/>
  <c r="J9" i="40" s="1"/>
  <c r="M9" i="40" s="1"/>
  <c r="AH12" i="12" a="1"/>
  <c r="AH12" i="12" s="1"/>
  <c r="J15" i="40" s="1"/>
  <c r="F18" i="55" s="1"/>
  <c r="J18" i="55" s="1"/>
  <c r="M18" i="55"/>
  <c r="F15" i="55"/>
  <c r="J15" i="55" s="1"/>
  <c r="M11" i="40"/>
  <c r="AH14" i="12" a="1"/>
  <c r="AH14" i="12" s="1"/>
  <c r="J17" i="40" s="1"/>
  <c r="AH4" i="12" a="1"/>
  <c r="AH4" i="12" s="1"/>
  <c r="J13" i="40" s="1"/>
  <c r="M12" i="55"/>
  <c r="M9" i="55"/>
  <c r="M15" i="55"/>
  <c r="J16" i="49"/>
  <c r="F21" i="55"/>
  <c r="J21" i="55" s="1"/>
  <c r="M18" i="40"/>
  <c r="J8" i="49"/>
  <c r="F12" i="55"/>
  <c r="J12" i="55" s="1"/>
  <c r="M10" i="40"/>
  <c r="M20" i="55"/>
  <c r="AH10" i="12" a="1"/>
  <c r="AH10" i="12" s="1"/>
  <c r="J8" i="40" s="1"/>
  <c r="M13" i="55"/>
  <c r="AH3" i="12" a="1"/>
  <c r="AH3" i="12" s="1"/>
  <c r="J14" i="40" s="1"/>
  <c r="AH8" i="12" a="1"/>
  <c r="AH8" i="12" s="1"/>
  <c r="J6" i="40" s="1"/>
  <c r="M6" i="40" s="1"/>
  <c r="M21" i="55"/>
  <c r="M19" i="55"/>
  <c r="M10" i="55"/>
  <c r="M11" i="55"/>
  <c r="F11" i="55" l="1"/>
  <c r="J11" i="55" s="1"/>
  <c r="J10" i="49"/>
  <c r="J13" i="49"/>
  <c r="M16" i="40"/>
  <c r="J14" i="49"/>
  <c r="J7" i="49"/>
  <c r="M7" i="40"/>
  <c r="F13" i="55"/>
  <c r="J13" i="55" s="1"/>
  <c r="F17" i="55"/>
  <c r="J17" i="55" s="1"/>
  <c r="M15" i="40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4" i="49"/>
  <c r="F14" i="55"/>
  <c r="J14" i="55" s="1"/>
  <c r="J12" i="49"/>
  <c r="F9" i="55"/>
  <c r="J9" i="55" s="1"/>
  <c r="M14" i="40"/>
  <c r="N7" i="40" l="1" a="1"/>
  <c r="N7" i="40" s="1"/>
  <c r="L5" i="49" s="1"/>
  <c r="N13" i="40" a="1"/>
  <c r="N13" i="40" s="1"/>
  <c r="L11" i="49" s="1"/>
  <c r="N18" i="40" a="1"/>
  <c r="N18" i="40" s="1"/>
  <c r="L16" i="49" s="1"/>
  <c r="N9" i="40" a="1"/>
  <c r="N9" i="40" s="1"/>
  <c r="L7" i="49" s="1"/>
  <c r="N16" i="40" a="1"/>
  <c r="N16" i="40" s="1"/>
  <c r="L14" i="49" s="1"/>
  <c r="J22" i="55"/>
  <c r="K14" i="55" s="1"/>
  <c r="R14" i="55" s="1"/>
  <c r="N8" i="40" a="1"/>
  <c r="N8" i="40" s="1"/>
  <c r="L6" i="49" s="1"/>
  <c r="N17" i="40" a="1"/>
  <c r="N17" i="40" s="1"/>
  <c r="L15" i="49" s="1"/>
  <c r="N14" i="40" a="1"/>
  <c r="N14" i="40" s="1"/>
  <c r="L12" i="49" s="1"/>
  <c r="N6" i="40" a="1"/>
  <c r="N6" i="40" s="1"/>
  <c r="L4" i="49" s="1"/>
  <c r="N15" i="40" a="1"/>
  <c r="N15" i="40" s="1"/>
  <c r="L13" i="49" s="1"/>
  <c r="N11" i="40" a="1"/>
  <c r="N11" i="40" s="1"/>
  <c r="L9" i="49" s="1"/>
  <c r="N10" i="40" a="1"/>
  <c r="N10" i="40" s="1"/>
  <c r="L8" i="49" s="1"/>
  <c r="N12" i="40" a="1"/>
  <c r="N12" i="40" s="1"/>
  <c r="L10" i="49" s="1"/>
  <c r="K10" i="55" l="1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57C0CC1-3B1E-49C6-AB87-CEF870C0F57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Timestamp="1710502757"&gt;&lt;FQL&gt;&lt;Q&gt;FC0000ZA^FG_MCAP_IDX(0,,,USD)&lt;/Q&gt;&lt;R&gt;1&lt;/R&gt;&lt;C&gt;1&lt;/C&gt;&lt;D xsi:type="xsd:double"&gt;296158.72&lt;/D&gt;&lt;/FQL&gt;&lt;FQL&gt;&lt;Q&gt;EWI^FREF_MARKET_VALUE_COMPANY(0,,,USD,,0,,"LEGACY")&lt;/Q&gt;&lt;R&gt;1&lt;/R&gt;&lt;C&gt;1&lt;/C&gt;&lt;D xsi:type="xsd:double"&gt;402.04875&lt;/D&gt;&lt;/FQL&gt;&lt;FQL&gt;&lt;Q&gt;EWN^FREF_MARKET_VALUE_COMPANY(0,,,USD,,0,,"LEGACY")&lt;/Q&gt;&lt;R&gt;1&lt;/R&gt;&lt;C&gt;1&lt;/C&gt;&lt;D xsi:type="xsd:double"&gt;227.668&lt;/D&gt;&lt;/FQL&gt;&lt;FQL&gt;&lt;Q&gt;EWQ^FREF_MARKET_VALUE_COMPANY(0,,,USD,,0,,"LEGACY")&lt;/Q&gt;&lt;R&gt;1&lt;/R&gt;&lt;C&gt;1&lt;/C&gt;&lt;D xsi:type="xsd:double"&gt;680.436&lt;/D&gt;&lt;/FQL&gt;&lt;FQL&gt;&lt;Q&gt;FC0000FR^FMA_MCAP(0,,,USD,"PORTAGG")&lt;/Q&gt;&lt;R&gt;1&lt;/R&gt;&lt;C&gt;1&lt;/C&gt;&lt;D xsi:type="xsd:double"&gt;3464222&lt;/D&gt;&lt;/FQL&gt;&lt;FQL&gt;&lt;Q&gt;FC0000US^FMA_MCAP(0,,,USD,"PORTAGG")&lt;/Q&gt;&lt;R&gt;1&lt;/R&gt;&lt;C&gt;1&lt;/C&gt;&lt;D xsi:type="xsd:double"&gt;53747804&lt;/D&gt;&lt;/FQL&gt;&lt;FQL&gt;&lt;Q&gt;FC0000IT^FMA_MCAP(0,,,USD,"PORTAGG")&lt;/Q&gt;&lt;R&gt;1&lt;/R&gt;&lt;C&gt;1&lt;/C&gt;&lt;D xsi:type="xsd:double"&gt;880727.1&lt;/D&gt;&lt;/FQL&gt;&lt;FQL&gt;&lt;Q&gt;EWD^FREF_MARKET_VALUE_COMPANY(0,,,USD,,0,,"LEGACY")&lt;/Q&gt;&lt;R&gt;1&lt;/R&gt;&lt;C&gt;1&lt;/C&gt;&lt;D xsi:type="xsd:double"&gt;254.91375&lt;/D&gt;&lt;/FQL&gt;&lt;FQL&gt;&lt;Q&gt;FC0000SE^FMA_MCAP(0,,,USD,"PORTAGG")&lt;/Q&gt;&lt;R&gt;1&lt;/R&gt;&lt;C&gt;1&lt;/C&gt;&lt;D xsi:type="xsd:double"&gt;1062384&lt;/D&gt;&lt;/FQL&gt;&lt;FQL&gt;&lt;Q&gt;FC0000NL^FMA_MCAP(0,,,USD,"PORTAGG")&lt;/Q&gt;&lt;R&gt;1&lt;/R&gt;&lt;C&gt;1&lt;/C&gt;&lt;D xsi:type="xsd:double"&gt;1118533.4&lt;/D&gt;&lt;/FQL&gt;&lt;FQL&gt;&lt;Q&gt;SPY^FREF_MARKET_VALUE_COMPANY(0,,,USD,,0,,"LEGACY")&lt;/Q&gt;&lt;R&gt;1&lt;/R&gt;&lt;C&gt;1&lt;/C&gt;&lt;D xsi:type="xsd:double"&gt;506263.895493&lt;/D&gt;&lt;/FQL&gt;&lt;FQL&gt;&lt;Q&gt;QQQ^FREF_MARKET_VALUE_COMPANY(0,,,USD,,0,,"LEGACY")&lt;/Q&gt;&lt;R&gt;1&lt;/R&gt;&lt;C&gt;1&lt;/C&gt;&lt;D xsi:type="xsd:double"&gt;253252.038&lt;/D&gt;&lt;/FQL&gt;&lt;FQL&gt;&lt;Q&gt;EWU^FREF_MARKET_VALUE_COMPANY(0,,,USD,,0,,"LEGACY")&lt;/Q&gt;&lt;R&gt;1&lt;/R&gt;&lt;C&gt;1&lt;/C&gt;&lt;D xsi:type="xsd:double"&gt;2542.65&lt;/D&gt;&lt;/FQL&gt;&lt;FQL&gt;&lt;Q&gt;FC0000CH^FMA_MCAP(0,,,USD,"PORTAGG")&lt;/Q&gt;&lt;R&gt;1&lt;/R&gt;&lt;C&gt;1&lt;/C&gt;&lt;D xsi:type="xsd:double"&gt;2177973.5&lt;/D&gt;&lt;/FQL&gt;&lt;FQL&gt;&lt;Q&gt;FC0000DE^FMA_MCAP(0,,,USD,"PORTAGG")&lt;/Q&gt;&lt;R&gt;1&lt;/R&gt;&lt;C&gt;1&lt;/C&gt;&lt;D xsi:type="xsd:double"&gt;2337301&lt;/D&gt;&lt;/FQL&gt;&lt;FQL&gt;&lt;Q&gt;EWC^FREF_MARKET_VALUE_COMPANY(0,,,USD,,0,,"LEGACY")&lt;/Q&gt;&lt;R&gt;1&lt;/R&gt;&lt;C&gt;1&lt;/C&gt;&lt;D xsi:type="xsd:double"&gt;2798.757&lt;/D&gt;&lt;/FQL&gt;&lt;FQL&gt;&lt;Q&gt;FC0000CA^FMA_MCAP(0,,,USD,"PORTAGG")&lt;/Q&gt;&lt;R&gt;1&lt;/R&gt;&lt;C&gt;1&lt;/C&gt;&lt;D xsi:type="xsd:double"&gt;2704108.8&lt;/D&gt;&lt;/FQL&gt;&lt;FQL&gt;&lt;Q&gt;EWA^FREF_MARKET_VALUE_COMPANY(0,,,USD,,0,,"LEGACY")&lt;/Q&gt;&lt;R&gt;1&lt;/R&gt;&lt;C&gt;1&lt;/C&gt;&lt;D xsi:type="xsd:double"&gt;1968.192&lt;/D&gt;&lt;/FQL&gt;&lt;FQL&gt;&lt;Q&gt;FC0000AU^FMA_MCAP(0,,,USD,"PORTAGG")&lt;/Q&gt;&lt;R&gt;1&lt;/R&gt;&lt;C&gt;1&lt;/C&gt;&lt;D xsi:type="xsd:double"&gt;1666016.6&lt;/D&gt;&lt;/FQL&gt;&lt;FQL&gt;&lt;Q&gt;ENZL^FREF_MARKET_VALUE_COMPANY(0,,,USD,,0,,"LEGACY")&lt;/Q&gt;&lt;R&gt;1&lt;/R&gt;&lt;C&gt;1&lt;/C&gt;&lt;D xsi:type="xsd:double"&gt;99.99&lt;/D&gt;&lt;/FQL&gt;&lt;FQL&gt;&lt;Q&gt;FC0000NZ^FMA_MCAP(0,,,USD,"PORTAGG")&lt;/Q&gt;&lt;R&gt;1&lt;/R&gt;&lt;C&gt;1&lt;/C&gt;&lt;D xsi:type="xsd:double"&gt;91759.45&lt;/D&gt;&lt;/FQL&gt;&lt;FQL&gt;&lt;Q&gt;NQG00809^FG_COMPANY_NAME&lt;/Q&gt;&lt;R&gt;1&lt;/R&gt;&lt;C&gt;1&lt;/C&gt;&lt;D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Africa&lt;/D&gt;&lt;/FQL&gt;&lt;FQL&gt;&lt;Q&gt;NQG00809^FMA_MCAP(0,,,USD,"PORTAGG")&lt;/Q&gt;&lt;R&gt;0&lt;/R&gt;&lt;C&gt;0&lt;/C&gt;&lt;/FQL&gt;&lt;FQL&gt;&lt;Q&gt;FC0000GB^FMA_MCAP(0,,,USD,"PORTAGG")&lt;/Q&gt;&lt;R&gt;1&lt;/R&gt;&lt;C&gt;1&lt;/C&gt;&lt;D xsi:type="xsd:double"&gt;3096719.5&lt;/D&gt;&lt;/FQL&gt;&lt;FQL&gt;&lt;Q&gt;EWL^FREF_MARKET_VALUE_COMPANY(0,,,USD,,0,,"LEGACY")&lt;/Q&gt;&lt;R&gt;1&lt;/R&gt;&lt;C&gt;1&lt;/C&gt;&lt;D xsi:type="xsd:double"&gt;1178.2875&lt;/D&gt;&lt;/FQL&gt;&lt;FQL&gt;&lt;Q&gt;EWJ^FREF_MARKET_VALUE_COMPANY(0,,,USD,,0,,"LEGACY")&lt;/Q&gt;&lt;R&gt;1&lt;/R&gt;&lt;C&gt;1&lt;/C&gt;&lt;D xsi:type="xsd:double"&gt;16450.092&lt;/D&gt;&lt;/FQL&gt;&lt;FQL&gt;&lt;Q&gt;FC0000JP^FMA_MCAP(0,,,USD,"PORTAGG")&lt;/Q&gt;&lt;R&gt;1&lt;/R&gt;&lt;C&gt;1&lt;/C&gt;&lt;D xsi:type="xsd:double"&gt;6652499&lt;/D&gt;&lt;/FQL&gt;&lt;FQL&gt;&lt;Q&gt;EWG^FREF_MARKET_VALUE_COMPANY(0,,,USD,,0,,"LEGACY")&lt;/Q&gt;&lt;R&gt;1&lt;/R&gt;&lt;C&gt;1&lt;/C&gt;&lt;D xsi:type="xsd:double"&gt;1009.26&lt;/D&gt;&lt;/FQL&gt;&lt;FQL&gt;&lt;Q&gt;DUMMY^ECON_EXPR_DATA('FDS_ECON[]',,,M)&lt;/Q&gt;&lt;R&gt;0&lt;/R&gt;&lt;C&gt;0&lt;/C&gt;&lt;/FQL&gt;&lt;FQL&gt;&lt;Q&gt;DUMMY^ECON_EXPR_DATA('FDS_ECON[NTCPMIMFGSA@IT]',,,M)&lt;/Q&gt;&lt;R&gt;1&lt;/R&gt;&lt;C&gt;1&lt;/C&gt;&lt;D xsi:type="xsd:double"&gt;48.697094&lt;/D&gt;&lt;/FQL&gt;&lt;FQL&gt;&lt;Q&gt;DUMMY^ECON_EXPR_DATA('FDS_ECON[NTCPMIMFGSA@NZ]',,,M)&lt;/Q&gt;&lt;R&gt;1&lt;/R&gt;&lt;C&gt;1&lt;/C&gt;&lt;D xsi:type="xsd:double"&gt;49.27094&lt;/D&gt;&lt;/FQL&gt;&lt;FQL&gt;&lt;Q&gt;DUMMY^ECON_EXPR_DATA('FDS_ECON[NTCPMIMFGMESA@US]',,,M)&lt;/Q&gt;&lt;R&gt;1&lt;/R&gt;&lt;C&gt;1&lt;/C&gt;&lt;D xsi:type="xsd:double"&gt;52.19507&lt;/D&gt;&lt;/FQL&gt;&lt;FQL&gt;&lt;Q&gt;DUMMY^ECON_EXPR_DATA('FDS_ECON[NTCPMIMFGSA@NL]',,,M)&lt;/Q&gt;&lt;R&gt;1&lt;/R&gt;&lt;C&gt;1&lt;/C&gt;&lt;D xsi:type="xsd:double"&gt;49.33351&lt;/D&gt;&lt;/FQL&gt;&lt;FQL&gt;&lt;Q&gt;DUMMY^ECON_EXPR_DATA('FDS_ECON[NTCPMIMFGSA@AU]',,,M)&lt;/Q&gt;&lt;R&gt;1&lt;/R&gt;&lt;C&gt;1&lt;/C&gt;&lt;D xsi:type="xsd:double"&gt;47.823067&lt;/D&gt;&lt;/FQL&gt;&lt;FQL&gt;&lt;Q&gt;DUMMY^ECON_EXPR_DATA('FDS_ECON[NTCPMIMFGSA@FR]',,,M)&lt;/Q&gt;&lt;R&gt;1&lt;/R&gt;&lt;C&gt;1&lt;/C&gt;&lt;D xsi:type="xsd:double"&gt;47.113422&lt;/D&gt;&lt;/FQL&gt;&lt;FQL&gt;&lt;Q&gt;DUMMY^ECON_EXPR_DATA('FDS_ECON[NTCPMIMFGSA@JP]',,,M)&lt;/Q&gt;&lt;R&gt;1&lt;/R&gt;&lt;C&gt;1&lt;/C&gt;&lt;D xsi:type="xsd:double"&gt;47.18277&lt;/D&gt;&lt;/FQL&gt;&lt;FQL&gt;&lt;Q&gt;DUMMY^ECON_EXPR_DATA('FDS_ECON[NTCPMIMFGSA@CA]',,,M)&lt;/Q&gt;&lt;R&gt;1&lt;/R&gt;&lt;C&gt;1&lt;/C&gt;&lt;D xsi:type="xsd:double"&gt;49.74032&lt;/D&gt;&lt;/FQL&gt;&lt;FQL&gt;&lt;Q&gt;DUMMY^ECON_EXPR_DATA('FDS_ECON[NTCPMIMFGSA@GB]',,,M)&lt;/Q&gt;&lt;R&gt;1&lt;/R&gt;&lt;C&gt;1&lt;/C&gt;&lt;D xsi:type="xsd:double"&gt;47.508816&lt;/D&gt;&lt;/FQL&gt;&lt;FQL&gt;&lt;Q&gt;DUMMY^ECON_EXPR_DATA('FDS_ECON[NTCPMIMFGSA@CH]',,,M)&lt;/Q&gt;&lt;R&gt;1&lt;/R&gt;&lt;C&gt;1&lt;/C&gt;&lt;D xsi:type="xsd:double"&gt;43.954456&lt;/D&gt;&lt;/FQL&gt;&lt;FQL&gt;&lt;Q&gt;DUMMY^ECON_EXPR_DATA('FDS_ECON[NTCPMIMFGSA@DE]',,,M)&lt;/Q&gt;&lt;R&gt;1&lt;/R&gt;&lt;C&gt;1&lt;/C&gt;&lt;D xsi:type="xsd:double"&gt;42.52625&lt;/D&gt;&lt;/FQL&gt;&lt;FQL&gt;&lt;Q&gt;DUMMY^ECON_EXPR_DATA('FDS_ECON[NTCPMIMFGSA@EME]',,,M)&lt;/Q&gt;&lt;R&gt;1&lt;/R&gt;&lt;C&gt;1&lt;/C&gt;&lt;D xsi:type="xsd:double"&gt;51.4475&lt;/D&gt;&lt;/FQL&gt;&lt;FQL&gt;&lt;Q&gt;DUMMY^ECON_EXPR_DATA('FDS_ECON[PMIDMMANHE]',,,M)&lt;/Q&gt;&lt;R&gt;1&lt;/R&gt;&lt;C&gt;1&lt;/C&gt;&lt;D xsi:type="xsd:double"&gt;49.253857&lt;/D&gt;&lt;/FQL&gt;&lt;FQL&gt;&lt;Q&gt;EWQ^FG_COMPANY_NAME&lt;/Q&gt;&lt;R&gt;1&lt;/R&gt;&lt;C&gt;1&lt;/C&gt;&lt;D xsi:type="xsd:string"&gt;iShares MSCI France ETF&lt;/D&gt;&lt;/FQL&gt;&lt;FQL&gt;&lt;Q&gt;EWL^FG_COMPANY_NAME&lt;/Q&gt;&lt;R&gt;1&lt;/R&gt;&lt;C&gt;1&lt;/C&gt;&lt;D xsi:type="xsd:string"&gt;iShares MSCI Switzerland ETF&lt;/D&gt;&lt;/FQL&gt;&lt;FQL&gt;&lt;Q&gt;EWG^FG_COMPANY_NAME&lt;/Q&gt;&lt;R&gt;1&lt;/R&gt;&lt;C&gt;1&lt;/C&gt;&lt;D xsi:type="xsd:string"&gt;iShares MSCI Germany ETF&lt;/D&gt;&lt;/FQL&gt;&lt;FQL&gt;&lt;Q&gt;ENZL^FG_COMPANY_NAME&lt;/Q&gt;&lt;R&gt;1&lt;/R&gt;&lt;C&gt;1&lt;/C&gt;&lt;D xsi:type="xsd:string"&gt;iShares MSCI New Zealand ETF&lt;/D&gt;&lt;/FQL&gt;&lt;FQL&gt;&lt;Q&gt;EWD^FG_COMPANY_NAME&lt;/Q&gt;&lt;R&gt;1&lt;/R&gt;&lt;C&gt;1&lt;/C&gt;&lt;D xsi:type="xsd:string"&gt;iShares MSCI Sweden ETF&lt;/D&gt;&lt;/FQL&gt;&lt;FQL&gt;&lt;Q&gt;EWI^FG_COMPANY_NAME&lt;/Q&gt;&lt;R&gt;1&lt;/R&gt;&lt;C&gt;1&lt;/C&gt;&lt;D xsi:type="xsd:string"&gt;iShares MSCI Italy ETF&lt;/D&gt;&lt;/FQL&gt;&lt;FQL&gt;&lt;Q&gt;QQQ^FG_COMPANY_NAME&lt;/Q&gt;&lt;R&gt;1&lt;/R&gt;&lt;C&gt;1&lt;/C&gt;&lt;D xsi:type="xsd:string"&gt;Invesco QQQ Trust Series I&lt;/D&gt;&lt;/FQL&gt;&lt;FQL&gt;&lt;Q&gt;EWN^FG_COMPANY_NAME&lt;/Q&gt;&lt;R&gt;1&lt;/R&gt;&lt;C&gt;1&lt;/C&gt;&lt;D xsi:type="xsd:string"&gt;iShares MSCI Netherlands ETF&lt;/D&gt;&lt;/FQL&gt;&lt;FQL&gt;&lt;Q&gt;EWJ^FG_COMPANY_NAME&lt;/Q&gt;&lt;R&gt;1&lt;/R&gt;&lt;C&gt;1&lt;/C&gt;&lt;D xsi:type="xsd:string"&gt;iShares MSCI Japan ETF&lt;/D&gt;&lt;/FQL&gt;&lt;FQL&gt;&lt;Q&gt;SPY^FG_COMPANY_NAME&lt;/Q&gt;&lt;R&gt;1&lt;/R&gt;&lt;C&gt;1&lt;/C&gt;&lt;D xsi:type="xsd:string"&gt;SPDR S&amp;amp;P 500 ETF Trust&lt;/D&gt;&lt;/FQL&gt;&lt;FQL&gt;&lt;Q&gt;EWC^FG_COMPANY_NAME&lt;/Q&gt;&lt;R&gt;1&lt;/R&gt;&lt;C&gt;1&lt;/C&gt;&lt;D xsi:type="xsd:string"&gt;iShares MSCI Canada ETF&lt;/D&gt;&lt;/FQL&gt;&lt;FQL&gt;&lt;Q&gt;EWU^FG_COMPANY_NAME&lt;/Q&gt;&lt;R&gt;1&lt;/R&gt;&lt;C&gt;1&lt;/C&gt;&lt;D xsi:type="xsd:string"&gt;iShares MSCI United Kingdom ETF&lt;/D&gt;&lt;/FQL&gt;&lt;FQL&gt;&lt;Q&gt;EWA^FG_COMPANY_NAME&lt;/Q&gt;&lt;R&gt;1&lt;/R&gt;&lt;C&gt;1&lt;/C&gt;&lt;D xsi:type="xsd:string"&gt;iShares MSCI Australia ETF&lt;/D&gt;&lt;/FQL&gt;&lt;FQL&gt;&lt;Q&gt;CAGDPY@FR^EE_ACTUAL_ANNUAL(MED,+1)&lt;/Q&gt;&lt;R&gt;1&lt;/R&gt;&lt;C&gt;1&lt;/C&gt;&lt;D xsi:type="xsd:double"&gt;-1.3&lt;/D&gt;&lt;/FQL&gt;&lt;FQL&gt;&lt;Q&gt;CAGDPY@AU^EE_ACTUAL_ANNUAL(MED,+1)&lt;/Q&gt;&lt;R&gt;1&lt;/R&gt;&lt;C&gt;1&lt;/C&gt;&lt;D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xsi:type="xsd:double"&gt;0.978148&lt;/D&gt;&lt;/FQL&gt;&lt;FQL&gt;&lt;Q&gt;USDANG^FG_PRICE_CHANGE(0,-3AM)&lt;/Q&gt;&lt;R&gt;1&lt;/R&gt;&lt;C&gt;1&lt;/C&gt;&lt;D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xsi:type="xsd:double"&gt;0.094127655&lt;/D&gt;&lt;/FQL&gt;&lt;FQL&gt;&lt;Q&gt;USDJPY^FG_PRICE_CHANGE(0,-3AM)&lt;/Q&gt;&lt;R&gt;1&lt;/R&gt;&lt;C&gt;1&lt;/C&gt;&lt;D xsi:type="xsd:double"&gt;4.5874834&lt;/D&gt;&lt;/FQL&gt;&lt;FQL&gt;&lt;Q&gt;USDCAD^FG_PRICE_CHANGE(0,-3AM)&lt;/Q&gt;&lt;R&gt;1&lt;/R&gt;&lt;C&gt;1&lt;/C&gt;&lt;D xsi:type="xsd:double"&gt;0.72273016&lt;/D&gt;&lt;/FQL&gt;&lt;FQL&gt;&lt;Q&gt;USDNZD^FG_PRICE_CHANGE(0,-3AM)&lt;/Q&gt;&lt;R&gt;1&lt;/R&gt;&lt;C&gt;1&lt;/C&gt;&lt;D xsi:type="xsd:double"&gt;1.1905789&lt;/D&gt;&lt;/FQL&gt;&lt;FQL&gt;&lt;Q&gt;EWA^FMA_EPS(NTMA,-20AY,0,CY,,"PORTAGG","MEANR")&lt;/Q&gt;&lt;R&gt;20&lt;/R&gt;&lt;C&gt;1&lt;/C&gt;&lt;D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xsi:type="xsd:long"&gt;41712&lt;/D&gt;&lt;D xsi:type="xsd:long"&gt;41743&lt;/D&gt;&lt;D xsi:type="xsd:long"&gt;41773&lt;/D&gt;&lt;D xsi:type="xsd:long"&gt;41803&lt;/D&gt;&lt;D xsi:type="xsd:long"&gt;41834&lt;/D&gt;&lt;D xsi:type="xsd:long"&gt;41865&lt;/D&gt;&lt;D xsi:type="xsd:long"&gt;41894&lt;/D&gt;&lt;D xsi:type="xsd:long"&gt;41926&lt;/D&gt;&lt;D xsi:type="xsd:long"&gt;41957&lt;/D&gt;&lt;D xsi:type="xsd:long"&gt;41985&lt;/D&gt;&lt;D xsi:type="xsd:long"&gt;42018&lt;/D&gt;&lt;D xsi:type="xsd:long"&gt;42048&lt;/D&gt;&lt;D xsi:type="xsd:long"&gt;42076&lt;/D&gt;&lt;D xsi:type="xsd:long"&gt;42108&lt;/D&gt;&lt;D xsi:type="xsd:long"&gt;42138&lt;/D&gt;&lt;D xsi:type="xsd:long"&gt;42167&lt;/D&gt;&lt;D xsi:type="xsd:long"&gt;42199&lt;/D&gt;&lt;D xsi:type="xsd:long"&gt;42230&lt;/D&gt;&lt;D xsi:type="xsd:long"&gt;42261&lt;/D&gt;&lt;D xsi:type="xsd:long"&gt;42291&lt;/D&gt;&lt;D xsi:type="xsd:long"&gt;42321&lt;/D&gt;&lt;D xsi:type="xsd:long"&gt;42352&lt;/D&gt;&lt;D xsi:type="xsd:long"&gt;42383&lt;/D&gt;&lt;D xsi:type="xsd:long"&gt;42412&lt;/D&gt;&lt;D xsi:type="xsd:long"&gt;42443&lt;/D&gt;&lt;D xsi:type="xsd:long"&gt;42474&lt;/D&gt;&lt;D xsi:type="xsd:long"&gt;42503&lt;/D&gt;&lt;D xsi:type="xsd:long"&gt;42535&lt;/D&gt;&lt;D xsi:type="xsd:long"&gt;42565&lt;/D&gt;&lt;D xsi:type="xsd:long"&gt;42594&lt;/D&gt;&lt;D xsi:type="xsd:long"&gt;42627&lt;/D&gt;&lt;D xsi:type="xsd:long"&gt;42657&lt;/D&gt;&lt;D xsi:type="xsd:long"&gt;42688&lt;/D&gt;&lt;D xsi:type="xsd:long"&gt;42718&lt;/D&gt;&lt;D xsi:type="xsd:long"&gt;42748&lt;/D&gt;&lt;D xsi:type="xsd:long"&gt;42780&lt;/D&gt;&lt;D xsi:type="xsd:long"&gt;42808&lt;/D&gt;&lt;D xsi:type="xsd:long"&gt;42838&lt;/D&gt;&lt;D xsi:type="xsd:long"&gt;42867&lt;/D&gt;&lt;D xsi:type="xsd:long"&gt;42900&lt;/D&gt;&lt;D xsi:type="xsd:long"&gt;42930&lt;/D&gt;&lt;D xsi:type="xsd:long"&gt;42961&lt;/D&gt;&lt;D xsi:type="xsd:long"&gt;42992&lt;/D&gt;&lt;D xsi:type="xsd:long"&gt;43021&lt;/D&gt;&lt;D xsi:type="xsd:long"&gt;43053&lt;/D&gt;&lt;D xsi:type="xsd:long"&gt;43083&lt;/D&gt;&lt;D xsi:type="xsd:long"&gt;43112&lt;/D&gt;&lt;D xsi:type="xsd:long"&gt;43145&lt;/D&gt;&lt;D xsi:type="xsd:long"&gt;43173&lt;/D&gt;&lt;D xsi:type="xsd:long"&gt;43203&lt;/D&gt;&lt;D xsi:type="xsd:long"&gt;43234&lt;/D&gt;&lt;D xsi:type="xsd:long"&gt;43265&lt;/D&gt;&lt;D xsi:type="xsd:long"&gt;43294&lt;/D&gt;&lt;D xsi:type="xsd:long"&gt;43326&lt;/D&gt;&lt;D xsi:type="xsd:long"&gt;43357&lt;/D&gt;&lt;D xsi:type="xsd:long"&gt;43385&lt;/D&gt;&lt;D xsi:type="xsd:long"&gt;43418&lt;/D&gt;&lt;D xsi:type="xsd:long"&gt;43448&lt;/D&gt;&lt;D xsi:type="xsd:long"&gt;43479&lt;/D&gt;&lt;D xsi:type="xsd:long"&gt;43510&lt;/D&gt;&lt;D xsi:type="xsd:long"&gt;43538&lt;/D&gt;&lt;D xsi:type="xsd:long"&gt;43567&lt;/D&gt;&lt;D xsi:type="xsd:long"&gt;43599&lt;/D&gt;&lt;D xsi:type="xsd:long"&gt;43630&lt;/D&gt;&lt;D xsi:type="xsd:long"&gt;43658&lt;/D&gt;&lt;D xsi:type="xsd:long"&gt;43691&lt;/D&gt;&lt;D xsi:type="xsd:long"&gt;43721&lt;/D&gt;&lt;D xsi:type="xsd:long"&gt;43752&lt;/D&gt;&lt;D xsi:type="xsd:long"&gt;43783&lt;/D&gt;&lt;D xsi:type="xsd:long"&gt;43812&lt;/D&gt;&lt;D xsi:type="xsd:long"&gt;43844&lt;/D&gt;&lt;D xsi:type="xsd:long"&gt;43875&lt;/D&gt;&lt;D xsi:type="xsd:long"&gt;43903&lt;/D&gt;&lt;D xsi:type="xsd:long"&gt;43935&lt;/D&gt;&lt;D xsi:type="xsd:long"&gt;43965&lt;/D&gt;&lt;D xsi:type="xsd:long"&gt;43994&lt;/D&gt;&lt;D xsi:type="xsd:long"&gt;44026&lt;/D&gt;&lt;D xsi:type="xsd:long"&gt;44057&lt;/D&gt;&lt;D xsi:type="xsd:long"&gt;44088&lt;/D&gt;&lt;D xsi:type="xsd:long"&gt;44118&lt;/D&gt;&lt;D xsi:type="xsd:long"&gt;44148&lt;/D&gt;&lt;D xsi:type="xsd:long"&gt;44179&lt;/D&gt;&lt;D xsi:type="xsd:long"&gt;44210&lt;/D&gt;&lt;D xsi:type="xsd:long"&gt;44239&lt;/D&gt;&lt;D xsi:type="xsd:long"&gt;44267&lt;/D&gt;&lt;D xsi:type="xsd:long"&gt;44300&lt;/D&gt;&lt;D xsi:type="xsd:long"&gt;44330&lt;/D&gt;&lt;D xsi:type="xsd:long"&gt;44361&lt;/D&gt;&lt;D xsi:type="xsd:long"&gt;44391&lt;/D&gt;&lt;D xsi:type="xsd:long"&gt;44421&lt;/D&gt;&lt;D xsi:type="xsd:long"&gt;44453&lt;/D&gt;&lt;D xsi:type="xsd:long"&gt;44483&lt;/D&gt;&lt;D xsi:type="xsd:long"&gt;44512&lt;/D&gt;&lt;D xsi:type="xsd:long"&gt;44544&lt;/D&gt;&lt;D xsi:type="xsd:long"&gt;44575&lt;/D&gt;&lt;D xsi:type="xsd:long"&gt;44606&lt;/D&gt;&lt;D xsi:type="xsd:long"&gt;44634&lt;/D&gt;&lt;D xsi:type="xsd:long"&gt;44665&lt;/D&gt;&lt;D xsi:type="xsd:long"&gt;44694&lt;/D&gt;&lt;D xsi:type="xsd:long"&gt;44726&lt;/D&gt;&lt;D xsi:type="xsd:long"&gt;44756&lt;/D&gt;&lt;D xsi:type="xsd:long"&gt;44785&lt;/D&gt;&lt;D xsi:type="xsd:long"&gt;44818&lt;/D&gt;&lt;D xsi:type="xsd:long"&gt;44848&lt;/D&gt;&lt;D xsi:type="xsd:long"&gt;44879&lt;/D&gt;&lt;D xsi:type="xsd:long"&gt;44909&lt;/D&gt;&lt;D xsi:type="xsd:long"&gt;44939&lt;/D&gt;&lt;D xsi:type="xsd:long"&gt;44971&lt;/D&gt;&lt;D xsi:type="xsd:long"&gt;44999&lt;/D&gt;&lt;D xsi:type="xsd:long"&gt;45030&lt;/D&gt;&lt;D xsi:type="xsd:long"&gt;45058&lt;/D&gt;&lt;D xsi:type="xsd:long"&gt;45091&lt;/D&gt;&lt;D xsi:type="xsd:long"&gt;45121&lt;/D&gt;&lt;D xsi:type="xsd:long"&gt;45152&lt;/D&gt;&lt;D xsi:type="xsd:long"&gt;45183&lt;/D&gt;&lt;D xsi:type="xsd:long"&gt;45212&lt;/D&gt;&lt;D xsi:type="xsd:long"&gt;45244&lt;/D&gt;&lt;D xsi:type="xsd:long"&gt;45274&lt;/D&gt;&lt;D xsi:type="xsd:long"&gt;45303&lt;/D&gt;&lt;D xsi:type="xsd:long"&gt;45336&lt;/D&gt;&lt;D xsi:type="xsd:long"&gt;45365&lt;/D&gt;&lt;/FQL&gt;&lt;FQL&gt;&lt;Q&gt;EWD^FMA_DIV_YLD(NTMA,-10AY,0,AM,"PORTAGG","MEANR")&lt;/Q&gt;&lt;R&gt;121&lt;/R&gt;&lt;C&gt;1&lt;/C&gt;&lt;D xsi:type="xsd:double"&gt;4.10185456080676&lt;/D&gt;&lt;D xsi:type="xsd:double"&gt;4.07866711982389&lt;/D&gt;&lt;D xsi:type="xsd:double"&gt;4.06114628829869&lt;/D&gt;&lt;D xsi:type="xsd:double"&gt;4.09985389996815&lt;/D&gt;&lt;D xsi:type="xsd:double"&gt;4.16404753894486&lt;/D&gt;&lt;D xsi:type="xsd:double"&gt;4.30763263191146&lt;/D&gt;&lt;D xsi:type="xsd:double"&gt;4.22047377924378&lt;/D&gt;&lt;D xsi:type="xsd:double"&gt;4.51279493312419&lt;/D&gt;&lt;D xsi:type="xsd:double"&gt;4.18268956704712&lt;/D&gt;&lt;D xsi:type="xsd:double"&gt;4.18745699090756&lt;/D&gt;&lt;D xsi:type="xsd:double"&gt;4.19031898725854&lt;/D&gt;&lt;D xsi:type="xsd:double"&gt;3.69143980802822&lt;/D&gt;&lt;D xsi:type="xsd:double"&gt;3.66961632479926&lt;/D&gt;&lt;D xsi:type="xsd:double"&gt;3.60154601991829&lt;/D&gt;&lt;D xsi:type="xsd:double"&gt;3.84220070337017&lt;/D&gt;&lt;D xsi:type="xsd:double"&gt;3.92024969248168&lt;/D&gt;&lt;D xsi:type="xsd:double"&gt;3.91334548053964&lt;/D&gt;&lt;D xsi:type="xsd:double"&gt;4.04417191036633&lt;/D&gt;&lt;D xsi:type="xsd:double"&gt;4.39859660811141&lt;/D&gt;&lt;D xsi:type="xsd:double"&gt;4.42477513394378&lt;/D&gt;&lt;D xsi:type="xsd:double"&gt;4.27171881297169&lt;/D&gt;&lt;D xsi:type="xsd:double"&gt;4.50666319703329&lt;/D&gt;&lt;D xsi:type="xsd:double"&gt;4.62045379800109&lt;/D&gt;&lt;D xsi:type="xsd:double"&gt;4.66418460022768&lt;/D&gt;&lt;D xsi:type="xsd:double"&gt;4.22986081385194&lt;/D&gt;&lt;D xsi:type="xsd:double"&gt;4.32532086737461&lt;/D&gt;&lt;D xsi:type="xsd:double"&gt;4.50342036797399&lt;/D&gt;&lt;D xsi:type="xsd:double"&gt;4.70302901964646&lt;/D&gt;&lt;D xsi:type="xsd:double"&gt;4.37933258228485&lt;/D&gt;&lt;D xsi:type="xsd:double"&gt;4.22174436836216&lt;/D&gt;&lt;D xsi:type="xsd:double"&gt;4.27100687658542&lt;/D&gt;&lt;D xsi:type="xsd:double"&gt;4.11098159435338&lt;/D&gt;&lt;D xsi:type="xsd:double"&gt;4.12815284787231&lt;/D&gt;&lt;D xsi:type="xsd:double"&gt;3.84782706108552&lt;/D&gt;&lt;D xsi:type="xsd:double"&gt;3.88572117946763&lt;/D&gt;&lt;D xsi:type="xsd:double"&gt;3.65334568747486&lt;/D&gt;&lt;D xsi:type="xsd:double"&gt;3.63891836384767&lt;/D&gt;&lt;D xsi:type="xsd:double"&gt;3.6684849386335&lt;/D&gt;&lt;D xsi:type="xsd:double"&gt;3.51828255882125&lt;/D&gt;&lt;D xsi:type="xsd:double"&gt;3.56177718370758&lt;/D&gt;&lt;D xsi:type="xsd:double"&gt;3.5213665862665&lt;/D&gt;&lt;D xsi:type="xsd:double"&gt;3.73625795502832&lt;/D&gt;&lt;D xsi:type="xsd:double"&gt;3.68776399817957&lt;/D&gt;&lt;D xsi:type="xsd:double"&gt;3.55888289875184&lt;/D&gt;&lt;D xsi:type="xsd:double"&gt;3.62101154890634&lt;/D&gt;&lt;D xsi:type="xsd:double"&gt;3.69778327018151&lt;/D&gt;&lt;D xsi:type="xsd:double"&gt;3.64644225551985&lt;/D&gt;&lt;D xsi:type="xsd:double"&gt;3.94393386565029&lt;/D&gt;&lt;D xsi:type="xsd:double"&gt;3.8575585418583&lt;/D&gt;&lt;D xsi:type="xsd:double"&gt;4.11540745083266&lt;/D&gt;&lt;D xsi:type="xsd:double"&gt;3.98993013974383&lt;/D&gt;&lt;D xsi:type="xsd:double"&gt;4.09062665356579&lt;/D&gt;&lt;D xsi:type="xsd:double"&gt;4.17081175416842&lt;/D&gt;&lt;D xsi:type="xsd:double"&gt;4.12585778182225&lt;/D&gt;&lt;D xsi:type="xsd:double"&gt;4.08058916067028&lt;/D&gt;&lt;D xsi:type="xsd:double"&gt;4.31993114086404&lt;/D&gt;&lt;D xsi:type="xsd:double"&gt;4.47814148192389&lt;/D&gt;&lt;D xsi:type="xsd:double"&gt;4.56195796126793&lt;/D&gt;&lt;D xsi:type="xsd:double"&gt;4.54297482605531&lt;/D&gt;&lt;D xsi:type="xsd:double"&gt;4.17903871529413&lt;/D&gt;&lt;D xsi:type="xsd:double"&gt;4.12403093359536&lt;/D&gt;&lt;D xsi:type="xsd:double"&gt;4.03031489722101&lt;/D&gt;&lt;D xsi:type="xsd:double"&gt;4.23365473739761&lt;/D&gt;&lt;D xsi:type="xsd:double"&gt;4.24133892632964&lt;/D&gt;&lt;D xsi:type="xsd:double"&gt;4.1449582812668&lt;/D&gt;&lt;D xsi:type="xsd:double"&gt;4.38078154377135&lt;/D&gt;&lt;D xsi:type="xsd:double"&gt;3.86346118341728&lt;/D&gt;&lt;D xsi:type="xsd:double"&gt;3.89217727392929&lt;/D&gt;&lt;D xsi:type="xsd:double"&gt;3.65585130433811&lt;/D&gt;&lt;D xsi:type="xsd:double"&gt;3.61927085144533&lt;/D&gt;&lt;D xsi:type="xsd:double"&gt;3.55833376935072&lt;/D&gt;&lt;D xsi:type="xsd:double"&gt;3.40744365907009&lt;/D&gt;&lt;D xsi:type="xsd:double"&gt;4.63963110095262&lt;/D&gt;&lt;D xsi:type="xsd:double"&gt;3.53873468156989&lt;/D&gt;&lt;D xsi:type="xsd:double"&gt;3.49464579855686&lt;/D&gt;&lt;D xsi:type="xsd:double"&gt;3.12958100938874&lt;/D&gt;&lt;D xsi:type="xsd:double"&gt;2.97320603293709&lt;/D&gt;&lt;D xsi:type="xsd:double"&gt;3.02495951605587&lt;/D&gt;&lt;D xsi:type="xsd:double"&gt;2.9797756348822&lt;/D&gt;&lt;D xsi:type="xsd:double"&gt;3.00605824980376&lt;/D&gt;&lt;D xsi:type="xsd:double"&gt;3.05125843334507&lt;/D&gt;&lt;D xsi:type="xsd:double"&gt;3.06180904749764&lt;/D&gt;&lt;D xsi:type="xsd:double"&gt;2.97985628476472&lt;/D&gt;&lt;D xsi:type="xsd:double"&gt;2.98527286924005&lt;/D&gt;&lt;D xsi:type="xsd:double"&gt;2.77421395116556&lt;/D&gt;&lt;D xsi:type="xsd:double"&gt;2.74037959605409&lt;/D&gt;&lt;D xsi:type="xsd:double"&gt;2.81516634540007&lt;/D&gt;&lt;D xsi:type="xsd:double"&gt;2.67650271113204&lt;/D&gt;&lt;D xsi:type="xsd:double"&gt;2.64470888636189&lt;/D&gt;&lt;D xsi:type="xsd:double"&gt;2.68963775416454&lt;/D&gt;&lt;D xsi:type="xsd:double"&gt;2.75601167280138&lt;/D&gt;&lt;D xsi:type="xsd:double"&gt;2.84397550419058&lt;/D&gt;&lt;D xsi:type="xsd:double"&gt;2.93576496532472&lt;/D&gt;&lt;D xsi:type="xsd:double"&gt;2.92597474226793&lt;/D&gt;&lt;D xsi:type="xsd:double"&gt;2.96678581008885&lt;/D&gt;&lt;D xsi:type="xsd:double"&gt;2.99397105769658&lt;/D&gt;&lt;D xsi:type="xsd:double"&gt;3.16217200645647&lt;/D&gt;&lt;D xsi:type="xsd:double"&gt;3.16103775835847&lt;/D&gt;&lt;D xsi:type="xsd:double"&gt;3.40171166399656&lt;/D&gt;&lt;D xsi:type="xsd:double"&gt;3.51982938058053&lt;/D&gt;&lt;D xsi:type="xsd:double"&gt;3.75138586942614&lt;/D&gt;&lt;D xsi:type="xsd:double"&gt;3.47544811915898&lt;/D&gt;&lt;D xsi:type="xsd:double"&gt;3.6981339981153&lt;/D&gt;&lt;D xsi:type="xsd:double"&gt;3.77598137902504&lt;/D&gt;&lt;D xsi:type="xsd:double"&gt;3.54888989976737&lt;/D&gt;&lt;D xsi:type="xsd:double"&gt;3.55404065129296&lt;/D&gt;&lt;D xsi:type="xsd:double"&gt;3.49166934337423&lt;/D&gt;&lt;D xsi:type="xsd:double"&gt;3.51780761044248&lt;/D&gt;&lt;D xsi:type="xsd:double"&gt;3.64500112949502&lt;/D&gt;&lt;D xsi:type="xsd:double"&gt;3.60996686860655&lt;/D&gt;&lt;D xsi:type="xsd:double"&gt;3.73490842089338&lt;/D&gt;&lt;D xsi:type="xsd:double"&gt;3.67678788767533&lt;/D&gt;&lt;D xsi:type="xsd:double"&gt;3.77410789288633&lt;/D&gt;&lt;D xsi:type="xsd:double"&gt;3.89139656462779&lt;/D&gt;&lt;D xsi:type="xsd:double"&gt;3.95590916663097&lt;/D&gt;&lt;D xsi:type="xsd:double"&gt;3.75715828393585&lt;/D&gt;&lt;D xsi:type="xsd:double"&gt;3.75559144482174&lt;/D&gt;&lt;D xsi:type="xsd:double"&gt;2.97057887766399&lt;/D&gt;&lt;D xsi:type="xsd:double"&gt;2.99345003047088&lt;/D&gt;&lt;D xsi:type="xsd:double"&gt;3.38885876016221&lt;/D&gt;&lt;D xsi:type="xsd:double"&gt;3.1840074488808&lt;/D&gt;&lt;/FQL&gt;&lt;FQL&gt;&lt;Q&gt;EWQ^FMA_PE(NTMA,-10AY,0,AM,"PORTAGG","MEANR")&lt;/Q&gt;&lt;R&gt;121&lt;/R&gt;&lt;C&gt;1&lt;/C&gt;&lt;D xsi:type="xsd:double"&gt;13.2793834970696&lt;/D&gt;&lt;D xsi:type="xsd:double"&gt;13.7167991333318&lt;/D&gt;&lt;D xsi:type="xsd:double"&gt;14.1342344188173&lt;/D&gt;&lt;D xsi:type="xsd:double"&gt;14.325964218381&lt;/D&gt;&lt;D xsi:type="xsd:double"&gt;13.6952835930463&lt;/D&gt;&lt;D xsi:type="xsd:double"&gt;13.2201632846572&lt;/D&gt;&lt;D xsi:type="xsd:double"&gt;13.776792837184&lt;/D&gt;&lt;D xsi:type="xsd:double"&gt;12.6555786163049&lt;/D&gt;&lt;D xsi:type="xsd:double"&gt;13.1655248503178&lt;/D&gt;&lt;D xsi:type="xsd:double"&gt;13.2450955020514&lt;/D&gt;&lt;D xsi:type="xsd:double"&gt;13.8362395720929&lt;/D&gt;&lt;D xsi:type="xsd:double"&gt;15.8488584265041&lt;/D&gt;&lt;D xsi:type="xsd:double"&gt;16.4818424227142&lt;/D&gt;&lt;D xsi:type="xsd:double"&gt;17.021424415265&lt;/D&gt;&lt;D xsi:type="xsd:double"&gt;16.280127755947&lt;/D&gt;&lt;D xsi:type="xsd:double"&gt;15.7148232250822&lt;/D&gt;&lt;D xsi:type="xsd:double"&gt;15.8459206666731&lt;/D&gt;&lt;D xsi:type="xsd:double"&gt;15.3171938742882&lt;/D&gt;&lt;D xsi:type="xsd:double"&gt;14.0225249599745&lt;/D&gt;&lt;D xsi:type="xsd:double"&gt;14.3722897911792&lt;/D&gt;&lt;D xsi:type="xsd:double"&gt;14.9247815566812&lt;/D&gt;&lt;D xsi:type="xsd:double"&gt;14.0452829407325&lt;/D&gt;&lt;D xsi:type="xsd:double"&gt;13.755395838929&lt;/D&gt;&lt;D xsi:type="xsd:double"&gt;13.0724355785714&lt;/D&gt;&lt;D xsi:type="xsd:double"&gt;14.716467354799&lt;/D&gt;&lt;D xsi:type="xsd:double"&gt;14.7341294164834&lt;/D&gt;&lt;D xsi:type="xsd:double"&gt;14.1462465728977&lt;/D&gt;&lt;D xsi:type="xsd:double"&gt;13.2702974303184&lt;/D&gt;&lt;D xsi:type="xsd:double"&gt;14.0253738762007&lt;/D&gt;&lt;D xsi:type="xsd:double"&gt;14.2110563818159&lt;/D&gt;&lt;D xsi:type="xsd:double"&gt;13.7123501489426&lt;/D&gt;&lt;D xsi:type="xsd:double"&gt;13.8918054533823&lt;/D&gt;&lt;D xsi:type="xsd:double"&gt;13.7040553929448&lt;/D&gt;&lt;D xsi:type="xsd:double"&gt;14.3996496875668&lt;/D&gt;&lt;D xsi:type="xsd:double"&gt;14.7056745434906&lt;/D&gt;&lt;D xsi:type="xsd:double"&gt;14.3845239157354&lt;/D&gt;&lt;D xsi:type="xsd:double"&gt;14.4547681413363&lt;/D&gt;&lt;D xsi:type="xsd:double"&gt;14.7212955994013&lt;/D&gt;&lt;D xsi:type="xsd:double"&gt;15.4449960293393&lt;/D&gt;&lt;D xsi:type="xsd:double"&gt;14.9247687716487&lt;/D&gt;&lt;D xsi:type="xsd:double"&gt;14.9215579661956&lt;/D&gt;&lt;D xsi:type="xsd:double"&gt;14.5337257315106&lt;/D&gt;&lt;D xsi:type="xsd:double"&gt;14.854899542268&lt;/D&gt;&lt;D xsi:type="xsd:double"&gt;15.1514289187621&lt;/D&gt;&lt;D xsi:type="xsd:double"&gt;14.8245896022518&lt;/D&gt;&lt;D xsi:type="xsd:double"&gt;14.9375854917671&lt;/D&gt;&lt;D xsi:type="xsd:double"&gt;15.2610205624904&lt;/D&gt;&lt;D xsi:type="xsd:double"&gt;14.2799448173878&lt;/D&gt;&lt;D xsi:type="xsd:double"&gt;14.4402036073831&lt;/D&gt;&lt;D xsi:type="xsd:double"&gt;14.4984968865028&lt;/D&gt;&lt;D xsi:type="xsd:double"&gt;14.8263821835328&lt;/D&gt;&lt;D xsi:type="xsd:double"&gt;14.5442261209661&lt;/D&gt;&lt;D xsi:type="xsd:double"&gt;14.1446834610285&lt;/D&gt;&lt;D xsi:type="xsd:double"&gt;13.8054919710794&lt;/D&gt;&lt;D xsi:type="xsd:double"&gt;13.6030159786348&lt;/D&gt;&lt;D xsi:type="xsd:double"&gt;12.7696063528263&lt;/D&gt;&lt;D xsi:type="xsd:double"&gt;12.7159081988449&lt;/D&gt;&lt;D xsi:type="xsd:double"&gt;12.2094578569747&lt;/D&gt;&lt;D xsi:type="xsd:double"&gt;12.1648162152828&lt;/D&gt;&lt;D xsi:type="xsd:double"&gt;12.9809887492313&lt;/D&gt;&lt;D xsi:type="xsd:double"&gt;13.6709932266014&lt;/D&gt;&lt;D xsi:type="xsd:double"&gt;13.9819519930681&lt;/D&gt;&lt;D xsi:type="xsd:double"&gt;13.534586007946&lt;/D&gt;&lt;D xsi:type="xsd:double"&gt;13.5046128718021&lt;/D&gt;&lt;D xsi:type="xsd:double"&gt;14.000503148273&lt;/D&gt;&lt;D xsi:type="xsd:double"&gt;13.270716675953&lt;/D&gt;&lt;D xsi:type="xsd:double"&gt;14.2115092913557&lt;/D&gt;&lt;D xsi:type="xsd:double"&gt;14.1797871818116&lt;/D&gt;&lt;D xsi:type="xsd:double"&gt;14.7442487234284&lt;/D&gt;&lt;D xsi:type="xsd:double"&gt;14.7805671843826&lt;/D&gt;&lt;D xsi:type="xsd:double"&gt;15.0236944505801&lt;/D&gt;&lt;D xsi:type="xsd:double"&gt;15.2160122704363&lt;/D&gt;&lt;D xsi:type="xsd:double"&gt;10.9983815706705&lt;/D&gt;&lt;D xsi:type="xsd:double"&gt;14.736679893144&lt;/D&gt;&lt;D xsi:type="xsd:double"&gt;15.8612235505048&lt;/D&gt;&lt;D xsi:type="xsd:double"&gt;18.2989596804185&lt;/D&gt;&lt;D xsi:type="xsd:double"&gt;19.3936282601004&lt;/D&gt;&lt;D xsi:type="xsd:double"&gt;19.773981873938&lt;/D&gt;&lt;D xsi:type="xsd:double"&gt;19.2596768839713&lt;/D&gt;&lt;D xsi:type="xsd:double"&gt;18.3491127710873&lt;/D&gt;&lt;D xsi:type="xsd:double"&gt;18.9086632270224&lt;/D&gt;&lt;D xsi:type="xsd:double"&gt;18.3883924218042&lt;/D&gt;&lt;D xsi:type="xsd:double"&gt;18.0768186569787&lt;/D&gt;&lt;D xsi:type="xsd:double"&gt;17.8835863176883&lt;/D&gt;&lt;D xsi:type="xsd:double"&gt;18.4692729448882&lt;/D&gt;&lt;D xsi:type="xsd:double"&gt;18.2255338103149&lt;/D&gt;&lt;D xsi:type="xsd:double"&gt;17.8286365090389&lt;/D&gt;&lt;D xsi:type="xsd:double"&gt;18.0581246770881&lt;/D&gt;&lt;D xsi:type="xsd:double"&gt;17.1789792643476&lt;/D&gt;&lt;D xsi:type="xsd:double"&gt;16.9210040173335&lt;/D&gt;&lt;D xsi:type="xsd:double"&gt;16.1422536685044&lt;/D&gt;&lt;D xsi:type="xsd:double"&gt;15.58526804621&lt;/D&gt;&lt;D xsi:type="xsd:double"&gt;15.9249689787193&lt;/D&gt;&lt;D xsi:type="xsd:double"&gt;15.3276380442029&lt;/D&gt;&lt;D xsi:type="xsd:double"&gt;15.5336392866879&lt;/D&gt;&lt;D xsi:type="xsd:double"&gt;14.3264423776913&lt;/D&gt;&lt;D xsi:type="xsd:double"&gt;13.217726862438&lt;/D&gt;&lt;D xsi:type="xsd:double"&gt;13.1565561464288&lt;/D&gt;&lt;D xsi:type="xsd:double"&gt;12.2351875437038&lt;/D&gt;&lt;D xsi:type="xsd:double"&gt;11.2600205662116&lt;/D&gt;&lt;D xsi:type="xsd:double"&gt;10.9366463783088&lt;/D&gt;&lt;D xsi:type="xsd:double"&gt;11.8434447240065&lt;/D&gt;&lt;D xsi:type="xsd:double"&gt;11.2197308243531&lt;/D&gt;&lt;D xsi:type="xsd:double"&gt;10.5206998865338&lt;/D&gt;&lt;D xsi:type="xsd:double"&gt;11.8993208364081&lt;/D&gt;&lt;D xsi:type="xsd:double"&gt;12.2625406624524&lt;/D&gt;&lt;D xsi:type="xsd:double"&gt;12.9474866461828&lt;/D&gt;&lt;D xsi:type="xsd:double"&gt;13.2510383643946&lt;/D&gt;&lt;D xsi:type="xsd:double"&gt;13.0181963732448&lt;/D&gt;&lt;D xsi:type="xsd:double"&gt;13.6439372892256&lt;/D&gt;&lt;D xsi:type="xsd:double"&gt;13.3691438121457&lt;/D&gt;&lt;D xsi:type="xsd:double"&gt;13.2375454340992&lt;/D&gt;&lt;D xsi:type="xsd:double"&gt;13.2832509002037&lt;/D&gt;&lt;D xsi:type="xsd:double"&gt;13.0621698651086&lt;/D&gt;&lt;D xsi:type="xsd:double"&gt;12.8576219755923&lt;/D&gt;&lt;D xsi:type="xsd:double"&gt;12.2251292478788&lt;/D&gt;&lt;D xsi:type="xsd:double"&gt;12.7202889053669&lt;/D&gt;&lt;D xsi:type="xsd:double"&gt;13.4586032543694&lt;/D&gt;&lt;D xsi:type="xsd:double"&gt;13.3245817072192&lt;/D&gt;&lt;D xsi:type="xsd:double"&gt;13.8255751281549&lt;/D&gt;&lt;D xsi:type="xsd:double"&gt;14.6538922159081&lt;/D&gt;&lt;/FQL&gt;&lt;FQL&gt;&lt;Q&gt;QQQ^FMA_PE(LTMA,-10AY,0,AM,"PORTAGG","MEANR")&lt;/Q&gt;&lt;R&gt;121&lt;/R&gt;&lt;C&gt;1&lt;/C&gt;&lt;D xsi:type="xsd:double"&gt;19.1527296124599&lt;/D&gt;&lt;D xsi:type="xsd:double"&gt;18.8149437465297&lt;/D&gt;&lt;D xsi:type="xsd:double"&gt;18.7228223038945&lt;/D&gt;&lt;D xsi:type="xsd:double"&gt;18.9082508072172&lt;/D&gt;&lt;D xsi:type="xsd:double"&gt;19.1969617116632&lt;/D&gt;&lt;D xsi:type="xsd:double"&gt;19.1333273051789&lt;/D&gt;&lt;D xsi:type="xsd:double"&gt;19.3997030773728&lt;/D&gt;&lt;D xsi:type="xsd:double"&gt;18.4310623877491&lt;/D&gt;&lt;D xsi:type="xsd:double"&gt;20.0326641392295&lt;/D&gt;&lt;D xsi:type="xsd:double"&gt;19.935976692912&lt;/D&gt;&lt;D xsi:type="xsd:double"&gt;19.5922457444552&lt;/D&gt;&lt;D xsi:type="xsd:double"&gt;20.5031059244572&lt;/D&gt;&lt;D xsi:type="xsd:double"&gt;20.5977290581868&lt;/D&gt;&lt;D xsi:type="xsd:double"&gt;20.4540541967223&lt;/D&gt;&lt;D xsi:type="xsd:double"&gt;20.342933803047&lt;/D&gt;&lt;D xsi:type="xsd:double"&gt;20.0988882694733&lt;/D&gt;&lt;D xsi:type="xsd:double"&gt;20.0516758008911&lt;/D&gt;&lt;D xsi:type="xsd:double"&gt;20.2437480939497&lt;/D&gt;&lt;D xsi:type="xsd:double"&gt;19.4670046081942&lt;/D&gt;&lt;D xsi:type="xsd:double"&gt;19.4525026382937&lt;/D&gt;&lt;D xsi:type="xsd:double"&gt;19.7947644689412&lt;/D&gt;&lt;D xsi:type="xsd:double"&gt;19.9996431180014&lt;/D&gt;&lt;D xsi:type="xsd:double"&gt;18.8724694212211&lt;/D&gt;&lt;D xsi:type="xsd:double"&gt;17.6074768266086&lt;/D&gt;&lt;D xsi:type="xsd:double"&gt;18.2673462144257&lt;/D&gt;&lt;D xsi:type="xsd:double"&gt;18.4868066246691&lt;/D&gt;&lt;D xsi:type="xsd:double"&gt;18.3073068622234&lt;/D&gt;&lt;D xsi:type="xsd:double"&gt;18.4835440068309&lt;/D&gt;&lt;D xsi:type="xsd:double"&gt;19.0323905738429&lt;/D&gt;&lt;D xsi:type="xsd:double"&gt;19.5557290844995&lt;/D&gt;&lt;D xsi:type="xsd:double"&gt;19.5053098318302&lt;/D&gt;&lt;D xsi:type="xsd:double"&gt;19.8251060114457&lt;/D&gt;&lt;D xsi:type="xsd:double"&gt;19.4299418683191&lt;/D&gt;&lt;D xsi:type="xsd:double"&gt;20.3749571987939&lt;/D&gt;&lt;D xsi:type="xsd:double"&gt;21.0330392307996&lt;/D&gt;&lt;D xsi:type="xsd:double"&gt;21.6784305755378&lt;/D&gt;&lt;D xsi:type="xsd:double"&gt;21.6839948877905&lt;/D&gt;&lt;D xsi:type="xsd:double"&gt;21.5288296751513&lt;/D&gt;&lt;D xsi:type="xsd:double"&gt;21.8417708303109&lt;/D&gt;&lt;D xsi:type="xsd:double"&gt;21.847549025344&lt;/D&gt;&lt;D xsi:type="xsd:double"&gt;22.0800955859887&lt;/D&gt;&lt;D xsi:type="xsd:double"&gt;22.1161135754014&lt;/D&gt;&lt;D xsi:type="xsd:double"&gt;22.2709403855634&lt;/D&gt;&lt;D xsi:type="xsd:double"&gt;22.6404777915012&lt;/D&gt;&lt;D xsi:type="xsd:double"&gt;22.9143549530273&lt;/D&gt;&lt;D xsi:type="xsd:double"&gt;23.2862612534971&lt;/D&gt;&lt;D xsi:type="xsd:double"&gt;24.7973158807691&lt;/D&gt;&lt;D xsi:type="xsd:double"&gt;23.6336264382481&lt;/D&gt;&lt;D xsi:type="xsd:double"&gt;24.1017011205559&lt;/D&gt;&lt;D xsi:type="xsd:double"&gt;23.5066934333558&lt;/D&gt;&lt;D xsi:type="xsd:double"&gt;23.3456096597662&lt;/D&gt;&lt;D xsi:type="xsd:double"&gt;23.4340061572499&lt;/D&gt;&lt;D xsi:type="xsd:double"&gt;23.3931313026631&lt;/D&gt;&lt;D xsi:type="xsd:double"&gt;23.1578848030502&lt;/D&gt;&lt;D xsi:type="xsd:double"&gt;23.1419176232441&lt;/D&gt;&lt;D xsi:type="xsd:double"&gt;22.112471239717&lt;/D&gt;&lt;D xsi:type="xsd:double"&gt;20.4628152064486&lt;/D&gt;&lt;D xsi:type="xsd:double"&gt;19.6038273260475&lt;/D&gt;&lt;D xsi:type="xsd:double"&gt;19.3575248507187&lt;/D&gt;&lt;D xsi:type="xsd:double"&gt;20.6693598305703&lt;/D&gt;&lt;D xsi:type="xsd:double"&gt;20.9494230358037&lt;/D&gt;&lt;D xsi:type="xsd:double"&gt;21.2375851783933&lt;/D&gt;&lt;D xsi:type="xsd:double"&gt;21.0993989729305&lt;/D&gt;&lt;D xsi:type="xsd:double"&gt;21.2593235364343&lt;/D&gt;&lt;D xsi:type="xsd:double"&gt;22.0715741859966&lt;/D&gt;&lt;D xsi:type="xsd:double"&gt;21.4225169368756&lt;/D&gt;&lt;D xsi:type="xsd:double"&gt;22.2942348215395&lt;/D&gt;&lt;D xsi:type="xsd:double"&gt;22.3669791265905&lt;/D&gt;&lt;D xsi:type="xsd:double"&gt;23.4747848292146&lt;/D&gt;&lt;D xsi:type="xsd:double"&gt;24.5110099975939&lt;/D&gt;&lt;D xsi:type="xsd:double"&gt;26.2275816283775&lt;/D&gt;&lt;D xsi:type="xsd:double"&gt;27.2039443898194&lt;/D&gt;&lt;D xsi:type="xsd:double"&gt;23.529123029894&lt;/D&gt;&lt;D xsi:type="xsd:double"&gt;24.3693842325811&lt;/D&gt;&lt;D xsi:type="xsd:double"&gt;25.6064799915881&lt;/D&gt;&lt;D xsi:type="xsd:double"&gt;26.8460780978105&lt;/D&gt;&lt;D xsi:type="xsd:double"&gt;28.7801716956008&lt;/D&gt;&lt;D xsi:type="xsd:double"&gt;29.2795952245304&lt;/D&gt;&lt;D xsi:type="xsd:double"&gt;30.2059988353889&lt;/D&gt;&lt;D xsi:type="xsd:double"&gt;32.4187142447288&lt;/D&gt;&lt;D xsi:type="xsd:double"&gt;32.0005079239386&lt;/D&gt;&lt;D xsi:type="xsd:double"&gt;34.0131054585728&lt;/D&gt;&lt;D xsi:type="xsd:double"&gt;34.9881838120538&lt;/D&gt;&lt;D xsi:type="xsd:double"&gt;35.5964685538244&lt;/D&gt;&lt;D xsi:type="xsd:double"&gt;32.7438575839471&lt;/D&gt;&lt;D xsi:type="xsd:double"&gt;32.8034443498712&lt;/D&gt;&lt;D xsi:type="xsd:double"&gt;31.5634398327118&lt;/D&gt;&lt;D xsi:type="xsd:double"&gt;31.637222529655&lt;/D&gt;&lt;D xsi:type="xsd:double"&gt;32.0750465696725&lt;/D&gt;&lt;D xsi:type="xsd:double"&gt;31.3416059519543&lt;/D&gt;&lt;D xsi:type="xsd:double"&gt;31.3277972169998&lt;/D&gt;&lt;D xsi:type="xsd:double"&gt;30.5914245758493&lt;/D&gt;&lt;D xsi:type="xsd:double"&gt;31.9140198758575&lt;/D&gt;&lt;D xsi:type="xsd:double"&gt;31.097157744797&lt;/D&gt;&lt;D xsi:type="xsd:double"&gt;30.3904090478216&lt;/D&gt;&lt;D xsi:type="xsd:double"&gt;26.8858012228423&lt;/D&gt;&lt;D xsi:type="xsd:double"&gt;26.2091155745905&lt;/D&gt;&lt;D xsi:type="xsd:double"&gt;26.3372751480124&lt;/D&gt;&lt;D xsi:type="xsd:double"&gt;25.3602704099337&lt;/D&gt;&lt;D xsi:type="xsd:double"&gt;24.1012514045387&lt;/D&gt;&lt;D xsi:type="xsd:double"&gt;24.2018539309258&lt;/D&gt;&lt;D xsi:type="xsd:double"&gt;26.4409387397847&lt;/D&gt;&lt;D xsi:type="xsd:double"&gt;24.4179489825581&lt;/D&gt;&lt;D xsi:type="xsd:double"&gt;22.1476503641879&lt;/D&gt;&lt;D xsi:type="xsd:double"&gt;23.7012149800801&lt;/D&gt;&lt;D xsi:type="xsd:double"&gt;23.4506361842657&lt;/D&gt;&lt;D xsi:type="xsd:double"&gt;23.9337093840476&lt;/D&gt;&lt;D xsi:type="xsd:double"&gt;26.2198067321117&lt;/D&gt;&lt;D xsi:type="xsd:double"&gt;25.2377469108306&lt;/D&gt;&lt;D xsi:type="xsd:double"&gt;25.6639898287924&lt;/D&gt;&lt;D xsi:type="xsd:double"&gt;25.7392483524467&lt;/D&gt;&lt;D xsi:type="xsd:double"&gt;27.0983510430151&lt;/D&gt;&lt;D xsi:type="xsd:double"&gt;27.7840421165945&lt;/D&gt;&lt;D xsi:type="xsd:double"&gt;26.5402785743002&lt;/D&gt;&lt;D xsi:type="xsd:double"&gt;26.8283613735729&lt;/D&gt;&lt;D xsi:type="xsd:double"&gt;26.3940336489604&lt;/D&gt;&lt;D xsi:type="xsd:double"&gt;27.446960828836&lt;/D&gt;&lt;D xsi:type="xsd:double"&gt;28.5536704248744&lt;/D&gt;&lt;D xsi:type="xsd:double"&gt;29.0656234256096&lt;/D&gt;&lt;D xsi:type="xsd:double"&gt;30.1314928763973&lt;/D&gt;&lt;D xsi:type="xsd:double"&gt;30.1496782510742&lt;/D&gt;&lt;/FQL&gt;&lt;FQL&gt;&lt;Q&gt;DDR3512M-FDS^FG_PRICE(0)&lt;/Q&gt;&lt;R&gt;1&lt;/R&gt;&lt;C&gt;1&lt;/C&gt;&lt;D xsi:type="xsd:double"&gt;0.9630008&lt;/D&gt;&lt;/FQL&gt;&lt;FQL&gt;&lt;Q&gt;PASP-FDS^FG_PRICE(0)&lt;/Q&gt;&lt;R&gt;1&lt;/R&gt;&lt;C&gt;1&lt;/C&gt;&lt;D xsi:type="xsd:double"&gt;1088&lt;/D&gt;&lt;/FQL&gt;&lt;FQL&gt;&lt;Q&gt;PLATI-FDS^FG_PRICE(0)&lt;/Q&gt;&lt;R&gt;1&lt;/R&gt;&lt;C&gt;1&lt;/C&gt;&lt;D xsi:type="xsd:double"&gt;939&lt;/D&gt;&lt;/FQL&gt;&lt;FQL&gt;&lt;Q&gt;W-FDS^FG_PRICE(0)&lt;/Q&gt;&lt;R&gt;1&lt;/R&gt;&lt;C&gt;1&lt;/C&gt;&lt;D xsi:type="xsd:double"&gt;5.195&lt;/D&gt;&lt;/FQL&gt;&lt;FQL&gt;&lt;Q&gt;COPP-FDS^FG_PRICE(0)&lt;/Q&gt;&lt;R&gt;1&lt;/R&gt;&lt;C&gt;1&lt;/C&gt;&lt;D xsi:type="xsd:double"&gt;4.037&lt;/D&gt;&lt;/FQL&gt;&lt;FQL&gt;&lt;Q&gt;FC0000US^FG_PRICE(0)&lt;/Q&gt;&lt;R&gt;1&lt;/R&gt;&lt;C&gt;1&lt;/C&gt;&lt;D xsi:type="xsd:double"&gt;386.89856&lt;/D&gt;&lt;/FQL&gt;&lt;FQL&gt;&lt;Q&gt;FC0000GR^FG_PRICE(0)&lt;/Q&gt;&lt;R&gt;1&lt;/R&gt;&lt;C&gt;1&lt;/C&gt;&lt;D xsi:type="xsd:double"&gt;9.666257&lt;/D&gt;&lt;/FQL&gt;&lt;FQL&gt;&lt;Q&gt;EWI^FG_PRICE(0)&lt;/Q&gt;&lt;R&gt;1&lt;/R&gt;&lt;C&gt;1&lt;/C&gt;&lt;D xsi:type="xsd:double"&gt;36.97&lt;/D&gt;&lt;/FQL&gt;&lt;FQL&gt;&lt;Q&gt;SPY^FG_PRICE(0)&lt;/Q&gt;&lt;R&gt;1&lt;/R&gt;&lt;C&gt;1&lt;/C&gt;&lt;D xsi:type="xsd:double"&gt;514.95&lt;/D&gt;&lt;/FQL&gt;&lt;FQL&gt;&lt;Q&gt;EWJ^FG_PRICE(0)&lt;/Q&gt;&lt;R&gt;1&lt;/R&gt;&lt;C&gt;1&lt;/C&gt;&lt;D xsi:type="xsd:double"&gt;69.06&lt;/D&gt;&lt;/FQL&gt;&lt;FQL&gt;&lt;Q&gt;ENZL^FG_PRICE(0)&lt;/Q&gt;&lt;R&gt;1&lt;/R&gt;&lt;C&gt;1&lt;/C&gt;&lt;D xsi:type="xsd:double"&gt;45.45&lt;/D&gt;&lt;/FQL&gt;&lt;FQL&gt;&lt;Q&gt;FXI^P_PRICE(0)/P_PRICE_HIGH_PR(0,,,USD,,,"PRICE","INTRA","52W")&lt;/Q&gt;&lt;R&gt;1&lt;/R&gt;&lt;C&gt;1&lt;/C&gt;&lt;D xsi:type="xsd:double"&gt;0.7904387&lt;/D&gt;&lt;/FQL&gt;&lt;FQL&gt;&lt;Q&gt;VWO^P_PRICE(0)/P_PRICE_HIGH_PR(0,,,USD,,,"PRICE","INTRA","52W")&lt;/Q&gt;&lt;R&gt;1&lt;/R&gt;&lt;C&gt;1&lt;/C&gt;&lt;D xsi:type="xsd:double"&gt;0.9689095&lt;/D&gt;&lt;/FQL&gt;&lt;FQL&gt;&lt;Q&gt;EWN^P_PRICE(0)/P_PRICE_HIGH_PR(0,,,USD,,,"PRICE","INTRA","52W")&lt;/Q&gt;&lt;R&gt;1&lt;/R&gt;&lt;C&gt;1&lt;/C&gt;&lt;D xsi:type="xsd:double"&gt;0.9691877&lt;/D&gt;&lt;/FQL&gt;&lt;FQL&gt;&lt;Q&gt;EWD^FMA_ROE(NTMA,-20AY,NOW,FY,"PORTAGG","MEANR")&lt;/Q&gt;&lt;R&gt;20&lt;/R&gt;&lt;C&gt;1&lt;/C&gt;&lt;D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xsi:type="xsd:double"&gt;13.4117968278463&lt;/D&gt;&lt;D xsi:type="xsd:double"&gt;11.9070326859664&lt;/D&gt;&lt;D xsi:type="xsd:double"&gt;15.3602779404436&lt;/D&gt;&lt;D xsi:type="xsd:double"&gt;14.6912945348088&lt;/D&gt;&lt;D xsi:type="xsd:double"&gt;15.3680506035552&lt;/D&gt;&lt;/FQL&gt;&lt;FQL&gt;&lt;Q&gt;^FG_YIELD(-10AY,0,Y,,"YTM")&lt;/Q&gt;&lt;R&gt;10&lt;/R&gt;&lt;C&gt;1&lt;/C&gt;&lt;D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xsi:type="xsd:double"&gt;2.004&lt;/D&gt;&lt;/FQL&gt;&lt;FQL&gt;&lt;Q&gt;EWJ^PERCENT_CHANGE(FMA_EPS(+1,0,,,,"PORTAGG","MEAN"),FMA_EPS(+1,-3AM,,,,"PORTAGG","MEAN"))&lt;/Q&gt;&lt;R&gt;1&lt;/R&gt;&lt;C&gt;1&lt;/C&gt;&lt;D xsi:type="xsd:double"&gt;-3.00640915962454&lt;/D&gt;&lt;/FQL&gt;&lt;FQL&gt;&lt;Q&gt;EWD^PERCENT_CHANGE(FMA_EPS(+1,0,,,,"PORTAGG","MEAN"),FMA_EPS(+1,-1AM,,,,"PORTAGG","MEAN"))&lt;/Q&gt;&lt;R&gt;1&lt;/R&gt;&lt;C&gt;1&lt;/C&gt;&lt;D xsi:type="xsd:double"&gt;3.2268</t>
        </r>
      </text>
    </comment>
    <comment ref="A2" authorId="0" shapeId="0" xr:uid="{9AE84A32-B7A8-4DC3-A15B-E7173643796B}">
      <text>
        <r>
          <rPr>
            <b/>
            <sz val="9"/>
            <color indexed="81"/>
            <rFont val="Tahoma"/>
            <charset val="1"/>
          </rPr>
          <t>4907312877&lt;/D&gt;&lt;/FQL&gt;&lt;FQL&gt;&lt;Q&gt;ENZL^PERCENT_CHANGE(FMA_EPS(+1,0,,,,"PORTAGG","MEAN"),FMA_EPS(+1,-3AM,,,,"PORTAGG","MEAN"))&lt;/Q&gt;&lt;R&gt;1&lt;/R&gt;&lt;C&gt;1&lt;/C&gt;&lt;D xsi:type="xsd:double"&gt;-14.6188502023565&lt;/D&gt;&lt;/FQL&gt;&lt;FQL&gt;&lt;Q&gt;EWQ^FMA_COS_UP("EPS","1M",+1,0,,,"PORTAGG","MEANR")&lt;/Q&gt;&lt;R&gt;1&lt;/R&gt;&lt;C&gt;1&lt;/C&gt;&lt;D xsi:type="xsd:double"&gt;27&lt;/D&gt;&lt;/FQL&gt;&lt;FQL&gt;&lt;Q&gt;EWL^FMA_RBICS_REV_CURRENT(30, LOC, "PORTAGG")&lt;/Q&gt;&lt;R&gt;1&lt;/R&gt;&lt;C&gt;1&lt;/C&gt;&lt;D xsi:type="xsd:double"&gt;18.5381872854438&lt;/D&gt;&lt;/FQL&gt;&lt;FQL&gt;&lt;Q&gt;EWC^FG_ROE(0)&lt;/Q&gt;&lt;R&gt;1&lt;/R&gt;&lt;C&gt;1&lt;/C&gt;&lt;D xsi:type="xsd:double"&gt;10.9941383352515&lt;/D&gt;&lt;/FQL&gt;&lt;FQL&gt;&lt;Q&gt;REFSEREPO-FDS^(SUBARRAY(NOT_NA(NO_REPEAT_F(FG_YIELD(NOW,-10AY,D))),0,1)-SUBARRAY(NOT_NA(NO_REPEAT_F(FG_YIELD(NOW,-10AY,D))),1,1))*100&lt;/Q&gt;&lt;R&gt;1&lt;/R&gt;&lt;C&gt;1&lt;/C&gt;&lt;D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xsi:type="xsd:double"&gt;25&lt;/D&gt;&lt;/FQL&gt;&lt;FQL&gt;&lt;Q&gt;REFGBBANK-FDS^FG_YIELD(NOW,,,0)&lt;/Q&gt;&lt;R&gt;1&lt;/R&gt;&lt;C&gt;1&lt;/C&gt;&lt;D xsi:type="xsd:double"&gt;5.25&lt;/D&gt;&lt;/FQL&gt;&lt;FQL&gt;&lt;Q&gt;REFAUCASH-FDS^PROPER_NAME(0,,,"SECURITY","NAME")&lt;/Q&gt;&lt;R&gt;1&lt;/R&gt;&lt;C&gt;1&lt;/C&gt;&lt;D xsi:type="xsd:string"&gt;Australia Target Cash Rate&lt;/D&gt;&lt;/FQL&gt;&lt;FQL&gt;&lt;Q&gt;TRYIT10Y-FDS^FG_YIELD(0,,,,"YTM")&lt;/Q&gt;&lt;R&gt;1&lt;/R&gt;&lt;C&gt;1&lt;/C&gt;&lt;D xsi:type="xsd:double"&gt;3.637&lt;/D&gt;&lt;/FQL&gt;&lt;FQL&gt;&lt;Q&gt;TRYJP10Y-FDS^FG_YIELD(0,,,,"YTM")&lt;/Q&gt;&lt;R&gt;1&lt;/R&gt;&lt;C&gt;1&lt;/C&gt;&lt;D xsi:type="xsd:double"&gt;0.7721&lt;/D&gt;&lt;/FQL&gt;&lt;FQL&gt;&lt;Q&gt;CC_GB^IMF_IFS_RCPI_Q(0)&lt;/Q&gt;&lt;R&gt;1&lt;/R&gt;&lt;C&gt;1&lt;/C&gt;&lt;D xsi:type="xsd:double"&gt;4.3536315&lt;/D&gt;&lt;/FQL&gt;&lt;FQL&gt;&lt;Q&gt;EWD^FMA_PE(NTMA,0,,,"PORTAGG","MEANR")&lt;/Q&gt;&lt;R&gt;1&lt;/R&gt;&lt;C&gt;1&lt;/C&gt;&lt;D xsi:type="xsd:double"&gt;16.6778575461911&lt;/D&gt;&lt;/FQL&gt;&lt;FQL&gt;&lt;Q&gt;EWQ^JULIAN(FMA_DIV_YLD(NTMA,NOW,NOW,M,"PORTAGG","MEANR").DATES)&lt;/Q&gt;&lt;R&gt;1&lt;/R&gt;&lt;C&gt;1&lt;/C&gt;&lt;D xsi:type="xsd:long"&gt;45351&lt;/D&gt;&lt;/FQL&gt;&lt;FQL&gt;&lt;Q&gt;EWU^FMA_EVAL_EBITDA(NTMA,0,,,"PORTAGG","MEANR")&lt;/Q&gt;&lt;R&gt;1&lt;/R&gt;&lt;C&gt;1&lt;/C&gt;&lt;D xsi:type="xsd:double"&gt;7.4022014166368&lt;/D&gt;&lt;/FQL&gt;&lt;FQL&gt;&lt;Q&gt;EWJ^FMA_DIV_YLD(NTMA,NOW,NOW,M,"PORTAGG","MEANR")&lt;/Q&gt;&lt;R&gt;1&lt;/R&gt;&lt;C&gt;1&lt;/C&gt;&lt;D xsi:type="xsd:double"&gt;2.19308426995126&lt;/D&gt;&lt;/FQL&gt;&lt;FQL&gt;&lt;Q&gt;CC_US^IMF_IFS_RCPI_Q(0)&lt;/Q&gt;&lt;R&gt;1&lt;/R&gt;&lt;C&gt;1&lt;/C&gt;&lt;D xsi:type="xsd:double"&gt;3.2433991&lt;/D&gt;&lt;/FQL&gt;&lt;FQL&gt;&lt;Q&gt;UUP^FG_TOTAL_RETURNC(0,-1AM)&lt;/Q&gt;&lt;R&gt;1&lt;/R&gt;&lt;C&gt;1&lt;/C&gt;&lt;D xsi:type="xsd:double"&gt;-0.85136294&lt;/D&gt;&lt;/FQL&gt;&lt;FQL&gt;&lt;Q&gt;FXI^FG_TOTAL_RETURNC(0,-3AM)&lt;/Q&gt;&lt;R&gt;1&lt;/R&gt;&lt;C&gt;1&lt;/C&gt;&lt;D xsi:type="xsd:double"&gt;2.4816036&lt;/D&gt;&lt;/FQL&gt;&lt;FQL&gt;&lt;Q&gt;SPY^SIZE(FG_CONSTITUENTS)&lt;/Q&gt;&lt;R&gt;1&lt;/R&gt;&lt;C&gt;1&lt;/C&gt;&lt;D xsi:type="xsd:long"&gt;504&lt;/D&gt;&lt;/FQL&gt;&lt;FQL&gt;&lt;Q&gt;TRYIT10Y-FDS^FG_YIELD_NAME&lt;/Q&gt;&lt;R&gt;1&lt;/R&gt;&lt;C&gt;1&lt;/C&gt;&lt;D xsi:type="xsd:string"&gt;Italy Benchmark Bond - 10 Year&lt;/D&gt;&lt;/FQL&gt;&lt;FQL&gt;&lt;Q&gt;CAGDPY@FR^EE_ACTUAL_ANNUAL(MED,0)&lt;/Q&gt;&lt;R&gt;1&lt;/R&gt;&lt;C&gt;1&lt;/C&gt;&lt;D xsi:type="xsd:double"&gt;-1.20455654888099&lt;/D&gt;&lt;/FQL&gt;&lt;FQL&gt;&lt;Q&gt;CAGDPY@AU^EE_ACTUAL_ANNUAL(MED,0)&lt;/Q&gt;&lt;R&gt;1&lt;/R&gt;&lt;C&gt;1&lt;/C&gt;&lt;D xsi:type="xsd:double"&gt;1.21871580460395&lt;/D&gt;&lt;/FQL&gt;&lt;FQL&gt;&lt;Q&gt;USDITL^FG_PRICE_CHANGE(0,-1AM)&lt;/Q&gt;&lt;R&gt;1&lt;/R&gt;&lt;C&gt;1&lt;/C&gt;&lt;D xsi:type="xsd:double"&gt;-1.5337944&lt;/D&gt;&lt;/FQL&gt;&lt;FQL&gt;&lt;Q&gt;USDANG^FG_PRICE_CHANGE(0,-1AM)&lt;/Q&gt;&lt;R&gt;1&lt;/R&gt;&lt;C&gt;1&lt;/C&gt;&lt;D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xsi:type="xsd:double"&gt;-1.5609682&lt;/D&gt;&lt;/FQL&gt;&lt;FQL&gt;&lt;Q&gt;USDJPY^FG_PRICE_CHANGE(0,-1AM)&lt;/Q&gt;&lt;R&gt;1&lt;/R&gt;&lt;C&gt;1&lt;/C&gt;&lt;D xsi:type="xsd:double"&gt;-1.6165972&lt;/D&gt;&lt;/FQL&gt;&lt;FQL&gt;&lt;Q&gt;USDCAD^FG_PRICE_CHANGE(0,-1AM)&lt;/Q&gt;&lt;R&gt;1&lt;/R&gt;&lt;C&gt;1&lt;/C&gt;&lt;D xsi:type="xsd:double"&gt;-0.2729535&lt;/D&gt;&lt;/FQL&gt;&lt;FQL&gt;&lt;Q&gt;USDNZD^FG_PRICE_CHANGE(0,-1AM)&lt;/Q&gt;&lt;R&gt;1&lt;/R&gt;&lt;C&gt;1&lt;/C&gt;&lt;D xsi:type="xsd:double"&gt;-0.7991493&lt;/D&gt;&lt;/FQL&gt;&lt;FQL&gt;&lt;Q&gt;ENZL^FMA_EPS(NTMA,-20AY,0,CY,,"PORTAGG","MEANR")&lt;/Q&gt;&lt;R&gt;20&lt;/R&gt;&lt;C&gt;1&lt;/C&gt;&lt;D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xsi:type="xsd:double"&gt;0.48105717&lt;/D&gt;&lt;D xsi:type="xsd:double"&gt;4.9072504&lt;/D&gt;&lt;D xsi:type="xsd:double"&gt;-2.1677196&lt;/D&gt;&lt;D xsi:type="xsd:double"&gt;4.7230244&lt;/D&gt;&lt;D xsi:type="xsd:double"&gt;-5.204982&lt;/D&gt;&lt;D xsi:type="xsd:double"&gt;-7.921386&lt;/D&gt;&lt;D xsi:type="xsd:double"&gt;4.527807&lt;/D&gt;&lt;D xsi:type="xsd:double"&gt;-11.138618&lt;/D&gt;&lt;D xsi:type="xsd:double"&gt;-0.6267369&lt;/D&gt;&lt;D xsi:type="xsd:double"&gt;-3.7140906&lt;/D&gt;&lt;D xsi:type="xsd:double"&gt;-4.948032&lt;/D&gt;&lt;D xsi:type="xsd:double"&gt;11.333847&lt;/D&gt;&lt;D xsi:type="xsd:double"&gt;-1.3850391&lt;/D&gt;&lt;D xsi:type="xsd:double"&gt;6.0393333&lt;/D&gt;&lt;D xsi:type="xsd:double"&gt;5.7615876&lt;/D&gt;&lt;D xsi:type="xsd:double"&gt;-2.6299298&lt;/D&gt;&lt;D xsi:type="xsd:double"&gt;-0.4632473&lt;/D&gt;&lt;D xsi:type="xsd:double"&gt;2.5641084&lt;/D&gt;&lt;D xsi:type="xsd:double"&gt;-6.089747&lt;/D&gt;&lt;D xsi:type="xsd:double"&gt;3.0716777&lt;/D&gt;&lt;D xsi:type="xsd:double"&gt;-7.152319&lt;/D&gt;&lt;D xsi:type="xsd:double"&gt;-2.3537874&lt;/D&gt;&lt;D xsi:type="xsd:double"&gt;-5.046302&lt;/D&gt;&lt;D xsi:type="xsd:double"&gt;-14.583338&lt;/D&gt;&lt;D xsi:type="xsd:double"&gt;13.098467&lt;/D&gt;&lt;D xsi:type="xsd:double"&gt;-2.8754056&lt;/D&gt;&lt;D xsi:type="xsd:double"&gt;-2.4671078&lt;/D&gt;&lt;D xsi:type="xsd:double"&gt;-6.0708227&lt;/D&gt;&lt;D xsi:type="xsd:double"&gt;2.29522&lt;/D&gt;&lt;D xsi:type="xsd:double"&gt;1.8050551&lt;/D&gt;&lt;D xsi:type="xsd:double"&gt;-1.6843915&lt;/D&gt;&lt;D xsi:type="xsd:double"&gt;-1.9837737&lt;/D&gt;&lt;D xsi:type="xsd:double"&gt;-0.22998452&lt;/D&gt;&lt;D xsi:type="xsd:double"&gt;9.036422&lt;/D&gt;&lt;D xsi:type="xsd:double"&gt;4.763329&lt;/D&gt;&lt;D xsi:type="xsd:double"&gt;-2.484721&lt;/D&gt;&lt;D xsi:type="xsd:double"&gt;2.0467877&lt;/D&gt;&lt;D xsi:type="xsd:double"&gt;1.3098598&lt;/D&gt;&lt;D xsi:type="xsd:double"&gt;12.727272&lt;/D&gt;&lt;D xsi:type="xsd:double"&gt;1.254487&lt;/D&gt;&lt;D xsi:type="xsd:double"&gt;4.4872284&lt;/D&gt;&lt;D xsi:type="xsd:double"&gt;3.1045198&lt;/D&gt;&lt;D xsi:type="xsd:double"&gt;3.6801577&lt;/D&gt;&lt;D xsi:type="xsd:double"&gt;-0.032269955&lt;/D&gt;&lt;D xsi:type="xsd:double"&gt;-1.1297643&lt;/D&gt;&lt;D xsi:type="xsd:double"&gt;-0.4570663&lt;/D&gt;&lt;D xsi:type="xsd:double"&gt;9.093165&lt;/D&gt;&lt;D xsi:type="xsd:double"&gt;-1.4812648&lt;/D&gt;&lt;D xsi:type="xsd:double"&gt;-1.0125875&lt;/D&gt;&lt;D xsi:type="xsd:double"&gt;3.657782&lt;/D&gt;&lt;D xsi:type="xsd:double"&gt;0.41867495&lt;/D&gt;&lt;D xsi:type="xsd:double"&gt;-8.874332&lt;/D&gt;&lt;D xsi:type="xsd:double"&gt;-1.5652418&lt;/D&gt;&lt;D xsi:type="xsd:double"&gt;-6.2457323&lt;/D&gt;&lt;D xsi:type="xsd:double"&gt;1.4561415&lt;/D&gt;&lt;D xsi:type="xsd:double"&gt;-7.2838187&lt;/D&gt;&lt;D xsi:type="xsd:double"&gt;-2.5541782&lt;/D&gt;&lt;D xsi:type="xsd:double"&gt;-1.0722816&lt;/D&gt;&lt;D xsi:type="xsd:double"&gt;3.2294035&lt;/D&gt;&lt;D xsi:type="xsd:double"&gt;2.2449732&lt;/D&gt;&lt;D xsi:type="xsd:double"&gt;5.238831&lt;/D&gt;&lt;D xsi:type="xsd:double"&gt;4.0629625&lt;/D&gt;&lt;D xsi:type="xsd:double"&gt;-5.1002502&lt;/D&gt;&lt;D xsi:type="xsd:double"&gt;1.0007381&lt;/D&gt;&lt;D xsi:type="xsd:double"&gt;8.568466&lt;/D&gt;&lt;D xsi:type="xsd:double"&gt;-11.612452&lt;/D&gt;&lt;D xsi:type="xsd:double"&gt;10.8428955&lt;/D&gt;&lt;D xsi:type="xsd:double"&gt;-0.82113147&lt;/D&gt;&lt;D xsi:type="xsd:double"&gt;5.6515455&lt;/D&gt;&lt;D xsi:type="xsd:double"&gt;-0.34071803&lt;/D&gt;&lt;D xsi:type="xsd:double"&gt;1.970005&lt;/D&gt;&lt;D xsi:type="xsd:double"&gt;1.0803461&lt;/D&gt;&lt;D xsi:type="xsd:double"&gt;-30.494326&lt;/D&gt;&lt;D xsi:type="xsd:double"&gt;2.3065925&lt;/D&gt;&lt;D xsi:type="xsd:double"&gt;-6.012213&lt;/D&gt;&lt;D xsi:type="xsd:double"&gt;18.790604&lt;/D&gt;&lt;D xsi:type="xsd:double"&gt;6.785047&lt;/D&gt;&lt;D xsi:type="xsd:double"&gt;3.5827994&lt;/D&gt;&lt;D xsi:type="xsd:double"&gt;-1.5757084&lt;/D&gt;&lt;D xsi:type="xsd:double"&gt;-2.18665&lt;/D&gt;&lt;D xsi:type="xsd:double"&gt;8.942127&lt;/D&gt;&lt;D xsi:type="xsd:double"&gt;6.2200904&lt;/D&gt;&lt;D xsi:type="xsd:double"&gt;4.243481&lt;/D&gt;&lt;D xsi:type="xsd:double"&gt;3.2032013&lt;/D&gt;&lt;D xsi:type="xsd:double"&gt;2.1985173&lt;/D&gt;&lt;D xsi:type="xsd:double"&gt;1.0439754&lt;/D&gt;&lt;D xsi:type="xsd:double"&gt;3.0056357&lt;/D&gt;&lt;D xsi:type="xsd:double"&gt;3.803587&lt;/D&gt;&lt;D xsi:type="xsd:double"&gt;-4.7421513&lt;/D&gt;&lt;D xsi:type="xsd:double"&gt;5.6005&lt;/D&gt;&lt;D xsi:type="xsd:double"&gt;-3.62404&lt;/D&gt;&lt;D xsi:type="xsd:double"&gt;0.3362894&lt;/D&gt;&lt;D xsi:type="xsd:double"&gt;3.351605&lt;/D&gt;&lt;D xsi:type="xsd:double"&gt;-4.974878&lt;/D&gt;&lt;D xsi:type="xsd:double"&gt;5.412209&lt;/D&gt;&lt;D xsi:type="xsd:double"&gt;-5.104476&lt;/D&gt;&lt;D xsi:type="xsd:double"&gt;-13.652092&lt;/D&gt;&lt;D xsi:type="xsd:double"&gt;5.9016347&lt;/D&gt;&lt;D xsi:type="xsd:double"&gt;-6.74234&lt;/D&gt;&lt;D xsi:type="xsd:double"&gt;-7.8039827&lt;/D&gt;&lt;D xsi:type="xsd:double"&gt;-9.195876&lt;/D&gt;&lt;D xsi:type="xsd:double"&gt;15.395093&lt;/D&gt;&lt;D xsi:type="xsd:double"&gt;-5.548996&lt;/D&gt;&lt;D xsi:type="xsd:double"&gt;-9.375&lt;/D&gt;&lt;D xsi:type="xsd:double"&gt;24.321842&lt;/D&gt;&lt;D xsi:type="xsd:double"&gt;3.6809206&lt;/D&gt;&lt;D xsi:type="xsd:double"&gt;7.24113&lt;/D&gt;&lt;D xsi:type="xsd:double"&gt;3.8487434&lt;/D&gt;&lt;D xsi:type="xsd:double"&gt;-3.2834828&lt;/D&gt;&lt;D xsi:type="xsd:double"&gt;6.6890717&lt;/D&gt;&lt;D xsi:type="xsd:double"&gt;-1.3232529&lt;/D&gt;&lt;D xsi:type="xsd:double"&gt;1.3088107&lt;/D&gt;&lt;D xsi:type="xsd:double"&gt;6.457865&lt;/D&gt;&lt;D xsi:type="xsd:double"&gt;-3.0330658&lt;/D&gt;&lt;D xsi:type="xsd:double"&gt;-0.90709925&lt;/D&gt;&lt;D xsi:type="xsd:double"&gt;-5.082071&lt;/D&gt;&lt;D xsi:type="xsd:double"&gt;7.7153325&lt;/D&gt;&lt;D xsi:type="xsd:double"&gt;5.27941&lt;/D&gt;&lt;D xsi:type="xsd:double"&gt;0.6380081&lt;/D&gt;&lt;D xsi:type="xsd:double"&gt;0.11802912&lt;/D&gt;&lt;D xsi:type="xsd:double"&gt;8.959627&lt;/D&gt;&lt;/FQL&gt;&lt;FQL&gt;&lt;Q&gt;EWN^FMA_DIV_YLD(NTMA,-10AY,0,AM,"PORTAGG","MEANR")&lt;/Q&gt;&lt;R&gt;121&lt;/R&gt;&lt;C&gt;1&lt;/C&gt;&lt;D xsi:type="xsd:double"&gt;2.81474059593887&lt;/D&gt;&lt;D xsi:type="xsd:double"&gt;2.79097602106349&lt;/D&gt;&lt;D xsi:type="xsd:double"&gt;2.80850302348909&lt;/D&gt;&lt;D xsi:type="xsd:double"&gt;2.79833170280322&lt;/D&gt;&lt;D xsi:type="xsd:double"&gt;2.88490460642445&lt;/D&gt;&lt;D xsi:type="xsd:double"&gt;3.08590314033712&lt;/D&gt;&lt;D xsi:type="xsd:double"&gt;3.00312785407198&lt;/D&gt;&lt;D xsi:type="xsd:double"&gt;3.22068977501972&lt;/D&gt;&lt;D xsi:type="xsd:double"&gt;3.10996616655944&lt;/D&gt;&lt;D xsi:type="xsd:double"&gt;3.13475473373686&lt;/D&gt;&lt;D xsi:type="xsd:double"&gt;3.11031020586817&lt;/D&gt;&lt;D xsi:type="xsd:double"&gt;2.83180979558115&lt;/D&gt;&lt;D xsi:type="xsd:double"&gt;2.62806858070778&lt;/D&gt;&lt;D xsi:type="xsd:double"&gt;2.59993190750181&lt;/D&gt;&lt;D xsi:type="xsd:double"&gt;2.7442928267334&lt;/D&gt;&lt;D xsi:type="xsd:double"&gt;2.92179443853623&lt;/D&gt;&lt;D xsi:type="xsd:double"&gt;2.8528040196178&lt;/D&gt;&lt;D xsi:type="xsd:double"&gt;3.20741110135269&lt;/D&gt;&lt;D xsi:type="xsd:double"&gt;3.52515127055327&lt;/D&gt;&lt;D xsi:type="xsd:double"&gt;3.51432805038759&lt;/D&gt;&lt;D xsi:type="xsd:double"&gt;3.24652605435845&lt;/D&gt;&lt;D xsi:type="xsd:double"&gt;3.4293701652807&lt;/D&gt;&lt;D xsi:type="xsd:double"&gt;3.31632176277648&lt;/D&gt;&lt;D xsi:type="xsd:double"&gt;3.66522513263701&lt;/D&gt;&lt;D xsi:type="xsd:double"&gt;3.29218338400624&lt;/D&gt;&lt;D xsi:type="xsd:double"&gt;3.24462718144103&lt;/D&gt;&lt;D xsi:type="xsd:double"&gt;3.41557741930806&lt;/D&gt;&lt;D xsi:type="xsd:double"&gt;3.38818804994177&lt;/D&gt;&lt;D xsi:type="xsd:double"&gt;3.24724439732316&lt;/D&gt;&lt;D xsi:type="xsd:double"&gt;3.13896510352899&lt;/D&gt;&lt;D xsi:type="xsd:double"&gt;3.21027531897418&lt;/D&gt;&lt;D xsi:type="xsd:double"&gt;3.1309973680063&lt;/D&gt;&lt;D xsi:type="xsd:double"&gt;3.16678314411237&lt;/D&gt;&lt;D xsi:type="xsd:double"&gt;3.04044811840426&lt;/D&gt;&lt;D xsi:type="xsd:double"&gt;2.94438739934246&lt;/D&gt;&lt;D xsi:type="xsd:double"&gt;2.89338028121424&lt;/D&gt;&lt;D xsi:type="xsd:double"&gt;2.77708698634103&lt;/D&gt;&lt;D xsi:type="xsd:double"&gt;2.77082339462495&lt;/D&gt;&lt;D xsi:type="xsd:double"&gt;2.69470200247365&lt;/D&gt;&lt;D xsi:type="xsd:double"&gt;2.73257527991098&lt;/D&gt;&lt;D xsi:type="xsd:double"&gt;2.77064150014811&lt;/D&gt;&lt;D xsi:type="xsd:double"&gt;2.79691927927581&lt;/D&gt;&lt;D xsi:type="xsd:double"&gt;2.82357312084389&lt;/D&gt;&lt;D xsi:type="xsd:double"&gt;2.7549358622198&lt;/D&gt;&lt;D xsi:type="xsd:double"&gt;2.82694497684813&lt;/D&gt;&lt;D xsi:type="xsd:double"&gt;2.82373254312759&lt;/D&gt;&lt;D xsi:type="xsd:double"&gt;2.78955391180591&lt;/D&gt;&lt;D xsi:type="xsd:double"&gt;2.98881879861099&lt;/D&gt;&lt;D xsi:type="xsd:double"&gt;2.94677900431444&lt;/D&gt;&lt;D xsi:type="xsd:double"&gt;2.93074126161989&lt;/D&gt;&lt;D xsi:type="xsd:double"&gt;2.8877704371889&lt;/D&gt;&lt;D xsi:type="xsd:double"&gt;2.84830011677486&lt;/D&gt;&lt;D xsi:type="xsd:double"&gt;2.92914478460565&lt;/D&gt;&lt;D xsi:type="xsd:double"&gt;2.91688671247021&lt;/D&gt;&lt;D xsi:type="xsd:double"&gt;3.03393208312088&lt;/D&gt;&lt;D xsi:type="xsd:double"&gt;3.2226147030557&lt;/D&gt;&lt;D xsi:type="xsd:double"&gt;3.17486778404633&lt;/D&gt;&lt;D xsi:type="xsd:double"&gt;3.34084486376781&lt;/D&gt;&lt;D xsi:type="xsd:double"&gt;3.42140874984438&lt;/D&gt;&lt;D xsi:type="xsd:double"&gt;3.15841508058821&lt;/D&gt;&lt;D xsi:type="xsd:double"&gt;3.09028714664019&lt;/D&gt;&lt;D xsi:type="xsd:double"&gt;3.00134530181539&lt;/D&gt;&lt;D xsi:type="xsd:double"&gt;3.07289853945389&lt;/D&gt;&lt;D xsi:type="xsd:double"&gt;3.07516594022319&lt;/D&gt;&lt;D xsi:type="xsd:double"&gt;2.97536640444643&lt;/D&gt;&lt;D xsi:type="xsd:double"&gt;3.0708719313045&lt;/D&gt;&lt;D xsi:type="xsd:double"&gt;2.83797260436097&lt;/D&gt;&lt;D xsi:type="xsd:double"&gt;2.75294417257227&lt;/D&gt;&lt;D xsi:type="xsd:double"&gt;2.66501650750807&lt;/D&gt;&lt;D xsi:type="xsd:double"&gt;2.61646597277481&lt;/D&gt;&lt;D xsi:type="xsd:double"&gt;2.58588925117044&lt;/D&gt;&lt;D xsi:type="xsd:double"&gt;2.46133900626106&lt;/D&gt;&lt;D xsi:type="xsd:double"&gt;3.56941216852224&lt;/D&gt;&lt;D xsi:type="xsd:double"&gt;2.87541811422641&lt;/D&gt;&lt;D xsi:type="xsd:double"&gt;2.69320750930199&lt;/D&gt;&lt;D xsi:type="xsd:double"&gt;2.46502180074497&lt;/D&gt;&lt;D xsi:type="xsd:double"&gt;2.32386468620242&lt;/D&gt;&lt;D xsi:type="xsd:double"&gt;2.34938864440447&lt;/D&gt;&lt;D xsi:type="xsd:double"&gt;2.32340951679655&lt;/D&gt;&lt;D xsi:type="xsd:double"&gt;2.25259624670763&lt;/D&gt;&lt;D xsi:type="xsd:double"&gt;2.18632035936206&lt;/D&gt;&lt;D xsi:type="xsd:double"&gt;2.08133562991164&lt;/D&gt;&lt;D xsi:type="xsd:double"&gt;1.92011538467583&lt;/D&gt;&lt;D xsi:type="xsd:double"&gt;1.88278995616925&lt;/D&gt;&lt;D xsi:type="xsd:double"&gt;2.02377355093157&lt;/D&gt;&lt;D xsi:type="xsd:double"&gt;1.91651175873832&lt;/D&gt;&lt;D xsi:type="xsd:double"&gt;1.99722544738678&lt;/D&gt;&lt;D xsi:type="xsd:double"&gt;1.98378997304378&lt;/D&gt;&lt;D xsi:type="xsd:double"&gt;1.98944608316033&lt;/D&gt;&lt;D xsi:type="xsd:double"&gt;1.94658492049408&lt;/D&gt;&lt;D xsi:type="xsd:double"&gt;1.84101149114632&lt;/D&gt;&lt;D xsi:type="xsd:double"&gt;1.9518504753787&lt;/D&gt;&lt;D xsi:type="xsd:double"&gt;1.84147941923812&lt;/D&gt;&lt;D xsi:type="xsd:double"&gt;2.00233339849434&lt;/D&gt;&lt;D xsi:type="xsd:double"&gt;2.00582946910454&lt;/D&gt;&lt;D xsi:type="xsd:double"&gt;2.24944474726173&lt;/D&gt;&lt;D xsi:type="xsd:double"&gt;2.4356643887753&lt;/D&gt;&lt;D xsi:type="xsd:double"&gt;2.31574787712823&lt;/D&gt;&lt;D xsi:type="xsd:double"&gt;2.55245120280917&lt;/D&gt;&lt;D xsi:type="xsd:double"&gt;3.53160443354287&lt;/D&gt;&lt;D xsi:type="xsd:double"&gt;3.44922511603681&lt;/D&gt;&lt;D xsi:type="xsd:double"&gt;3.05380148639764&lt;/D&gt;&lt;D xsi:type="xsd:double"&gt;3.69571245325169&lt;/D&gt;&lt;D xsi:type="xsd:double"&gt;3.15768879054058&lt;/D&gt;&lt;D xsi:type="xsd:double"&gt;2.70246605641723&lt;/D&gt;&lt;D xsi:type="xsd:double"&gt;2.62388615104124&lt;/D&gt;&lt;D xsi:type="xsd:double"&gt;2.57136862365842&lt;/D&gt;&lt;D xsi:type="xsd:double"&gt;2.56223742178599&lt;/D&gt;&lt;D xsi:type="xsd:double"&gt;2.72951408134682&lt;/D&gt;&lt;D xsi:type="xsd:double"&gt;2.6666799816401&lt;/D&gt;&lt;D xsi:type="xsd:double"&gt;2.7230529756398&lt;/D&gt;&lt;D xsi:type="xsd:double"&gt;2.62688069026585&lt;/D&gt;&lt;D xsi:type="xsd:double"&gt;2.64357432006096&lt;/D&gt;&lt;D xsi:type="xsd:double"&gt;2.76852920488908&lt;/D&gt;&lt;D xsi:type="xsd:double"&gt;2.95726069574742&lt;/D&gt;&lt;D xsi:type="xsd:double"&gt;3.0424413200038&lt;/D&gt;&lt;D xsi:type="xsd:double"&gt;2.83669622296095&lt;/D&gt;&lt;D xsi:type="xsd:double"&gt;2.6613022715342&lt;/D&gt;&lt;D xsi:type="xsd:double"&gt;2.71901916195277&lt;/D&gt;&lt;D xsi:type="xsd:double"&gt;2.49423854575626&lt;/D&gt;&lt;D xsi:type="xsd:double"&gt;2.57716492210216&lt;/D&gt;&lt;/FQL&gt;&lt;FQL&gt;&lt;Q&gt;SPY^FMA_PE(NTMA,-10AY,0,AM,"PORTAGG","MEANR")&lt;/Q&gt;&lt;R&gt;121&lt;/R&gt;&lt;C&gt;1&lt;/C&gt;&lt;D xsi:type="xsd:double"&gt;14.8355329631453&lt;/D&gt;&lt;D xsi:type="xsd:double"&gt;14.7150655036006&lt;/D&gt;&lt;D xsi:type="xsd:double"&gt;14.9773354617365&lt;/D&gt;&lt;D xsi:type="xsd:double"&gt;15.2208671061235&lt;/D&gt;&lt;D xsi:type="xsd:double"&gt;15.3947909210726&lt;/D&gt;&lt;D xsi:type="xsd:double"&gt;15.0445158617306&lt;/D&gt;&lt;D xsi:type="xsd:double"&gt;15.1731429771878&lt;/D&gt;&lt;D xsi:type="xsd:double"&gt;14.3157020979994&lt;/D&gt;&lt;D xsi:type="xsd:double"&gt;15.6408499114879&lt;/D&gt;&lt;D xsi:type="xsd:double"&gt;15.4666051675582&lt;/D&gt;&lt;D xsi:type="xsd:double"&gt;15.8467147505662&lt;/D&gt;&lt;D xsi:type="xsd:double"&gt;16.8655024277584&lt;/D&gt;&lt;D xsi:type="xsd:double"&gt;16.4715700397736&lt;/D&gt;&lt;D xsi:type="xsd:double"&gt;16.6814026446282&lt;/D&gt;&lt;D xsi:type="xsd:double"&gt;16.7204479790711&lt;/D&gt;&lt;D xsi:type="xsd:double"&gt;16.3842740921224&lt;/D&gt;&lt;D xsi:type="xsd:double"&gt;16.4233031212953&lt;/D&gt;&lt;D xsi:type="xsd:double"&gt;16.3116711700079&lt;/D&gt;&lt;D xsi:type="xsd:double"&gt;15.2111145017789&lt;/D&gt;&lt;D xsi:type="xsd:double"&gt;15.6020020528123&lt;/D&gt;&lt;D xsi:type="xsd:double"&gt;15.8518400680542&lt;/D&gt;&lt;D xsi:type="xsd:double"&gt;15.8103040052423&lt;/D&gt;&lt;D xsi:type="xsd:double"&gt;15.1294103882385&lt;/D&gt;&lt;D xsi:type="xsd:double"&gt;15.5099438140132&lt;/D&gt;&lt;D xsi:type="xsd:double"&gt;15.5167363536305&lt;/D&gt;&lt;D xsi:type="xsd:double"&gt;16.5004635460184&lt;/D&gt;&lt;D xsi:type="xsd:double"&gt;16.5226770167304&lt;/D&gt;&lt;D xsi:type="xsd:double"&gt;16.3451893447138&lt;/D&gt;&lt;D xsi:type="xsd:double"&gt;16.973364225043&lt;/D&gt;&lt;D xsi:type="xsd:double"&gt;16.9893615444774&lt;/D&gt;&lt;D xsi:type="xsd:double"&gt;16.4032412270491&lt;/D&gt;&lt;D xsi:type="xsd:double"&gt;16.3374777379563&lt;/D&gt;&lt;D xsi:type="xsd:double"&gt;16.507058929478&lt;/D&gt;&lt;D xsi:type="xsd:double"&gt;17.0005023630975&lt;/D&gt;&lt;D xsi:type="xsd:double"&gt;16.9866013196807&lt;/D&gt;&lt;D xsi:type="xsd:double"&gt;17.4986401242405&lt;/D&gt;&lt;D xsi:type="xsd:double"&gt;17.6128103124359&lt;/D&gt;&lt;D xsi:type="xsd:double"&gt;17.1920351489964&lt;/D&gt;&lt;D xsi:type="xsd:double"&gt;17.4302331447348&lt;/D&gt;&lt;D xsi:type="xsd:double"&gt;17.6080188579254&lt;/D&gt;&lt;D xsi:type="xsd:double"&gt;17.6511810503286&lt;/D&gt;&lt;D xsi:type="xsd:double"&gt;17.5315369700805&lt;/D&gt;&lt;D xsi:type="xsd:double"&gt;17.6169971599899&lt;/D&gt;&lt;D xsi:type="xsd:double"&gt;17.9062776252455&lt;/D&gt;&lt;D xsi:type="xsd:double"&gt;17.8745374610734&lt;/D&gt;&lt;D xsi:type="xsd:double"&gt;18.1780329747213&lt;/D&gt;&lt;D xsi:type="xsd:double"&gt;18.4026634406931&lt;/D&gt;&lt;D xsi:type="xsd:double"&gt;16.9008955448401&lt;/D&gt;&lt;D xsi:type="xsd:double"&gt;17.0420807368445&lt;/D&gt;&lt;D xsi:type="xsd:double"&gt;16.3370571512776&lt;/D&gt;&lt;D xsi:type="xsd:double"&gt;16.4450307272493&lt;/D&gt;&lt;D xsi:type="xsd:double"&gt;16.5878339986003&lt;/D&gt;&lt;D xsi:type="xsd:double"&gt;16.5410134438428&lt;/D&gt;&lt;D xsi:type="xsd:double"&gt;16.5254777325383&lt;/D&gt;&lt;D xsi:type="xsd:double"&gt;16.7577243542326&lt;/D&gt;&lt;D xsi:type="xsd:double"&gt;15.8733227670383&lt;/D&gt;&lt;D xsi:type="xsd:double"&gt;15.4211053587979&lt;/D&gt;&lt;D xsi:type="xsd:double"&gt;14.8681503657254&lt;/D&gt;&lt;D xsi:type="xsd:double"&gt;14.9873726121851&lt;/D&gt;&lt;D xsi:type="xsd:double"&gt;15.9929110337089&lt;/D&gt;&lt;D xsi:type="xsd:double"&gt;16.3077934676564&lt;/D&gt;&lt;D xsi:type="xsd:double"&gt;16.8169558614715&lt;/D&gt;&lt;D xsi:type="xsd:double"&gt;16.2264744141716&lt;/D&gt;&lt;D xsi:type="xsd:double"&gt;16.4305701344293&lt;/D&gt;&lt;D xsi:type="xsd:double"&gt;17.1438587505649&lt;/D&gt;&lt;D xsi:type="xsd:double"&gt;16.1339966456963&lt;/D&gt;&lt;D xsi:type="xsd:double"&gt;16.9726645349066&lt;/D&gt;&lt;D xsi:type="xsd:double"&gt;16.7547230346741&lt;/D&gt;&lt;D xsi:type="xsd:double"&gt;17.4721819150233&lt;/D&gt;&lt;D xsi:type="xsd:double"&gt;17.8300929134262&lt;/D&gt;&lt;D xsi:type="xsd:double"&gt;18.3873509517232&lt;/D&gt;&lt;D xsi:type="xsd:double"&gt;18.9533239724107&lt;/D&gt;&lt;D xsi:type="xsd:double"&gt;15.4518513140321&lt;/D&gt;&lt;D xsi:type="xsd:double"&gt;18.6457423892028&lt;/D&gt;&lt;D xsi:type="xsd:double"&gt;20.3440958868055&lt;/D&gt;&lt;D xsi:type="xsd:double"&gt;21.4402587711939&lt;/D&gt;&lt;D xsi:type="xsd:double"&gt;22.2320553410045&lt;/D&gt;&lt;D xsi:type="xsd:double"&gt;22.3525206683586&lt;/D&gt;&lt;D xsi:type="xsd:double"&gt;21.8850995289215&lt;/D&gt;&lt;D xsi:type="xsd:double"&gt;22.034121760949&lt;/D&gt;&lt;D xsi:type="xsd:double"&gt;21.8795328682119&lt;/D&gt;&lt;D xsi:type="xsd:double"&gt;21.6909627140793&lt;/D&gt;&lt;D xsi:type="xsd:double"&gt;22.4184212640134&lt;/D&gt;&lt;D xsi:type="xsd:double"&gt;22.272524621837&lt;/D&gt;&lt;D xsi:type="xsd:double"&gt;21.902108676982&lt;/D&gt;&lt;D xsi:type="xsd:double"&gt;22.2750116579345&lt;/D&gt;&lt;D xsi:type="xsd:double"&gt;21.3239020275107&lt;/D&gt;&lt;D xsi:type="xsd:double"&gt;21.3399313984579&lt;/D&gt;&lt;D xsi:type="xsd:double"&gt;21.4983077436802&lt;/D&gt;&lt;D xsi:type="xsd:double"&gt;21.1247877794726&lt;/D&gt;&lt;D xsi:type="xsd:double"&gt;20.7592566235124&lt;/D&gt;&lt;D xsi:type="xsd:double"&gt;20.5705354741011&lt;/D&gt;&lt;D xsi:type="xsd:double"&gt;21.3661311374642&lt;/D&gt;&lt;D xsi:type="xsd:double"&gt;20.8253706237472&lt;/D&gt;&lt;D xsi:type="xsd:double"&gt;20.7518253992605&lt;/D&gt;&lt;D xsi:type="xsd:double"&gt;19.3111345133931&lt;/D&gt;&lt;D xsi:type="xsd:double"&gt;18.0363737908996&lt;/D&gt;&lt;D xsi:type="xsd:double"&gt;18.6746450820291&lt;/D&gt;&lt;D xsi:type="xsd:double"&gt;16.9880370004583&lt;/D&gt;&lt;D xsi:type="xsd:double"&gt;15.586025713793&lt;/D&gt;&lt;D xsi:type="xsd:double"&gt;15.8383728430587&lt;/D&gt;&lt;D xsi:type="xsd:double"&gt;18.069953072686&lt;/D&gt;&lt;D xsi:type="xsd:double"&gt;16.5701285730914&lt;/D&gt;&lt;D xsi:type="xsd:double"&gt;15.2019820928396&lt;/D&gt;&lt;D xsi:type="xsd:double"&gt;17.1484965717522&lt;/D&gt;&lt;D xsi:type="xsd:double"&gt;17.2925308123705&lt;/D&gt;&lt;D xsi:type="xsd:double"&gt;17.4300283886606&lt;/D&gt;&lt;D xsi:type="xsd:double"&gt;18.2386812193173&lt;/D&gt;&lt;D xsi:type="xsd:double"&gt;17.199564496613&lt;/D&gt;&lt;D xsi:type="xsd:double"&gt;18.1842479024581&lt;/D&gt;&lt;D xsi:type="xsd:double"&gt;17.9390719471174&lt;/D&gt;&lt;D xsi:type="xsd:double"&gt;18.7975870840168&lt;/D&gt;&lt;D xsi:type="xsd:double"&gt;19.3427264043136&lt;/D&gt;&lt;D xsi:type="xsd:double"&gt;18.9949568468728&lt;/D&gt;&lt;D xsi:type="xsd:double"&gt;18.7693341591569&lt;/D&gt;&lt;D xsi:type="xsd:double"&gt;17.9373983848549&lt;/D&gt;&lt;D xsi:type="xsd:double"&gt;18.5715751923818&lt;/D&gt;&lt;D xsi:type="xsd:double"&gt;19.3295749399117&lt;/D&gt;&lt;D xsi:type="xsd:double"&gt;19.5561977490333&lt;/D&gt;&lt;D xsi:type="xsd:double"&gt;20.2381639017704&lt;/D&gt;&lt;D xsi:type="xsd:double"&gt;20.5854571411061&lt;/D&gt;&lt;/FQL&gt;&lt;FQL&gt;&lt;Q&gt;EWU^FMA_PE(LTMA,-10AY,0,AM,"PORTAGG","MEANR")&lt;/Q&gt;&lt;R&gt;121&lt;/R&gt;&lt;C&gt;1&lt;/C&gt;&lt;D xsi:type="xsd:double"&gt;14.2814641287795&lt;/D&gt;&lt;D xsi:type="xsd:double"&gt;14.2680653077857&lt;/D&gt;&lt;D xsi:type="xsd:double"&gt;14.4178587241949&lt;/D&gt;&lt;D xsi:type="xsd:double"&gt;14.3668182943823&lt;/D&gt;&lt;D xsi:type="xsd:double"&gt;14.334121353608&lt;/D&gt;&lt;D xsi:type="xsd:double"&gt;14.1566962930804&lt;/D&gt;&lt;D xsi:type="xsd:double"&gt;14.1692022582628&lt;/D&gt;&lt;D xsi:type="xsd:double"&gt;13.4579088534793&lt;/D&gt;&lt;D xsi:type="xsd:double"&gt;13.8915771326427&lt;/D&gt;&lt;D xsi:type="xsd:double"&gt;13.2758443481195&lt;/D&gt;&lt;D xsi:type="xsd:double"&gt;13.2988996791408&lt;/D&gt;&lt;D xsi:type="xsd:double"&gt;14.6601635158196&lt;/D&gt;&lt;D xsi:type="xsd:double"&gt;15.1195627248523&lt;/D&gt;&lt;D xsi:type="xsd:double"&gt;15.4916004584287&lt;/D&gt;&lt;D xsi:type="xsd:double"&gt;15.7038200731292&lt;/D&gt;&lt;D xsi:type="xsd:double"&gt;15.6456275393428&lt;/D&gt;&lt;D xsi:type="xsd:double"&gt;15.7094202085688&lt;/D&gt;&lt;D xsi:type="xsd:double"&gt;15.6220284400382&lt;/D&gt;&lt;D xsi:type="xsd:double"&gt;14.957303966788&lt;/D&gt;&lt;D xsi:type="xsd:double"&gt;15.5339027265009&lt;/D&gt;&lt;D xsi:type="xsd:double"&gt;15.3701191934467&lt;/D&gt;&lt;D xsi:type="xsd:double"&gt;14.8720728792343&lt;/D&gt;&lt;D xsi:type="xsd:double"&gt;14.8664815806905&lt;/D&gt;&lt;D xsi:type="xsd:double"&gt;14.4445419127267&lt;/D&gt;&lt;D xsi:type="xsd:double"&gt;15.6512632566129&lt;/D&gt;&lt;D xsi:type="xsd:double"&gt;15.9445378335698&lt;/D&gt;&lt;D xsi:type="xsd:double"&gt;15.8312454919475&lt;/D&gt;&lt;D xsi:type="xsd:double"&gt;15.6331076804091&lt;/D&gt;&lt;D xsi:type="xsd:double"&gt;16.4632428568546&lt;/D&gt;&lt;D xsi:type="xsd:double"&gt;16.9476907494451&lt;/D&gt;&lt;D xsi:type="xsd:double"&gt;16.6064482470664&lt;/D&gt;&lt;D xsi:type="xsd:double"&gt;16.9153118390797&lt;/D&gt;&lt;D xsi:type="xsd:double"&gt;16.2995020481425&lt;/D&gt;&lt;D xsi:type="xsd:double"&gt;16.9190118969788&lt;/D&gt;&lt;D xsi:type="xsd:double"&gt;17.3701048915432&lt;/D&gt;&lt;D xsi:type="xsd:double"&gt;17.2993821263294&lt;/D&gt;&lt;D xsi:type="xsd:double"&gt;17.247105014344&lt;/D&gt;&lt;D xsi:type="xsd:double"&gt;17.0231368797814&lt;/D&gt;&lt;D xsi:type="xsd:double"&gt;16.8844672209117&lt;/D&gt;&lt;D xsi:type="xsd:double"&gt;16.6154873881546&lt;/D&gt;&lt;D xsi:type="xsd:double"&gt;16.458803516706&lt;/D&gt;&lt;D xsi:type="xsd:double"&gt;16.1611252019735&lt;/D&gt;&lt;D xsi:type="xsd:double"&gt;15.8893159244143&lt;/D&gt;&lt;D xsi:type="xsd:double"&gt;15.908369719248&lt;/D&gt;&lt;D xsi:type="xsd:double"&gt;15.2754213713869&lt;/D&gt;&lt;D xsi:type="xsd:double"&gt;15.192948000722&lt;/D&gt;&lt;D xsi:type="xsd:double"&gt;15.7490795361722&lt;/D&gt;&lt;D xsi:type="xsd:double"&gt;14.5164556824089&lt;/D&gt;&lt;D xsi:type="xsd:double"&gt;13.9435006087283&lt;/D&gt;&lt;D xsi:type="xsd:double"&gt;13.9760879557659&lt;/D&gt;&lt;D xsi:type="xsd:double"&gt;14.1268415110782&lt;/D&gt;&lt;D xsi:type="xsd:double"&gt;14.0084372709233&lt;/D&gt;&lt;D xsi:type="xsd:double"&gt;13.837812378318&lt;/D&gt;&lt;D xsi:type="xsd:double"&gt;13.7091903533387&lt;/D&gt;&lt;D xsi:type="xsd:double"&gt;13.3854774505723&lt;/D&gt;&lt;D xsi:type="xsd:double"&gt;12.9027782632447&lt;/D&gt;&lt;D xsi:type="xsd:double"&gt;12.8046871417628&lt;/D&gt;&lt;D xsi:type="xsd:double"&gt;12.1910621665007&lt;/D&gt;&lt;D xsi:type="xsd:double"&gt;12.2291637145426&lt;/D&gt;&lt;D xsi:type="xsd:double"&gt;12.7379394546846&lt;/D&gt;&lt;D xsi:type="xsd:double"&gt;12.9477379957589&lt;/D&gt;&lt;D xsi:type="xsd:double"&gt;13.0231609895238&lt;/D&gt;&lt;D xsi:type="xsd:double"&gt;12.867710003218&lt;/D&gt;&lt;D xsi:type="xsd:double"&gt;12.9374450235495&lt;/D&gt;&lt;D xsi:type="xsd:double"&gt;13.1114565868899&lt;/D&gt;&lt;D xsi:type="xsd:double"&gt;12.6635310489898&lt;/D&gt;&lt;D xsi:type="xsd:double"&gt;13.1259522146345&lt;/D&gt;&lt;D xsi:type="xsd:double"&gt;13.0278018778633&lt;/D&gt;&lt;D xsi:type="xsd:double"&gt;13.3330923582828&lt;/D&gt;&lt;D xsi:type="xsd:double"&gt;13.7872665261463&lt;/D&gt;&lt;D xsi:type="xsd:double"&gt;14.2209663753727&lt;/D&gt;&lt;D xsi:type="xsd:double"&gt;13.852430312727&lt;/D&gt;&lt;D xsi:type="xsd:double"&gt;11.9795855851686&lt;/D&gt;&lt;D xsi:type="xsd:double"&gt;12.8384989491005&lt;/D&gt;&lt;D xsi:type="xsd:double"&gt;13.7607157913396&lt;/D&gt;&lt;D xsi:type="xsd:double"&gt;14.8368077384867&lt;/D&gt;&lt;D xsi:type="xsd:double"&gt;15.365372143459&lt;/D&gt;&lt;D xsi:type="xsd:double"&gt;16.2809797549966&lt;/D&gt;&lt;D xsi:type="xsd:double"&gt;16.8362463714816&lt;/D&gt;&lt;D xsi:type="xsd:double"&gt;17.0591041972637&lt;/D&gt;&lt;D xsi:type="xsd:double"&gt;18.300762254294&lt;/D&gt;&lt;D xsi:type="xsd:double"&gt;19.3461783413858&lt;/D&gt;&lt;D xsi:type="xsd:double"&gt;20.4307564174099&lt;/D&gt;&lt;D xsi:type="xsd:double"&gt;19.5026366790681&lt;/D&gt;&lt;D xsi:type="xsd:double"&gt;18.6633672541346&lt;/D&gt;&lt;D xsi:type="xsd:double"&gt;18.0109762832521&lt;/D&gt;&lt;D xsi:type="xsd:double"&gt;17.4369715305291&lt;/D&gt;&lt;D xsi:type="xsd:double"&gt;16.9232089755942&lt;/D&gt;&lt;D xsi:type="xsd:double"&gt;16.0298016116194&lt;/D&gt;&lt;D xsi:type="xsd:double"&gt;15.2508189460952&lt;/D&gt;&lt;D xsi:type="xsd:double"&gt;14.3538531333025&lt;/D&gt;&lt;D xsi:type="xsd:double"&gt;13.8892995773735&lt;/D&gt;&lt;D xsi:type="xsd:double"&gt;13.2937801101589&lt;/D&gt;&lt;D xsi:type="xsd:double"&gt;12.3357559489566&lt;/D&gt;&lt;D xsi:type="xsd:double"&gt;12.7048407343751&lt;/D&gt;&lt;D xsi:type="xsd:double"&gt;12.6317689710793&lt;/D&gt;&lt;D xsi:type="xsd:double"&gt;12.4022690257289&lt;/D&gt;&lt;D xsi:type="xsd:double"&gt;12.2458605880157&lt;/D&gt;&lt;D xsi:type="xsd:double"&gt;11.7572441318259&lt;/D&gt;&lt;D xsi:type="xsd:double"&gt;11.3108383500887&lt;/D&gt;&lt;D xsi:type="xsd:double"&gt;10.7932470286566&lt;/D&gt;&lt;D xsi:type="xsd:double"&gt;10.8233562003743&lt;/D&gt;&lt;D xsi:type="xsd:double"&gt;10.164163470558&lt;/D&gt;&lt;D xsi:type="xsd:double"&gt;9.39993382228298&lt;/D&gt;&lt;D xsi:type="xsd:double"&gt;9.72621352702094&lt;/D&gt;&lt;D xsi:type="xsd:double"&gt;9.9224509271721&lt;/D&gt;&lt;D xsi:type="xsd:double"&gt;10.1921051480166&lt;/D&gt;&lt;D xsi:type="xsd:double"&gt;10.261820502608&lt;/D&gt;&lt;D xsi:type="xsd:double"&gt;10.2081535590348&lt;/D&gt;&lt;D xsi:type="xsd:double"&gt;10.3971491828293&lt;/D&gt;&lt;D xsi:type="xsd:double"&gt;10.3497110067704&lt;/D&gt;&lt;D xsi:type="xsd:double"&gt;10.3529395499968&lt;/D&gt;&lt;D xsi:type="xsd:double"&gt;10.4247879196603&lt;/D&gt;&lt;D xsi:type="xsd:double"&gt;10.5190523574414&lt;/D&gt;&lt;D xsi:type="xsd:double"&gt;10.6747854537856&lt;/D&gt;&lt;D xsi:type="xsd:double"&gt;10.5651257834785&lt;/D&gt;&lt;D xsi:type="xsd:double"&gt;10.6168298005584&lt;/D&gt;&lt;D xsi:type="xsd:double"&gt;11.1461326642189&lt;/D&gt;&lt;D xsi:type="xsd:double"&gt;11.2537585935427&lt;/D&gt;&lt;D xsi:type="xsd:double"&gt;11.1379079096067&lt;/D&gt;&lt;D xsi:type="xsd:double"&gt;11.4714269776909&lt;/D&gt;&lt;/FQL&gt;&lt;FQL&gt;&lt;Q&gt;WL-FDS^MAX(FG_PRICE(0,-5AY))&lt;/Q&gt;&lt;R&gt;1&lt;/R&gt;&lt;C&gt;1&lt;/C&gt;&lt;D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xsi:type="xsd:double"&gt;120.76473&lt;/D&gt;&lt;/FQL&gt;&lt;FQL&gt;&lt;Q&gt;FC0000CA^FG_PRICE(0)&lt;/Q&gt;&lt;R&gt;1&lt;/R&gt;&lt;C&gt;1&lt;/C&gt;&lt;D xsi:type="xsd:double"&gt;289.11832&lt;/D&gt;&lt;/FQL&gt;&lt;FQL&gt;&lt;Q&gt;EWD^FG_PRICE_MAVG(0,,,,200)&lt;/Q&gt;&lt;R&gt;1&lt;/R&gt;&lt;C&gt;1&lt;/C&gt;&lt;D xsi:type="xsd:double"&gt;35.54845&lt;/D&gt;&lt;/FQL&gt;&lt;FQL&gt;&lt;Q&gt;QQQ^FG_PRICE_MAVG(0,,,,200)&lt;/Q&gt;&lt;R&gt;1&lt;/R&gt;&lt;C&gt;1&lt;/C&gt;&lt;D xsi:type="xsd:double"&gt;386.42334&lt;/D&gt;&lt;/FQL&gt;&lt;FQL&gt;&lt;Q&gt;EWG^FG_PRICE_MAVG(0,,,,200)&lt;/Q&gt;&lt;R&gt;1&lt;/R&gt;&lt;C&gt;1&lt;/C&gt;&lt;D xsi:type="xsd:double"&gt;28.19675&lt;/D&gt;&lt;/FQL&gt;&lt;FQL&gt;&lt;Q&gt;FXI^FG_TOTAL_RETURNC(0,-6AM)&lt;/Q&gt;&lt;R&gt;1&lt;/R&gt;&lt;C&gt;1&lt;/C&gt;&lt;D xsi:type="xsd:double"&gt;-9.230572&lt;/D&gt;&lt;/FQL&gt;&lt;FQL&gt;&lt;Q&gt;VWO^FG_TOTAL_RETURNC(0,-6AM)&lt;/Q&gt;&lt;R&gt;1&lt;/R&gt;&lt;C&gt;1&lt;/C&gt;&lt;D xsi:type="xsd:double"&gt;5.5372357&lt;/D&gt;&lt;/FQL&gt;&lt;FQL&gt;&lt;Q&gt;EWN^FG_TOTAL_RETURNC(0,-6AM)&lt;/Q&gt;&lt;R&gt;1&lt;/R&gt;&lt;C&gt;1&lt;/C&gt;&lt;D xsi:type="xsd:double"&gt;22.811937&lt;/D&gt;&lt;/FQL&gt;&lt;FQL&gt;&lt;Q&gt;EWU^FG_TOTAL_RETURNC(0,-6AM)&lt;/Q&gt;&lt;R&gt;1&lt;/R&gt;&lt;C&gt;1&lt;/C&gt;&lt;D xsi:type="xsd:double"&gt;5.223286&lt;/D&gt;&lt;/FQL&gt;&lt;FQL&gt;&lt;Q&gt;EWC^FG_TOTAL_RETURNC(0,-6AM)&lt;/Q&gt;&lt;R&gt;1&lt;/R&gt;&lt;C&gt;1&lt;/C&gt;&lt;D xsi:type="xsd:double"&gt;8.639681&lt;/D&gt;&lt;/FQL&gt;&lt;FQL&gt;&lt;Q&gt;EWU^FMA_PCT_ABOVE_MAVG(200,0,,,,"PORTAGG")&lt;/Q&gt;&lt;R&gt;1&lt;/R&gt;&lt;C&gt;1&lt;/C&gt;&lt;D xsi:type="xsd:double"&gt;58.3333333333333&lt;/D&gt;&lt;/FQL&gt;&lt;FQL&gt;&lt;Q&gt;VWO^FMA_COS_DOWN("EPS","1M",+1,0,,,"PORTAGG","MEANR")&lt;/Q&gt;&lt;R&gt;1&lt;/R&gt;&lt;C&gt;1&lt;/C&gt;&lt;D xsi:type="xsd:double"&gt;1292&lt;/D&gt;&lt;/FQL&gt;&lt;FQL&gt;&lt;Q&gt;EWG^SIZE(FG_CONSTITUENTS)&lt;/Q&gt;&lt;R&gt;1&lt;/R&gt;&lt;C&gt;1&lt;/C&gt;&lt;D xsi:type="xsd:long"&gt;57&lt;/D&gt;&lt;/FQL&gt;&lt;FQL&gt;&lt;Q&gt;TRYGB10Y-FDS^PCTCHG(FG_YIELD(0,,,,"YTM"),FG_YIELD(-3AM,,,,"YTM"))&lt;/Q&gt;&lt;R&gt;1&lt;/R&gt;&lt;C&gt;1&lt;/C&gt;&lt;D xsi:type="xsd:double"&gt;10.957445&lt;/D&gt;&lt;/FQL&gt;&lt;FQL&gt;&lt;Q&gt;VGK^FG_FCF_YIELD_NTM(0)&lt;/Q&gt;&lt;R&gt;1&lt;/R&gt;&lt;C&gt;1&lt;/C&gt;&lt;D xsi:type="xsd:double"&gt;5.63338351138935&lt;/D&gt;&lt;/FQL&gt;&lt;FQL&gt;&lt;Q&gt;EWC^FMA_PE(LTM,0,,,"PORTAGG","MEANR")&lt;/Q&gt;&lt;R&gt;1&lt;/R&gt;&lt;C&gt;1&lt;/C&gt;&lt;D xsi:type="xsd:double"&gt;17.1156136637614&lt;/D&gt;&lt;/FQL&gt;&lt;FQL&gt;&lt;Q&gt;TLT^FG_TOTAL_RETURNC(0,-1AM)&lt;/Q&gt;&lt;R&gt;1&lt;/R&gt;&lt;C&gt;1&lt;/C&gt;&lt;D xsi:type="xsd:double"&gt;0.47461987&lt;/D&gt;&lt;/FQL&gt;&lt;FQL&gt;&lt;Q&gt;VWO^FG_TOTAL_RETURNC(0,-3AM)&lt;/Q&gt;&lt;R&gt;1&lt;/R&gt;&lt;C&gt;1&lt;/C&gt;&lt;D xsi:type="xsd:double"&gt;3.2642484&lt;/D&gt;&lt;/FQL&gt;&lt;FQL&gt;&lt;Q&gt;EWJ^PERCENT_CHANGE(FMA_EPS(+1,0,,,,"PORTAGG","MEAN"),FMA_EPS(+1,-1AM,,,,"PORTAGG","MEAN"))&lt;/Q&gt;&lt;R&gt;1&lt;/R&gt;&lt;C&gt;1&lt;/C&gt;&lt;D xsi:type="xsd:double"&gt;2.01515521215302&lt;/D&gt;&lt;/FQL&gt;&lt;FQL&gt;&lt;Q&gt;EWL^PERCENT_CHANGE(FMA_EPS(+1,0,,,,"PORTAGG","MEAN"),FMA_EPS(+1,-3AM,,,,"PORTAGG","MEAN"))&lt;/Q&gt;&lt;R&gt;1&lt;/R&gt;&lt;C&gt;1&lt;/C&gt;&lt;D xsi:type="xsd:double"&gt;-5.21103946134435&lt;/D&gt;&lt;/FQL&gt;&lt;FQL&gt;&lt;Q&gt;VWO^FMA_COS_UP("EPS","1M",+1,0,,,"PORTAGG","MEANR")&lt;/Q&gt;&lt;R&gt;1&lt;/R&gt;&lt;C&gt;1&lt;/C&gt;&lt;D xsi:type="xsd:double"&gt;761&lt;/D&gt;&lt;/FQL&gt;&lt;FQL&gt;&lt;Q&gt;EWG^FMA_COS_DOWN("EPS","1M",+1,0,,,"PORTAGG","MEANR")&lt;/Q&gt;&lt;R&gt;1&lt;/R&gt;&lt;C&gt;1&lt;/C&gt;&lt;D xsi:type="xsd:double"&gt;32&lt;/D&gt;&lt;/FQL&gt;&lt;FQL&gt;&lt;Q&gt;EWJ^FMA_RBICS_REV_CURRENT(30, LOC, "PORTAGG")&lt;/Q&gt;&lt;R&gt;1&lt;/R&gt;&lt;C&gt;1&lt;/C&gt;&lt;D xsi:type="xsd:double"&gt;17.7091909618779&lt;/D&gt;&lt;/FQL&gt;&lt;FQL&gt;&lt;Q&gt;EWA^FG_ROE(0)&lt;/Q&gt;&lt;R&gt;1&lt;/R&gt;&lt;C&gt;1&lt;/C&gt;&lt;D xsi:type="xsd:double"&gt;12.6033937297308&lt;/D&gt;&lt;/FQL&gt;&lt;FQL&gt;&lt;Q&gt;REFSEREPO-FDS^FG_YIELD(NOW,,,0)&lt;/Q&gt;&lt;R&gt;1&lt;/R&gt;&lt;C&gt;1&lt;/C&gt;&lt;D xsi:type="xsd:double"&gt;4&lt;/D&gt;&lt;/FQL&gt;&lt;FQL&gt;&lt;Q&gt;REFGBBANK-FDS^PROPER_NAME(0,,,"SECURITY","NAME")&lt;/Q&gt;&lt;R&gt;1&lt;/R&gt;&lt;C&gt;1&lt;/C&gt;&lt;D xsi:type="xsd:string"&gt;UK Bank Rate&lt;/D&gt;&lt;/FQL&gt;&lt;FQL&gt;&lt;Q&gt;REFNZOCR-FDS^(SUBARRAY(NOT_NA(NO_REPEAT_F(FG_YIELD(NOW,-10AY,D))),0,1)-SUBARRAY(NOT_NA(NO_REPEAT_F(FG_YIELD(NOW,-10AY,D))),1,1))*100&lt;/Q&gt;&lt;R&gt;1&lt;/R&gt;&lt;C&gt;1&lt;/C&gt;&lt;D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xsi:type="xsd:double"&gt;25&lt;/D&gt;&lt;/FQL&gt;&lt;FQL&gt;&lt;Q&gt;TRYGB10Y-FDS^PCTCHG(FG_YIELD(0,,,,"YTM"),FG_YIELD(-1AM,,,,"YTM"))&lt;/Q&gt;&lt;R&gt;1&lt;/R&gt;&lt;C&gt;1&lt;/C&gt;&lt;D xsi:type="xsd:double"&gt;2.6574755&lt;/D&gt;&lt;/FQL&gt;&lt;FQL&gt;&lt;Q&gt;CC_CH^IMF_IFS_RCPI_Q(0)&lt;/Q&gt;&lt;R&gt;1&lt;/R&gt;&lt;C&gt;1&lt;/C&gt;&lt;D xsi:type="xsd:double"&gt;1.6172575&lt;/D&gt;&lt;/FQL&gt;&lt;FQL&gt;&lt;Q&gt;EWN^FMA_ROE(NTMA,-20AY,NOW,FY,"PORTAGG","MEANR")&lt;/Q&gt;&lt;R&gt;20&lt;/R&gt;&lt;C&gt;1&lt;/C&gt;&lt;D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xsi:type="xsd:double"&gt;12.7459860312169&lt;/D&gt;&lt;/FQL&gt;&lt;FQL&gt;&lt;Q&gt;TRYSA10Y-FDS^FG_YIELD(-10AY,0,Y,,"YTM")&lt;/Q&gt;&lt;R&gt;10&lt;/R&gt;&lt;C&gt;1&lt;/C&gt;&lt;D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xsi:type="xsd:double"&gt;3.1928&lt;/D&gt;&lt;/FQL&gt;&lt;FQL&gt;&lt;Q&gt;EWQ^FMA_DIV_YLD(NTMA,-10AY,0,AM,"PORTAGG","MEANR")&lt;/Q&gt;&lt;R&gt;121&lt;/R&gt;&lt;C&gt;1&lt;/C&gt;&lt;D xsi:type="xsd:double"&gt;3.62654284837564&lt;/D&gt;&lt;D xsi:type="xsd:double"&gt;3.53130933029843&lt;/D&gt;&lt;D xsi:type="xsd:double"&gt;3.43866541472323&lt;/D&gt;&lt;D xsi:type="xsd:double"&gt;3.38170060164439&lt;/D&gt;&lt;D xsi:type="xsd:double"&gt;3.50159846151318&lt;/D&gt;&lt;D xsi:type="xsd:double"&gt;3.65513773625996&lt;/D&gt;&lt;D xsi:type="xsd:double"&gt;3.50817932606881&lt;/D&gt;&lt;D xsi:type="xsd:double"&gt;3.83628889219416&lt;/D&gt;&lt;D xsi:type="xsd:double"&gt;3.71816952999506&lt;/D&gt;&lt;D xsi:type="xsd:double"&gt;3.77124410594999&lt;/D&gt;&lt;D xsi:type="xsd:double"&gt;3.6774161951545&lt;/D&gt;&lt;D xsi:type="xsd:double"&gt;3.23508532695014&lt;/D&gt;&lt;D xsi:type="xsd:double"&gt;3.20569973465628&lt;/D&gt;&lt;D xsi:type="xsd:double"&gt;3.09743636758259&lt;/D&gt;&lt;D xsi:type="xsd:double"&gt;3.25800078890226&lt;/D&gt;&lt;D xsi:type="xsd:double"&gt;3.36378958681836&lt;/D&gt;&lt;D xsi:type="xsd:double"&gt;3.30593293289473&lt;/D&gt;&lt;D xsi:type="xsd:double"&gt;3.38424968896145&lt;/D&gt;&lt;D xsi:type="xsd:double"&gt;3.72315413261865&lt;/D&gt;&lt;D xsi:type="xsd:double"&gt;3.61876701705788&lt;/D&gt;&lt;D xsi:type="xsd:double"&gt;3.50314760571842&lt;/D&gt;&lt;D xsi:type="xsd:double"&gt;3.73153440721664&lt;/D&gt;&lt;D xsi:type="xsd:double"&gt;3.8885715358962&lt;/D&gt;&lt;D xsi:type="xsd:double"&gt;4.12483905729615&lt;/D&gt;&lt;D xsi:type="xsd:double"&gt;3.68110016650792&lt;/D&gt;&lt;D xsi:type="xsd:double"&gt;3.67732309270477&lt;/D&gt;&lt;D xsi:type="xsd:double"&gt;3.81422781927042&lt;/D&gt;&lt;D xsi:type="xsd:double"&gt;4.02017146809675&lt;/D&gt;&lt;D xsi:type="xsd:double"&gt;3.77938790309308&lt;/D&gt;&lt;D xsi:type</t>
        </r>
      </text>
    </comment>
    <comment ref="A3" authorId="0" shapeId="0" xr:uid="{178139B0-0826-4B2E-899C-44FF4AB0D88C}">
      <text>
        <r>
          <rPr>
            <b/>
            <sz val="9"/>
            <color indexed="81"/>
            <rFont val="Tahoma"/>
            <charset val="1"/>
          </rPr>
          <t>="xsd:double"&gt;3.68360356948952&lt;/D&gt;&lt;D xsi:type="xsd:double"&gt;3.78502640041712&lt;/D&gt;&lt;D xsi:type="xsd:double"&gt;3.73570870454285&lt;/D&gt;&lt;D xsi:type="xsd:double"&gt;3.73284304098172&lt;/D&gt;&lt;D xsi:type="xsd:double"&gt;3.52770061593412&lt;/D&gt;&lt;D xsi:type="xsd:double"&gt;3.42321925511695&lt;/D&gt;&lt;D xsi:type="xsd:double"&gt;3.46552383010616&lt;/D&gt;&lt;D xsi:type="xsd:double"&gt;3.44031908270661&lt;/D&gt;&lt;D xsi:type="xsd:double"&gt;3.39030113551082&lt;/D&gt;&lt;D xsi:type="xsd:double"&gt;3.19646113125766&lt;/D&gt;&lt;D xsi:type="xsd:double"&gt;3.29510394066475&lt;/D&gt;&lt;D xsi:type="xsd:double"&gt;3.32210990274986&lt;/D&gt;&lt;D xsi:type="xsd:double"&gt;3.40525449071536&lt;/D&gt;&lt;D xsi:type="xsd:double"&gt;3.34470486591859&lt;/D&gt;&lt;D xsi:type="xsd:double"&gt;3.29175786120145&lt;/D&gt;&lt;D xsi:type="xsd:double"&gt;3.3418528698821&lt;/D&gt;&lt;D xsi:type="xsd:double"&gt;3.29125556139667&lt;/D&gt;&lt;D xsi:type="xsd:double"&gt;3.21265992845555&lt;/D&gt;&lt;D xsi:type="xsd:double"&gt;3.44142269186923&lt;/D&gt;&lt;D xsi:type="xsd:double"&gt;3.40946466253575&lt;/D&gt;&lt;D xsi:type="xsd:double"&gt;3.38687472864202&lt;/D&gt;&lt;D xsi:type="xsd:double"&gt;3.28356815730387&lt;/D&gt;&lt;D xsi:type="xsd:double"&gt;3.33341533593434&lt;/D&gt;&lt;D xsi:type="xsd:double"&gt;3.394472954806&lt;/D&gt;&lt;D xsi:type="xsd:double"&gt;3.45739705409967&lt;/D&gt;&lt;D xsi:type="xsd:double"&gt;3.49324813213937&lt;/D&gt;&lt;D xsi:type="xsd:double"&gt;3.70639423314567&lt;/D&gt;&lt;D xsi:type="xsd:double"&gt;3.73423327116963&lt;/D&gt;&lt;D xsi:type="xsd:double"&gt;3.90365942878534&lt;/D&gt;&lt;D xsi:type="xsd:double"&gt;3.97255679320837&lt;/D&gt;&lt;D xsi:type="xsd:double"&gt;3.76979157594912&lt;/D&gt;&lt;D xsi:type="xsd:double"&gt;3.58455687293215&lt;/D&gt;&lt;D xsi:type="xsd:double"&gt;3.50679918678585&lt;/D&gt;&lt;D xsi:type="xsd:double"&gt;3.62814309082374&lt;/D&gt;&lt;D xsi:type="xsd:double"&gt;3.62873377142535&lt;/D&gt;&lt;D xsi:type="xsd:double"&gt;3.51843577443813&lt;/D&gt;&lt;D xsi:type="xsd:double"&gt;3.74660241731353&lt;/D&gt;&lt;D xsi:type="xsd:double"&gt;3.48883304161738&lt;/D&gt;&lt;D xsi:type="xsd:double"&gt;3.51681821097565&lt;/D&gt;&lt;D xsi:type="xsd:double"&gt;3.38105398907472&lt;/D&gt;&lt;D xsi:type="xsd:double"&gt;3.3788319663069&lt;/D&gt;&lt;D xsi:type="xsd:double"&gt;3.32419657196051&lt;/D&gt;&lt;D xsi:type="xsd:double"&gt;3.28173165019035&lt;/D&gt;&lt;D xsi:type="xsd:double"&gt;4.76490030940509&lt;/D&gt;&lt;D xsi:type="xsd:double"&gt;3.90753789188372&lt;/D&gt;&lt;D xsi:type="xsd:double"&gt;3.70520797569216&lt;/D&gt;&lt;D xsi:type="xsd:double"&gt;3.22340179392994&lt;/D&gt;&lt;D xsi:type="xsd:double"&gt;3.09846292155732&lt;/D&gt;&lt;D xsi:type="xsd:double"&gt;3.1258146845772&lt;/D&gt;&lt;D xsi:type="xsd:double"&gt;3.10629455452278&lt;/D&gt;&lt;D xsi:type="xsd:double"&gt;3.19703258738316&lt;/D&gt;&lt;D xsi:type="xsd:double"&gt;2.96640418289389&lt;/D&gt;&lt;D xsi:type="xsd:double"&gt;2.93237024479246&lt;/D&gt;&lt;D xsi:type="xsd:double"&gt;2.89631559445934&lt;/D&gt;&lt;D xsi:type="xsd:double"&gt;2.88448622323021&lt;/D&gt;&lt;D xsi:type="xsd:double"&gt;2.73772240817695&lt;/D&gt;&lt;D xsi:type="xsd:double"&gt;2.7073166599209&lt;/D&gt;&lt;D xsi:type="xsd:double"&gt;2.69740797944061&lt;/D&gt;&lt;D xsi:type="xsd:double"&gt;2.63562323688029&lt;/D&gt;&lt;D xsi:type="xsd:double"&gt;2.69674731222198&lt;/D&gt;&lt;D xsi:type="xsd:double"&gt;2.66955522472936&lt;/D&gt;&lt;D xsi:type="xsd:double"&gt;2.78325582731&lt;/D&gt;&lt;D xsi:type="xsd:double"&gt;2.83404967328497&lt;/D&gt;&lt;D xsi:type="xsd:double"&gt;2.72802900403404&lt;/D&gt;&lt;D xsi:type="xsd:double"&gt;2.83172701370117&lt;/D&gt;&lt;D xsi:type="xsd:double"&gt;2.76815185439589&lt;/D&gt;&lt;D xsi:type="xsd:double"&gt;2.96159921949124&lt;/D&gt;&lt;D xsi:type="xsd:double"&gt;3.23739361031659&lt;/D&gt;&lt;D xsi:type="xsd:double"&gt;3.12950561359218&lt;/D&gt;&lt;D xsi:type="xsd:double"&gt;3.26895261675648&lt;/D&gt;&lt;D xsi:type="xsd:double"&gt;3.51771941659738&lt;/D&gt;&lt;D xsi:type="xsd:double"&gt;3.55547303107533&lt;/D&gt;&lt;D xsi:type="xsd:double"&gt;3.25202154555738&lt;/D&gt;&lt;D xsi:type="xsd:double"&gt;3.4726154480645&lt;/D&gt;&lt;D xsi:type="xsd:double"&gt;3.68345478440867&lt;/D&gt;&lt;D xsi:type="xsd:double"&gt;3.31434997171001&lt;/D&gt;&lt;D xsi:type="xsd:double"&gt;3.25182517385678&lt;/D&gt;&lt;D xsi:type="xsd:double"&gt;3.11803476220091&lt;/D&gt;&lt;D xsi:type="xsd:double"&gt;3.12978143362978&lt;/D&gt;&lt;D xsi:type="xsd:double"&gt;3.23559968806883&lt;/D&gt;&lt;D xsi:type="xsd:double"&gt;3.09874112898923&lt;/D&gt;&lt;D xsi:type="xsd:double"&gt;3.18817141907244&lt;/D&gt;&lt;D xsi:type="xsd:double"&gt;3.23676310197718&lt;/D&gt;&lt;D xsi:type="xsd:double"&gt;3.24486582952405&lt;/D&gt;&lt;D xsi:type="xsd:double"&gt;3.30172840476849&lt;/D&gt;&lt;D xsi:type="xsd:double"&gt;3.33695079422454&lt;/D&gt;&lt;D xsi:type="xsd:double"&gt;3.49328278800912&lt;/D&gt;&lt;D xsi:type="xsd:double"&gt;3.38854069540763&lt;/D&gt;&lt;D xsi:type="xsd:double"&gt;3.21788951921168&lt;/D&gt;&lt;D xsi:type="xsd:double"&gt;3.26325067739479&lt;/D&gt;&lt;D xsi:type="xsd:double"&gt;3.19511867719556&lt;/D&gt;&lt;D xsi:type="xsd:double"&gt;3.06125950437077&lt;/D&gt;&lt;/FQL&gt;&lt;FQL&gt;&lt;Q&gt;QQQ^FMA_PE(NTMA,-10AY,0,AM,"PORTAGG","MEANR")&lt;/Q&gt;&lt;R&gt;121&lt;/R&gt;&lt;C&gt;1&lt;/C&gt;&lt;D xsi:type="xsd:double"&gt;17.3608310509696&lt;/D&gt;&lt;D xsi:type="xsd:double"&gt;16.5107696714535&lt;/D&gt;&lt;D xsi:type="xsd:double"&gt;16.6425953924764&lt;/D&gt;&lt;D xsi:type="xsd:double"&gt;17.2196500379218&lt;/D&gt;&lt;D xsi:type="xsd:double"&gt;17.692572716007&lt;/D&gt;&lt;D xsi:type="xsd:double"&gt;17.4775717874564&lt;/D&gt;&lt;D xsi:type="xsd:double"&gt;17.6767686852003&lt;/D&gt;&lt;D xsi:type="xsd:double"&gt;16.319755112307&lt;/D&gt;&lt;D xsi:type="xsd:double"&gt;17.9690043435943&lt;/D&gt;&lt;D xsi:type="xsd:double"&gt;17.5899395414054&lt;/D&gt;&lt;D xsi:type="xsd:double"&gt;16.9838108058426&lt;/D&gt;&lt;D xsi:type="xsd:double"&gt;17.9161326809444&lt;/D&gt;&lt;D xsi:type="xsd:double"&gt;17.5774806600673&lt;/D&gt;&lt;D xsi:type="xsd:double"&gt;17.8610866757605&lt;/D&gt;&lt;D xsi:type="xsd:double"&gt;18.0430655886704&lt;/D&gt;&lt;D xsi:type="xsd:double"&gt;17.7599237226918&lt;/D&gt;&lt;D xsi:type="xsd:double"&gt;17.904072650948&lt;/D&gt;&lt;D xsi:type="xsd:double"&gt;18.3615253723083&lt;/D&gt;&lt;D xsi:type="xsd:double"&gt;17.3473226844686&lt;/D&gt;&lt;D xsi:type="xsd:double"&gt;17.4542498107447&lt;/D&gt;&lt;D xsi:type="xsd:double"&gt;18.0491442946264&lt;/D&gt;&lt;D xsi:type="xsd:double"&gt;18.2478810967474&lt;/D&gt;&lt;D xsi:type="xsd:double"&gt;17.1581107216542&lt;/D&gt;&lt;D xsi:type="xsd:double"&gt;16.2335874734538&lt;/D&gt;&lt;D xsi:type="xsd:double"&gt;17.4391184895745&lt;/D&gt;&lt;D xsi:type="xsd:double"&gt;18.1070606124144&lt;/D&gt;&lt;D xsi:type="xsd:double"&gt;17.3670650173386&lt;/D&gt;&lt;D xsi:type="xsd:double"&gt;17.5619653881531&lt;/D&gt;&lt;D xsi:type="xsd:double"&gt;18.293072189468&lt;/D&gt;&lt;D xsi:type="xsd:double"&gt;18.8250707244361&lt;/D&gt;&lt;D xsi:type="xsd:double"&gt;18.3040637907012&lt;/D&gt;&lt;D xsi:type="xsd:double"&gt;18.3218733537774&lt;/D&gt;&lt;D xsi:type="xsd:double"&gt;17.7351023421516&lt;/D&gt;&lt;D xsi:type="xsd:double"&gt;18.3579162285603&lt;/D&gt;&lt;D xsi:type="xsd:double"&gt;18.7052007770418&lt;/D&gt;&lt;D xsi:type="xsd:double"&gt;19.9018241216386&lt;/D&gt;&lt;D xsi:type="xsd:double"&gt;20.0878719540206&lt;/D&gt;&lt;D xsi:type="xsd:double"&gt;19.7520475929053&lt;/D&gt;&lt;D xsi:type="xsd:double"&gt;20.7111332124772&lt;/D&gt;&lt;D xsi:type="xsd:double"&gt;20.5521490934518&lt;/D&gt;&lt;D xsi:type="xsd:double"&gt;20.6994070110152&lt;/D&gt;&lt;D xsi:type="xsd:double"&gt;20.5928579917023&lt;/D&gt;&lt;D xsi:type="xsd:double"&gt;20.5179861964778&lt;/D&gt;&lt;D xsi:type="xsd:double"&gt;20.6459027679879&lt;/D&gt;&lt;D xsi:type="xsd:double"&gt;20.7952223402608&lt;/D&gt;&lt;D xsi:type="xsd:double"&gt;20.8323268675273&lt;/D&gt;&lt;D xsi:type="xsd:double"&gt;21.7719607257055&lt;/D&gt;&lt;D xsi:type="xsd:double"&gt;20.4198753185398&lt;/D&gt;&lt;D xsi:type="xsd:double"&gt;21.2565573527226&lt;/D&gt;&lt;D xsi:type="xsd:double"&gt;19.832218086232&lt;/D&gt;&lt;D xsi:type="xsd:double"&gt;20.2013498441054&lt;/D&gt;&lt;D xsi:type="xsd:double"&gt;20.8480677370632&lt;/D&gt;&lt;D xsi:type="xsd:double"&gt;20.9741453050148&lt;/D&gt;&lt;D xsi:type="xsd:double"&gt;20.6681851132351&lt;/D&gt;&lt;D xsi:type="xsd:double"&gt;20.7113743374634&lt;/D&gt;&lt;D xsi:type="xsd:double"&gt;19.5348109136791&lt;/D&gt;&lt;D xsi:type="xsd:double"&gt;18.3124164336133&lt;/D&gt;&lt;D xsi:type="xsd:double"&gt;17.8324881299539&lt;/D&gt;&lt;D xsi:type="xsd:double"&gt;17.9500064151949&lt;/D&gt;&lt;D xsi:type="xsd:double"&gt;19.396677355026&lt;/D&gt;&lt;D xsi:type="xsd:double"&gt;20.0063786868694&lt;/D&gt;&lt;D xsi:type="xsd:double"&gt;20.9504580309277&lt;/D&gt;&lt;D xsi:type="xsd:double"&gt;20.1870701980602&lt;/D&gt;&lt;D xsi:type="xsd:double"&gt;20.2867765968932&lt;/D&gt;&lt;D xsi:type="xsd:double"&gt;21.4580699956696&lt;/D&gt;&lt;D xsi:type="xsd:double"&gt;20.0217188784386&lt;/D&gt;&lt;D xsi:type="xsd:double"&gt;20.8971302320021&lt;/D&gt;&lt;D xsi:type="xsd:double"&gt;20.5837408199687&lt;/D&gt;&lt;D xsi:type="xsd:double"&gt;21.5256691877039&lt;/D&gt;&lt;D xsi:type="xsd:double"&gt;22.1199045288424&lt;/D&gt;&lt;D xsi:type="xsd:double"&gt;23.3936987044622&lt;/D&gt;&lt;D xsi:type="xsd:double"&gt;24.352441860662&lt;/D&gt;&lt;D xsi:type="xsd:double"&gt;20.3392333778782&lt;/D&gt;&lt;D xsi:type="xsd:double"&gt;23.5991274621326&lt;/D&gt;&lt;D xsi:type="xsd:double"&gt;26.0417052042912&lt;/D&gt;&lt;D xsi:type="xsd:double"&gt;27.4277932948509&lt;/D&gt;&lt;D xsi:type="xsd:double"&gt;29.5705971970123&lt;/D&gt;&lt;D xsi:type="xsd:double"&gt;29.2731358448595&lt;/D&gt;&lt;D xsi:type="xsd:double"&gt;29.0895534880965&lt;/D&gt;&lt;D xsi:type="xsd:double"&gt;30.3996739270794&lt;/D&gt;&lt;D xsi:type="xsd:double"&gt;29.1890780655368&lt;/D&gt;&lt;D xsi:type="xsd:double"&gt;29.754523088202&lt;/D&gt;&lt;D xsi:type="xsd:double"&gt;29.8472749346416&lt;/D&gt;&lt;D xsi:type="xsd:double"&gt;30.3313841706796&lt;/D&gt;&lt;D xsi:type="xsd:double"&gt;27.7459490459471&lt;/D&gt;&lt;D xsi:type="xsd:double"&gt;29.2727469492813&lt;/D&gt;&lt;D xsi:type="xsd:double"&gt;26.6188914118138&lt;/D&gt;&lt;D xsi:type="xsd:double"&gt;27.6311396584399&lt;/D&gt;&lt;D xsi:type="xsd:double"&gt;28.8261274831772&lt;/D&gt;&lt;D xsi:type="xsd:double"&gt;28.0002626448063&lt;/D&gt;&lt;D xsi:type="xsd:double"&gt;28.108160756188&lt;/D&gt;&lt;D xsi:type="xsd:double"&gt;27.4303015591504&lt;/D&gt;&lt;D xsi:type="xsd:double"&gt;29.3974665714559&lt;/D&gt;&lt;D xsi:type="xsd:double"&gt;28.4229737678723&lt;/D&gt;&lt;D xsi:type="xsd:double"&gt;27.7465202880656&lt;/D&gt;&lt;D xsi:type="xsd:double"&gt;25.039689227813&lt;/D&gt;&lt;D xsi:type="xsd:double"&gt;22.5837706910826&lt;/D&gt;&lt;D xsi:type="xsd:double"&gt;23.8929411883424&lt;/D&gt;&lt;D xsi:type="xsd:double"&gt;21.4935467705821&lt;/D&gt;&lt;D xsi:type="xsd:double"&gt;19.4541204991285&lt;/D&gt;&lt;D xsi:type="xsd:double"&gt;20.427687738716&lt;/D&gt;&lt;D xsi:type="xsd:double"&gt;24.1950769118847&lt;/D&gt;&lt;D xsi:type="xsd:double"&gt;21.4792122455148&lt;/D&gt;&lt;D xsi:type="xsd:double"&gt;19.1199622567763&lt;/D&gt;&lt;D xsi:type="xsd:double"&gt;21.7844483402537&lt;/D&gt;&lt;D xsi:type="xsd:double"&gt;21.7995815634052&lt;/D&gt;&lt;D xsi:type="xsd:double"&gt;22.046034715593&lt;/D&gt;&lt;D xsi:type="xsd:double"&gt;24.3268680771665&lt;/D&gt;&lt;D xsi:type="xsd:double"&gt;23.2663364754659&lt;/D&gt;&lt;D xsi:type="xsd:double"&gt;24.765238308669&lt;/D&gt;&lt;D xsi:type="xsd:double"&gt;24.5969142791046&lt;/D&gt;&lt;D xsi:type="xsd:double"&gt;26.874090784658&lt;/D&gt;&lt;D xsi:type="xsd:double"&gt;27.2149031909694&lt;/D&gt;&lt;D xsi:type="xsd:double"&gt;24.7012877454245&lt;/D&gt;&lt;D xsi:type="xsd:double"&gt;24.4728087097473&lt;/D&gt;&lt;D xsi:type="xsd:double"&gt;23.5008199918911&lt;/D&gt;&lt;D xsi:type="xsd:double"&gt;24.3680486521329&lt;/D&gt;&lt;D xsi:type="xsd:double"&gt;24.834055920064&lt;/D&gt;&lt;D xsi:type="xsd:double"&gt;24.9788577238995&lt;/D&gt;&lt;D xsi:type="xsd:double"&gt;26.106485566992&lt;/D&gt;&lt;D xsi:type="xsd:double"&gt;25.9922661972384&lt;/D&gt;&lt;/FQL&gt;&lt;FQL&gt;&lt;Q&gt;WL-FDS^FG_PRICE(0)/MAX(FG_PRICE(0,-1AY))&lt;/Q&gt;&lt;R&gt;1&lt;/R&gt;&lt;C&gt;1&lt;/C&gt;&lt;D xsi:type="xsd:double"&gt;0.805344511396385&lt;/D&gt;&lt;/FQL&gt;&lt;FQL&gt;&lt;Q&gt;NI-FDS^FG_PRICE(0)/MAX(FG_PRICE(0,-1AY))&lt;/Q&gt;&lt;R&gt;1&lt;/R&gt;&lt;C&gt;1&lt;/C&gt;&lt;D xsi:type="xsd:double"&gt;0.695184025058731&lt;/D&gt;&lt;/FQL&gt;&lt;FQL&gt;&lt;Q&gt;CPALM-FDS^FG_PRICE(0)/MAX(FG_PRICE(0,-1AY))&lt;/Q&gt;&lt;R&gt;1&lt;/R&gt;&lt;C&gt;1&lt;/C&gt;&lt;D xsi:type="xsd:double"&gt;1&lt;/D&gt;&lt;/FQL&gt;&lt;FQL&gt;&lt;Q&gt;BRENT-FDS^FG_PRICE(0)/MAX(FG_PRICE(0,-1AY))&lt;/Q&gt;&lt;R&gt;1&lt;/R&gt;&lt;C&gt;1&lt;/C&gt;&lt;D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xsi:type="xsd:double"&gt;0.769561598224195&lt;/D&gt;&lt;/FQL&gt;&lt;FQL&gt;&lt;Q&gt;EWD^FG_PRICE_MAVG(0,,,,60)&lt;/Q&gt;&lt;R&gt;1&lt;/R&gt;&lt;C&gt;1&lt;/C&gt;&lt;D xsi:type="xsd:double"&gt;38.488834&lt;/D&gt;&lt;/FQL&gt;&lt;FQL&gt;&lt;Q&gt;EWG^FG_PRICE_MAVG(0,,,,60)&lt;/Q&gt;&lt;R&gt;1&lt;/R&gt;&lt;C&gt;1&lt;/C&gt;&lt;D xsi:type="xsd:double"&gt;29.669&lt;/D&gt;&lt;/FQL&gt;&lt;FQL&gt;&lt;Q&gt;EWN^FG_TOTAL_RETURNC(0,-3AM)&lt;/Q&gt;&lt;R&gt;1&lt;/R&gt;&lt;C&gt;1&lt;/C&gt;&lt;D xsi:type="xsd:double"&gt;8.649742&lt;/D&gt;&lt;/FQL&gt;&lt;FQL&gt;&lt;Q&gt;EWU^FG_TOTAL_RETURNC(0,-3AM)&lt;/Q&gt;&lt;R&gt;1&lt;/R&gt;&lt;C&gt;1&lt;/C&gt;&lt;D xsi:type="xsd:double"&gt;2.2411227&lt;/D&gt;&lt;/FQL&gt;&lt;FQL&gt;&lt;Q&gt;EWD^FMA_PCT_ABOVE_MAVG(200,0,,,,"PORTAGG")&lt;/Q&gt;&lt;R&gt;1&lt;/R&gt;&lt;C&gt;1&lt;/C&gt;&lt;D xsi:type="xsd:double"&gt;83.7209302325581&lt;/D&gt;&lt;/FQL&gt;&lt;FQL&gt;&lt;Q&gt;ENZL^PERCENT_CHANGE(FMA_EPS(+1,0,,,,"PORTAGG","MEAN"),FMA_EPS(+1,-1AM,,,,"PORTAGG","MEAN"))&lt;/Q&gt;&lt;R&gt;1&lt;/R&gt;&lt;C&gt;1&lt;/C&gt;&lt;D xsi:type="xsd:double"&gt;-10.2152526644544&lt;/D&gt;&lt;/FQL&gt;&lt;FQL&gt;&lt;Q&gt;TRYJP10Y-FDS^FG_YIELD_NAME&lt;/Q&gt;&lt;R&gt;1&lt;/R&gt;&lt;C&gt;1&lt;/C&gt;&lt;D xsi:type="xsd:string"&gt;Japan Benchmark Bond - 10 Year&lt;/D&gt;&lt;/FQL&gt;&lt;FQL&gt;&lt;Q&gt;VGK^FMA_DIV_YLD(NTMA,NOW,NOW,M,"PORTAGG","MEANR")&lt;/Q&gt;&lt;R&gt;1&lt;/R&gt;&lt;C&gt;1&lt;/C&gt;&lt;D xsi:type="xsd:double"&gt;3.63222181867579&lt;/D&gt;&lt;/FQL&gt;&lt;FQL&gt;&lt;Q&gt;EWD^FMA_PE(LTM,0,,,"PORTAGG","MEANR")&lt;/Q&gt;&lt;R&gt;1&lt;/R&gt;&lt;C&gt;1&lt;/C&gt;&lt;D xsi:type="xsd:double"&gt;15.4364162150434&lt;/D&gt;&lt;/FQL&gt;&lt;FQL&gt;&lt;Q&gt;SPY^FMA_EVAL_EBIT(LTMA,NOW,NOW,M,"PORTAGG","MEANR")&lt;/Q&gt;&lt;R&gt;1&lt;/R&gt;&lt;C&gt;1&lt;/C&gt;&lt;D xsi:type="xsd:double"&gt;20.7856911044755&lt;/D&gt;&lt;/FQL&gt;&lt;FQL&gt;&lt;Q&gt;EWU^FG_FCF_YIELD_NTM(0)&lt;/Q&gt;&lt;R&gt;1&lt;/R&gt;&lt;C&gt;1&lt;/C&gt;&lt;D xsi:type="xsd:double"&gt;6.29394689232276&lt;/D&gt;&lt;/FQL&gt;&lt;FQL&gt;&lt;Q&gt;EWJ^FMA_PE(NTMA,0,,,"PORTAGG","MEANR")&lt;/Q&gt;&lt;R&gt;1&lt;/R&gt;&lt;C&gt;1&lt;/C&gt;&lt;D xsi:type="xsd:double"&gt;15.2504713833785&lt;/D&gt;&lt;/FQL&gt;&lt;FQL&gt;&lt;Q&gt;EWC^JULIAN(FMA_DIV_YLD(NTMA,NOW,NOW,M,"PORTAGG","MEANR").DATES)&lt;/Q&gt;&lt;R&gt;1&lt;/R&gt;&lt;C&gt;1&lt;/C&gt;&lt;D xsi:type="xsd:long"&gt;45351&lt;/D&gt;&lt;/FQL&gt;&lt;FQL&gt;&lt;Q&gt;CAGDPY@US^EE_ACTUAL_ANNUAL(MED,+1)&lt;/Q&gt;&lt;R&gt;1&lt;/R&gt;&lt;C&gt;1&lt;/C&gt;&lt;D xsi:type="xsd:double"&gt;-3.05&lt;/D&gt;&lt;/FQL&gt;&lt;FQL&gt;&lt;Q&gt;CAGDPY@NZ^EE_ACTUAL_ANNUAL(MED,+1)&lt;/Q&gt;&lt;R&gt;1&lt;/R&gt;&lt;C&gt;1&lt;/C&gt;&lt;D xsi:type="xsd:double"&gt;-6.1&lt;/D&gt;&lt;/FQL&gt;&lt;FQL&gt;&lt;Q&gt;USDITL^FG_PRICE_CHANGE(0,-1AY)&lt;/Q&gt;&lt;R&gt;1&lt;/R&gt;&lt;C&gt;1&lt;/C&gt;&lt;D xsi:type="xsd:double"&gt;-1.5108347&lt;/D&gt;&lt;/FQL&gt;&lt;FQL&gt;&lt;Q&gt;USDANG^FG_PRICE_CHANGE(0,-1AY)&lt;/Q&gt;&lt;R&gt;1&lt;/R&gt;&lt;C&gt;1&lt;/C&gt;&lt;D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xsi:type="xsd:double"&gt;-4.722124&lt;/D&gt;&lt;/FQL&gt;&lt;FQL&gt;&lt;Q&gt;USDJPY^FG_PRICE_CHANGE(0,-1AY)&lt;/Q&gt;&lt;R&gt;1&lt;/R&gt;&lt;C&gt;1&lt;/C&gt;&lt;D xsi:type="xsd:double"&gt;10.338413&lt;/D&gt;&lt;/FQL&gt;&lt;FQL&gt;&lt;Q&gt;USDCAD^FG_PRICE_CHANGE(0,-1AY)&lt;/Q&gt;&lt;R&gt;1&lt;/R&gt;&lt;C&gt;1&lt;/C&gt;&lt;D xsi:type="xsd:double"&gt;-1.1480391&lt;/D&gt;&lt;/FQL&gt;&lt;FQL&gt;&lt;Q&gt;USDNZD^FG_PRICE_CHANGE(0,-1AY)&lt;/Q&gt;&lt;R&gt;1&lt;/R&gt;&lt;C&gt;1&lt;/C&gt;&lt;D xsi:type="xsd:double"&gt;1.5004516&lt;/D&gt;&lt;/FQL&gt;&lt;FQL&gt;&lt;Q&gt;EWA^JULIAN(FMA_EPS(NTMA,-20AY,0,CY,,"PORTAGG","MEANR").DATES)&lt;/Q&gt;&lt;R&gt;20&lt;/R&gt;&lt;C&gt;1&lt;/C&gt;&lt;D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xsi:type="xsd:double"&gt;-0.47605038&lt;/D&gt;&lt;D xsi:type="xsd:double"&gt;1.2099028&lt;/D&gt;&lt;D xsi:type="xsd:double"&gt;2.835703&lt;/D&gt;&lt;D xsi:type="xsd:double"&gt;-0.45958757&lt;/D&gt;&lt;D xsi:type="xsd:double"&gt;-2.8358698&lt;/D&gt;&lt;D xsi:type="xsd:double"&gt;-2.4151802&lt;/D&gt;&lt;D xsi:type="xsd:double"&gt;-1.9446075&lt;/D&gt;&lt;D xsi:type="xsd:double"&gt;-8.112979&lt;/D&gt;&lt;D xsi:type="xsd:double"&gt;7.194245&lt;/D&gt;&lt;D xsi:type="xsd:double"&gt;-1.8608928&lt;/D&gt;&lt;D xsi:type="xsd:double"&gt;-4.9646616&lt;/D&gt;&lt;D xsi:type="xsd:double"&gt;10.444808&lt;/D&gt;&lt;D xsi:type="xsd:double"&gt;-1.8794775&lt;/D&gt;&lt;D xsi:type="xsd:double"&gt;2.949226&lt;/D&gt;&lt;D xsi:type="xsd:double"&gt;2.0377994&lt;/D&gt;&lt;D xsi:type="xsd:double"&gt;0.028944016&lt;/D&gt;&lt;D xsi:type="xsd:double"&gt;-2.3224533&lt;/D&gt;&lt;D xsi:type="xsd:double"&gt;-1.7786026&lt;/D&gt;&lt;D xsi:type="xsd:double"&gt;-4.8392115&lt;/D&gt;&lt;D xsi:type="xsd:double"&gt;0.1640439&lt;/D&gt;&lt;D xsi:type="xsd:double"&gt;-4.4546366&lt;/D&gt;&lt;D xsi:type="xsd:double"&gt;-2.5025725&lt;/D&gt;&lt;D xsi:type="xsd:double"&gt;-3.9232612&lt;/D&gt;&lt;D xsi:type="xsd:double"&gt;-3.18681&lt;/D&gt;&lt;D xsi:type="xsd:double"&gt;11.350739&lt;/D&gt;&lt;D xsi:type="xsd:double"&gt;2.8202534&lt;/D&gt;&lt;D xsi:type="xsd:double"&gt;-5.5849314&lt;/D&gt;&lt;D xsi:type="xsd:double"&gt;-2.6251316&lt;/D&gt;&lt;D xsi:type="xsd:double"&gt;3.8843274&lt;/D&gt;&lt;D xsi:type="xsd:double"&gt;3.8848877&lt;/D&gt;&lt;D xsi:type="xsd:double"&gt;-0.83102584&lt;/D&gt;&lt;D xsi:type="xsd:double"&gt;-1.5363097&lt;/D&gt;&lt;D xsi:type="xsd:double"&gt;-4.1489363&lt;/D&gt;&lt;D xsi:type="xsd:double"&gt;5.6973696&lt;/D&gt;&lt;D xsi:type="xsd:double"&gt;3.3427835&lt;/D&gt;&lt;D xsi:type="xsd:double"&gt;3.9634109&lt;/D&gt;&lt;D xsi:type="xsd:double"&gt;0.78201294&lt;/D&gt;&lt;D xsi:type="xsd:double"&gt;0.7436156&lt;/D&gt;&lt;D xsi:type="xsd:double"&gt;8.472395&lt;/D&gt;&lt;D xsi:type="xsd:double"&gt;1.4792919&lt;/D&gt;&lt;D xsi:type="xsd:double"&gt;5.2826643&lt;/D&gt;&lt;D xsi:type="xsd:double"&gt;-3.4834325&lt;/D&gt;&lt;D xsi:type="xsd:double"&gt;3.7265182&lt;/D&gt;&lt;D xsi:type="xsd:double"&gt;1.867044&lt;/D&gt;&lt;D xsi:type="xsd:double"&gt;-3.9711118&lt;/D&gt;&lt;D xsi:type="xsd:double"&gt;-2.0821333&lt;/D&gt;&lt;D xsi:type="xsd:double"&gt;7.1457386&lt;/D&gt;&lt;D xsi:type="xsd:double"&gt;-3.6191523&lt;/D&gt;&lt;D xsi:type="xsd:double"&gt;0.028896332&lt;/D&gt;&lt;D xsi:type="xsd:double"&gt;-4.937923&lt;/D&gt;&lt;D xsi:type="xsd:double"&gt;3.371811&lt;/D&gt;&lt;D xsi:type="xsd:double"&gt;-1.6162217&lt;/D&gt;&lt;D xsi:type="xsd:double"&gt;-3.7180543&lt;/D&gt;&lt;D xsi:type="xsd:double"&gt;0.48701763&lt;/D&gt;&lt;D xsi:type="xsd:double"&gt;2.487874&lt;/D&gt;&lt;D xsi:type="xsd:double"&gt;-4.4451475&lt;/D&gt;&lt;D xsi:type="xsd:double"&gt;-4.256016&lt;/D&gt;&lt;D xsi:type="xsd:double"&gt;-2.0330787&lt;/D&gt;&lt;D xsi:type="xsd:double"&gt;1.8194914&lt;/D&gt;&lt;D xsi:type="xsd:double"&gt;3.249228&lt;/D&gt;&lt;D xsi:type="xsd:double"&gt;1.5065193&lt;/D&gt;&lt;D xsi:type="xsd:double"&gt;6.464374&lt;/D&gt;&lt;D xsi:type="xsd:double"&gt;-6.1338305&lt;/D&gt;&lt;D xsi:type="xsd:double"&gt;1.2211204&lt;/D&gt;&lt;D xsi:type="xsd:double"&gt;3.773582&lt;/D&gt;&lt;D xsi:type="xsd:double"&gt;-11.381322&lt;/D&gt;&lt;D xsi:type="xsd:double"&gt;11.41603&lt;/D&gt;&lt;D xsi:type="xsd:double"&gt;-3.1855524&lt;/D&gt;&lt;D xsi:type="xsd:double"&gt;8.276796&lt;/D&gt;&lt;D xsi:type="xsd:double"&gt;4.07269&lt;/D&gt;&lt;D xsi:type="xsd:double"&gt;0.9182453&lt;/D&gt;&lt;D xsi:type="xsd:double"&gt;2.3557782&lt;/D&gt;&lt;D xsi:type="xsd:double"&gt;-23.517263&lt;/D&gt;&lt;D xsi:type="xsd:double"&gt;3.1635761&lt;/D&gt;&lt;D xsi:type="xsd:double"&gt;-1.7576635&lt;/D&gt;&lt;D xsi:type="xsd:double"&gt;15.036154&lt;/D&gt;&lt;D xsi:type="xsd:double"&gt;10.8703375&lt;/D&gt;&lt;D xsi:type="xsd:double"&gt;4.9401164&lt;/D&gt;&lt;D xsi:type="xsd:double"&gt;1.5691876&lt;/D&gt;&lt;D xsi:type="xsd:double"&gt;1.6573071&lt;/D&gt;&lt;D xsi:type="xsd:double"&gt;5.8303475&lt;/D&gt;&lt;D xsi:type="xsd:double"&gt;3.5630465&lt;/D&gt;&lt;D xsi:type="xsd:double"&gt;5.842006&lt;/D&gt;&lt;D xsi:type="xsd:double"&gt;2.831769&lt;/D&gt;&lt;D xsi:type="xsd:double"&gt;5.344224&lt;/D&gt;&lt;D xsi:type="xsd:double"&gt;3.85468&lt;/D&gt;&lt;D xsi:type="xsd:double"&gt;3.1569958&lt;/D&gt;&lt;D xsi:type="xsd:double"&gt;1.8631816&lt;/D&gt;&lt;D xsi:type="xsd:double"&gt;-0.8516848&lt;/D&gt;&lt;D xsi:type="xsd:double"&gt;2.597952&lt;/D&gt;&lt;D xsi:type="xsd:double"&gt;-2.4300635&lt;/D&gt;&lt;D xsi:type="xsd:double"&gt;-1.8627048&lt;/D&gt;&lt;D xsi:type="xsd:double"&gt;3.7961125&lt;/D&gt;&lt;D xsi:type="xsd:double"&gt;-7.264936&lt;/D&gt;&lt;D xsi:type="xsd:double"&gt;2.746141&lt;/D&gt;&lt;D xsi:type="xsd:double"&gt;-10.031134&lt;/D&gt;&lt;D xsi:type="xsd:double"&gt;-7.9604506&lt;/D&gt;&lt;D xsi:type="xsd:double"&gt;2.6322842&lt;/D&gt;&lt;D xsi:type="xsd:double"&gt;-9.343105&lt;/D&gt;&lt;D xsi:type="xsd:double"&gt;-5.719602&lt;/D&gt;&lt;D xsi:type="xsd:double"&gt;-5.229992&lt;/D&gt;&lt;D xsi:type="xsd:double"&gt;12.466764&lt;/D&gt;&lt;D xsi:type="xsd:double"&gt;-10.9665985&lt;/D&gt;&lt;D xsi:type="xsd:double"&gt;-9.661359&lt;/D&gt;&lt;D xsi:type="xsd:double"&gt;22.418236&lt;/D&gt;&lt;D xsi:type="xsd:double"&gt;4.6778917&lt;/D&gt;&lt;D xsi:type="xsd:double"&gt;2.0190358&lt;/D&gt;&lt;D xsi:type="xsd:double"&gt;1.328814&lt;/D&gt;&lt;D xsi:type="xsd:double"&gt;-3.4040213&lt;/D&gt;&lt;D xsi:type="xsd:double"&gt;5.5170417&lt;/D&gt;&lt;D xsi:type="xsd:double"&gt;-1.3687372&lt;/D&gt;&lt;D xsi:type="xsd:double"&gt;-0.9714067&lt;/D&gt;&lt;D xsi:type="xsd:double"&gt;1.6535878&lt;/D&gt;&lt;D xsi:type="xsd:double"&gt;-5.7347717&lt;/D&gt;&lt;D xsi:type="xsd:double"&gt;-3.8900197&lt;/D&gt;&lt;D xsi:type="xsd:double"&gt;1.3085842&lt;/D&gt;&lt;D xsi:type="xsd:double"&gt;4.1754246&lt;/D&gt;&lt;D xsi:type="xsd:double"&gt;13.119947&lt;/D&gt;&lt;D xsi:type="xsd:double"&gt;-1.3179958&lt;/D&gt;&lt;D xsi:type="xsd:double"&gt;-0.6617248&lt;/D&gt;&lt;D xsi:type="xsd:double"&gt;9.112716&lt;/D&gt;&lt;/FQL&gt;&lt;FQL&gt;&lt;Q&gt;EWL^FMA_PE(LTMA,-10AY,0,AM,"PORTAGG","MEANR")&lt;/Q&gt;&lt;R&gt;121&lt;/R&gt;&lt;C&gt;1&lt;/C&gt;&lt;D xsi:type="xsd:double"&gt;17.0132008588652&lt;/D&gt;&lt;D xsi:type="xsd:double"&gt;17.009413940424&lt;/D&gt;&lt;D xsi:type="xsd:double"&gt;17.1819401508354&lt;/D&gt;&lt;D xsi:type="xsd:double"&gt;17.185362217148&lt;/D&gt;&lt;D xsi:type="xsd:double"&gt;17.1600527773533&lt;/D&gt;&lt;D xsi:type="xsd:double"&gt;17.161818549871&lt;/D&gt;&lt;D xsi:type="xsd:double"&gt;17.3949110072358&lt;/D&gt;&lt;D xsi:type="xsd:double"&gt;16.5667209244549&lt;/D&gt;&lt;D xsi:type="xsd:double"&gt;17.4709973983293&lt;/D&gt;&lt;D xsi:type="xsd:double"&gt;17.1279019254896&lt;/D&gt;&lt;D xsi:type="xsd:double"&gt;17.3298708808378&lt;/D&gt;&lt;D xsi:type="xsd:double"&gt;17.3349180242138&lt;/D&gt;&lt;D xsi:type="xsd:double"&gt;17.9792582948901&lt;/D&gt;&lt;D xsi:type="xsd:double"&gt;18.1975549444859&lt;/D&gt;&lt;D xsi:type="xsd:double"&gt;18.0069697552719&lt;/D&gt;&lt;D xsi:type="xsd:double"&gt;17.9499873531111&lt;/D&gt;&lt;D xsi:type="xsd:double"&gt;18.1399466434176&lt;/D&gt;&lt;D xsi:type="xsd:double"&gt;17.9847158056531&lt;/D&gt;&lt;D xsi:type="xsd:double"&gt;17.204781128651&lt;/D&gt;&lt;D xsi:type="xsd:double"&gt;17.2796742885798&lt;/D&gt;&lt;D xsi:type="xsd:double"&gt;17.3100798028196&lt;/D&gt;&lt;D xsi:type="xsd:double"&gt;16.8016242043509&lt;/D&gt;&lt;D xsi:type="xsd:double"&gt;16.3987614750617&lt;/D&gt;&lt;D xsi:type="xsd:double"&gt;16.1151152552656&lt;/D&gt;&lt;D xsi:type="xsd:double"&gt;16.6757382942143&lt;/D&gt;&lt;D xsi:type="xsd:double"&gt;16.8052054667774&lt;/D&gt;&lt;D xsi:type="xsd:double"&gt;16.8396802499462&lt;/D&gt;&lt;D xsi:type="xsd:double"&gt;16.7036818359318&lt;/D&gt;&lt;D xsi:type="xsd:double"&gt;17.3582721258858&lt;/D&gt;&lt;D xsi:type="xsd:double"&gt;17.9483342957115&lt;/D&gt;&lt;D xsi:type="xsd:double"&gt;17.9239327081556&lt;/D&gt;&lt;D xsi:type="xsd:double"&gt;17.9042062599483&lt;/D&gt;&lt;D xsi:type="xsd:double"&gt;17.6017069737687&lt;/D&gt;&lt;D xsi:type="xsd:double"&gt;18.0083428215111&lt;/D&gt;&lt;D xsi:type="xsd:double"&gt;18.7173341123518&lt;/D&gt;&lt;D xsi:type="xsd:double"&gt;19.4067316225377&lt;/D&gt;&lt;D xsi:type="xsd:double"&gt;19.6199178529466&lt;/D&gt;&lt;D xsi:type="xsd:double"&gt;19.4216073651036&lt;/D&gt;&lt;D xsi:type="xsd:double"&gt;19.5670433299075&lt;/D&gt;&lt;D xsi:type="xsd:double"&gt;19.4396637184718&lt;/D&gt;&lt;D xsi:type="xsd:double"&gt;19.4379880252634&lt;/D&gt;&lt;D xsi:type="xsd:double"&gt;19.2552967644609&lt;/D&gt;&lt;D xsi:type="xsd:double"&gt;19.3053312825366&lt;/D&gt;&lt;D xsi:type="xsd:double"&gt;19.8352477782488&lt;/D&gt;&lt;D xsi:type="xsd:double"&gt;20.0702271057106&lt;/D&gt;&lt;D xsi:type="xsd:double"&gt;20.5832183947668&lt;/D&gt;&lt;D xsi:type="xsd:double"&gt;21.0736052692754&lt;/D&gt;&lt;D xsi:type="xsd:double"&gt;21.5737019067589&lt;/D&gt;&lt;D xsi:type="xsd:double"&gt;21.0001436119139&lt;/D&gt;&lt;D xsi:type="xsd:double"&gt;20.5095504297549&lt;/D&gt;&lt;D xsi:type="xsd:double"&gt;20.1900541805826&lt;/D&gt;&lt;D xsi:type="xsd:double"&gt;19.57496469343&lt;/D&gt;&lt;D xsi:type="xsd:double"&gt;19.3212938870117&lt;/D&gt;&lt;D xsi:type="xsd:double"&gt;18.9346817464268&lt;/D&gt;&lt;D xsi:type="xsd:double"&gt;18.6590302815512&lt;/D&gt;&lt;D xsi:type="xsd:double"&gt;17.6443748157601&lt;/D&gt;&lt;D xsi:type="xsd:double"&gt;17.6823498893344&lt;/D&gt;&lt;D xsi:type="xsd:double"&gt;16.9757461007628&lt;/D&gt;&lt;D xsi:type="xsd:double"&gt;16.8546707824806&lt;/D&gt;&lt;D xsi:type="xsd:double"&gt;17.7504509060992&lt;/D&gt;&lt;D xsi:type="xsd:double"&gt;18.3225475070803&lt;/D&gt;&lt;D xsi:type="xsd:double"&gt;18.2895294226761&lt;/D&gt;&lt;D xsi:type="xsd:double"&gt;18.0422350160657&lt;/D&gt;&lt;D xsi:type="xsd:double"&gt;18.2649458859688&lt;/D&gt;&lt;D xsi:type="xsd:double"&gt;18.2455741632582&lt;/D&gt;&lt;D xsi:type="xsd:double"&gt;18.0385727138847&lt;/D&gt;&lt;D xsi:type="xsd:double"&gt;18.46555732748&lt;/D&gt;&lt;D xsi:type="xsd:double"&gt;18.3395258129672&lt;/D&gt;&lt;D xsi:type="xsd:double"&gt;18.7752980220123&lt;/D&gt;&lt;D xsi:type="xsd:double"&gt;19.1787937502588&lt;/D&gt;&lt;D xsi:type="xsd:double"&gt;19.6981112702641&lt;/D&gt;&lt;D xsi:type="xsd:double"&gt;20.0796816455627&lt;/D&gt;&lt;D xsi:type="xsd:double"&gt;17.4283298288154&lt;/D&gt;&lt;D xsi:type="xsd:double"&gt;18.1644852954159&lt;/D&gt;&lt;D xsi:type="xsd:double"&gt;18.5910157834968&lt;/D&gt;&lt;D xsi:type="xsd:double"&gt;19.0399905210721&lt;/D&gt;&lt;D xsi:type="xsd:double"&gt;19.9287867320894&lt;/D&gt;&lt;D xsi:type="xsd:double"&gt;20.3263758076134&lt;/D&gt;&lt;D xsi:type="xsd:double"&gt;20.9259933563515&lt;/D&gt;&lt;D xsi:type="xsd:double"&gt;21.0543932689966&lt;/D&gt;&lt;D xsi:type="xsd:double"&gt;21.1884112952978&lt;/D&gt;&lt;D xsi:type="xsd:double"&gt;21.0927343903965&lt;/D&gt;&lt;D xsi:type="xsd:double"&gt;22.0063220277673&lt;/D&gt;&lt;D xsi:type="xsd:double"&gt;21.2469123004081&lt;/D&gt;&lt;D xsi:type="xsd:double"&gt;20.4640769373124&lt;/D&gt;&lt;D xsi:type="xsd:double"&gt;20.5822629290062&lt;/D&gt;&lt;D xsi:type="xsd:double"&gt;20.4377771559567&lt;/D&gt;&lt;D xsi:type="xsd:double"&gt;20.8782080264449&lt;/D&gt;&lt;D xsi:type="xsd:double"&gt;21.0149034360916&lt;/D&gt;&lt;D xsi:type="xsd:double"&gt;21.2130667008635&lt;/D&gt;&lt;D xsi:type="xsd:double"&gt;20.7982906206007&lt;/D&gt;&lt;D xsi:type="xsd:double"&gt;20.4324969511551&lt;/D&gt;&lt;D xsi:type="xsd:double"&gt;21.0671234391185&lt;/D&gt;&lt;D xsi:type="xsd:double"&gt;20.7865235665466&lt;/D&gt;&lt;D xsi:type="xsd:double"&gt;20.8293094697787&lt;/D&gt;&lt;D xsi:type="xsd:double"&gt;18.3614968977472&lt;/D&gt;&lt;D xsi:type="xsd:double"&gt;18.3873064361227&lt;/D&gt;&lt;D xsi:type="xsd:double"&gt;18.6824282673389&lt;/D&gt;&lt;D xsi:type="xsd:double"&gt;18.1588891094123&lt;/D&gt;&lt;D xsi:type="xsd:double"&gt;17.4306809314525&lt;/D&gt;&lt;D xsi:type="xsd:double"&gt;17.5584167907447&lt;/D&gt;&lt;D xsi:type="xsd:double"&gt;18.371616356872&lt;/D&gt;&lt;D xsi:type="xsd:double"&gt;17.7905764983148&lt;/D&gt;&lt;D xsi:type="xsd:double"&gt;17.0184135519917&lt;/D&gt;&lt;D xsi:type="xsd:double"&gt;19.5721423072622&lt;/D&gt;&lt;D xsi:type="xsd:double"&gt;20.6124057391573&lt;/D&gt;&lt;D xsi:type="xsd:double"&gt;21.384247861151&lt;/D&gt;&lt;D xsi:type="xsd:double"&gt;21.3909929672602&lt;/D&gt;&lt;D xsi:type="xsd:double"&gt;20.4806069265962&lt;/D&gt;&lt;D xsi:type="xsd:double"&gt;20.4094736216653&lt;/D&gt;&lt;D xsi:type="xsd:double"&gt;20.1955945993587&lt;/D&gt;&lt;D xsi:type="xsd:double"&gt;19.4724077310292&lt;/D&gt;&lt;D xsi:type="xsd:double"&gt;19.2356833443926&lt;/D&gt;&lt;D xsi:type="xsd:double"&gt;18.9244427374267&lt;/D&gt;&lt;D xsi:type="xsd:double"&gt;18.8033791924577&lt;/D&gt;&lt;D xsi:type="xsd:double"&gt;18.3420822320292&lt;/D&gt;&lt;D xsi:type="xsd:double"&gt;17.8553992988309&lt;/D&gt;&lt;D xsi:type="xsd:double"&gt;18.4700035598723&lt;/D&gt;&lt;D xsi:type="xsd:double"&gt;18.4583991509618&lt;/D&gt;&lt;D xsi:type="xsd:double"&gt;18.8292711125927&lt;/D&gt;&lt;D xsi:type="xsd:double"&gt;19.2352179019083&lt;/D&gt;&lt;/FQL&gt;&lt;FQL&gt;&lt;Q&gt;QQQ^FG_PRICE_MAVG(0,,,,60)&lt;/Q&gt;&lt;R&gt;1&lt;/R&gt;&lt;C&gt;1&lt;/C&gt;&lt;D xsi:type="xsd:double"&gt;423.49634&lt;/D&gt;&lt;/FQL&gt;&lt;FQL&gt;&lt;Q&gt;EWC^FG_TOTAL_RETURNC(0,-3AM)&lt;/Q&gt;&lt;R&gt;1&lt;/R&gt;&lt;C&gt;1&lt;/C&gt;&lt;D xsi:type="xsd:double"&gt;5.525434&lt;/D&gt;&lt;/FQL&gt;&lt;FQL&gt;&lt;Q&gt;EWQ^FMA_ROE(NTMA,-20AY,NOW,FY,"PORTAGG","MEANR")&lt;/Q&gt;&lt;R&gt;20&lt;/R&gt;&lt;C&gt;1&lt;/C&gt;&lt;D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xsi:type="xsd:double"&gt;8.94242101240323&lt;/D&gt;&lt;D xsi:type="xsd:double"&gt;12.2539581188642&lt;/D&gt;&lt;D xsi:type="xsd:double"&gt;13.1475852543623&lt;/D&gt;&lt;D xsi:type="xsd:double"&gt;13.2210595032912&lt;/D&gt;&lt;/FQL&gt;&lt;FQL&gt;&lt;Q&gt;TRYID10Y-FDS^FG_YIELD(-10AY,0,Y,,"YTM")&lt;/Q&gt;&lt;R&gt;10&lt;/R&gt;&lt;C&gt;1&lt;/C&gt;&lt;D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xsi:type="xsd:double"&gt;5.1912&lt;/D&gt;&lt;/FQL&gt;&lt;FQL&gt;&lt;Q&gt;CAGDPY@US^EE_ACTUAL_ANNUAL(MED,0)&lt;/Q&gt;&lt;R&gt;1&lt;/R&gt;&lt;C&gt;1&lt;/C&gt;&lt;D xsi:type="xsd:double"&gt;-3.1&lt;/D&gt;&lt;/FQL&gt;&lt;FQL&gt;&lt;Q&gt;CAGDPY@NZ^EE_ACTUAL_ANNUAL(MED,0)&lt;/Q&gt;&lt;R&gt;1&lt;/R&gt;&lt;C&gt;1&lt;/C&gt;&lt;D xsi:type="xsd:double"&gt;-7.6&lt;/D&gt;&lt;/FQL&gt;&lt;FQL&gt;&lt;Q&gt;USDITL^FG_PRICE(0)&lt;/Q&gt;&lt;R&gt;1&lt;/R&gt;&lt;C&gt;1&lt;/C&gt;&lt;D xsi:type="xsd:double"&gt;1778.3523&lt;/D&gt;&lt;/FQL&gt;&lt;FQL&gt;&lt;Q&gt;USDANG^FG_PRICE(0)&lt;/Q&gt;&lt;R&gt;1&lt;/R&gt;&lt;C&gt;1&lt;/C&gt;&lt;D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xsi:type="xsd:double"&gt;0.784406&lt;/D&gt;&lt;/FQL&gt;&lt;FQL&gt;&lt;Q&gt;USDJPY^FG_PRICE(0)&lt;/Q&gt;&lt;R&gt;1&lt;/R&gt;&lt;C&gt;1&lt;/C&gt;&lt;D xsi:type="xsd:double"&gt;148.19&lt;/D&gt;&lt;/FQL&gt;&lt;FQL&gt;&lt;Q&gt;USDCAD^FG_PRICE(0)&lt;/Q&gt;&lt;R&gt;1&lt;/R&gt;&lt;C&gt;1&lt;/C&gt;&lt;D xsi:type="xsd:double"&gt;1.35185&lt;/D&gt;&lt;/FQL&gt;&lt;FQL&gt;&lt;Q&gt;SPY^FMA_ROE(NTMA,-20AY,NOW,FY,"PORTAGG","MEANR")&lt;/Q&gt;&lt;R&gt;20&lt;/R&gt;&lt;C&gt;1&lt;/C&gt;&lt;D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xsi:type="xsd:double"&gt;18.2929292655872&lt;/D&gt;&lt;D xsi:type="xsd:double"&gt;17.2298191459873&lt;/D&gt;&lt;D xsi:type="xsd:double"&gt;20.6862902777727&lt;/D&gt;&lt;D xsi:type="xsd:double"&gt;20.5985725378041&lt;/D&gt;&lt;D xsi:type="xsd:double"&gt;20.3432606642695&lt;/D&gt;&lt;/FQL&gt;&lt;FQL&gt;&lt;Q&gt;TRYAE10Y-FDS^FG_YIELD(-10AY,0,Y,,"YTM")&lt;/Q&gt;&lt;R&gt;10&lt;/R&gt;&lt;C&gt;1&lt;/C&gt;&lt;D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xsi:type="xsd:double"&gt;11.683226&lt;/D&gt;&lt;D xsi:type="xsd:double"&gt;12.356007&lt;/D&gt;&lt;D xsi:type="xsd:double"&gt;16.047085&lt;/D&gt;&lt;D xsi:type="xsd:double"&gt;16.727638&lt;/D&gt;&lt;D xsi:type="xsd:double"&gt;13.454008&lt;/D&gt;&lt;D xsi:type="xsd:double"&gt;3.5678983&lt;/D&gt;&lt;D xsi:type="xsd:double"&gt;0.95881224&lt;/D&gt;&lt;D xsi:type="xsd:double"&gt;-6.9046316&lt;/D&gt;&lt;D xsi:type="xsd:double"&gt;1.2818813&lt;/D&gt;&lt;D xsi:type="xsd:double"&gt;1.7658949&lt;/D&gt;&lt;D xsi:type="xsd:double"&gt;-11.413407&lt;/D&gt;&lt;D xsi:type="xsd:double"&gt;-2.353245&lt;/D&gt;&lt;D xsi:type="xsd:double"&gt;-4.430312&lt;/D&gt;&lt;D xsi:type="xsd:double"&gt;-2.459687&lt;/D&gt;&lt;D xsi:type="xsd:double"&gt;-3.216505&lt;/D&gt;&lt;D xsi:type="xsd:double"&gt;-2.5297105&lt;/D&gt;&lt;D xsi:type="xsd:double"&gt;-2.2275627&lt;/D&gt;&lt;D xsi:type="xsd:double"&gt;-1.5897632&lt;/D&gt;&lt;D xsi:type="xsd:double"&gt;-4.494846&lt;/D&gt;&lt;D xsi:type="xsd:double"&gt;4.108107&lt;/D&gt;&lt;D xsi:type="xsd:double"&gt;-7.3185086&lt;/D&gt;&lt;D xsi:type="xsd:double"&gt;-7.8121424&lt;/D&gt;&lt;D xsi:type="xsd:double"&gt;-6.8019447&lt;/D&gt;&lt;D xsi:type="xsd:double"&gt;-17.59193&lt;/D&gt;&lt;D xsi:type="xsd:double"&gt;-7.2894096&lt;/D&gt;&lt;D xsi:type="xsd:double"&gt;-7.405567&lt;/D&gt;&lt;D xsi:type="xsd:double"&gt;-12.988061&lt;/D&gt;&lt;D xsi:type="xsd:double"&gt;-16.596115&lt;/D&gt;&lt;D xsi:type="xsd:double"&gt;-11.29632&lt;/D&gt;&lt;D xsi:type="xsd:double"&gt;-5.1750603&lt;/D&gt;&lt;D xsi:type="xsd:double"&gt;-2.2299826&lt;/D&gt;&lt;D xsi:type="xsd:double"&gt;-3.8896918&lt;/D&gt;&lt;D xsi:type="xsd:double"&gt;-3.5821855&lt;/D&gt;&lt;D xsi:type="xsd:double"&gt;4.526937&lt;/D&gt;&lt;D xsi:type="xsd:double"&gt;13.513124&lt;/D&gt;&lt;D xsi:type="xsd:double"&gt;20.735836&lt;/D&gt;&lt;D xsi:type="xsd:double"&gt;9.276331&lt;/D&gt;&lt;D xsi:type="xsd:double"&gt;6.8221807&lt;/D&gt;&lt;D xsi:type="xsd:double"&gt;21.64818&lt;/D&gt;&lt;D xsi:type="xsd:double"&gt;28.19569&lt;/D&gt;&lt;D xsi:type="xsd:double"&gt;29.921257&lt;/D&gt;&lt;D xsi:type="xsd:double"&gt;20.706236&lt;/D&gt;&lt;D xsi:type="xsd:double"&gt;26.253569&lt;/D&gt;&lt;D xsi:type="xsd:double"&gt;31.035662&lt;/D&gt;&lt;D xsi:type="xsd:double"&gt;30.859793&lt;/D&gt;&lt;D xsi:type="xsd:double"&gt;21.22829&lt;/D&gt;&lt;D xsi:type="xsd:double"&gt;27.023363&lt;/D&gt;&lt;D xsi:type="xsd:double"&gt;16.522276&lt;/D&gt;&lt;D xsi:type="xsd:double"&gt;15.651548&lt;/D&gt;&lt;D xsi:type="xsd:double"&gt;9.129262&lt;/D&gt;&lt;D xsi:type="xsd:double"&gt;3.997779&lt;/D&gt;&lt;D xsi:type="xsd:double"&gt;0.8254528&lt;/D&gt;&lt;D xsi:type="xsd:double"&gt;-6.9775343&lt;/D&gt;&lt;D xsi:type="xsd:double"&gt;-4.0010986&lt;/D&gt;&lt;D xsi:type="xsd:double"&gt;-5.147457&lt;/D&gt;&lt;D xsi:type="xsd:double"&gt;-11.000281&lt;/D&gt;&lt;D xsi:type="xsd:double"&gt;-11.288977&lt;/D&gt;&lt;D xsi:type="xsd:double"&gt;-11.244535&lt;/D&gt;&lt;D xsi:type="xsd:double"&gt;-15.656609&lt;/D&gt;&lt;D xsi:type="xsd:double"&gt;-9.646052&lt;/D&gt;&lt;D xsi:type="xsd:double"&gt;-8.311331&lt;/D&gt;&lt;D xsi:type="xsd:double"&gt;2.6551485&lt;/D&gt;&lt;D xsi:type="xsd:double"&gt;-6.75627&lt;/D&gt;&lt;D xsi:type="xsd:double"&gt;-4.0671644&lt;/D&gt;&lt;D xsi:type="xsd:double"&gt;3.4644961&lt;/D&gt;&lt;D xsi:type="xsd:double"&gt;-8.814758&lt;/D&gt;&lt;D xsi:type="xsd:double"&gt;-1.3996661&lt;/D&gt;&lt;D xsi:type="xsd:double"&gt;0.43547153&lt;/D&gt;&lt;D xsi:type="xsd:double"&gt;13.582409&lt;/D&gt;&lt;D xsi:type="xsd:double"&gt;19.401443&lt;/D&gt;&lt;D xsi:type="xsd:double"&gt;19.59337&lt;/D&gt;&lt;D xsi:type="xsd:double"&gt;18.558502&lt;/D&gt;&lt;D xsi:type="xsd:double"&gt;-9</t>
        </r>
      </text>
    </comment>
    <comment ref="A4" authorId="0" shapeId="0" xr:uid="{CCEF6C57-2B25-47E1-BA40-36F1C23D81A2}">
      <text>
        <r>
          <rPr>
            <b/>
            <sz val="9"/>
            <color indexed="81"/>
            <rFont val="Tahoma"/>
            <charset val="1"/>
          </rPr>
          <t>.926313&lt;/D&gt;&lt;D xsi:type="xsd:double"&gt;-13.438601&lt;/D&gt;&lt;D xsi:type="xsd:double"&gt;-9.402996&lt;/D&gt;&lt;D xsi:type="xsd:double"&gt;2.8613925&lt;/D&gt;&lt;D xsi:type="xsd:double"&gt;10.003269&lt;/D&gt;&lt;D xsi:type="xsd:double"&gt;30.263233&lt;/D&gt;&lt;D xsi:type="xsd:double"&gt;18.75069&lt;/D&gt;&lt;D xsi:type="xsd:double"&gt;24.690842&lt;/D&gt;&lt;D xsi:type="xsd:double"&gt;22.026455&lt;/D&gt;&lt;D xsi:type="xsd:double"&gt;21.276712&lt;/D&gt;&lt;D xsi:type="xsd:double"&gt;27.19376&lt;/D&gt;&lt;D xsi:type="xsd:double"&gt;26.515984&lt;/D&gt;&lt;D xsi:type="xsd:double"&gt;90.48357&lt;/D&gt;&lt;D xsi:type="xsd:double"&gt;77.18532&lt;/D&gt;&lt;D xsi:type="xsd:double"&gt;86.049164&lt;/D&gt;&lt;D xsi:type="xsd:double"&gt;64.74438&lt;/D&gt;&lt;D xsi:type="xsd:double"&gt;47.326397&lt;/D&gt;&lt;D xsi:type="xsd:double"&gt;41.020668&lt;/D&gt;&lt;D xsi:type="xsd:double"&gt;38.36677&lt;/D&gt;&lt;D xsi:type="xsd:double"&gt;33.575665&lt;/D&gt;&lt;D xsi:type="xsd:double"&gt;32.46068&lt;/D&gt;&lt;D xsi:type="xsd:double"&gt;17.31063&lt;/D&gt;&lt;D xsi:type="xsd:double"&gt;13.879311&lt;/D&gt;&lt;D xsi:type="xsd:double"&gt;-0.3655076&lt;/D&gt;&lt;D xsi:type="xsd:double"&gt;-12.949056&lt;/D&gt;&lt;D xsi:type="xsd:double"&gt;-13.973671&lt;/D&gt;&lt;D xsi:type="xsd:double"&gt;-22.57275&lt;/D&gt;&lt;D xsi:type="xsd:double"&gt;-30.02584&lt;/D&gt;&lt;D xsi:type="xsd:double"&gt;-33.115845&lt;/D&gt;&lt;D xsi:type="xsd:double"&gt;-26.184887&lt;/D&gt;&lt;D xsi:type="xsd:double"&gt;-33.09698&lt;/D&gt;&lt;D xsi:type="xsd:double"&gt;-38.413555&lt;/D&gt;&lt;D xsi:type="xsd:double"&gt;-27.36429&lt;/D&gt;&lt;D xsi:type="xsd:double"&gt;-18.009943&lt;/D&gt;&lt;D xsi:type="xsd:double"&gt;-20.239998&lt;/D&gt;&lt;D xsi:type="xsd:double"&gt;-8.310914&lt;/D&gt;&lt;D xsi:type="xsd:double"&gt;-3.7718356&lt;/D&gt;&lt;D xsi:type="xsd:double"&gt;-1.06709&lt;/D&gt;&lt;D xsi:type="xsd:double"&gt;11.43111&lt;/D&gt;&lt;D xsi:type="xsd:double"&gt;13.056028&lt;/D&gt;&lt;D xsi:type="xsd:double"&gt;21.267796&lt;/D&gt;&lt;D xsi:type="xsd:double"&gt;1.6419291&lt;/D&gt;&lt;D xsi:type="xsd:double"&gt;9.720659&lt;/D&gt;&lt;D xsi:type="xsd:double"&gt;21.1738&lt;/D&gt;&lt;D xsi:type="xsd:double"&gt;4.7080994&lt;/D&gt;&lt;D xsi:type="xsd:double"&gt;13.152588&lt;/D&gt;&lt;D xsi:type="xsd:double"&gt;9.420431&lt;/D&gt;&lt;D xsi:type="xsd:double"&gt;7.301271&lt;/D&gt;&lt;D xsi:type="xsd:double"&gt;21.205187&lt;/D&gt;&lt;/FQL&gt;&lt;FQL&gt;&lt;Q&gt;EWQ^FG_TOTAL_RETURNC(-10AY,0,AM)&lt;/Q&gt;&lt;R&gt;121&lt;/R&gt;&lt;C&gt;1&lt;/C&gt;&lt;D xsi:type="xsd:double"&gt;-1.1921465&lt;/D&gt;&lt;D xsi:type="xsd:double"&gt;3.4421563&lt;/D&gt;&lt;D xsi:type="xsd:double"&gt;2.8816462&lt;/D&gt;&lt;D xsi:type="xsd:double"&gt;0.3334403&lt;/D&gt;&lt;D xsi:type="xsd:double"&gt;-3.4709632&lt;/D&gt;&lt;D xsi:type="xsd:double"&gt;-5.061513&lt;/D&gt;&lt;D xsi:type="xsd:double"&gt;1.8511653&lt;/D&gt;&lt;D xsi:type="xsd:double"&gt;-10.287166&lt;/D&gt;&lt;D xsi:type="xsd:double"&gt;2.674234&lt;/D&gt;&lt;D xsi:type="xsd:double"&gt;-2.801901&lt;/D&gt;&lt;D xsi:type="xsd:double"&gt;-1.4055431&lt;/D&gt;&lt;D xsi:type="xsd:double"&gt;8.766103&lt;/D&gt;&lt;D xsi:type="xsd:double"&gt;-3.2085538&lt;/D&gt;&lt;D xsi:type="xsd:double"&gt;5.6827188&lt;/D&gt;&lt;D xsi:type="xsd:double"&gt;3.8461447&lt;/D&gt;&lt;D xsi:type="xsd:double"&gt;-3.0204952&lt;/D&gt;&lt;D xsi:type="xsd:double"&gt;0.22132397&lt;/D&gt;&lt;D xsi:type="xsd:double"&gt;0.1504898&lt;/D&gt;&lt;D xsi:type="xsd:double"&gt;-7.400453&lt;/D&gt;&lt;D xsi:type="xsd:double"&gt;3.6916852&lt;/D&gt;&lt;D xsi:type="xsd:double"&gt;-2.9733956&lt;/D&gt;&lt;D xsi:type="xsd:double"&gt;-2.822578&lt;/D&gt;&lt;D xsi:type="xsd:double"&gt;-4.9672546&lt;/D&gt;&lt;D xsi:type="xsd:double"&gt;-4.1191936&lt;/D&gt;&lt;D xsi:type="xsd:double"&gt;10.831809&lt;/D&gt;&lt;D xsi:type="xsd:double"&gt;1.1958838&lt;/D&gt;&lt;D xsi:type="xsd:double"&gt;-2.5264919&lt;/D&gt;&lt;D xsi:type="xsd:double"&gt;-3.80435&lt;/D&gt;&lt;D xsi:type="xsd:double"&gt;4.6289682&lt;/D&gt;&lt;D xsi:type="xsd:double"&gt;3.1529546&lt;/D&gt;&lt;D xsi:type="xsd:double"&gt;-2.0239532&lt;/D&gt;&lt;D xsi:type="xsd:double"&gt;0.042164326&lt;/D&gt;&lt;D xsi:type="xsd:double"&gt;-1.0956585&lt;/D&gt;&lt;D xsi:type="xsd:double"&gt;3.4512162&lt;/D&gt;&lt;D xsi:type="xsd:double"&gt;4.327476&lt;/D&gt;&lt;D xsi:type="xsd:double"&gt;-0.5150497&lt;/D&gt;&lt;D xsi:type="xsd:double"&gt;1.7522812&lt;/D&gt;&lt;D xsi:type="xsd:double"&gt;2.191782&lt;/D&gt;&lt;D xsi:type="xsd:double"&gt;10.953653&lt;/D&gt;&lt;D xsi:type="xsd:double"&gt;1.3462305&lt;/D&gt;&lt;D xsi:type="xsd:double"&gt;1.902163&lt;/D&gt;&lt;D xsi:type="xsd:double"&gt;0.44202805&lt;/D&gt;&lt;D xsi:type="xsd:double"&gt;3.317535&lt;/D&gt;&lt;D xsi:type="xsd:double"&gt;1.8020988&lt;/D&gt;&lt;D xsi:type="xsd:double"&gt;-1.126492&lt;/D&gt;&lt;D xsi:type="xsd:double"&gt;0.6510496&lt;/D&gt;&lt;D xsi:type="xsd:double"&gt;6.3702226&lt;/D&gt;&lt;D xsi:type="xsd:double"&gt;-3.080207&lt;/D&gt;&lt;D xsi:type="xsd:double"&gt;0.40905476&lt;/D&gt;&lt;D xsi:type="xsd:double"&gt;1.2848616&lt;/D&gt;&lt;D xsi:type="xsd:double"&gt;1.6707897&lt;/D&gt;&lt;D xsi:type="xsd:double"&gt;-1.7346323&lt;/D&gt;&lt;D xsi:type="xsd:double"&gt;-0.8196771&lt;/D&gt;&lt;D xsi:type="xsd:double"&gt;-3.2515168&lt;/D&gt;&lt;D xsi:type="xsd:double"&gt;1.4168024&lt;/D&gt;&lt;D xsi:type="xsd:double"&gt;-5.1656904&lt;/D&gt;&lt;D xsi:type="xsd:double"&gt;-2.7406693&lt;/D&gt;&lt;D xsi:type="xsd:double"&gt;-5.0017595&lt;/D&gt;&lt;D xsi:type="xsd:double"&gt;0.23639202&lt;/D&gt;&lt;D xsi:type="xsd:double"&gt;4.5336246&lt;/D&gt;&lt;D xsi:type="xsd:double"&gt;5.5101395&lt;/D&gt;&lt;D xsi:type="xsd:double"&gt;2.9649615&lt;/D&gt;&lt;D xsi:type="xsd:double"&gt;-3.0431926&lt;/D&gt;&lt;D xsi:type="xsd:double"&gt;1.4174819&lt;/D&gt;&lt;D xsi:type="xsd:double"&gt;4.4234514&lt;/D&gt;&lt;D xsi:type="xsd:double"&gt;-7.1195307&lt;/D&gt;&lt;D xsi:type="xsd:double"&gt;7.278478&lt;/D&gt;&lt;D xsi:type="xsd:double"&gt;-0.78662634&lt;/D&gt;&lt;D xsi:type="xsd:double"&gt;4.757178&lt;/D&gt;&lt;D xsi:type="xsd:double"&gt;1.2929678&lt;/D&gt;&lt;D xsi:type="xsd:double"&gt;2.0849347&lt;/D&gt;&lt;D xsi:type="xsd:double"&gt;-1.3141811&lt;/D&gt;&lt;D xsi:type="xsd:double"&gt;-26.819456&lt;/D&gt;&lt;D xsi:type="xsd:double"&gt;3.0892968&lt;/D&gt;&lt;D xsi:type="xsd:double"&gt;-5.418718&lt;/D&gt;&lt;D xsi:type="xsd:double"&gt;17.230904&lt;/D&gt;&lt;D xsi:type="xsd:double"&gt;5.721426&lt;/D&gt;&lt;D xsi:type="xsd:double"&gt;2.678883&lt;/D&gt;&lt;D xsi:type="xsd:double"&gt;1.5104771&lt;/D&gt;&lt;D xsi:type="xsd:double"&gt;-2.908355&lt;/D&gt;&lt;D xsi:type="xsd:double"&gt;10.51898&lt;/D&gt;&lt;D xsi:type="xsd:double"&gt;4.422319&lt;/D&gt;&lt;D xsi:type="xsd:double"&gt;3.4880161&lt;/D&gt;&lt;D xsi:type="xsd:double"&gt;0.17585754&lt;/D&gt;&lt;D xsi:type="xsd:double"&gt;4.0959716&lt;/D&gt;&lt;D xsi:type="xsd:double"&gt;2.3327708&lt;/D&gt;&lt;D xsi:type="xsd:double"&gt;5.355668&lt;/D&gt;&lt;D xsi:type="xsd:double"&gt;3.2785535&lt;/D&gt;&lt;D xsi:type="xsd:double"&gt;-3.3435464&lt;/D&gt;&lt;D xsi:type="xsd:double"&gt;4.4626474&lt;/D&gt;&lt;D xsi:type="xsd:double"&gt;-2.4267018&lt;/D&gt;&lt;D xsi:type="xsd:double"&gt;-0.20725131&lt;/D&gt;&lt;D xsi:type="xsd:double"&gt;3.997922&lt;/D&gt;&lt;D xsi:type="xsd:double"&gt;-4.236931&lt;/D&gt;&lt;D xsi:type="xsd:double"&gt;5.1165223&lt;/D&gt;&lt;D xsi:type="xsd:double"&gt;-5.784917&lt;/D&gt;&lt;D xsi:type="xsd:double"&gt;-9.89992&lt;/D&gt;&lt;D xsi:type="xsd:double"&gt;2.9420614&lt;/D&gt;&lt;D xsi:type="xsd:double"&gt;-5.4243207&lt;/D&gt;&lt;D xsi:type="xsd:double"&gt;-5.4310856&lt;/D&gt;&lt;D xsi:type="xsd:double"&gt;-3.222561&lt;/D&gt;&lt;D xsi:type="xsd:double"&gt;13.111341&lt;/D&gt;&lt;D xsi:type="xsd:double"&gt;-8.1263485&lt;/D&gt;&lt;D xsi:type="xsd:double"&gt;-8.144188&lt;/D&gt;&lt;D xsi:type="xsd:double"&gt;18.168604&lt;/D&gt;&lt;D xsi:type="xsd:double"&gt;5.360198&lt;/D&gt;&lt;D xsi:type="xsd:double"&gt;6.7955494&lt;/D&gt;&lt;D xsi:type="xsd:double"&gt;2.0021915&lt;/D&gt;&lt;D xsi:type="xsd:double"&gt;-1.9628942&lt;/D&gt;&lt;D xsi:type="xsd:double"&gt;7.8442097&lt;/D&gt;&lt;D xsi:type="xsd:double"&gt;-1.5259385&lt;/D&gt;&lt;D xsi:type="xsd:double"&gt;-0.668782&lt;/D&gt;&lt;D xsi:type="xsd:double"&gt;4.7846913&lt;/D&gt;&lt;D xsi:type="xsd:double"&gt;-3.2217085&lt;/D&gt;&lt;D xsi:type="xsd:double"&gt;-3.093052&lt;/D&gt;&lt;D xsi:type="xsd:double"&gt;-6.1130705&lt;/D&gt;&lt;D xsi:type="xsd:double"&gt;6.3382387&lt;/D&gt;&lt;D xsi:type="xsd:double"&gt;6.529391&lt;/D&gt;&lt;D xsi:type="xsd:double"&gt;-1.7037094&lt;/D&gt;&lt;D xsi:type="xsd:double"&gt;0.8072853&lt;/D&gt;&lt;D xsi:type="xsd:double"&gt;7.1816087&lt;/D&gt;&lt;/FQL&gt;&lt;FQL&gt;&lt;Q&gt;QQQ^FMA_DIV_YLD(NTMA,-10AY,0,AM,"PORTAGG","MEANR")&lt;/Q&gt;&lt;R&gt;121&lt;/R&gt;&lt;C&gt;1&lt;/C&gt;&lt;D xsi:type="xsd:double"&gt;1.39414067432917&lt;/D&gt;&lt;D xsi:type="xsd:double"&gt;1.45054955120242&lt;/D&gt;&lt;D xsi:type="xsd:double"&gt;1.35895339433302&lt;/D&gt;&lt;D xsi:type="xsd:double"&gt;1.30244503276166&lt;/D&gt;&lt;D xsi:type="xsd:double"&gt;1.24575813344274&lt;/D&gt;&lt;D xsi:type="xsd:double"&gt;1.2430588632901&lt;/D&gt;&lt;D xsi:type="xsd:double"&gt;1.21899396306363&lt;/D&gt;&lt;D xsi:type="xsd:double"&gt;1.32022336354795&lt;/D&gt;&lt;D xsi:type="xsd:double"&gt;1.21142839046464&lt;/D&gt;&lt;D xsi:type="xsd:double"&gt;1.2343405232945&lt;/D&gt;&lt;D xsi:type="xsd:double"&gt;1.23344970961245&lt;/D&gt;&lt;D xsi:type="xsd:double"&gt;1.22393974869272&lt;/D&gt;&lt;D xsi:type="xsd:double"&gt;1.2770310211224&lt;/D&gt;&lt;D xsi:type="xsd:double"&gt;1.26160255143043&lt;/D&gt;&lt;D xsi:type="xsd:double"&gt;1.23769598461041&lt;/D&gt;&lt;D xsi:type="xsd:double"&gt;1.25645393428369&lt;/D&gt;&lt;D xsi:type="xsd:double"&gt;1.2401074086649&lt;/D&gt;&lt;D xsi:type="xsd:double"&gt;1.2810129803344&lt;/D&gt;&lt;D xsi:type="xsd:double"&gt;1.35465847615768&lt;/D&gt;&lt;D xsi:type="xsd:double"&gt;1.34601402334946&lt;/D&gt;&lt;D xsi:type="xsd:double"&gt;1.31674365074279&lt;/D&gt;&lt;D xsi:type="xsd:double"&gt;1.29908032756749&lt;/D&gt;&lt;D xsi:type="xsd:double"&gt;1.35512854461238&lt;/D&gt;&lt;D xsi:type="xsd:double"&gt;1.4698693982285&lt;/D&gt;&lt;D xsi:type="xsd:double"&gt;1.3670327078556&lt;/D&gt;&lt;D xsi:type="xsd:double"&gt;1.31642517305457&lt;/D&gt;&lt;D xsi:type="xsd:double"&gt;1.39899173975275&lt;/D&gt;&lt;D xsi:type="xsd:double"&gt;1.37429052612242&lt;/D&gt;&lt;D xsi:type="xsd:double"&gt;1.31623325686069&lt;/D&gt;&lt;D xsi:type="xsd:double"&gt;1.27553203786919&lt;/D&gt;&lt;D xsi:type="xsd:double"&gt;1.29944648215052&lt;/D&gt;&lt;D xsi:type="xsd:double"&gt;1.28040101312223&lt;/D&gt;&lt;D xsi:type="xsd:double"&gt;1.32350022315077&lt;/D&gt;&lt;D xsi:type="xsd:double"&gt;1.28138275271382&lt;/D&gt;&lt;D xsi:type="xsd:double"&gt;1.25394655088973&lt;/D&gt;&lt;D xsi:type="xsd:double"&gt;1.23063302097694&lt;/D&gt;&lt;D xsi:type="xsd:double"&gt;1.21704288073547&lt;/D&gt;&lt;D xsi:type="xsd:double"&gt;1.23117429046041&lt;/D&gt;&lt;D xsi:type="xsd:double"&gt;1.17332644505465&lt;/D&gt;&lt;D xsi:type="xsd:double"&gt;1.17570574160181&lt;/D&gt;&lt;D xsi:type="xsd:double"&gt;1.17828338641177&lt;/D&gt;&lt;D xsi:type="xsd:double"&gt;1.17390984859652&lt;/D&gt;&lt;D xsi:type="xsd:double"&gt;1.16565040954465&lt;/D&gt;&lt;D xsi:type="xsd:double"&gt;1.14403636962419&lt;/D&gt;&lt;D xsi:type="xsd:double"&gt;1.11678673264097&lt;/D&gt;&lt;D xsi:type="xsd:double"&gt;1.10859609551741&lt;/D&gt;&lt;D xsi:type="xsd:double"&gt;1.04544876277119&lt;/D&gt;&lt;D xsi:type="xsd:double"&gt;1.08357353537508&lt;/D&gt;&lt;D xsi:type="xsd:double"&gt;1.04232816844685&lt;/D&gt;&lt;D xsi:type="xsd:double"&gt;1.11865661543598&lt;/D&gt;&lt;D xsi:type="xsd:double"&gt;1.08169633151711&lt;/D&gt;&lt;D xsi:type="xsd:double"&gt;1.04123753233604&lt;/D&gt;&lt;D xsi:type="xsd:double"&gt;1.03205641056176&lt;/D&gt;&lt;D xsi:type="xsd:double"&gt;1.07307215381362&lt;/D&gt;&lt;D xsi:type="xsd:double"&gt;1.07000615593036&lt;/D&gt;&lt;D xsi:type="xsd:double"&gt;1.1354286671093&lt;/D&gt;&lt;D xsi:type="xsd:double"&gt;1.21238922698988&lt;/D&gt;&lt;D xsi:type="xsd:double"&gt;1.26850797440335&lt;/D&gt;&lt;D xsi:type="xsd:double"&gt;1.28142999539852&lt;/D&gt;&lt;D xsi:type="xsd:double"&gt;1.20284801212541&lt;/D&gt;&lt;D xsi:type="xsd:double"&gt;1.15741950016437&lt;/D&gt;&lt;D xsi:type="xsd:double"&gt;1.10470758827079&lt;/D&gt;&lt;D xsi:type="xsd:double"&gt;1.14958076058526&lt;/D&gt;&lt;D xsi:type="xsd:double"&gt;1.14515142345375&lt;/D&gt;&lt;D xsi:type="xsd:double"&gt;1.0787266771886&lt;/D&gt;&lt;D xsi:type="xsd:double"&gt;1.14631549259809&lt;/D&gt;&lt;D xsi:type="xsd:double"&gt;1.09216343096593&lt;/D&gt;&lt;D xsi:type="xsd:double"&gt;1.10656882041797&lt;/D&gt;&lt;D xsi:type="xsd:double"&gt;1.0652176403514&lt;/D&gt;&lt;D xsi:type="xsd:double"&gt;1.06922344500458&lt;/D&gt;&lt;D xsi:type="xsd:double"&gt;1.01530889337404&lt;/D&gt;&lt;D xsi:type="xsd:double"&gt;0.958465335608105&lt;/D&gt;&lt;D xsi:type="xsd:double"&gt;1.16086598624648&lt;/D&gt;&lt;D xsi:type="xsd:double"&gt;1.06830956607806&lt;/D&gt;&lt;D xsi:type="xsd:double"&gt;1.00441130517139&lt;/D&gt;&lt;D xsi:type="xsd:double"&gt;0.939960940167681&lt;/D&gt;&lt;D xsi:type="xsd:double"&gt;0.852519245707061&lt;/D&gt;&lt;D xsi:type="xsd:double"&gt;0.818504510439343&lt;/D&gt;&lt;D xsi:type="xsd:double"&gt;0.811534376651817&lt;/D&gt;&lt;D xsi:type="xsd:double"&gt;0.767068252164214&lt;/D&gt;&lt;D xsi:type="xsd:double"&gt;0.775451368216124&lt;/D&gt;&lt;D xsi:type="xsd:double"&gt;0.748479538952709&lt;/D&gt;&lt;D xsi:type="xsd:double"&gt;0.765323871382098&lt;/D&gt;&lt;D xsi:type="xsd:double"&gt;0.721027809118542&lt;/D&gt;&lt;D xsi:type="xsd:double"&gt;0.775199106347857&lt;/D&gt;&lt;D xsi:type="xsd:double"&gt;0.729584753728806&lt;/D&gt;&lt;D xsi:type="xsd:double"&gt;0.754915963688602&lt;/D&gt;&lt;D xsi:type="xsd:double"&gt;0.722976134178483&lt;/D&gt;&lt;D xsi:type="xsd:double"&gt;0.689272472519911&lt;/D&gt;&lt;D xsi:type="xsd:double"&gt;0.698512348971834&lt;/D&gt;&lt;D xsi:type="xsd:double"&gt;0.690803643886699&lt;/D&gt;&lt;D xsi:type="xsd:double"&gt;0.712067387473389&lt;/D&gt;&lt;D xsi:type="xsd:double"&gt;0.66544005352602&lt;/D&gt;&lt;D xsi:type="xsd:double"&gt;0.6837281550839&lt;/D&gt;&lt;D xsi:type="xsd:double"&gt;0.700387072133097&lt;/D&gt;&lt;D xsi:type="xsd:double"&gt;0.781053548270321&lt;/D&gt;&lt;D xsi:type="xsd:double"&gt;0.862376349295692&lt;/D&gt;&lt;D xsi:type="xsd:double"&gt;0.812428980811977&lt;/D&gt;&lt;D xsi:type="xsd:double"&gt;0.915805477479094&lt;/D&gt;&lt;D xsi:type="xsd:double"&gt;1.01008484276833&lt;/D&gt;&lt;D xsi:type="xsd:double"&gt;0.979361709185164&lt;/D&gt;&lt;D xsi:type="xsd:double"&gt;0.853200765541201&lt;/D&gt;&lt;D xsi:type="xsd:double"&gt;0.961669089466279&lt;/D&gt;&lt;D xsi:type="xsd:double"&gt;1.10144420986243&lt;/D&gt;&lt;D xsi:type="xsd:double"&gt;1.0151960502776&lt;/D&gt;&lt;D xsi:type="xsd:double"&gt;1.00711856247792&lt;/D&gt;&lt;D xsi:type="xsd:double"&gt;0.987444152827314&lt;/D&gt;&lt;D xsi:type="xsd:double"&gt;0.916757395185174&lt;/D&gt;&lt;D xsi:type="xsd:double"&gt;0.95138368526574&lt;/D&gt;&lt;D xsi:type="xsd:double"&gt;0.890634034312112&lt;/D&gt;&lt;D xsi:type="xsd:double"&gt;0.859811039518702&lt;/D&gt;&lt;D xsi:type="xsd:double"&gt;0.771096909827828&lt;/D&gt;&lt;D xsi:type="xsd:double"&gt;0.747155810475077&lt;/D&gt;&lt;D xsi:type="xsd:double"&gt;0.887988931316158&lt;/D&gt;&lt;D xsi:type="xsd:double"&gt;0.876379680765201&lt;/D&gt;&lt;D xsi:type="xsd:double"&gt;0.931426837341479&lt;/D&gt;&lt;D xsi:type="xsd:double"&gt;0.894405004601038&lt;/D&gt;&lt;D xsi:type="xsd:double"&gt;0.866701745839036&lt;/D&gt;&lt;D xsi:type="xsd:double"&gt;0.914816291290609&lt;/D&gt;&lt;D xsi:type="xsd:double"&gt;0.887976029557402&lt;/D&gt;&lt;D xsi:type="xsd:double"&gt;0.886171930455795&lt;/D&gt;&lt;/FQL&gt;&lt;FQL&gt;&lt;Q&gt;EWL^FMA_PE(NTMA,-10AY,0,AM,"PORTAGG","MEANR")&lt;/Q&gt;&lt;R&gt;121&lt;/R&gt;&lt;C&gt;1&lt;/C&gt;&lt;D xsi:type="xsd:double"&gt;15.4927569289015&lt;/D&gt;&lt;D xsi:type="xsd:double"&gt;15.7744398610961&lt;/D&gt;&lt;D xsi:type="xsd:double"&gt;16.3330520082828&lt;/D&gt;&lt;D xsi:type="xsd:double"&gt;16.2469404220411&lt;/D&gt;&lt;D xsi:type="xsd:double"&gt;16.0574324835513&lt;/D&gt;&lt;D xsi:type="xsd:double"&gt;15.8796060429457&lt;/D&gt;&lt;D xsi:type="xsd:double"&gt;16.1418752325687&lt;/D&gt;&lt;D xsi:type="xsd:double"&gt;15.0406603760737&lt;/D&gt;&lt;D xsi:type="xsd:double"&gt;16.014286017292&lt;/D&gt;&lt;D xsi:type="xsd:double"&gt;15.6489850724165&lt;/D&gt;&lt;D xsi:type="xsd:double"&gt;15.8691666466701&lt;/D&gt;&lt;D xsi:type="xsd:double"&gt;17.0092735242894&lt;/D&gt;&lt;D xsi:type="xsd:double"&gt;17.5406999845865&lt;/D&gt;&lt;D xsi:type="xsd:double"&gt;18.2312906038608&lt;/D&gt;&lt;D xsi:type="xsd:double"&gt;17.544942499872&lt;/D&gt;&lt;D xsi:type="xsd:double"&gt;17.3256641821199&lt;/D&gt;&lt;D xsi:type="xsd:double"&gt;17.615558669438&lt;/D&gt;&lt;D xsi:type="xsd:double"&gt;17.3889131770669&lt;/D&gt;&lt;D xsi:type="xsd:double"&gt;16.3076794899913&lt;/D&gt;&lt;D xsi:type="xsd:double"&gt;16.3200957143395&lt;/D&gt;&lt;D xsi:type="xsd:double"&gt;16.6495905761574&lt;/D&gt;&lt;D xsi:type="xsd:double"&gt;16.1726427824531&lt;/D&gt;&lt;D xsi:type="xsd:double"&gt;16.0005169191462&lt;/D&gt;&lt;D xsi:type="xsd:double"&gt;15.6779693546216&lt;/D&gt;&lt;D xsi:type="xsd:double"&gt;16.7042218552591&lt;/D&gt;&lt;D xsi:type="xsd:double"&gt;16.8527083666529&lt;/D&gt;&lt;D xsi:type="xsd:double"&gt;16.6291498538371&lt;/D&gt;&lt;D xsi:type="xsd:double"&gt;16.0653633962098&lt;/D&gt;&lt;D xsi:type="xsd:double"&gt;17.0397189422573&lt;/D&gt;&lt;D xsi:type="xsd:double"&gt;17.6160580413198&lt;/D&gt;&lt;D xsi:type="xsd:double"&gt;17.1642942973926&lt;/D&gt;&lt;D xsi:type="xsd:double"&gt;16.8735422040242&lt;/D&gt;&lt;D xsi:type="xsd:double"&gt;16.4287491412571&lt;/D&gt;&lt;D xsi:type="xsd:double"&gt;16.6985994994332&lt;/D&gt;&lt;D xsi:type="xsd:double"&gt;17.2527591954783&lt;/D&gt;&lt;D xsi:type="xsd:double"&gt;17.2750332732447&lt;/D&gt;&lt;D xsi:type="xsd:double"&gt;17.6272079890415&lt;/D&gt;&lt;D xsi:type="xsd:double"&gt;17.3892783728153&lt;/D&gt;&lt;D xsi:type="xsd:double"&gt;18.0923990885338&lt;/D&gt;&lt;D xsi:type="xsd:double"&gt;17.8584430695236&lt;/D&gt;&lt;D xsi:type="xsd:double"&gt;17.9295624157615&lt;/D&gt;&lt;D xsi:type="xsd:double"&gt;17.6572419013358&lt;/D&gt;&lt;D xsi:type="xsd:double"&gt;17.6740454373441&lt;/D&gt;&lt;D xsi:type="xsd:double"&gt;18.0385061798631&lt;/D&gt;&lt;D xsi:type="xsd:double"&gt;17.5538809078722&lt;/D&gt;&lt;D xsi:type="xsd:double"&gt;17.7016334321102&lt;/D&gt;&lt;D xsi:type="xsd:double"&gt;17.8993111783041&lt;/D&gt;&lt;D xsi:type="xsd:double"&gt;16.6786880366231&lt;/D&gt;&lt;D xsi:type="xsd:double"&gt;16.3575310892856&lt;/D&gt;&lt;D xsi:type="xsd:double"&gt;16.0816321124181&lt;/D&gt;&lt;D xsi:type="xsd:double"&gt;16.336327618286&lt;/D&gt;&lt;D xsi:type="xsd:double"&gt;15.801536970536&lt;/D&gt;&lt;D xsi:type="xsd:double"&gt;15.9640795564181&lt;/D&gt;&lt;D xsi:type="xsd:double"&gt;15.9943805523269&lt;/D&gt;&lt;D xsi:type="xsd:double"&gt;16.0030177472669&lt;/D&gt;&lt;D xsi:type="xsd:double"&gt;15.1319977221845&lt;/D&gt;&lt;D xsi:type="xsd:double"&gt;15.5020906129142&lt;/D&gt;&lt;D xsi:type="xsd:double"&gt;15.0404707209747&lt;/D&gt;&lt;D xsi:type="xsd:double"&gt;15.1174136257644&lt;/D&gt;&lt;D xsi:type="xsd:double"&gt;15.748033469993&lt;/D&gt;&lt;D xsi:type="xsd:double"&gt;16.526100487266&lt;/D&gt;&lt;D xsi:type="xsd:double"&gt;16.7920948899664&lt;/D&gt;&lt;D xsi:type="xsd:double"&gt;16.3383491161297&lt;/D&gt;&lt;D xsi:type="xsd:double"&gt;16.9755995114709&lt;/D&gt;&lt;D xsi:type="xsd:double"&gt;16.9318110130903&lt;/D&gt;&lt;D xsi:type="xsd:double"&gt;16.6148460980219&lt;/D&gt;&lt;D xsi:type="xsd:double"&gt;17.190042058638&lt;/D&gt;&lt;D xsi:type="xsd:double"&gt;16.9672096775741&lt;/D&gt;&lt;D xsi:type="xsd:double"&gt;17.2863261322934&lt;/D&gt;&lt;D xsi:type="xsd:double"&gt;17.5061231896488&lt;/D&gt;&lt;D xsi:type="xsd:double"&gt;17.8712147869773&lt;/D&gt;&lt;D xsi:type="xsd:double"&gt;18.479282265282&lt;/D&gt;&lt;D xsi:type="xsd:double"&gt;14.1581434761179&lt;/D&gt;&lt;D xsi:type="xsd:double"&gt;17.516151382324&lt;/D&gt;&lt;D xsi:type="xsd:double"&gt;18.1691646687959&lt;/D&gt;&lt;D xsi:type="xsd:double"&gt;18.7766596934647&lt;/D&gt;&lt;D xsi:type="xsd:double"&gt;19.659799073265&lt;/D&gt;&lt;D xsi:type="xsd:double"&gt;19.504439383691&lt;/D&gt;&lt;D xsi:type="xsd:double"&gt;19.5772251028204&lt;/D&gt;&lt;D xsi:type="xsd:double"&gt;19.0992967698206&lt;/D&gt;&lt;D xsi:type="xsd:double"&gt;18.977057114399&lt;/D&gt;&lt;D xsi:type="xsd:double"&gt;18.3588344808065&lt;/D&gt;&lt;D xsi:type="xsd:double"&gt;19.0239718541162&lt;/D&gt;&lt;D xsi:type="xsd:double"&gt;19.000922289717&lt;/D&gt;&lt;D xsi:type="xsd:double"&gt;18.53647495722&lt;/D&gt;&lt;D xsi:type="xsd:double"&gt;19.282431020921&lt;/D&gt;&lt;D xsi:type="xsd:double"&gt;18.923964193882&lt;/D&gt;&lt;D xsi:type="xsd:double"&gt;19.899022295774&lt;/D&gt;&lt;D xsi:type="xsd:double"&gt;19.9052058367176&lt;/D&gt;&lt;D xsi:type="xsd:double"&gt;20.0525721554627&lt;/D&gt;&lt;D xsi:type="xsd:double"&gt;19.2627209647786&lt;/D&gt;&lt;D xsi:type="xsd:double"&gt;18.6754503781565&lt;/D&gt;&lt;D xsi:type="xsd:double"&gt;19.4462035681926&lt;/D&gt;&lt;D xsi:type="xsd:double"&gt;19.0995198461435&lt;/D&gt;&lt;D xsi:type="xsd:double"&gt;18.9367884259307&lt;/D&gt;&lt;D xsi:type="xsd:double"&gt;18.028762901945&lt;/D&gt;&lt;D xsi:type="xsd:double"&gt;17.4952898416652&lt;/D&gt;&lt;D xsi:type="xsd:double"&gt;18.5527374737237&lt;/D&gt;&lt;D xsi:type="xsd:double"&gt;16.8835129230028&lt;/D&gt;&lt;D xsi:type="xsd:double"&gt;15.3324159517696&lt;/D&gt;&lt;D xsi:type="xsd:double"&gt;15.788248835272&lt;/D&gt;&lt;D xsi:type="xsd:double"&gt;16.9119963255214&lt;/D&gt;&lt;D xsi:type="xsd:double"&gt;15.9528666798394&lt;/D&gt;&lt;D xsi:type="xsd:double"&gt;14.9799063108732&lt;/D&gt;&lt;D xsi:type="xsd:double"&gt;16.8500331724599&lt;/D&gt;&lt;D xsi:type="xsd:double"&gt;16.9678543825439&lt;/D&gt;&lt;D xsi:type="xsd:double"&gt;17.2338498725642&lt;/D&gt;&lt;D xsi:type="xsd:double"&gt;17.4308597373239&lt;/D&gt;&lt;D xsi:type="xsd:double"&gt;16.6497124478985&lt;/D&gt;&lt;D xsi:type="xsd:double"&gt;17.4960596194177&lt;/D&gt;&lt;D xsi:type="xsd:double"&gt;17.5286340552556&lt;/D&gt;&lt;D xsi:type="xsd:double"&gt;16.5656039125365&lt;/D&gt;&lt;D xsi:type="xsd:double"&gt;16.6306143927291&lt;/D&gt;&lt;D xsi:type="xsd:double"&gt;16.6028024454249&lt;/D&gt;&lt;D xsi:type="xsd:double"&gt;16.5896383850023&lt;/D&gt;&lt;D xsi:type="xsd:double"&gt;16.1190760988368&lt;/D&gt;&lt;D xsi:type="xsd:double"&gt;16.0347501362056&lt;/D&gt;&lt;D xsi:type="xsd:double"&gt;16.8267504008761&lt;/D&gt;&lt;D xsi:type="xsd:double"&gt;17.025320829921&lt;/D&gt;&lt;D xsi:type="xsd:double"&gt;17.2257177738088&lt;/D&gt;&lt;D xsi:type="xsd:double"&gt;17.864966132392&lt;/D&gt;&lt;/FQL&gt;&lt;FQL&gt;&lt;Q&gt;EWG^FMA_PE(LTMA,-10AY,0,AM,"PORTAGG","MEANR")&lt;/Q&gt;&lt;R&gt;121&lt;/R&gt;&lt;C&gt;1&lt;/C&gt;&lt;D xsi:type="xsd:double"&gt;14.6932215840629&lt;/D&gt;&lt;D xsi:type="xsd:double"&gt;14.5989216288091&lt;/D&gt;&lt;D xsi:type="xsd:double"&gt;14.6597874055845&lt;/D&gt;&lt;D xsi:type="xsd:double"&gt;14.6801581144297&lt;/D&gt;&lt;D xsi:type="xsd:double"&gt;14.489698697207&lt;/D&gt;&lt;D xsi:type="xsd:double"&gt;14.0067254671078&lt;/D&gt;&lt;D xsi:type="xsd:double"&gt;14.2773260602564&lt;/D&gt;&lt;D xsi:type="xsd:double"&gt;13.2847387672575&lt;/D&gt;&lt;D xsi:type="xsd:double"&gt;13.6314449461168&lt;/D&gt;&lt;D xsi:type="xsd:double"&gt;14.0426136947858&lt;/D&gt;&lt;D xsi:type="xsd:double"&gt;14.2922706741372&lt;/D&gt;&lt;D xsi:type="xsd:double"&gt;15.8521558227276&lt;/D&gt;&lt;D xsi:type="xsd:double"&gt;16.5565247450152&lt;/D&gt;&lt;D xsi:type="xsd:double"&gt;16.5855534914463&lt;/D&gt;&lt;D xsi:type="xsd:double"&gt;16.1146056353189&lt;/D&gt;&lt;D xsi:type="xsd:double"&gt;15.6856312016131&lt;/D&gt;&lt;D xsi:type="xsd:double"&gt;15.6680605945252&lt;/D&gt;&lt;D xsi:type="xsd:double"&gt;15.0386280276146&lt;/D&gt;&lt;D xsi:type="xsd:double"&gt;14.1063099218873&lt;/D&gt;&lt;D xsi:type="xsd:double"&gt;13.7063459730628&lt;/D&gt;&lt;D xsi:type="xsd:double"&gt;14.3772036149549&lt;/D&gt;&lt;D xsi:type="xsd:double"&gt;13.438422729471&lt;/D&gt;&lt;D xsi:type="xsd:double"&gt;12.755286943623&lt;/D&gt;&lt;D xsi:type="xsd:double"&gt;11.8821369605081&lt;/D&gt;&lt;D xsi:type="xsd:double"&gt;12.7613374019471&lt;/D&gt;&lt;D xsi:type="xsd:double"&gt;12.8572444605082&lt;/D&gt;&lt;D xsi:type="xsd:double"&gt;12.7834179318133&lt;/D&gt;&lt;D xsi:type="xsd:double"&gt;12.5331249402816&lt;/D&gt;&lt;D xsi:type="xsd:double"&gt;12.9160380921467&lt;/D&gt;&lt;D xsi:type="xsd:double"&gt;13.4364864067603&lt;/D&gt;&lt;D xsi:type="xsd:double"&gt;13.3924607976196&lt;/D&gt;&lt;D xsi:type="xsd:double"&gt;13.6820613375122&lt;/D&gt;&lt;D xsi:type="xsd:double"&gt;13.7125601372246&lt;/D&gt;&lt;D xsi:type="xsd:double"&gt;14.4180308561845&lt;/D&gt;&lt;D xsi:type="xsd:double"&gt;14.9405384559455&lt;/D&gt;&lt;D xsi:type="xsd:double"&gt;15.0408584675748&lt;/D&gt;&lt;D xsi:type="xsd:double"&gt;14.9634086602619&lt;/D&gt;&lt;D xsi:type="xsd:double"&gt;14.88237161468&lt;/D&gt;&lt;D xsi:type="xsd:double"&gt;14.9118486583776&lt;/D&gt;&lt;D xsi:type="xsd:double"&gt;14.7936451652036&lt;/D&gt;&lt;D xsi:type="xsd:double"&gt;14.6527198892945&lt;/D&gt;&lt;D xsi:type="xsd:double"&gt;14.2287503464474&lt;/D&gt;&lt;D xsi:type="xsd:double"&gt;14.3826581701874&lt;/D&gt;&lt;D xsi:type="xsd:double"&gt;14.7957171222489&lt;/D&gt;&lt;D xsi:type="xsd:double"&gt;15.1958746296984&lt;/D&gt;&lt;D xsi:type="xsd:double"&gt;15.4310809422793&lt;/D&gt;&lt;D xsi:type="xsd:double"&gt;15.5807821514817&lt;/D&gt;&lt;D xsi:type="xsd:double"&gt;14.3324911893271&lt;/D&gt;&lt;D xsi:type="xsd:double"&gt;14.183212930398&lt;/D&gt;&lt;D xsi:type="xsd:double"&gt;14.1430577168787&lt;/D&gt;&lt;D xsi:type="xsd:double"&gt;14.2077960887181&lt;/D&gt;&lt;D xsi:type="xsd:double"&gt;14.2838273374362&lt;/D&gt;&lt;D xsi:type="xsd:double"&gt;14.0322196984777&lt;/D&gt;&lt;D xsi:type="xsd:double"&gt;13.9474711382758&lt;/D&gt;&lt;D xsi:type="xsd:double"&gt;13.8469045000514&lt;/D&gt;&lt;D xsi:type="xsd:double"&gt;13.2492303707181&lt;/D&gt;&lt;D xsi:type="xsd:double"&gt;13.0712173286757&lt;/D&gt;&lt;D xsi:type="xsd:double"&gt;12.4810842264307&lt;/D&gt;&lt;D xsi:type="xsd:double"&gt;12.3862610023761&lt;/D&gt;&lt;D xsi:type="xsd:double"&gt;12.8054781421051&lt;/D&gt;&lt;D xsi:type="xsd:double"&gt;13.21223747028&lt;/D&gt;&lt;D xsi:type="xsd:double"&gt;13.2891373410779&lt;/D&gt;&lt;D xsi:type="xsd:double"&gt;13.2487333855557&lt;/D&gt;&lt;D xsi:type="xsd:double"&gt;13.1926774487072&lt;/D&gt;&lt;D xsi:type="xsd:double"&gt;13.4989856607263&lt;/D&gt;&lt;D xsi:type="xsd:double"&gt;13.1883831125379&lt;/D&gt;&lt;D xsi:type="xsd:double"&gt;14.0684475231483&lt;/D&gt;&lt;D xsi:type="xsd:double"&gt;14.2132658496986&lt;/D&gt;&lt;D xsi:type="xsd:double"&gt;15.0777899817357&lt;/D&gt;&lt;D xsi:type="xsd:double"&gt;15.4104144504806&lt;/D&gt;&lt;D xsi:type="xsd:double"&gt;15.7306715883892&lt;/D&gt;&lt;D xsi:type="xsd:double"&gt;16.2720882887277&lt;/D&gt;&lt;D xsi:type="xsd:double"&gt;13.4496531080948&lt;/D&gt;&lt;D xsi:type="xsd:double"&gt;14.3550877210543&lt;/D&gt;&lt;D xsi:type="xsd:double"&gt;15.0980255874187&lt;/D&gt;&lt;D xsi:type="xsd:double"&gt;16.8837185007981&lt;/D&gt;&lt;D xsi:type="xsd:double"&gt;18.5565898784501&lt;/D&gt;&lt;D xsi:type="xsd:double"&gt;19.4808725171808&lt;/D&gt;&lt;D xsi:type="xsd:double"&gt;20.4842626317752&lt;/D&gt;&lt;D xsi:type="xsd:double"&gt;20.793330946598&lt;/D&gt;&lt;D xsi:type="xsd:double"&gt;20.5346440571437&lt;/D&gt;&lt;D xsi:type="xsd:double"&gt;20.9264816108518&lt;/D&gt;&lt;D xsi:type="xsd:double"&gt;22.196035264687&lt;/D&gt;&lt;D xsi:type="xsd:double"&gt;21.4635819856194&lt;/D&gt;&lt;D xsi:type="xsd:double"&gt;20.2176550639544&lt;/D&gt;&lt;D xsi:type="xsd:double"&gt;19.8933995811522&lt;/D&gt;&lt;D xsi:type="xsd:double"&gt;19.0535854672247&lt;/D&gt;&lt;D xsi:type="xsd:double"&gt;18.6990737059063&lt;/D&gt;&lt;D xsi:type="xsd:double"&gt;18.1437452084668&lt;/D&gt;&lt;D xsi:type="xsd:double"&gt;17.3488624325988&lt;/D&gt;&lt;D xsi:type="xsd:double"&gt;16.5974125532791&lt;/D&gt;&lt;D xsi:type="xsd:double"&gt;15.9366549982436&lt;/D&gt;&lt;D xsi:type="xsd:double"&gt;15.3798783449365&lt;/D&gt;&lt;D xsi:type="xsd:double"&gt;14.1957304254276&lt;/D&gt;&lt;D xsi:type="xsd:double"&gt;14.0934614594799&lt;/D&gt;&lt;D xsi:type="xsd:double"&gt;13.0556590293251&lt;/D&gt;&lt;D xsi:type="xsd:double"&gt;12.4116047974249&lt;/D&gt;&lt;D xsi:type="xsd:double"&gt;12.3439547091355&lt;/D&gt;&lt;D xsi:type="xsd:double"&gt;12.0748639764708&lt;/D&gt;&lt;D xsi:type="xsd:double"&gt;11.6890792471476&lt;/D&gt;&lt;D xsi:type="xsd:double"&gt;11.1679939258479&lt;/D&gt;&lt;D xsi:type="xsd:double"&gt;11.3225370901876&lt;/D&gt;&lt;D xsi:type="xsd:double"&gt;10.7980781605279&lt;/D&gt;&lt;D xsi:type="xsd:double"&gt;10.1306437642402&lt;/D&gt;&lt;D xsi:type="xsd:double"&gt;11.0689823756694&lt;/D&gt;&lt;D xsi:type="xsd:double"&gt;10.840528875515&lt;/D&gt;&lt;D xsi:type="xsd:double"&gt;11.3913696276024&lt;/D&gt;&lt;D xsi:type="xsd:double"&gt;11.5934756693557&lt;/D&gt;&lt;D xsi:type="xsd:double"&gt;11.3214365819844&lt;/D&gt;&lt;D xsi:type="xsd:double"&gt;11.4250553409291&lt;/D&gt;&lt;D xsi:type="xsd:double"&gt;11.3303447725284&lt;/D&gt;&lt;D xsi:type="xsd:double"&gt;11.3473615284104&lt;/D&gt;&lt;D xsi:type="xsd:double"&gt;11.2803055681378&lt;/D&gt;&lt;D xsi:type="xsd:double"&gt;11.2285825996027&lt;/D&gt;&lt;D xsi:type="xsd:double"&gt;11.2498307874756&lt;/D&gt;&lt;D xsi:type="xsd:double"&gt;10.9290196500916&lt;/D&gt;&lt;D xsi:type="xsd:double"&gt;11.2088085127791&lt;/D&gt;&lt;D xsi:type="xsd:double"&gt;11.9488414575719&lt;/D&gt;&lt;D xsi:type="xsd:double"&gt;11.8855013811955&lt;/D&gt;&lt;D xsi:type="xsd:double"&gt;12.0332069177938&lt;/D&gt;&lt;D xsi:type="xsd:double"&gt;12.5442418080061&lt;/D&gt;&lt;/FQL&gt;&lt;FQL&gt;&lt;Q&gt;WL-FDS^FG_PRICE_CHANGE(0,-6AM)&lt;/Q&gt;&lt;R&gt;1&lt;/R&gt;&lt;C&gt;1&lt;/C&gt;&lt;D xsi:type="xsd:double"&gt;-18.827567995775&lt;/D&gt;&lt;/FQL&gt;&lt;FQL&gt;&lt;Q&gt;CPALM-FDS^FG_PRICE_CHANGE(0,-6AM)&lt;/Q&gt;&lt;R&gt;1&lt;/R&gt;&lt;C&gt;1&lt;/C&gt;&lt;D xsi:type="xsd:double"&gt;18.3060109289618&lt;/D&gt;&lt;/FQL&gt;&lt;FQL&gt;&lt;Q&gt;BRENT-FDS^FG_PRICE_CHANGE(0,-6AM)&lt;/Q&gt;&lt;R&gt;1&lt;/R&gt;&lt;C&gt;1&lt;/C&gt;&lt;D xsi:type="xsd:double"&gt;-10.1788890051261&lt;/D&gt;&lt;/FQL&gt;&lt;FQL&gt;&lt;Q&gt;EWG^FG_PRICE(0)&lt;/Q&gt;&lt;R&gt;1&lt;/R&gt;&lt;C&gt;1&lt;/C&gt;&lt;D xsi:type="xsd:double"&gt;31.15&lt;/D&gt;&lt;/FQL&gt;&lt;FQL&gt;&lt;Q&gt;SPY^P_PRICE(0)/P_PRICE_HIGH_PR(0,,,USD,,,"PRICE","INTRA","52W")&lt;/Q&gt;&lt;R&gt;1&lt;/R&gt;&lt;C&gt;1&lt;/C&gt;&lt;D xsi:type="xsd:double"&gt;0.9936898&lt;/D&gt;&lt;/FQL&gt;&lt;FQL&gt;&lt;Q&gt;EWQ^P_PRICE(0)/P_PRICE_HIGH_PR(0,,,USD,,,"PRICE","INTRA","52W")&lt;/Q&gt;&lt;R&gt;1&lt;/R&gt;&lt;C&gt;1&lt;/C&gt;&lt;D xsi:type="xsd:double"&gt;0.9936535&lt;/D&gt;&lt;/FQL&gt;&lt;FQL&gt;&lt;Q&gt;EWL^P_PRICE(0)/P_PRICE_HIGH_PR(0,,,USD,,,"PRICE","INTRA","52W")&lt;/Q&gt;&lt;R&gt;1&lt;/R&gt;&lt;C&gt;1&lt;/C&gt;&lt;D xsi:type="xsd:double"&gt;0.987841&lt;/D&gt;&lt;/FQL&gt;&lt;FQL&gt;&lt;Q&gt;EWA^P_PRICE(0)/P_PRICE_HIGH_PR(0,,,USD,,,"PRICE","INTRA","52W")&lt;/Q&gt;&lt;R&gt;1&lt;/R&gt;&lt;C&gt;1&lt;/C&gt;&lt;D xsi:type="xsd:double"&gt;0.9632588&lt;/D&gt;&lt;/FQL&gt;&lt;FQL&gt;&lt;Q&gt;URTH^PERCENT_CHANGE(FMA_EPS(+1,0,,,,"PORTAGG","MEAN"),FMA_EPS(+1,-3AM,,,,"PORTAGG","MEAN"))&lt;/Q&gt;&lt;R&gt;1&lt;/R&gt;&lt;C&gt;1&lt;/C&gt;&lt;D xsi:type="xsd:double"&gt;-1.84764592625523&lt;/D&gt;&lt;/FQL&gt;&lt;FQL&gt;&lt;Q&gt;FXI^SIZE(FG_CONSTITUENTS)&lt;/Q&gt;&lt;R&gt;1&lt;/R&gt;&lt;C&gt;1&lt;/C&gt;&lt;D xsi:type="xsd:long"&gt;51&lt;/D&gt;&lt;/FQL&gt;&lt;FQL&gt;&lt;Q&gt;VGK^FMA_COS_DOWN("EPS","1M",+1,0,,,"PORTAGG","MEANR")&lt;/Q&gt;&lt;R&gt;1&lt;/R&gt;&lt;C&gt;1&lt;/C&gt;&lt;D xsi:type="xsd:double"&gt;636&lt;/D&gt;&lt;/FQL&gt;&lt;FQL&gt;&lt;Q&gt;EWC^SIZE(FG_CONSTITUENTS)&lt;/Q&gt;&lt;R&gt;1&lt;/R&gt;&lt;C&gt;1&lt;/C&gt;&lt;D xsi:type="xsd:long"&gt;88&lt;/D&gt;&lt;/FQL&gt;&lt;FQL&gt;&lt;Q&gt;REFNZOCR-FDS^PROPER_NAME(0,,,"SECURITY","NAME")&lt;/Q&gt;&lt;R&gt;1&lt;/R&gt;&lt;C&gt;1&lt;/C&gt;&lt;D xsi:type="xsd:string"&gt;New Zealand Official Cash Rate&lt;/D&gt;&lt;/FQL&gt;&lt;FQL&gt;&lt;Q&gt;VGK^FG_PE(0)&lt;/Q&gt;&lt;R&gt;1&lt;/R&gt;&lt;C&gt;1&lt;/C&gt;&lt;D xsi:type="xsd:double"&gt;12.3190540866361&lt;/D&gt;&lt;/FQL&gt;&lt;FQL&gt;&lt;Q&gt;SPY^FG_FCF_YIELD_NTM(0)&lt;/Q&gt;&lt;R&gt;1&lt;/R&gt;&lt;C&gt;1&lt;/C&gt;&lt;D xsi:type="xsd:double"&gt;4.17423824713432&lt;/D&gt;&lt;/FQL&gt;&lt;FQL&gt;&lt;Q&gt;NI-FDS^FG_PRICE_CHANGE(0,-6AM)&lt;/Q&gt;&lt;R&gt;1&lt;/R&gt;&lt;C&gt;1&lt;/C&gt;&lt;D xsi:type="xsd:double"&gt;-12.3426314490249&lt;/D&gt;&lt;/FQL&gt;&lt;FQL&gt;&lt;Q&gt;TIOS-FDS^FG_PRICE_CHANGE(0,-6AM)&lt;/Q&gt;&lt;R&gt;1&lt;/R&gt;&lt;C&gt;1&lt;/C&gt;&lt;D xsi:type="xsd:double"&gt;-7.9794293297943&lt;/D&gt;&lt;/FQL&gt;&lt;FQL&gt;&lt;Q&gt;EWD^FG_PRICE(0)&lt;/Q&gt;&lt;R&gt;1&lt;/R&gt;&lt;C&gt;1&lt;/C&gt;&lt;D xsi:type="xsd:double"&gt;40.95&lt;/D&gt;&lt;/FQL&gt;&lt;FQL&gt;&lt;Q&gt;QQQ^FG_PRICE(0)&lt;/Q&gt;&lt;R&gt;1&lt;/R&gt;&lt;C&gt;1&lt;/C&gt;&lt;D xsi:type="xsd:double"&gt;439.14&lt;/D&gt;&lt;/FQL&gt;&lt;FQL&gt;&lt;Q&gt;VGK^P_PRICE(0)/P_PRICE_HIGH_PR(0,,,USD,,,"PRICE","INTRA","52W")&lt;/Q&gt;&lt;R&gt;1&lt;/R&gt;&lt;C&gt;1&lt;/C&gt;&lt;D xsi:type="xsd:double"&gt;0.9902627&lt;/D&gt;&lt;/FQL&gt;&lt;FQL&gt;&lt;Q&gt;EWN^PERCENT_CHANGE(FMA_EPS(+1,0,,,,"PORTAGG","MEAN"),FMA_EPS(+1,-1AM,,,,"PORTAGG","MEAN"))&lt;/Q&gt;&lt;R&gt;1&lt;/R&gt;&lt;C&gt;1&lt;/C&gt;&lt;D xsi:type="xsd:double"&gt;3.20179389881122&lt;/D&gt;&lt;/FQL&gt;&lt;FQL&gt;&lt;Q&gt;EWL^FMA_PCT_ABOVE_MAVG(200,0,,,,"PORTAGG")&lt;/Q&gt;&lt;R&gt;1&lt;/R&gt;&lt;C&gt;1&lt;/C&gt;&lt;D xsi:type="xsd:double"&gt;62.2222222222222&lt;/D&gt;&lt;/FQL&gt;&lt;FQL&gt;&lt;Q&gt;SPY^FMA_COS_UP("EPS","1M",+1,0,,,"PORTAGG","MEANR")&lt;/Q&gt;&lt;R&gt;1&lt;/R&gt;&lt;C&gt;1&lt;/C&gt;&lt;D xsi:type="xsd:double"&gt;181&lt;/D&gt;&lt;/FQL&gt;&lt;FQL&gt;&lt;Q&gt;EWC^FMA_RBICS_REV_CURRENT(30, LOC, "PORTAGG")&lt;/Q&gt;&lt;R&gt;1&lt;/R&gt;&lt;C&gt;1&lt;/C&gt;&lt;D xsi:type="xsd:double"&gt;40.9198307473676&lt;/D&gt;&lt;/FQL&gt;&lt;FQL&gt;&lt;Q&gt;REFEUREFI-FDS^(SUBARRAY(NOT_NA(NO_REPEAT_F(FG_YIELD(NOW,-10AY,D))),0,1)-SUBARRAY(NOT_NA(NO_REPEAT_F(FG_YIELD(NOW,-10AY,D))),1,1))*100&lt;/Q&gt;&lt;R&gt;1&lt;/R&gt;&lt;C&gt;1&lt;/C&gt;&lt;D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xsi:type="xsd:double"&gt;25&lt;/D&gt;&lt;/FQL&gt;&lt;FQL&gt;&lt;Q&gt;REFCHMPR-FDS^FG_YIELD(NOW,,,0)&lt;/Q&gt;&lt;R&gt;1&lt;/R&gt;&lt;C&gt;1&lt;/C&gt;&lt;D xsi:type="xsd:double"&gt;1.75&lt;/D&gt;&lt;/FQL&gt;&lt;FQL&gt;&lt;Q&gt;TRYCH10Y-FDS^PCTCHG(FG_YIELD(0,,,,"YTM"),FG_YIELD(-1AM,,,,"YTM"))&lt;/Q&gt;&lt;R&gt;1&lt;/R&gt;&lt;C&gt;1&lt;/C&gt;&lt;D xsi:type="xsd:double"&gt;-19.488821&lt;/D&gt;&lt;/FQL&gt;&lt;FQL&gt;&lt;Q&gt;TRYSE10Y-FDS^FG_YIELD_NAME&lt;/Q&gt;&lt;R&gt;1&lt;/R&gt;&lt;C&gt;1&lt;/C&gt;&lt;D xsi:type="xsd:string"&gt;Sweden Benchmark Bond - 10 Year&lt;/D&gt;&lt;/FQL&gt;&lt;FQL&gt;&lt;Q&gt;TRYDE10Y-FDS^FG_YIELD_NAME&lt;/Q&gt;&lt;R&gt;1&lt;/R&gt;&lt;C&gt;1&lt;/C&gt;&lt;D xsi:type="xsd:string"&gt;Germany Benchmark Bond - 10 Year&lt;/D&gt;&lt;/FQL&gt;&lt;FQL&gt;&lt;Q&gt;CC_DE^IMF_IFS_RCPI_Q(0)&lt;/Q&gt;&lt;R&gt;1&lt;/R&gt;&lt;C&gt;1&lt;/C&gt;&lt;D xsi:type="xsd:double"&gt;3.5546436&lt;/D&gt;&lt;/FQL&gt;&lt;FQL&gt;&lt;Q&gt;EWN^FMA_EVAL_EBIT(LTMA,NOW,NOW,M,"PORTAGG","MEANR")&lt;/Q&gt;&lt;R&gt;1&lt;/R&gt;&lt;C&gt;1&lt;/C&gt;&lt;D xsi:type="xsd:double"&gt;22.4826719023839&lt;/D&gt;&lt;/FQL&gt;&lt;FQL&gt;&lt;Q&gt;EWU^FMA_PE(NTMA,0,,,"PORTAGG","MEANR")&lt;/Q&gt;&lt;R&gt;1&lt;/R&gt;&lt;C&gt;1&lt;/C&gt;&lt;D xsi:type="xsd:double"&gt;11.3487384521514&lt;/D&gt;&lt;/FQL&gt;&lt;FQL&gt;&lt;Q&gt;EWJ^JULIAN(FMA_DIV_YLD(NTMA,NOW,NOW,M,"PORTAGG","MEANR").DATES)&lt;/Q&gt;&lt;R&gt;1&lt;/R&gt;&lt;C&gt;1&lt;/C&gt;&lt;D xsi:type="xsd:long"&gt;45351&lt;/D&gt;&lt;/FQL&gt;&lt;FQL&gt;&lt;Q&gt;QQQ^FMA_ROE(NTMA,-20AY,NOW,FY,"PORTAGG","MEANR")&lt;/Q&gt;&lt;R&gt;20&lt;/R&gt;&lt;C&gt;1&lt;/C&gt;&lt;D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xsi:type="xsd:double"&gt;25.2988883001969&lt;/D&gt;&lt;/FQL&gt;&lt;FQL&gt;&lt;Q&gt;TRYMY10Y-FDS^FG_YIELD(-10AY,0,Y,,"YTM")&lt;/Q&gt;&lt;R&gt;10&lt;/R&gt;&lt;C&gt;1&lt;/C&gt;&lt;D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xsi:type="xsd:double"&gt;2.97429494344496&lt;/D&gt;&lt;/FQL&gt;&lt;FQL&gt;&lt;Q&gt;USDCHF^STD(FG_PRICE_CHANGE(0,-3AY,M))&lt;/Q&gt;&lt;R&gt;1&lt;/R&gt;&lt;C&gt;1&lt;/C&gt;&lt;D xsi:type="xsd:double"&gt;2.55066207178098&lt;/D&gt;&lt;/FQL&gt;&lt;FQL&gt;&lt;Q&gt;USDUSD^STD(FG_PRICE_CHANGE(0,-3AY,M))&lt;/Q&gt;&lt;R&gt;1&lt;/R&gt;&lt;C&gt;1&lt;/C&gt;&lt;D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xsi:type="xsd:double"&gt;2.27878581990319&lt;/D&gt;&lt;/FQL&gt;&lt;FQL&gt;&lt;Q&gt;USDAUD^STD(FG_PRICE_CHANGE(0,-3AY,M))&lt;/Q&gt;&lt;R&gt;1&lt;/R&gt;&lt;C&gt;1&lt;/C&gt;&lt;D xsi:type="xsd:double"&gt;3.07648357729992&lt;/D&gt;&lt;/FQL&gt;&lt;FQL&gt;&lt;Q&gt;EWI^FMA_EPS(NTMA,-20AY,0,CY,,"PORTAGG","MEANR")&lt;/Q&gt;&lt;R&gt;20&lt;/R&gt;&lt;C&gt;1&lt;/C&gt;&lt;D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xsi:type="xsd:double"&gt;1.99711745729499&lt;/D&gt;&lt;D xsi:type="xsd:double"&gt;2.96400297596909&lt;/D&gt;&lt;D xsi:type="xsd:double"&gt;3.54736708862932&lt;/D&gt;&lt;D xsi:type="xsd:double"&gt;3.81180346997282&lt;/D&gt;&lt;/FQL&gt;&lt;FQL&gt;&lt;Q&gt;EWN^P_PRICE_RETURNS_PR('52W',2,-10AY,0,AM)&lt;/Q&gt;&lt;R&gt;121&lt;/R&gt;&lt;C&gt;1&lt;/C&gt;&lt;D xsi:type="xsd:double"&gt;20.710075&lt;/D&gt;&lt;D xsi:type="xsd:double"&gt;22.362555&lt;/D&gt;&lt;D xsi:type="xsd:double"&gt;19.889938&lt;/D&gt;&lt;D xsi:type="xsd:double"&gt;20.833588&lt;/D&gt;&lt;D xsi:type="xsd:double"&gt;15.159249&lt;/D&gt;&lt;D xsi:type="xsd:double"&gt;2.9116392&lt;/D&gt;&lt;D xsi:type="xsd:double"&gt;6.683719&lt;/D&gt;&lt;D xsi:type="xsd:double"&gt;-3.5942972&lt;/D&gt;&lt;D xsi:type="xsd:double"&gt;-1.9457161&lt;/D&gt;&lt;D xsi:type="xsd:double"&gt;0.66150427&lt;/D&gt;&lt;D xsi:type="xsd:double"&gt;-8.467161&lt;/D&gt;&lt;D xsi:type="xsd:double"&gt;-0.060522556&lt;/D&gt;&lt;D xsi:type="xsd:double"&gt;2.349639&lt;/D&gt;&lt;D xsi:type="xsd:double"&gt;4.839349&lt;/D&gt;&lt;D xsi:type="xsd:double"&gt;7.920742&lt;/D&gt;&lt;D xsi:type="xsd:double"&gt;3.0856729&lt;/D&gt;&lt;D xsi:type="xsd:double"&gt;7.9176545&lt;/D&gt;&lt;D xsi:type="xsd:double"&gt;9.55925&lt;/D&gt;&lt;D xsi:type="xsd:double"&gt;-1.5262067&lt;/D&gt;&lt;D xsi:type="xsd:double"&gt;8.9450245&lt;/D&gt;&lt;D xsi:type="xsd:double"&gt;2.6252747&lt;/D&gt;&lt;D xsi:type="xsd:double"&gt;0.07858276&lt;/D&gt;&lt;D xsi:type="xsd:double"&gt;-0.98767877&lt;/D&gt;&lt;D xsi:type="xsd:double"&gt;-10.950476&lt;/D&gt;&lt;D xsi:type="xsd:double"&gt;-1.532203&lt;/D&gt;&lt;D xsi:type="xsd:double"&gt;-3.4693956&lt;/D&gt;&lt;D xsi:type="xsd:double"&gt;-8.211702&lt;/D&gt;&lt;D xsi:type="xsd:double"&gt;-9.94007&lt;/D&gt;&lt;D xsi:type="xsd:double"&gt;-9.13865&lt;/D&gt;&lt;D xsi:type="xsd:double"&gt;-3.9779365&lt;/D&gt;&lt;D xsi:type="xsd:double"&gt;3.9924026&lt;/D&gt;&lt;D xsi:type="xsd:double"&gt;1.776576&lt;/D&gt;&lt;D xsi:type="xsd:double"&gt;-0.49987435&lt;/D&gt;&lt;D xsi:type="xsd:double"&gt;3.9776087&lt;/D&gt;&lt;D xsi:type="xsd:double"&gt;12.589192&lt;/D&gt;&lt;D xsi:type="xsd:double"&gt;18.908775&lt;/D&gt;&lt;D xsi:type="xsd:double"&gt;12.125111&lt;/D&gt;&lt;D xsi:type="xsd:double"&gt;10.883724&lt;/D&gt;&lt;D xsi:type="xsd:double"&gt;22.563326&lt;/D&gt;&lt;D xsi:type="xsd:double"&gt;29.851341&lt;/D&gt;&lt;D xsi:type="xsd:double"&gt;29.521168&lt;/D&gt;&lt;D xsi:type="xsd:double"&gt;27.319277&lt;/D&gt;&lt;D xsi:type="xsd:double"&gt;31.511806&lt;/D&gt;&lt;D xsi:type="xsd:double"&gt;34.67933&lt;/D&gt;&lt;D xsi:type="xsd:double"&gt;35.781097&lt;/D&gt;&lt;D xsi:type="xsd:double"&gt;34.76882&lt;/D&gt;&lt;D xsi:type="xsd:double"&gt;36.563503&lt;/D&gt;&lt;D xsi:type="xsd:double"&gt;29.521679&lt;/D&gt;&lt;D xsi:type="xsd:double"&gt;24.476444&lt;/D&gt;&lt;D xsi:type="xsd:double"&gt;24.535084&lt;/D&gt;&lt;D xsi:type="xsd:double"&gt;13.500273&lt;/D&gt;&lt;D xsi:type="xsd:double"&gt;10.261941&lt;/D&gt;&lt;D xsi:type="xsd:double"&gt;7.7830195&lt;/D&gt;&lt;D xsi:type="xsd:double"&gt;2.3352265&lt;/D&gt;&lt;D xsi:type="xsd:double"&gt;-1.1048675&lt;/D&gt;&lt;D xsi:type="xsd:double"&gt;-8.832574&lt;/D&gt;&lt;D xsi:type="xsd:double"&gt;-6.5549316&lt;/D&gt;&lt;D xsi:type="xsd:double"&gt;-11.708575&lt;/D&gt;&lt;D xsi:type="xsd:double"&gt;-16.385752&lt;/D&gt;&lt;D xsi:</t>
        </r>
      </text>
    </comment>
    <comment ref="A5" authorId="0" shapeId="0" xr:uid="{161CCE30-47C6-49D1-BA9F-B4DA0EF20F28}">
      <text>
        <r>
          <rPr>
            <b/>
            <sz val="9"/>
            <color indexed="81"/>
            <rFont val="Tahoma"/>
            <charset val="1"/>
          </rPr>
          <t>type="xsd:double"&gt;-7.3039474&lt;/D&gt;&lt;D xsi:type="xsd:double"&gt;-6.0017347&lt;/D&gt;&lt;D xsi:type="xsd:double"&gt;-3.0400455&lt;/D&gt;&lt;D xsi:type="xsd:double"&gt;-3.7646055&lt;/D&gt;&lt;D xsi:type="xsd:double"&gt;-2.1070957&lt;/D&gt;&lt;D xsi:type="xsd:double"&gt;2.8215408&lt;/D&gt;&lt;D xsi:type="xsd:double"&gt;-0.8475244&lt;/D&gt;&lt;D xsi:type="xsd:double"&gt;8.607912&lt;/D&gt;&lt;D xsi:type="xsd:double"&gt;15.124369&lt;/D&gt;&lt;D xsi:type="xsd:double"&gt;17.317604&lt;/D&gt;&lt;D xsi:type="xsd:double"&gt;25.277351&lt;/D&gt;&lt;D xsi:type="xsd:double"&gt;30.084955&lt;/D&gt;&lt;D xsi:type="xsd:double"&gt;22.48013&lt;/D&gt;&lt;D xsi:type="xsd:double"&gt;-10.26085&lt;/D&gt;&lt;D xsi:type="xsd:double"&gt;-7.9931555&lt;/D&gt;&lt;D xsi:type="xsd:double"&gt;-5.0268946&lt;/D&gt;&lt;D xsi:type="xsd:double"&gt;5.304599&lt;/D&gt;&lt;D xsi:type="xsd:double"&gt;12.172389&lt;/D&gt;&lt;D xsi:type="xsd:double"&gt;20.483124&lt;/D&gt;&lt;D xsi:type="xsd:double"&gt;11.942827&lt;/D&gt;&lt;D xsi:type="xsd:double"&gt;16.919815&lt;/D&gt;&lt;D xsi:type="xsd:double"&gt;19.109608&lt;/D&gt;&lt;D xsi:type="xsd:double"&gt;20.36879&lt;/D&gt;&lt;D xsi:type="xsd:double"&gt;29.041302&lt;/D&gt;&lt;D xsi:type="xsd:double"&gt;33.864044&lt;/D&gt;&lt;D xsi:type="xsd:double"&gt;82.08716&lt;/D&gt;&lt;D xsi:type="xsd:double"&gt;73.81693&lt;/D&gt;&lt;D xsi:type="xsd:double"&gt;73.232315&lt;/D&gt;&lt;D xsi:type="xsd:double"&gt;59.361065&lt;/D&gt;&lt;D xsi:type="xsd:double"&gt;43.673264&lt;/D&gt;&lt;D xsi:type="xsd:double"&gt;45.645844&lt;/D&gt;&lt;D xsi:type="xsd:double"&gt;51.885986&lt;/D&gt;&lt;D xsi:type="xsd:double"&gt;39.92313&lt;/D&gt;&lt;D xsi:type="xsd:double"&gt;41.18017&lt;/D&gt;&lt;D xsi:type="xsd:double"&gt;21.59419&lt;/D&gt;&lt;D xsi:type="xsd:double"&gt;14.703822&lt;/D&gt;&lt;D xsi:type="xsd:double"&gt;-1.6004682&lt;/D&gt;&lt;D xsi:type="xsd:double"&gt;-12.321967&lt;/D&gt;&lt;D xsi:type="xsd:double"&gt;-14.903975&lt;/D&gt;&lt;D xsi:type="xsd:double"&gt;-20.445663&lt;/D&gt;&lt;D xsi:type="xsd:double"&gt;-29.736954&lt;/D&gt;&lt;D xsi:type="xsd:double"&gt;-30.060785&lt;/D&gt;&lt;D xsi:type="xsd:double"&gt;-23.105484&lt;/D&gt;&lt;D xsi:type="xsd:double"&gt;-34.81012&lt;/D&gt;&lt;D xsi:type="xsd:double"&gt;-40.252792&lt;/D&gt;&lt;D xsi:type="xsd:double"&gt;-28.046535&lt;/D&gt;&lt;D xsi:type="xsd:double"&gt;-16.15646&lt;/D&gt;&lt;D xsi:type="xsd:double"&gt;-13.224215&lt;/D&gt;&lt;D xsi:type="xsd:double"&gt;-3.366989&lt;/D&gt;&lt;D xsi:type="xsd:double"&gt;5.762279&lt;/D&gt;&lt;D xsi:type="xsd:double"&gt;7.6619983&lt;/D&gt;&lt;D xsi:type="xsd:double"&gt;18.641317&lt;/D&gt;&lt;D xsi:type="xsd:double"&gt;27.340721&lt;/D&gt;&lt;D xsi:type="xsd:double"&gt;36.440742&lt;/D&gt;&lt;D xsi:type="xsd:double"&gt;13.309431&lt;/D&gt;&lt;D xsi:type="xsd:double"&gt;18.334162&lt;/D&gt;&lt;D xsi:type="xsd:double"&gt;24.7913&lt;/D&gt;&lt;D xsi:type="xsd:double"&gt;12.761343&lt;/D&gt;&lt;D xsi:type="xsd:double"&gt;15.126753&lt;/D&gt;&lt;D xsi:type="xsd:double"&gt;6.6300154&lt;/D&gt;&lt;D xsi:type="xsd:double"&gt;11.941981&lt;/D&gt;&lt;D xsi:type="xsd:double"&gt;22.219574&lt;/D&gt;&lt;/FQL&gt;&lt;FQL&gt;&lt;Q&gt;SPY^FG_TOTAL_RETURNC(-10AY,0,AM)&lt;/Q&gt;&lt;R&gt;121&lt;/R&gt;&lt;C&gt;1&lt;/C&gt;&lt;D xsi:type="xsd:double"&gt;0.3477931&lt;/D&gt;&lt;D xsi:type="xsd:double"&gt;-0.49265623&lt;/D&gt;&lt;D xsi:type="xsd:double"&gt;3.3452988&lt;/D&gt;&lt;D xsi:type="xsd:double"&gt;2.6816964&lt;/D&gt;&lt;D xsi:type="xsd:double"&gt;2.2740483&lt;/D&gt;&lt;D xsi:type="xsd:double"&gt;-0.9311795&lt;/D&gt;&lt;D xsi:type="xsd:double"&gt;1.7215014&lt;/D&gt;&lt;D xsi:type="xsd:double"&gt;-5.298877&lt;/D&gt;&lt;D xsi:type="xsd:double"&gt;8.811939&lt;/D&gt;&lt;D xsi:type="xsd:double"&gt;-1.6402304&lt;/D&gt;&lt;D xsi:type="xsd:double"&gt;0.53452253&lt;/D&gt;&lt;D xsi:type="xsd:double"&gt;4.4409037&lt;/D&gt;&lt;D xsi:type="xsd:double"&gt;-1.8842638&lt;/D&gt;&lt;D xsi:type="xsd:double"&gt;2.2298098&lt;/D&gt;&lt;D xsi:type="xsd:double"&gt;1.2983918&lt;/D&gt;&lt;D xsi:type="xsd:double"&gt;-1.0367155&lt;/D&gt;&lt;D xsi:type="xsd:double"&gt;0.8092165&lt;/D&gt;&lt;D xsi:type="xsd:double"&gt;-0.5980611&lt;/D&gt;&lt;D xsi:type="xsd:double"&gt;-6.403404&lt;/D&gt;&lt;D xsi:type="xsd:double"&gt;2.2109866&lt;/D&gt;&lt;D xsi:type="xsd:double"&gt;1.630795&lt;/D&gt;&lt;D xsi:type="xsd:double"&gt;0.17814636&lt;/D&gt;&lt;D xsi:type="xsd:double"&gt;-4.834014&lt;/D&gt;&lt;D xsi:type="xsd:double"&gt;-2.7614176&lt;/D&gt;&lt;D xsi:type="xsd:double"&gt;8.5034485&lt;/D&gt;&lt;D xsi:type="xsd:double"&gt;3.2485247&lt;/D&gt;&lt;D xsi:type="xsd:double"&gt;-1.5624225&lt;/D&gt;&lt;D xsi:type="xsd:double"&gt;1.6018748&lt;/D&gt;&lt;D xsi:type="xsd:double"&gt;4.426348&lt;/D&gt;&lt;D xsi:type="xsd:double"&gt;1.0827422&lt;/D&gt;&lt;D xsi:type="xsd:double"&gt;-2.4306595&lt;/D&gt;&lt;D xsi:type="xsd:double"&gt;0.49299002&lt;/D&gt;&lt;D xsi:type="xsd:double"&gt;1.6281962&lt;/D&gt;&lt;D xsi:type="xsd:double"&gt;4.28921&lt;/D&gt;&lt;D xsi:type="xsd:double"&gt;1.1115551&lt;/D&gt;&lt;D xsi:type="xsd:double"&gt;2.928865&lt;/D&gt;&lt;D xsi:type="xsd:double"&gt;1.3692737&lt;/D&gt;&lt;D xsi:type="xsd:double"&gt;-1.4253259&lt;/D&gt;&lt;D xsi:type="xsd:double"&gt;2.7826786&lt;/D&gt;&lt;D xsi:type="xsd:double"&gt;2.2010207&lt;/D&gt;&lt;D xsi:type="xsd:double"&gt;1.0306835&lt;/D&gt;&lt;D xsi:type="xsd:double"&gt;0.39908886&lt;/D&gt;&lt;D xsi:type="xsd:double"&gt;1.439929&lt;/D&gt;&lt;D xsi:type="xsd:double"&gt;2.448368&lt;/D&gt;&lt;D xsi:type="xsd:double"&gt;1.0904193&lt;/D&gt;&lt;D xsi:type="xsd:double"&gt;3.0768633&lt;/D&gt;&lt;D xsi:type="xsd:double"&gt;5.145371&lt;/D&gt;&lt;D xsi:type="xsd:double"&gt;-2.9972732&lt;/D&gt;&lt;D xsi:type="xsd:double"&gt;2.1180272&lt;/D&gt;&lt;D xsi:type="xsd:double"&gt;-3.3016384&lt;/D&gt;&lt;D xsi:type="xsd:double"&gt;2.9530525&lt;/D&gt;&lt;D xsi:type="xsd:double"&gt;2.1063805&lt;/D&gt;&lt;D xsi:type="xsd:double"&gt;0.7593751&lt;/D&gt;&lt;D xsi:type="xsd:double"&gt;1.541543&lt;/D&gt;&lt;D xsi:type="xsd:double"&gt;2.45862&lt;/D&gt;&lt;D xsi:type="xsd:double"&gt;-4.702979&lt;/D&gt;&lt;D xsi:type="xsd:double"&gt;-2.0837128&lt;/D&gt;&lt;D xsi:type="xsd:double"&gt;-3.6010385&lt;/D&gt;&lt;D xsi:type="xsd:double"&gt;-0.5893111&lt;/D&gt;&lt;D xsi:type="xsd:double"&gt;6.596744&lt;/D&gt;&lt;D xsi:type="xsd:double"&gt;2.4710298&lt;/D&gt;&lt;D xsi:type="xsd:double"&gt;3.6533952&lt;/D&gt;&lt;D xsi:type="xsd:double"&gt;-2.3297548&lt;/D&gt;&lt;D xsi:type="xsd:double"&gt;2.0677567&lt;/D&gt;&lt;D xsi:type="xsd:double"&gt;4.443753&lt;/D&gt;&lt;D xsi:type="xsd:double"&gt;-5.5712643&lt;/D&gt;&lt;D xsi:type="xsd:double"&gt;6.0549498&lt;/D&gt;&lt;D xsi:type="xsd:double"&gt;-1.2511849&lt;/D&gt;&lt;D xsi:type="xsd:double"&gt;4.595363&lt;/D&gt;&lt;D xsi:type="xsd:double"&gt;2.5101066&lt;/D&gt;&lt;D xsi:type="xsd:double"&gt;3.6974907&lt;/D&gt;&lt;D xsi:type="xsd:double"&gt;3.0997038&lt;/D&gt;&lt;D xsi:type="xsd:double"&gt;-20.22512&lt;/D&gt;&lt;D xsi:type="xsd:double"&gt;6.020117&lt;/D&gt;&lt;D xsi:type="xsd:double"&gt;0.415802&lt;/D&gt;&lt;D xsi:type="xsd:double"&gt;6.751585&lt;/D&gt;&lt;D xsi:type="xsd:double"&gt;5.2995563&lt;/D&gt;&lt;D xsi:type="xsd:double"&gt;5.6189537&lt;/D&gt;&lt;D xsi:type="xsd:double"&gt;0.48093796&lt;/D&gt;&lt;D xsi:type="xsd:double"&gt;3.2143235&lt;/D&gt;&lt;D xsi:type="xsd:double"&gt;2.9229999&lt;/D&gt;&lt;D xsi:type="xsd:double"&gt;1.8318892&lt;/D&gt;&lt;D xsi:type="xsd:double"&gt;4.2285085&lt;/D&gt;&lt;D xsi:type="xsd:double"&gt;3.7467718&lt;/D&gt;&lt;D xsi:type="xsd:double"&gt;0.36164522&lt;/D&gt;&lt;D xsi:type="xsd:double"&gt;4.7555923&lt;/D&gt;&lt;D xsi:type="xsd:double"&gt;1.246798&lt;/D&gt;&lt;D xsi:type="xsd:double"&gt;2.0836353&lt;/D&gt;&lt;D xsi:type="xsd:double"&gt;2.9221177&lt;/D&gt;&lt;D xsi:type="xsd:double"&gt;2.2189617&lt;/D&gt;&lt;D xsi:type="xsd:double"&gt;-0.3924489&lt;/D&gt;&lt;D xsi:type="xsd:double"&gt;-0.0536561&lt;/D&gt;&lt;D xsi:type="xsd:double"&gt;5.5977345&lt;/D&gt;&lt;D xsi:type="xsd:double"&gt;-0.8367777&lt;/D&gt;&lt;D xsi:type="xsd:double"&gt;0.65039396&lt;/D&gt;&lt;D xsi:type="xsd:double"&gt;-5.5302143&lt;/D&gt;&lt;D xsi:type="xsd:double"&gt;-5.0157127&lt;/D&gt;&lt;D xsi:type="xsd:double"&gt;5.3082347&lt;/D&gt;&lt;D xsi:type="xsd:double"&gt;-8.239115&lt;/D&gt;&lt;D xsi:type="xsd:double"&gt;-6.9326935&lt;/D&gt;&lt;D xsi:type="xsd:double"&gt;1.5162468&lt;/D&gt;&lt;D xsi:type="xsd:double"&gt;13.016331&lt;/D&gt;&lt;D xsi:type="xsd:double"&gt;-7.609457&lt;/D&gt;&lt;D xsi:type="xsd:double"&gt;-8.993727&lt;/D&gt;&lt;D xsi:type="xsd:double"&gt;10.482895&lt;/D&gt;&lt;D xsi:type="xsd:double"&gt;1.083219&lt;/D&gt;&lt;D xsi:type="xsd:double"&gt;0.23839474&lt;/D&gt;&lt;D xsi:type="xsd:double"&gt;3.5483122&lt;/D&gt;&lt;D xsi:type="xsd:double"&gt;-5.0673723&lt;/D&gt;&lt;D xsi:type="xsd:double"&gt;5.6985497&lt;/D&gt;&lt;D xsi:type="xsd:double"&gt;-0.21092892&lt;/D&gt;&lt;D xsi:type="xsd:double"&gt;6.2173486&lt;/D&gt;&lt;D xsi:type="xsd:double"&gt;3.1508803&lt;/D&gt;&lt;D xsi:type="xsd:double"&gt;-0.26041865&lt;/D&gt;&lt;D xsi:type="xsd:double"&gt;0.5021095&lt;/D&gt;&lt;D xsi:type="xsd:double"&gt;-3.845632&lt;/D&gt;&lt;D xsi:type="xsd:double"&gt;3.9930463&lt;/D&gt;&lt;D xsi:type="xsd:double"&gt;5.1879764&lt;/D&gt;&lt;D xsi:type="xsd:double"&gt;1.399529&lt;/D&gt;&lt;D xsi:type="xsd:double"&gt;4.5921803&lt;/D&gt;&lt;D xsi:type="xsd:double"&gt;3.285396&lt;/D&gt;&lt;/FQL&gt;&lt;FQL&gt;&lt;Q&gt;EWU^FMA_DIV_YLD(NTMA,-10AY,0,AM,"PORTAGG","MEANR")&lt;/Q&gt;&lt;R&gt;121&lt;/R&gt;&lt;C&gt;1&lt;/C&gt;&lt;D xsi:type="xsd:double"&gt;4.00235640364743&lt;/D&gt;&lt;D xsi:type="xsd:double"&gt;3.95168338830844&lt;/D&gt;&lt;D xsi:type="xsd:double"&gt;3.80967024739782&lt;/D&gt;&lt;D xsi:type="xsd:double"&gt;3.85984902929679&lt;/D&gt;&lt;D xsi:type="xsd:double"&gt;3.87833846844669&lt;/D&gt;&lt;D xsi:type="xsd:double"&gt;3.96791090632845&lt;/D&gt;&lt;D xsi:type="xsd:double"&gt;3.92980686965837&lt;/D&gt;&lt;D xsi:type="xsd:double"&gt;4.22920832496579&lt;/D&gt;&lt;D xsi:type="xsd:double"&gt;4.06533360615068&lt;/D&gt;&lt;D xsi:type="xsd:double"&gt;4.29163473287798&lt;/D&gt;&lt;D xsi:type="xsd:double"&gt;4.28519284074933&lt;/D&gt;&lt;D xsi:type="xsd:double"&gt;3.96921039819391&lt;/D&gt;&lt;D xsi:type="xsd:double"&gt;4.06917449986335&lt;/D&gt;&lt;D xsi:type="xsd:double"&gt;3.88723304269849&lt;/D&gt;&lt;D xsi:type="xsd:double"&gt;3.86881018796264&lt;/D&gt;&lt;D xsi:type="xsd:double"&gt;4.01767392468039&lt;/D&gt;&lt;D xsi:type="xsd:double"&gt;4.07943708403233&lt;/D&gt;&lt;D xsi:type="xsd:double"&gt;4.15916149073414&lt;/D&gt;&lt;D xsi:type="xsd:double"&gt;4.51475660219788&lt;/D&gt;&lt;D xsi:type="xsd:double"&gt;4.3024774475636&lt;/D&gt;&lt;D xsi:type="xsd:double"&gt;4.39711418117795&lt;/D&gt;&lt;D xsi:type="xsd:double"&gt;4.53713356345013&lt;/D&gt;&lt;D xsi:type="xsd:double"&gt;4.53997475299604&lt;/D&gt;&lt;D xsi:type="xsd:double"&gt;4.65940023851053&lt;/D&gt;&lt;D xsi:type="xsd:double"&gt;4.35798772900708&lt;/D&gt;&lt;D xsi:type="xsd:double"&gt;4.23950500841555&lt;/D&gt;&lt;D xsi:type="xsd:double"&gt;4.38282741137914&lt;/D&gt;&lt;D xsi:type="xsd:double"&gt;4.55928389657697&lt;/D&gt;&lt;D xsi:type="xsd:double"&gt;4.15137081711764&lt;/D&gt;&lt;D xsi:type="xsd:double"&gt;4.06085857639101&lt;/D&gt;&lt;D xsi:type="xsd:double"&gt;4.24079190958924&lt;/D&gt;&lt;D xsi:type="xsd:double"&gt;4.2699743183425&lt;/D&gt;&lt;D xsi:type="xsd:double"&gt;4.44528282134332&lt;/D&gt;&lt;D xsi:type="xsd:double"&gt;4.32789089288405&lt;/D&gt;&lt;D xsi:type="xsd:double"&gt;4.22318648939383&lt;/D&gt;&lt;D xsi:type="xsd:double"&gt;4.25984733011411&lt;/D&gt;&lt;D xsi:type="xsd:double"&gt;4.3347633790409&lt;/D&gt;&lt;D xsi:type="xsd:double"&gt;4.34263509161154&lt;/D&gt;&lt;D xsi:type="xsd:double"&gt;4.25799264108268&lt;/D&gt;&lt;D xsi:type="xsd:double"&gt;4.2764289167943&lt;/D&gt;&lt;D xsi:type="xsd:double"&gt;4.28866480052332&lt;/D&gt;&lt;D xsi:type="xsd:double"&gt;4.34347495707769&lt;/D&gt;&lt;D xsi:type="xsd:double"&gt;4.35232067723128&lt;/D&gt;&lt;D xsi:type="xsd:double"&gt;4.2509955131102&lt;/D&gt;&lt;D xsi:type="xsd:double"&gt;4.3763012472775&lt;/D&gt;&lt;D xsi:type="xsd:double"&gt;4.33162361021579&lt;/D&gt;&lt;D xsi:type="xsd:double"&gt;4.137597051683&lt;/D&gt;&lt;D xsi:type="xsd:double"&gt;4.44248165334476&lt;/D&gt;&lt;D xsi:type="xsd:double"&gt;4.52346884178776&lt;/D&gt;&lt;D xsi:type="xsd:double"&gt;4.42221295537622&lt;/D&gt;&lt;D xsi:type="xsd:double"&gt;4.26534956420991&lt;/D&gt;&lt;D xsi:type="xsd:double"&gt;4.30750491935538&lt;/D&gt;&lt;D xsi:type="xsd:double"&gt;4.39811235034254&lt;/D&gt;&lt;D xsi:type="xsd:double"&gt;4.49189222161081&lt;/D&gt;&lt;D xsi:type="xsd:double"&gt;4.63551652907502&lt;/D&gt;&lt;D xsi:type="xsd:double"&gt;4.85521550953691&lt;/D&gt;&lt;D xsi:type="xsd:double"&gt;4.8790529522632&lt;/D&gt;&lt;D xsi:type="xsd:double"&gt;5.13514795276401&lt;/D&gt;&lt;D xsi:type="xsd:double"&gt;5.20819330860833&lt;/D&gt;&lt;D xsi:type="xsd:double"&gt;4.9819281164625&lt;/D&gt;&lt;D xsi:type="xsd:double"&gt;4.92694920168707&lt;/D&gt;&lt;D xsi:type="xsd:double"&gt;4.81619065104957&lt;/D&gt;&lt;D xsi:type="xsd:double"&gt;4.98460037368189&lt;/D&gt;&lt;D xsi:type="xsd:double"&gt;4.84418453366357&lt;/D&gt;&lt;D xsi:type="xsd:double"&gt;4.78301237239974&lt;/D&gt;&lt;D xsi:type="xsd:double"&gt;5.15525927026355&lt;/D&gt;&lt;D xsi:type="xsd:double"&gt;4.90812993352614&lt;/D&gt;&lt;D xsi:type="xsd:double"&gt;4.95678980656819&lt;/D&gt;&lt;D xsi:type="xsd:double"&gt;4.83127084397814&lt;/D&gt;&lt;D xsi:type="xsd:double"&gt;4.67015391506006&lt;/D&gt;&lt;D xsi:type="xsd:double"&gt;4.56293291705727&lt;/D&gt;&lt;D xsi:type="xsd:double"&gt;4.70109236989143&lt;/D&gt;&lt;D xsi:type="xsd:double"&gt;6.64820306413493&lt;/D&gt;&lt;D xsi:type="xsd:double"&gt;5.74647895223002&lt;/D&gt;&lt;D xsi:type="xsd:double"&gt;4.61189717494629&lt;/D&gt;&lt;D xsi:type="xsd:double"&gt;4.15143675976307&lt;/D&gt;&lt;D xsi:type="xsd:double"&gt;4.06571656128498&lt;/D&gt;&lt;D xsi:type="xsd:double"&gt;3.96615615010635&lt;/D&gt;&lt;D xsi:type="xsd:double"&gt;4.09299707157577&lt;/D&gt;&lt;D xsi:type="xsd:double"&gt;4.25694749848651&lt;/D&gt;&lt;D xsi:type="xsd:double"&gt;4.0399656851572&lt;/D&gt;&lt;D xsi:type="xsd:double"&gt;3.91688619648532&lt;/D&gt;&lt;D xsi:type="xsd:double"&gt;3.8292912714064&lt;/D&gt;&lt;D xsi:type="xsd:double"&gt;3.98490796682858&lt;/D&gt;&lt;D xsi:type="xsd:double"&gt;3.96184288109783&lt;/D&gt;&lt;D xsi:type="xsd:double"&gt;3.97549669336824&lt;/D&gt;&lt;D xsi:type="xsd:double"&gt;3.90126087527332&lt;/D&gt;&lt;D xsi:type="xsd:double"&gt;3.87224654138621&lt;/D&gt;&lt;D xsi:type="xsd:double"&gt;4.03147336729397&lt;/D&gt;&lt;D xsi:type="xsd:double"&gt;4.12219733097678&lt;/D&gt;&lt;D xsi:type="xsd:double"&gt;4.23192087003174&lt;/D&gt;&lt;D xsi:type="xsd:double"&gt;4.08612878498688&lt;/D&gt;&lt;D xsi:type="xsd:double"&gt;4.01891917399117&lt;/D&gt;&lt;D xsi:type="xsd:double"&gt;4.0453931184567&lt;/D&gt;&lt;D xsi:type="xsd:double"&gt;3.82058456617092&lt;/D&gt;&lt;D xsi:type="xsd:double"&gt;3.83399139506521&lt;/D&gt;&lt;D xsi:type="xsd:double"&gt;4.15317569985007&lt;/D&gt;&lt;D xsi:type="xsd:double"&gt;3.93120684931638&lt;/D&gt;&lt;D xsi:type="xsd:double"&gt;4.17814770763849&lt;/D&gt;&lt;D xsi:type="xsd:double"&gt;4.35481751144485&lt;/D&gt;&lt;D xsi:type="xsd:double"&gt;4.47822845381623&lt;/D&gt;&lt;D xsi:type="xsd:double"&gt;4.18285712063798&lt;/D&gt;&lt;D xsi:type="xsd:double"&gt;4.44526712783655&lt;/D&gt;&lt;D xsi:type="xsd:double"&gt;4.68958048151192&lt;/D&gt;&lt;D xsi:type="xsd:double"&gt;4.3447647426352&lt;/D&gt;&lt;D xsi:type="xsd:double"&gt;4.20127145313295&lt;/D&gt;&lt;D xsi:type="xsd:double"&gt;4.05015353895335&lt;/D&gt;&lt;D xsi:type="xsd:double"&gt;4.05124218906178&lt;/D&gt;&lt;D xsi:type="xsd:double"&gt;4.26646503137895&lt;/D&gt;&lt;D xsi:type="xsd:double"&gt;4.13920454034218&lt;/D&gt;&lt;D xsi:type="xsd:double"&gt;4.27309789399246&lt;/D&gt;&lt;D xsi:type="xsd:double"&gt;4.34791052318018&lt;/D&gt;&lt;D xsi:type="xsd:double"&gt;4.3963499957914&lt;/D&gt;&lt;D xsi:type="xsd:double"&gt;4.45062180400165&lt;/D&gt;&lt;D xsi:type="xsd:double"&gt;4.40898735100376&lt;/D&gt;&lt;D xsi:type="xsd:double"&gt;4.48346140414167&lt;/D&gt;&lt;D xsi:type="xsd:double"&gt;4.53204521662589&lt;/D&gt;&lt;D xsi:type="xsd:double"&gt;4.30282356059069&lt;/D&gt;&lt;D xsi:type="xsd:double"&gt;4.32317105563279&lt;/D&gt;&lt;D xsi:type="xsd:double"&gt;4.32174332582991&lt;/D&gt;&lt;D xsi:type="xsd:double"&gt;4.1144916583532&lt;/D&gt;&lt;/FQL&gt;&lt;FQL&gt;&lt;Q&gt;EWJ^FMA_PE(NTMA,-10AY,0,AM,"PORTAGG","MEANR")&lt;/Q&gt;&lt;R&gt;121&lt;/R&gt;&lt;C&gt;1&lt;/C&gt;&lt;D xsi:type="xsd:double"&gt;12.8914243496855&lt;/D&gt;&lt;D xsi:type="xsd:double"&gt;12.5142846150365&lt;/D&gt;&lt;D xsi:type="xsd:double"&gt;13.0333164035511&lt;/D&gt;&lt;D xsi:type="xsd:double"&gt;13.6718209818312&lt;/D&gt;&lt;D xsi:type="xsd:double"&gt;13.7409236200759&lt;/D&gt;&lt;D xsi:type="xsd:double"&gt;13.6205984266201&lt;/D&gt;&lt;D xsi:type="xsd:double"&gt;13.9407136115072&lt;/D&gt;&lt;D xsi:type="xsd:double"&gt;12.8248077967044&lt;/D&gt;&lt;D xsi:type="xsd:double"&gt;14.6319284028082&lt;/D&gt;&lt;D xsi:type="xsd:double"&gt;14.2531287900094&lt;/D&gt;&lt;D xsi:type="xsd:double"&gt;13.6706235662865&lt;/D&gt;&lt;D xsi:type="xsd:double"&gt;14.4092456046216&lt;/D&gt;&lt;D xsi:type="xsd:double"&gt;15.4135775920773&lt;/D&gt;&lt;D xsi:type="xsd:double"&gt;15.6355005353714&lt;/D&gt;&lt;D xsi:type="xsd:double"&gt;15.7117664012768&lt;/D&gt;&lt;D xsi:type="xsd:double"&gt;15.9038899955519&lt;/D&gt;&lt;D xsi:type="xsd:double"&gt;15.4182173453989&lt;/D&gt;&lt;D xsi:type="xsd:double"&gt;15.434675539156&lt;/D&gt;&lt;D xsi:type="xsd:double"&gt;13.4665111330003&lt;/D&gt;&lt;D xsi:type="xsd:double"&gt;13.5418585351691&lt;/D&gt;&lt;D xsi:type="xsd:double"&gt;14.6459822527216&lt;/D&gt;&lt;D xsi:type="xsd:double"&gt;13.9464802048396&lt;/D&gt;&lt;D xsi:type="xsd:double"&gt;12.7697352241119&lt;/D&gt;&lt;D xsi:type="xsd:double"&gt;11.0013808009965&lt;/D&gt;&lt;D xsi:type="xsd:double"&gt;13.138122922812&lt;/D&gt;&lt;D xsi:type="xsd:double"&gt;13.1421089166391&lt;/D&gt;&lt;D xsi:type="xsd:double"&gt;12.8965821603457&lt;/D&gt;&lt;D xsi:type="xsd:double"&gt;12.7754159432461&lt;/D&gt;&lt;D xsi:type="xsd:double"&gt;13.3985752098176&lt;/D&gt;&lt;D xsi:type="xsd:double"&gt;13.4356193501105&lt;/D&gt;&lt;D xsi:type="xsd:double"&gt;13.2999594412237&lt;/D&gt;&lt;D xsi:type="xsd:double"&gt;13.4380329423782&lt;/D&gt;&lt;D xsi:type="xsd:double"&gt;13.8853193551402&lt;/D&gt;&lt;D xsi:type="xsd:double"&gt;15.0204019145494&lt;/D&gt;&lt;D xsi:type="xsd:double"&gt;14.8336948170236&lt;/D&gt;&lt;D xsi:type="xsd:double"&gt;14.3853435249018&lt;/D&gt;&lt;D xsi:type="xsd:double"&gt;14.3761185713015&lt;/D&gt;&lt;D xsi:type="xsd:double"&gt;13.3281886615521&lt;/D&gt;&lt;D xsi:type="xsd:double"&gt;14.3116276988095&lt;/D&gt;&lt;D xsi:type="xsd:double"&gt;14.3092292147053&lt;/D&gt;&lt;D xsi:type="xsd:double"&gt;14.3062999319394&lt;/D&gt;&lt;D xsi:type="xsd:double"&gt;13.7489015538162&lt;/D&gt;&lt;D xsi:type="xsd:double"&gt;13.6749069125515&lt;/D&gt;&lt;D xsi:type="xsd:double"&gt;14.1903557112306&lt;/D&gt;&lt;D xsi:type="xsd:double"&gt;14.6476581399916&lt;/D&gt;&lt;D xsi:type="xsd:double"&gt;14.6565436790564&lt;/D&gt;&lt;D xsi:type="xsd:double"&gt;15.2294733698464&lt;/D&gt;&lt;D xsi:type="xsd:double"&gt;13.4598658637301&lt;/D&gt;&lt;D xsi:type="xsd:double"&gt;13.0351207947885&lt;/D&gt;&lt;D xsi:type="xsd:double"&gt;12.8753621804691&lt;/D&gt;&lt;D xsi:type="xsd:double"&gt;13.4424746464146&lt;/D&gt;&lt;D xsi:type="xsd:double"&gt;13.1675870114407&lt;/D&gt;&lt;D xsi:type="xsd:double"&gt;12.8050528997419&lt;/D&gt;&lt;D xsi:type="xsd:double"&gt;12.581886703337&lt;/D&gt;&lt;D xsi:type="xsd:double"&gt;12.6494566729728&lt;/D&gt;&lt;D xsi:type="xsd:double"&gt;12.421521541262&lt;/D&gt;&lt;D xsi:type="xsd:double"&gt;12.0079052358416&lt;/D&gt;&lt;D xsi:type="xsd:double"&gt;11.7721150439616&lt;/D&gt;&lt;D xsi:type="xsd:double"&gt;11.5233332795712&lt;/D&gt;&lt;D xsi:type="xsd:double"&gt;12.2115704467784&lt;/D&gt;&lt;D xsi:type="xsd:double"&gt;12.4473522194652&lt;/D&gt;&lt;D xsi:type="xsd:double"&gt;12.6040045673112&lt;/D&gt;&lt;D xsi:type="xsd:double"&gt;12.1346035165889&lt;/D&gt;&lt;D xsi:type="xsd:double"&gt;12.5867009091973&lt;/D&gt;&lt;D xsi:type="xsd:double"&gt;12.9252043577657&lt;/D&gt;&lt;D xsi:type="xsd:double"&gt;12.3593948792242&lt;/D&gt;&lt;D xsi:type="xsd:double"&gt;13.4384653972499&lt;/D&gt;&lt;D xsi:type="xsd:double"&gt;13.2624010209468&lt;/D&gt;&lt;D xsi:type="xsd:double"&gt;14.0215655061178&lt;/D&gt;&lt;D xsi:type="xsd:double"&gt;14.7145609286569&lt;/D&gt;&lt;D xsi:type="xsd:double"&gt;14.7112760644336&lt;/D&gt;&lt;D xsi:type="xsd:double"&gt;14.363900356377&lt;/D&gt;&lt;D xsi:type="xsd:double"&gt;10.9717310958284&lt;/D&gt;&lt;D xsi:type="xsd:double"&gt;13.2104810835872&lt;/D&gt;&lt;D xsi:type="xsd:double"&gt;14.1995745868415&lt;/D&gt;&lt;D xsi:type="xsd:double"&gt;17.2579856193933&lt;/D&gt;&lt;D xsi:type="xsd:double"&gt;17.7801132915672&lt;/D&gt;&lt;D xsi:type="xsd:double"&gt;17.9868563309234&lt;/D&gt;&lt;D xsi:type="xsd:double"&gt;18.5631729837401&lt;/D&gt;&lt;D xsi:type="xsd:double"&gt;18.0881908368275&lt;/D&gt;&lt;D xsi:type="xsd:double"&gt;18.2440398593218&lt;/D&gt;&lt;D xsi:type="xsd:double"&gt;18.4653286945993&lt;/D&gt;&lt;D xsi:type="xsd:double"&gt;18.877918577142&lt;/D&gt;&lt;D xsi:type="xsd:double"&gt;18.9153677713221&lt;/D&gt;&lt;D xsi:type="xsd:double"&gt;17.962679578018&lt;/D&gt;&lt;D xsi:type="xsd:double"&gt;17.3527860170988&lt;/D&gt;&lt;D xsi:type="xsd:double"&gt;16.2251686397118&lt;/D&gt;&lt;D xsi:type="xsd:double"&gt;16.5277352777783&lt;/D&gt;&lt;D xsi:type="xsd:double"&gt;16.2714039015602&lt;/D&gt;&lt;D xsi:type="xsd:double"&gt;15.6944564996077&lt;/D&gt;&lt;D xsi:type="xsd:double"&gt;16.2900926631656&lt;/D&gt;&lt;D xsi:type="xsd:double"&gt;15.1267102236444&lt;/D&gt;&lt;D xsi:type="xsd:double"&gt;15.4044345899898&lt;/D&gt;&lt;D xsi:type="xsd:double"&gt;14.4650439415818&lt;/D&gt;&lt;D xsi:type="xsd:double"&gt;14.3255593852813&lt;/D&gt;&lt;D xsi:type="xsd:double"&gt;13.6397394306165&lt;/D&gt;&lt;D xsi:type="xsd:double"&gt;12.3777454991292&lt;/D&gt;&lt;D xsi:type="xsd:double"&gt;12.9832706077435&lt;/D&gt;&lt;D xsi:type="xsd:double"&gt;12.5939109367175&lt;/D&gt;&lt;D xsi:type="xsd:double"&gt;12.4304045373824&lt;/D&gt;&lt;D xsi:type="xsd:double"&gt;12.4540796038497&lt;/D&gt;&lt;D xsi:type="xsd:double"&gt;12.9635297716022&lt;/D&gt;&lt;D xsi:type="xsd:double"&gt;12.7084530101531&lt;/D&gt;&lt;D xsi:type="xsd:double"&gt;12.2793186445071&lt;/D&gt;&lt;D xsi:type="xsd:double"&gt;12.7279877587195&lt;/D&gt;&lt;D xsi:type="xsd:double"&gt;12.8372689194063&lt;/D&gt;&lt;D xsi:type="xsd:double"&gt;12.3664819874094&lt;/D&gt;&lt;D xsi:type="xsd:double"&gt;13.0702143011785&lt;/D&gt;&lt;D xsi:type="xsd:double"&gt;12.7989169085457&lt;/D&gt;&lt;D xsi:type="xsd:double"&gt;13.274932652591&lt;/D&gt;&lt;D xsi:type="xsd:double"&gt;13.7494743247834&lt;/D&gt;&lt;D xsi:type="xsd:double"&gt;15.0198144617325&lt;/D&gt;&lt;D xsi:type="xsd:double"&gt;14.4659054693794&lt;/D&gt;&lt;D xsi:type="xsd:double"&gt;14.3672831617725&lt;/D&gt;&lt;D xsi:type="xsd:double"&gt;14.9725264844866&lt;/D&gt;&lt;D xsi:type="xsd:double"&gt;14.2682235064226&lt;/D&gt;&lt;D xsi:type="xsd:double"&gt;14.2598075645272&lt;/D&gt;&lt;D xsi:type="xsd:double"&gt;13.8515072200999&lt;/D&gt;&lt;D xsi:type="xsd:double"&gt;14.8105719967006&lt;/D&gt;&lt;D xsi:type="xsd:double"&gt;15.1192793879173&lt;/D&gt;&lt;D xsi:type="xsd:double"&gt;15.2504713833785&lt;/D&gt;&lt;/FQL&gt;&lt;FQL&gt;&lt;Q&gt;EWC^FMA_PE(LTMA,-10AY,0,AM,"PORTAGG","MEANR")&lt;/Q&gt;&lt;R&gt;121&lt;/R&gt;&lt;C&gt;1&lt;/C&gt;&lt;D xsi:type="xsd:double"&gt;16.5065788514138&lt;/D&gt;&lt;D xsi:type="xsd:double"&gt;16.3222948995573&lt;/D&gt;&lt;D xsi:type="xsd:double"&gt;16.2831227255021&lt;/D&gt;&lt;D xsi:type="xsd:double"&gt;16.2574871176846&lt;/D&gt;&lt;D xsi:type="xsd:double"&gt;16.2747093865094&lt;/D&gt;&lt;D xsi:type="xsd:double"&gt;16.3085304228902&lt;/D&gt;&lt;D xsi:type="xsd:double"&gt;16.4250048759668&lt;/D&gt;&lt;D xsi:type="xsd:double"&gt;15.1619084395346&lt;/D&gt;&lt;D xsi:type="xsd:double"&gt;15.8154587589195&lt;/D&gt;&lt;D xsi:type="xsd:double"&gt;14.8072666396075&lt;/D&gt;&lt;D xsi:type="xsd:double"&gt;15.0262115588083&lt;/D&gt;&lt;D xsi:type="xsd:double"&gt;16.6524746640292&lt;/D&gt;&lt;D xsi:type="xsd:double"&gt;16.9688255904431&lt;/D&gt;&lt;D xsi:type="xsd:double"&gt;17.2376487369614&lt;/D&gt;&lt;D xsi:type="xsd:double"&gt;17.2048413820052&lt;/D&gt;&lt;D xsi:type="xsd:double"&gt;17.1208002137&lt;/D&gt;&lt;D xsi:type="xsd:double"&gt;17.0462559258917&lt;/D&gt;&lt;D xsi:type="xsd:double"&gt;16.9580897846264&lt;/D&gt;&lt;D xsi:type="xsd:double"&gt;16.3528793849223&lt;/D&gt;&lt;D xsi:type="xsd:double"&gt;16.990800063271&lt;/D&gt;&lt;D xsi:type="xsd:double"&gt;16.3304639807208&lt;/D&gt;&lt;D xsi:type="xsd:double"&gt;15.7798277317411&lt;/D&gt;&lt;D xsi:type="xsd:double"&gt;14.9728995395304&lt;/D&gt;&lt;D xsi:type="xsd:double"&gt;14.9497150856927&lt;/D&gt;&lt;D xsi:type="xsd:double"&gt;15.8977705693712&lt;/D&gt;&lt;D xsi:type="xsd:double"&gt;16.1510800275984&lt;/D&gt;&lt;D xsi:type="xsd:double"&gt;16.4473021211926&lt;/D&gt;&lt;D xsi:type="xsd:double"&gt;16.6357913016486&lt;/D&gt;&lt;D xsi:type="xsd:double"&gt;17.1448765806728&lt;/D&gt;&lt;D xsi:type="xsd:double"&gt;17.4514686515311&lt;/D&gt;&lt;D xsi:type="xsd:double"&gt;17.3912959437356&lt;/D&gt;&lt;D xsi:type="xsd:double"&gt;17.8748831438829&lt;/D&gt;&lt;D xsi:type="xsd:double"&gt;18.3346141789876&lt;/D&gt;&lt;D xsi:type="xsd:double"&gt;19.0948079547502&lt;/D&gt;&lt;D xsi:type="xsd:double"&gt;19.5543775533161&lt;/D&gt;&lt;D xsi:type="xsd:double"&gt;19.8518931884839&lt;/D&gt;&lt;D xsi:type="xsd:double"&gt;19.2454657404148&lt;/D&gt;&lt;D xsi:type="xsd:double"&gt;18.9603326297772&lt;/D&gt;&lt;D xsi:type="xsd:double"&gt;18.6533510647507&lt;/D&gt;&lt;D xsi:type="xsd:double"&gt;18.1767146171044&lt;/D&gt;&lt;D xsi:type="xsd:double"&gt;18.0113469672725&lt;/D&gt;&lt;D xsi:type="xsd:double"&gt;17.7810724719591&lt;/D&gt;&lt;D xsi:type="xsd:double"&gt;17.3907531941439&lt;/D&gt;&lt;D xsi:type="xsd:double"&gt;17.5562818092178&lt;/D&gt;&lt;D xsi:type="xsd:double"&gt;17.2827140864976&lt;/D&gt;&lt;D xsi:type="xsd:double"&gt;17.1468149338984&lt;/D&gt;&lt;D xsi:type="xsd:double"&gt;17.271454816987&lt;/D&gt;&lt;D xsi:type="xsd:double"&gt;15.9838026018429&lt;/D&gt;&lt;D xsi:type="xsd:double"&gt;15.8137523496978&lt;/D&gt;&lt;D xsi:type="xsd:double"&gt;15.5799164297714&lt;/D&gt;&lt;D xsi:type="xsd:double"&gt;15.6478512729144&lt;/D&gt;&lt;D xsi:type="xsd:double"&gt;15.6192375412968&lt;/D&gt;&lt;D xsi:type="xsd:double"&gt;15.5761536672732&lt;/D&gt;&lt;D xsi:type="xsd:double"&gt;15.4048604312738&lt;/D&gt;&lt;D xsi:type="xsd:double"&gt;15.0159706571943&lt;/D&gt;&lt;D xsi:type="xsd:double"&gt;14.5102549502659&lt;/D&gt;&lt;D xsi:type="xsd:double"&gt;14.0894551377937&lt;/D&gt;&lt;D xsi:type="xsd:double"&gt;13.490435769898&lt;/D&gt;&lt;D xsi:type="xsd:double"&gt;13.7638066823999&lt;/D&gt;&lt;D xsi:type="xsd:double"&gt;14.5629747558736&lt;/D&gt;&lt;D xsi:type="xsd:double"&gt;14.7282302374944&lt;/D&gt;&lt;D xsi:type="xsd:double"&gt;14.7010571244936&lt;/D&gt;&lt;D xsi:type="xsd:double"&gt;14.4910415693674&lt;/D&gt;&lt;D xsi:type="xsd:double"&gt;14.4515406449411&lt;/D&gt;&lt;D xsi:type="xsd:double"&gt;14.4831957247194&lt;/D&gt;&lt;D xsi:type="xsd:double"&gt;14.225744112938&lt;/D&gt;&lt;D xsi:type="xsd:double"&gt;14.6400822436633&lt;/D&gt;&lt;D xsi:type="xsd:double"&gt;14.5614836273438&lt;/D&gt;&lt;D xsi:type="xsd:double"&gt;15.0892731212539&lt;/D&gt;&lt;D xsi:type="xsd:double"&gt;15.158617801813&lt;/D&gt;&lt;D xsi:type="xsd:double"&gt;15.4621847005137&lt;/D&gt;&lt;D xsi:type="xsd:double"&gt;15.7344230156377&lt;/D&gt;&lt;D xsi:type="xsd:double"&gt;14.0171229787097&lt;/D&gt;&lt;D xsi:type="xsd:double"&gt;14.8845147001551&lt;/D&gt;&lt;D xsi:type="xsd:double"&gt;16.3066162135362&lt;/D&gt;&lt;D xsi:type="xsd:double"&gt;17.0070582743184&lt;/D&gt;&lt;D xsi:type="xsd:double"&gt;17.7180658772199&lt;/D&gt;&lt;D xsi:type="xsd:double"&gt;18.1787020406619&lt;/D&gt;&lt;D xsi:type="xsd:double"&gt;18.341906231444&lt;/D&gt;&lt;D xsi:type="xsd:double"&gt;18.8115074190254&lt;/D&gt;&lt;D xsi:type="xsd:double"&gt;19.1834456162841&lt;/D&gt;&lt;D xsi:type="xsd:double"&gt;20.0837626547858&lt;/D&gt;&lt;D xsi:type="xsd:double"&gt;21.195952122587&lt;/D&gt;&lt;D xsi:type="xsd:double"&gt;20.9761429933679&lt;/D&gt;&lt;D xsi:type="xsd:double"&gt;19.8566267002582&lt;/D&gt;&lt;D xsi:type="xsd:double"&gt;19.4506723417828&lt;/D&gt;&lt;D xsi:type="xsd:double"&gt;18.991606527611&lt;/D&gt;&lt;D xsi:type="xsd:double"&gt;18.649971276045&lt;/D&gt;&lt;D xsi:type="xsd:double"&gt;18.1111113085828&lt;/D&gt;&lt;D xsi:type="xsd:double"&gt;17.5551770236694&lt;/D&gt;&lt;D xsi:type="xsd:double"&gt;16.8925796747867&lt;/D&gt;&lt;D xsi:type="xsd:double"&gt;16.651207499189&lt;/D&gt;&lt;D xsi:type="xsd:double"&gt;16.6119244869799&lt;/D&gt;&lt;D xsi:type="xsd:double"&gt;15.3671520986897&lt;/D&gt;&lt;D xsi:type="xsd:double"&gt;15.5671639505639&lt;/D&gt;&lt;D xsi:type="xsd:double"&gt;15.5243855114656&lt;/D&gt;&lt;D xsi:type="xsd:double"&gt;15.0765765439325&lt;/D&gt;&lt;D xsi:type="xsd:double"&gt;14.9320499078101&lt;/D&gt;&lt;D xsi:type="xsd:double"&gt;14.3108687395819&lt;/D&gt;&lt;D xsi:type="xsd:double"&gt;13.8251181852824&lt;/D&gt;&lt;D xsi:type="xsd:double"&gt;13.0090463585379&lt;/D&gt;&lt;D xsi:type="xsd:double"&gt;13.3467989073145&lt;/D&gt;&lt;D xsi:type="xsd:double"&gt;12.8354542473158&lt;/D&gt;&lt;D xsi:type="xsd:double"&gt;11.9861223582625&lt;/D&gt;&lt;D xsi:type="xsd:double"&gt;12.5856553164725&lt;/D&gt;&lt;D xsi:type="xsd:double"&gt;12.482905825692&lt;/D&gt;&lt;D xsi:type="xsd:double"&gt;12.632659695047&lt;/D&gt;&lt;D xsi:type="xsd:double"&gt;12.9047180099484&lt;/D&gt;&lt;D xsi:type="xsd:double"&gt;12.5400261409678&lt;/D&gt;&lt;D xsi:type="xsd:double"&gt;12.7615777286765&lt;/D&gt;&lt;D xsi:type="xsd:double"&gt;12.8502503556866&lt;/D&gt;&lt;D xsi:type="xsd:double"&gt;12.9414822716816&lt;/D&gt;&lt;D xsi:type="xsd:double"&gt;13.2771766078323&lt;/D&gt;&lt;D xsi:type="xsd:double"&gt;13.4389387863888&lt;/D&gt;&lt;D xsi:type="xsd:double"&gt;13.7553569026303&lt;/D&gt;&lt;D xsi:type="xsd:double"&gt;13.2488895583534&lt;/D&gt;&lt;D xsi:type="xsd:double"&gt;13.589353712999&lt;/D&gt;&lt;D xsi:type="xsd:double"&gt;14.3376313654919&lt;/D&gt;&lt;D xsi:type="xsd:double"&gt;14.595242895602&lt;/D&gt;&lt;D xsi:type="xsd:double"&gt;14.5069282904497&lt;/D&gt;&lt;D xsi:type="xsd:double"&gt;14.9420327585893&lt;/D&gt;&lt;/FQL&gt;&lt;FQL&gt;&lt;Q&gt;WL-FDS^FG_PRICE_CHANGE(0,-3AM)&lt;/Q&gt;&lt;R&gt;1&lt;/R&gt;&lt;C&gt;1&lt;/C&gt;&lt;D xsi:type="xsd:double"&gt;-2.50555026958453&lt;/D&gt;&lt;/FQL&gt;&lt;FQL&gt;&lt;Q&gt;NI-FDS^FG_PRICE_CHANGE(0,-3AM)&lt;/Q&gt;&lt;R&gt;1&lt;/R&gt;&lt;C&gt;1&lt;/C&gt;&lt;D xsi:type="xsd:double"&gt;7.60606060606062&lt;/D&gt;&lt;/FQL&gt;&lt;FQL&gt;&lt;Q&gt;CPALM-FDS^FG_PRICE_CHANGE(0,-3AM)&lt;/Q&gt;&lt;R&gt;1&lt;/R&gt;&lt;C&gt;1&lt;/C&gt;&lt;D xsi:type="xsd:double"&gt;20.2443765620661&lt;/D&gt;&lt;/FQL&gt;&lt;FQL&gt;&lt;Q&gt;BRENT-FDS^FG_PRICE_CHANGE(0,-3AM)&lt;/Q&gt;&lt;R&gt;1&lt;/R&gt;&lt;C&gt;1&lt;/C&gt;&lt;D xsi:type="xsd:double"&gt;0&lt;/D&gt;&lt;/FQL&gt;&lt;FQL&gt;&lt;Q&gt;TIOS-FDS^FG_PRICE_CHANGE(0,-3AM)&lt;/Q&gt;&lt;R&gt;1&lt;/R&gt;&lt;C&gt;1&lt;/C&gt;&lt;D xsi:type="xsd:double"&gt;-17.955923679929&lt;/D&gt;&lt;/FQL&gt;&lt;FQL&gt;&lt;Q&gt;FC0000CH^FG_PRICE(0)&lt;/Q&gt;&lt;R&gt;1&lt;/R&gt;&lt;C&gt;1&lt;/C&gt;&lt;D xsi:type="xsd:double"&gt;330.3604&lt;/D&gt;&lt;/FQL&gt;&lt;FQL&gt;&lt;Q&gt;FC0000AU^FG_PRICE(0)&lt;/Q&gt;&lt;R&gt;1&lt;/R&gt;&lt;C&gt;1&lt;/C&gt;&lt;D xsi:type="xsd:double"&gt;355.5656&lt;/D&gt;&lt;/FQL&gt;&lt;FQL&gt;&lt;Q&gt;EWN^FG_PRICE_MAVG(0,,,,200)&lt;/Q&gt;&lt;R&gt;1&lt;/R&gt;&lt;C&gt;1&lt;/C&gt;&lt;D xsi:type="xsd:double"&gt;42.59108&lt;/D&gt;&lt;/FQL&gt;&lt;FQL&gt;&lt;Q&gt;EWU^FG_PRICE_MAVG(0,,,,200)&lt;/Q&gt;&lt;R&gt;1&lt;/R&gt;&lt;C&gt;1&lt;/C&gt;&lt;D xsi:type="xsd:double"&gt;32.2374&lt;/D&gt;&lt;/FQL&gt;&lt;FQL&gt;&lt;Q&gt;EWC^FG_PRICE_MAVG(0,,,,200)&lt;/Q&gt;&lt;R&gt;1&lt;/R&gt;&lt;C&gt;1&lt;/C&gt;&lt;D xsi:type="xsd:double"&gt;34.91975&lt;/D&gt;&lt;/FQL&gt;&lt;FQL&gt;&lt;Q&gt;SPY^FG_TOTAL_RETURNC(0,-6AM)&lt;/Q&gt;&lt;R&gt;1&lt;/R&gt;&lt;C&gt;1&lt;/C&gt;&lt;D xsi:type="xsd:double"&gt;15.216184&lt;/D&gt;&lt;/FQL&gt;&lt;FQL&gt;&lt;Q&gt;VGK^FG_TOTAL_RETURNC(0,-6AM)&lt;/Q&gt;&lt;R&gt;1&lt;/R&gt;&lt;C&gt;1&lt;/C&gt;&lt;D xsi:type="xsd:double"&gt;12.6433735&lt;/D&gt;&lt;/FQL&gt;&lt;FQL&gt;&lt;Q&gt;EWQ^FG_TOTAL_RETURNC(0,-6AM)&lt;/Q&gt;&lt;R&gt;1&lt;/R&gt;&lt;C&gt;1&lt;/C&gt;&lt;D xsi:type="xsd:double"&gt;12.95706&lt;/D&gt;&lt;/FQL&gt;&lt;FQL&gt;&lt;Q&gt;EWL^FG_TOTAL_RETURNC(0,-6AM)&lt;/Q&gt;&lt;R&gt;1&lt;/R&gt;&lt;C&gt;1&lt;/C&gt;&lt;D xsi:type="xsd:double"&gt;6.452322&lt;/D&gt;&lt;/FQL&gt;&lt;FQL&gt;&lt;Q&gt;EWA^FG_TOTAL_RETURNC(0,-6AM)&lt;/Q&gt;&lt;R&gt;1&lt;/R&gt;&lt;C&gt;1&lt;/C&gt;&lt;D xsi:type="xsd:double"&gt;10.241628&lt;/D&gt;&lt;/FQL&gt;&lt;FQL&gt;&lt;Q&gt;URTH^PERCENT_CHANGE(FMA_EPS(+1,0,,,,"PORTAGG","MEAN"),FMA_EPS(+1,-1AM,,,,"PORTAGG","MEAN"))&lt;/Q&gt;&lt;R&gt;1&lt;/R&gt;&lt;C&gt;1&lt;/C&gt;&lt;D xsi:type="xsd:double"&gt;0.713897876530525&lt;/D&gt;&lt;/FQL&gt;&lt;FQL&gt;&lt;Q&gt;EWN^FMA_PCT_ABOVE_MAVG(200,0,,,,"PORTAGG")&lt;/Q&gt;&lt;R&gt;1&lt;/R&gt;&lt;C&gt;1&lt;/C&gt;&lt;D xsi:type="xsd:double"&gt;61.1111111111111&lt;/D&gt;&lt;/FQL&gt;&lt;FQL&gt;&lt;Q&gt;FXI^FMA_COS_DOWN("EPS","1M",+1,0,,,"PORTAGG","MEANR")&lt;/Q&gt;&lt;R&gt;1&lt;/R&gt;&lt;C&gt;1&lt;/C&gt;&lt;D xsi:type="xsd:double"&gt;19&lt;/D&gt;&lt;/FQL&gt;&lt;FQL&gt;&lt;Q&gt;VGK^FMA_COS_UP("EPS","1M",+1,0,,,"PORTAGG","MEANR")&lt;/Q&gt;&lt;R&gt;1&lt;/R&gt;&lt;C&gt;1&lt;/C&gt;&lt;D xsi:type="xsd:double"&gt;397&lt;/D&gt;&lt;/FQL&gt;&lt;FQL&gt;&lt;Q&gt;QQQ^SIZE(FG_CONSTITUENTS)&lt;/Q&gt;&lt;R&gt;1&lt;/R&gt;&lt;C&gt;1&lt;/C&gt;&lt;D xsi:type="xsd:long"&gt;102&lt;/D&gt;&lt;/FQL&gt;&lt;FQL&gt;&lt;Q&gt;EWC^FMA_COS_DOWN("EPS","1M",+1,0,,,"PORTAGG","MEANR")&lt;/Q&gt;&lt;R&gt;1&lt;/R&gt;&lt;C&gt;1&lt;/C&gt;&lt;D xsi:type="xsd:double"&gt;42&lt;/D&gt;&lt;/FQL&gt;&lt;FQL&gt;&lt;Q&gt;EWA^FMA_RBICS_REV_CURRENT(30, LOC, "PORTAGG")&lt;/Q&gt;&lt;R&gt;1&lt;/R&gt;&lt;C&gt;1&lt;/C&gt;&lt;D xsi:type="xsd:double"&gt;40.7151096463949&lt;/D&gt;&lt;/FQL&gt;&lt;FQL&gt;&lt;Q&gt;REFEUREFI-FDS^FG_YIELD(NOW,,,0)&lt;/Q&gt;&lt;R&gt;1&lt;/R&gt;&lt;C&gt;1&lt;/C&gt;&lt;D xsi:type="xsd:double"&gt;4.5&lt;/D&gt;&lt;/FQL&gt;&lt;FQL&gt;&lt;Q&gt;REFCHMPR-FDS^PROPER_NAME(0,,,"SECURITY","NAME")&lt;/Q&gt;&lt;R&gt;1&lt;/R&gt;&lt;C&gt;1&lt;/C&gt;&lt;D xsi:type="xsd:string"&gt;Swiss Policy Rate - Sight Deposit Rate&lt;/D&gt;&lt;/FQL&gt;&lt;FQL&gt;&lt;Q&gt;TRYIT10Y-FDS^PCTCHG(FG_YIELD(0,,,,"YTM"),FG_YIELD(-3AM,,,,"YTM"))&lt;/Q&gt;&lt;R&gt;1&lt;/R&gt;&lt;C&gt;1&lt;/C&gt;&lt;D xsi:type="xsd:double"&gt;-4.6407924&lt;/D&gt;&lt;/FQL&gt;&lt;FQL&gt;&lt;Q&gt;TRYJP10Y-FDS^PCTCHG(FG_YIELD(0,,,,"YTM"),FG_YIELD(-3AM,,,,"YTM"))&lt;/Q&gt;&lt;R&gt;1&lt;/R&gt;&lt;C&gt;1&lt;/C&gt;&lt;D xsi:type="xsd:double"&gt;12.913131&lt;/D&gt;&lt;/FQL&gt;&lt;FQL&gt;&lt;Q&gt;EWU^FMA_ROE(NTMA,-20AY,NOW,FY,"PORTAGG","MEANR")&lt;/Q&gt;&lt;R&gt;20&lt;/R&gt;&lt;C&gt;1&lt;/C&gt;&lt;D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xsi:type="xsd:double"&gt;14.732463877154&lt;/D&gt;&lt;/FQL&gt;&lt;FQL&gt;&lt;Q&gt;TRYMX10Y-FDS^FG_YIELD(-10AY,0,Y,,"YTM")&lt;/Q&gt;&lt;R&gt;10&lt;/R&gt;&lt;C&gt;1&lt;/C&gt;&lt;D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xsi:type="xsd:double"&gt;6.6087&lt;/D&gt;&lt;/FQL&gt;&lt;FQL&gt;&lt;Q&gt;EWC^FG_PRICE_MAVG(0,,,,60)&lt;/Q&gt;&lt;R&gt;1&lt;/R&gt;&lt;C&gt;1&lt;/C&gt;&lt;D xsi:type="xsd:double"&gt;36.551&lt;/D&gt;&lt;/FQL&gt;&lt;FQL&gt;&lt;Q&gt;VGK^FG_TOTAL_RETURNC(0,-3AM)&lt;/Q&gt;&lt;R&gt;1&lt;/R&gt;&lt;C&gt;1&lt;/C&gt;&lt;D xsi:type="xsd:double"&gt;5.320728&lt;/D&gt;&lt;/FQL&gt;&lt;FQL&gt;&lt;Q&gt;EWL^FG_TOTAL_RETURNC(0,-3AM)&lt;/Q&gt;&lt;R&gt;1&lt;/R&gt;&lt;C&gt;1&lt;/C&gt;&lt;D xsi:type="xsd:double"&gt;2.4586678&lt;/D&gt;&lt;/FQL&gt;&lt;FQL&gt;&lt;Q&gt;URTH^FMA_PCT_ABOVE_MAVG(200,0,,,,"PORTAGG")&lt;/Q&gt;&lt;R&gt;1&lt;/R&gt;&lt;C&gt;1&lt;/C&gt;&lt;D xsi:type="xsd:double"&gt;71.448087431694&lt;/D&gt;&lt;/FQL&gt;&lt;FQL&gt;&lt;Q&gt;FXI^FMA_COS_UP("EPS","1M",+1,0,,,"PORTAGG","MEANR")&lt;/Q&gt;&lt;R&gt;1&lt;/R&gt;&lt;C&gt;1&lt;/C&gt;&lt;D xsi:type="xsd:double"&gt;18&lt;/D&gt;&lt;/FQL&gt;&lt;FQL&gt;&lt;Q&gt;EWI^SIZE(FG_CONSTITUENTS)&lt;/Q&gt;&lt;R&gt;1&lt;/R&gt;&lt;C&gt;1&lt;/C&gt;&lt;D xsi:type="xsd:long"&gt;26&lt;/D&gt;&lt;/FQL&gt;&lt;FQL&gt;&lt;Q&gt;QQQ^FMA_COS_DOWN("EPS","1M",+1,0,,,"PORTAGG","MEANR")&lt;/Q&gt;&lt;R&gt;1&lt;/R&gt;&lt;C&gt;1&lt;/C&gt;&lt;D xsi:type="xsd:double"&gt;40&lt;/D&gt;&lt;/FQL&gt;&lt;FQL&gt;&lt;Q&gt;EWC^FMA_COS_UP("EPS","1M",+1,0,,,"PORTAGG","MEANR")&lt;/Q&gt;&lt;R&gt;1&lt;/R&gt;&lt;C&gt;1&lt;/C&gt;&lt;D xsi:type="xsd:double"&gt;33&lt;/D&gt;&lt;/FQL&gt;&lt;FQL&gt;&lt;Q&gt;REFEUREFI-FDS^PROPER_NAME(0,,,"SECURITY","NAME")&lt;/Q&gt;&lt;R&gt;1&lt;/R&gt;&lt;C&gt;1&lt;/C&gt;&lt;D xsi:type="xsd:string"&gt;Eurozone Main Refinancing Operations Minimum Bid Rate&lt;/D&gt;&lt;/FQL&gt;&lt;FQL&gt;&lt;Q&gt;TRYNL10Y-FDS^FG_YIELD_NAME&lt;/Q&gt;&lt;R&gt;1&lt;/R&gt;&lt;C&gt;1&lt;/C&gt;&lt;D xsi:type="xsd:string"&gt;Netherlands Benchmark Bond - 10 Year&lt;/D&gt;&lt;/FQL&gt;&lt;FQL&gt;&lt;Q&gt;CC_AU^IMF_IFS_RCPI_Q(0)&lt;/Q&gt;&lt;R&gt;1&lt;/R&gt;&lt;C&gt;1&lt;/C&gt;&lt;D xsi:type="xsd:double"&gt;4.051988&lt;/D&gt;&lt;/FQL&gt;&lt;FQL&gt;&lt;Q&gt;EWN^FG_FCF_YIELD_NTM(0)&lt;/Q&gt;&lt;R&gt;1&lt;/R&gt;&lt;C&gt;1&lt;/C&gt;&lt;D xsi:type="xsd:double"&gt;4.02242126532412&lt;/D&gt;&lt;/FQL&gt;&lt;FQL&gt;&lt;Q&gt;SPY^FMA_PE(NTMA,0,,,"PORTAGG","MEANR")&lt;/Q&gt;&lt;R&gt;1&lt;/R&gt;&lt;C&gt;1&lt;/C&gt;&lt;D xsi:type="xsd:double"&gt;20.5854571411061&lt;/D&gt;&lt;/FQL&gt;&lt;FQL&gt;&lt;Q&gt;CAGDPY@GB^EE_ACTUAL_ANNUAL(MED,+1)&lt;/Q&gt;&lt;R&gt;1&lt;/R&gt;&lt;C&gt;1&lt;/C&gt;&lt;D xsi:type="xsd:double"&gt;-3.2&lt;/D&gt;&lt;/FQL&gt;&lt;FQL&gt;&lt;Q&gt;CC_GB^FG_COMPANY_NAME&lt;/Q&gt;&lt;R&gt;1&lt;/R&gt;&lt;C&gt;1&lt;/C&gt;&lt;D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xsi:type="xsd:double"&gt;3.09323290152321&lt;/D&gt;&lt;/FQL&gt;&lt;FQL&gt;&lt;Q&gt;USDCHF^STD(FG_PRICE_CHANGE(0,-1AY,AM))&lt;/Q&gt;&lt;R&gt;1&lt;/R&gt;&lt;C&gt;1&lt;/C&gt;&lt;D xsi:type="xsd:double"&gt;2.28290830043572&lt;/D&gt;&lt;/FQL&gt;&lt;FQL&gt;&lt;Q&gt;USDUSD^STD(FG_PRICE_CHANGE(0,-1AY,AM))&lt;/Q&gt;&lt;R&gt;1&lt;/R&gt;&lt;C&gt;1&lt;/C&gt;&lt;D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xsi:type="xsd:double"&gt;2.16792121696743&lt;/D&gt;&lt;/FQL&gt;&lt;FQL&gt;&lt;Q&gt;USDAUD^STD(FG_PRICE_CHANGE(0,-1AY,AM))&lt;/Q&gt;&lt;R&gt;1&lt;/R&gt;&lt;C&gt;1&lt;/C&gt;&lt;D xsi:type="xsd:double"&gt;2.86359292306942&lt;/D&gt;&lt;/FQL&gt;&lt;FQL&gt;&lt;Q&gt;EWD^FMA_EPS(NTMA,-20AY,0,CY,,"PORTAGG","MEANR")&lt;/Q&gt;&lt;R&gt;20&lt;/R&gt;&lt;C&gt;1&lt;/C&gt;&lt;D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xsi:type="xsd:double"&gt;2.04500090470961&lt;/D&gt;&lt;D xsi:type="xsd:double"&gt;2.21381527836792&lt;/D&gt;&lt;D xsi:type="xsd:double"&gt;2.4898156587914&lt;/D&gt;&lt;D xsi:type="xsd:double"&gt;2.56419575016557&lt;/D&gt;&lt;D xsi:type="xsd:double"&gt;2.5100925842499&lt;/D&gt;&lt;/FQL&gt;&lt;FQL&gt;&lt;Q&gt;EWQ^P_PRICE_RETURNS_PR('52W',2,-10AY,0,AM)&lt;/Q&gt;&lt;R&gt;121&lt;/R&gt;&lt;C&gt;1&lt;/C&gt;&lt;D xsi:type="xsd:double"&gt;19.304157&lt;/D&gt;&lt;D xsi:type="xsd:double"&gt;26.056421&lt;/D&gt;&lt;D xsi:type="xsd:double"&gt;23.214828&lt;/D&gt;&lt;D xsi:type="xsd:double"&gt;23.036062&lt;/D&gt;&lt;D xsi:type="xsd:double"&gt;20.459318&lt;/D&gt;&lt;D xsi:type="xsd:double"&gt;5.598688&lt;/D&gt;&lt;D xsi:type="xsd:double"&gt;7.7589035&lt;/D&gt;&lt;D xsi:type="xsd:double"&gt;-8.000219&lt;/D&gt;&lt;D xsi:type="xsd:double"&gt;-5.8820605&lt;/D&gt;&lt;D xsi:type="xsd:double"&gt;-6.2788067&lt;/D&gt;&lt;D xsi:type="xsd:double"&gt;-11.834335&lt;/D&gt;&lt;D xsi:type="xsd:double"&gt;-5.017638&lt;/D&gt;&lt;D xsi:type="xsd:double"&gt;-7.412946&lt;/D&gt;&lt;D xsi:type="xsd:double"&gt;-5.373955&lt;/D&gt;&lt;D xsi:type="xsd:double"&gt;-4.486835&lt;/D&gt;&lt;D xsi:type="xsd:double"&gt;-7.9854546&lt;/D&gt;&lt;D xsi:type="xsd:double"&gt;-4.148352&lt;/D&gt;&lt;D xsi:type="xsd:double"&gt;1.1137843&lt;/D&gt;&lt;D xsi:type="xsd:double"&gt;-8.070856&lt;/D&gt;&lt;D xsi:type="xsd:double"&gt;6.253338&lt;/D&gt;&lt;D xsi:type="xsd:double"&gt;0.9666681&lt;/D&gt;&lt;D xsi:type="xsd:double"&gt;0.38747787&lt;/D&gt;&lt;D xsi:type="xsd:double"&gt;-3.2390118&lt;/D&gt;&lt;D xsi:type="xsd:double"&gt;-14.604235&lt;/D&gt;&lt;D xsi:type="xsd:double"&gt;-2.3289561&lt;/D&gt;&lt;D xsi:type="xsd:double"&gt;-6.475645&lt;/D&gt;&lt;D xsi:type="xsd:double"&gt;-10.476565&lt;/D&gt;&lt;D xsi:type="xsd:double"&gt;-12.924409&lt;/D&gt;&lt;D xsi:type="xsd:double"&gt;-9.094894&lt;/D&gt;&lt;D xsi:type="xsd:double"&gt;-6.85944&lt;/D&gt;&lt;D xsi:type="xsd:double"&gt;</t>
        </r>
      </text>
    </comment>
    <comment ref="A6" authorId="0" shapeId="0" xr:uid="{A18E70BD-2310-49F9-BC0B-1F91C79D82BF}">
      <text>
        <r>
          <rPr>
            <b/>
            <sz val="9"/>
            <color indexed="81"/>
            <rFont val="Tahoma"/>
            <charset val="1"/>
          </rPr>
          <t>-0.9332478&lt;/D&gt;&lt;D xsi:type="xsd:double"&gt;-4.4199944&lt;/D&gt;&lt;D xsi:type="xsd:double"&gt;-2.5702477&lt;/D&gt;&lt;D xsi:type="xsd:double"&gt;3.7198424&lt;/D&gt;&lt;D xsi:type="xsd:double"&gt;14.870989&lt;/D&gt;&lt;D xsi:type="xsd:double"&gt;18.14438&lt;/D&gt;&lt;D xsi:type="xsd:double"&gt;8.465791&lt;/D&gt;&lt;D xsi:type="xsd:double"&gt;9.577894&lt;/D&gt;&lt;D xsi:type="xsd:double"&gt;22.933805&lt;/D&gt;&lt;D xsi:type="xsd:double"&gt;31.356943&lt;/D&gt;&lt;D xsi:type="xsd:double"&gt;27.93355&lt;/D&gt;&lt;D xsi:type="xsd:double"&gt;24.571383&lt;/D&gt;&lt;D xsi:type="xsd:double"&gt;31.362797&lt;/D&gt;&lt;D xsi:type="xsd:double"&gt;34.1259&lt;/D&gt;&lt;D xsi:type="xsd:double"&gt;33.632053&lt;/D&gt;&lt;D xsi:type="xsd:double"&gt;30.014956&lt;/D&gt;&lt;D xsi:type="xsd:double"&gt;33.193897&lt;/D&gt;&lt;D xsi:type="xsd:double"&gt;29.142666&lt;/D&gt;&lt;D xsi:type="xsd:double"&gt;27.437866&lt;/D&gt;&lt;D xsi:type="xsd:double"&gt;26.306879&lt;/D&gt;&lt;D xsi:type="xsd:double"&gt;15.739512&lt;/D&gt;&lt;D xsi:type="xsd:double"&gt;12.221098&lt;/D&gt;&lt;D xsi:type="xsd:double"&gt;9.896255&lt;/D&gt;&lt;D xsi:type="xsd:double"&gt;5.207169&lt;/D&gt;&lt;D xsi:type="xsd:double"&gt;3.271675&lt;/D&gt;&lt;D xsi:type="xsd:double"&gt;-4.043764&lt;/D&gt;&lt;D xsi:type="xsd:double"&gt;-5.367279&lt;/D&gt;&lt;D xsi:type="xsd:double"&gt;-10.682076&lt;/D&gt;&lt;D xsi:type="xsd:double"&gt;-15.832591&lt;/D&gt;&lt;D xsi:type="xsd:double"&gt;-9.220558&lt;/D&gt;&lt;D xsi:type="xsd:double"&gt;-4.6086907&lt;/D&gt;&lt;D xsi:type="xsd:double"&gt;-2.9061913&lt;/D&gt;&lt;D xsi:type="xsd:double"&gt;-7.522571&lt;/D&gt;&lt;D xsi:type="xsd:double"&gt;-4.5561194&lt;/D&gt;&lt;D xsi:type="xsd:double"&gt;0.93997717&lt;/D&gt;&lt;D xsi:type="xsd:double"&gt;-3.5280943&lt;/D&gt;&lt;D xsi:type="xsd:double"&gt;1.6843796&lt;/D&gt;&lt;D xsi:type="xsd:double"&gt;6.7599297&lt;/D&gt;&lt;D xsi:type="xsd:double"&gt;14.990187&lt;/D&gt;&lt;D xsi:type="xsd:double"&gt;20.465624&lt;/D&gt;&lt;D xsi:type="xsd:double"&gt;24.870777&lt;/D&gt;&lt;D xsi:type="xsd:double"&gt;17.885256&lt;/D&gt;&lt;D xsi:type="xsd:double"&gt;-17.904293&lt;/D&gt;&lt;D xsi:type="xsd:double"&gt;-18.137478&lt;/D&gt;&lt;D xsi:type="xsd:double"&gt;-20.143175&lt;/D&gt;&lt;D xsi:type="xsd:double"&gt;-8.392745&lt;/D&gt;&lt;D xsi:type="xsd:double"&gt;-6.5441847&lt;/D&gt;&lt;D xsi:type="xsd:double"&gt;3.3149362&lt;/D&gt;&lt;D xsi:type="xsd:double"&gt;-2.2399783&lt;/D&gt;&lt;D xsi:type="xsd:double"&gt;-4.330635&lt;/D&gt;&lt;D xsi:type="xsd:double"&gt;1.1226773&lt;/D&gt;&lt;D xsi:type="xsd:double"&gt;4.0495157&lt;/D&gt;&lt;D xsi:type="xsd:double"&gt;5.479598&lt;/D&gt;&lt;D xsi:type="xsd:double"&gt;6.151724&lt;/D&gt;&lt;D xsi:type="xsd:double"&gt;63.366936&lt;/D&gt;&lt;D xsi:type="xsd:double"&gt;51.18756&lt;/D&gt;&lt;D xsi:type="xsd:double"&gt;68.410385&lt;/D&gt;&lt;D xsi:type="xsd:double"&gt;48.366844&lt;/D&gt;&lt;D xsi:type="xsd:double"&gt;35.645283&lt;/D&gt;&lt;D xsi:type="xsd:double"&gt;36.040306&lt;/D&gt;&lt;D xsi:type="xsd:double"&gt;32.64922&lt;/D&gt;&lt;D xsi:type="xsd:double"&gt;36.339546&lt;/D&gt;&lt;D xsi:type="xsd:double"&gt;30.47434&lt;/D&gt;&lt;D xsi:type="xsd:double"&gt;17.656076&lt;/D&gt;&lt;D xsi:type="xsd:double"&gt;19.507551&lt;/D&gt;&lt;D xsi:type="xsd:double"&gt;12.39649&lt;/D&gt;&lt;D xsi:type="xsd:double"&gt;-2.7154207&lt;/D&gt;&lt;D xsi:type="xsd:double"&gt;-2.1361828&lt;/D&gt;&lt;D xsi:type="xsd:double"&gt;-10.230666&lt;/D&gt;&lt;D xsi:type="xsd:double"&gt;-19.558174&lt;/D&gt;&lt;D xsi:type="xsd:double"&gt;-19.457489&lt;/D&gt;&lt;D xsi:type="xsd:double"&gt;-12.212217&lt;/D&gt;&lt;D xsi:type="xsd:double"&gt;-17.883514&lt;/D&gt;&lt;D xsi:type="xsd:double"&gt;-24.414587&lt;/D&gt;&lt;D xsi:type="xsd:double"&gt;-14.115381&lt;/D&gt;&lt;D xsi:type="xsd:double"&gt;-5.508232&lt;/D&gt;&lt;D xsi:type="xsd:double"&gt;-4.096675&lt;/D&gt;&lt;D xsi:type="xsd:double"&gt;3.935802&lt;/D&gt;&lt;D xsi:type="xsd:double"&gt;13.091636&lt;/D&gt;&lt;D xsi:type="xsd:double"&gt;18.47713&lt;/D&gt;&lt;D xsi:type="xsd:double"&gt;27.204704&lt;/D&gt;&lt;D xsi:type="xsd:double"&gt;29.572916&lt;/D&gt;&lt;D xsi:type="xsd:double"&gt;40.293633&lt;/D&gt;&lt;D xsi:type="xsd:double"&gt;20.035494&lt;/D&gt;&lt;D xsi:type="xsd:double"&gt;26.611637&lt;/D&gt;&lt;D xsi:type="xsd:double"&gt;28.015757&lt;/D&gt;&lt;D xsi:type="xsd:double"&gt;16.455341&lt;/D&gt;&lt;D xsi:type="xsd:double"&gt;17.747677&lt;/D&gt;&lt;D xsi:type="xsd:double"&gt;9.004629&lt;/D&gt;&lt;D xsi:type="xsd:double"&gt;7.107222&lt;/D&gt;&lt;D xsi:type="xsd:double"&gt;17.097736&lt;/D&gt;&lt;/FQL&gt;&lt;FQL&gt;&lt;Q&gt;QQQ^FG_TOTAL_RETURNC(-10AY,0,AM)&lt;/Q&gt;&lt;R&gt;121&lt;/R&gt;&lt;C&gt;1&lt;/C&gt;&lt;D xsi:type="xsd:double"&gt;-0.86200833&lt;/D&gt;&lt;D xsi:type="xsd:double"&gt;-4.176986&lt;/D&gt;&lt;D xsi:type="xsd:double"&gt;3.6097765&lt;/D&gt;&lt;D xsi:type="xsd:double"&gt;5.1121473&lt;/D&gt;&lt;D xsi:type="xsd:double"&gt;4.0915728&lt;/D&gt;&lt;D xsi:type="xsd:double"&gt;1.1373162&lt;/D&gt;&lt;D xsi:type="xsd:double"&gt;2.6307702&lt;/D&gt;&lt;D xsi:type="xsd:double"&gt;-6.321746&lt;/D&gt;&lt;D xsi:type="xsd:double"&gt;11.025059&lt;/D&gt;&lt;D xsi:type="xsd:double"&gt;-0.53284764&lt;/D&gt;&lt;D xsi:type="xsd:double"&gt;-1.3009131&lt;/D&gt;&lt;D xsi:type="xsd:double"&gt;5.893433&lt;/D&gt;&lt;D xsi:type="xsd:double"&gt;-1.4685333&lt;/D&gt;&lt;D xsi:type="xsd:double"&gt;1.9697785&lt;/D&gt;&lt;D xsi:type="xsd:double"&gt;2.248764&lt;/D&gt;&lt;D xsi:type="xsd:double"&gt;-0.75743794&lt;/D&gt;&lt;D xsi:type="xsd:double"&gt;1.6230106&lt;/D&gt;&lt;D xsi:type="xsd:double"&gt;0.22673607&lt;/D&gt;&lt;D xsi:type="xsd:double"&gt;-4.7597528&lt;/D&gt;&lt;D xsi:type="xsd:double"&gt;0.8944869&lt;/D&gt;&lt;D xsi:type="xsd:double"&gt;3.691113&lt;/D&gt;&lt;D xsi:type="xsd:double"&gt;1.6296387&lt;/D&gt;&lt;D xsi:type="xsd:double"&gt;-6.4817905&lt;/D&gt;&lt;D xsi:type="xsd:double"&gt;-5.813396&lt;/D&gt;&lt;D xsi:type="xsd:double"&gt;8.82473&lt;/D&gt;&lt;D xsi:type="xsd:double"&gt;4.292023&lt;/D&gt;&lt;D xsi:type="xsd:double"&gt;-4.8864007&lt;/D&gt;&lt;D xsi:type="xsd:double"&gt;2.3980975&lt;/D&gt;&lt;D xsi:type="xsd:double"&gt;3.9354205&lt;/D&gt;&lt;D xsi:type="xsd:double"&gt;4.661536&lt;/D&gt;&lt;D xsi:type="xsd:double"&gt;-1.160413&lt;/D&gt;&lt;D xsi:type="xsd:double"&gt;1.3756037&lt;/D&gt;&lt;D xsi:type="xsd:double"&gt;-2.1427393&lt;/D&gt;&lt;D xsi:type="xsd:double"&gt;4.86784&lt;/D&gt;&lt;D xsi:type="xsd:double"&gt;2.7580976&lt;/D&gt;&lt;D xsi:type="xsd:double"&gt;4.360175&lt;/D&gt;&lt;D xsi:type="xsd:double"&gt;2.1473527&lt;/D&gt;&lt;D xsi:type="xsd:double"&gt;-0.47112107&lt;/D&gt;&lt;D xsi:type="xsd:double"&gt;6.2883496&lt;/D&gt;&lt;D xsi:type="xsd:double"&gt;0.8297205&lt;/D&gt;&lt;D xsi:type="xsd:double"&gt;1.9744515&lt;/D&gt;&lt;D xsi:type="xsd:double"&gt;1.2735724&lt;/D&gt;&lt;D xsi:type="xsd:double"&gt;1.1325002&lt;/D&gt;&lt;D xsi:type="xsd:double"&gt;2.1334887&lt;/D&gt;&lt;D xsi:type="xsd:double"&gt;3.3504128&lt;/D&gt;&lt;D xsi:type="xsd:double"&gt;1.6763449&lt;/D&gt;&lt;D xsi:type="xsd:double"&gt;5.7425976&lt;/D&gt;&lt;D xsi:type="xsd:double"&gt;-1.1003792&lt;/D&gt;&lt;D xsi:type="xsd:double"&gt;5.532336&lt;/D&gt;&lt;D xsi:type="xsd:double"&gt;-5.8498025&lt;/D&gt;&lt;D xsi:type="xsd:double"&gt;5.1930428&lt;/D&gt;&lt;D xsi:type="xsd:double"&gt;4.62445&lt;/D&gt;&lt;D xsi:type="xsd:double"&gt;1.3485551&lt;/D&gt;&lt;D xsi:type="xsd:double"&gt;1.024437&lt;/D&gt;&lt;D xsi:type="xsd:double"&gt;1.3998389&lt;/D&gt;&lt;D xsi:type="xsd:double"&gt;-5.085826&lt;/D&gt;&lt;D xsi:type="xsd:double"&gt;-5.231762&lt;/D&gt;&lt;D xsi:type="xsd:double"&gt;-2.4939418&lt;/D&gt;&lt;D xsi:type="xsd:double"&gt;-0.8338511&lt;/D&gt;&lt;D xsi:type="xsd:double"&gt;7.502985&lt;/D&gt;&lt;D xsi:type="xsd:double"&gt;3.206408&lt;/D&gt;&lt;D xsi:type="xsd:double"&gt;5.352056&lt;/D&gt;&lt;D xsi:type="xsd:double"&gt;-2.846694&lt;/D&gt;&lt;D xsi:type="xsd:double"&gt;1.1631846&lt;/D&gt;&lt;D xsi:type="xsd:double"&gt;6.1965823&lt;/D&gt;&lt;D xsi:type="xsd:double"&gt;-5.565029&lt;/D&gt;&lt;D xsi:type="xsd:double"&gt;5.351281&lt;/D&gt;&lt;D xsi:type="xsd:double"&gt;-0.5529523&lt;/D&gt;&lt;D xsi:type="xsd:double"&gt;5.4110646&lt;/D&gt;&lt;D xsi:type="xsd:double"&gt;2.8595567&lt;/D&gt;&lt;D xsi:type="xsd:double"&gt;6.4508557&lt;/D&gt;&lt;D xsi:type="xsd:double"&gt;6.61577&lt;/D&gt;&lt;D xsi:type="xsd:double"&gt;-18.027615&lt;/D&gt;&lt;D xsi:type="xsd:double"&gt;10.38307&lt;/D&gt;&lt;D xsi:type="xsd:double"&gt;4.7059417&lt;/D&gt;&lt;D xsi:type="xsd:double"&gt;6.333685&lt;/D&gt;&lt;D xsi:type="xsd:double"&gt;10.572195&lt;/D&gt;&lt;D xsi:type="xsd:double"&gt;4.528177&lt;/D&gt;&lt;D xsi:type="xsd:double"&gt;1.1022925&lt;/D&gt;&lt;D xsi:type="xsd:double"&gt;6.2959194&lt;/D&gt;&lt;D xsi:type="xsd:double"&gt;-0.38690567&lt;/D&gt;&lt;D xsi:type="xsd:double"&gt;4.5062423&lt;/D&gt;&lt;D xsi:type="xsd:double"&gt;3.5788655&lt;/D&gt;&lt;D xsi:type="xsd:double"&gt;7.03038&lt;/D&gt;&lt;D xsi:type="xsd:double"&gt;-6.238675&lt;/D&gt;&lt;D xsi:type="xsd:double"&gt;6.804955&lt;/D&gt;&lt;D xsi:type="xsd:double"&gt;-3.0073404&lt;/D&gt;&lt;D xsi:type="xsd:double"&gt;5.551636&lt;/D&gt;&lt;D xsi:type="xsd:double"&gt;5.5087924&lt;/D&gt;&lt;D xsi:type="xsd:double"&gt;1.5837193&lt;/D&gt;&lt;D xsi:type="xsd:double"&gt;1.7461061&lt;/D&gt;&lt;D xsi:type="xsd:double"&gt;-2.1891594&lt;/D&gt;&lt;D xsi:type="xsd:double"&gt;7.6562166&lt;/D&gt;&lt;D xsi:type="xsd:double"&gt;-1.6468227&lt;/D&gt;&lt;D xsi:type="xsd:double"&gt;-1.9833744&lt;/D&gt;&lt;D xsi:type="xsd:double"&gt;-8.557677&lt;/D&gt;&lt;D xsi:type="xsd:double"&gt;-8.437645&lt;/D&gt;&lt;D xsi:type="xsd:double"&gt;6.4994335&lt;/D&gt;&lt;D xsi:type="xsd:double"&gt;-10.782141&lt;/D&gt;&lt;D xsi:type="xsd:double"&gt;-8.620918&lt;/D&gt;&lt;D xsi:type="xsd:double"&gt;4.0947795&lt;/D&gt;&lt;D xsi:type="xsd:double"&gt;15.25098&lt;/D&gt;&lt;D xsi:type="xsd:double"&gt;-10.399837&lt;/D&gt;&lt;D xsi:type="xsd:double"&gt;-11.764156&lt;/D&gt;&lt;D xsi:type="xsd:double"&gt;9.473038&lt;/D&gt;&lt;D xsi:type="xsd:double"&gt;0.37486553&lt;/D&gt;&lt;D xsi:type="xsd:double"&gt;-1.6953528&lt;/D&gt;&lt;D xsi:type="xsd:double"&gt;9.17536&lt;/D&gt;&lt;D xsi:type="xsd:double"&gt;-3.0578673&lt;/D&gt;&lt;D xsi:type="xsd:double"&gt;7.2945&lt;/D&gt;&lt;D xsi:type="xsd:double"&gt;2.0278096&lt;/D&gt;&lt;D xsi:type="xsd:double"&gt;12.57422&lt;/D&gt;&lt;D xsi:type="xsd:double"&gt;3.7416458&lt;/D&gt;&lt;D xsi:type="xsd:double"&gt;-2.3003697&lt;/D&gt;&lt;D xsi:type="xsd:double"&gt;1.8684983&lt;/D&gt;&lt;D xsi:type="xsd:double"&gt;-3.0381978&lt;/D&gt;&lt;D xsi:type="xsd:double"&gt;5.488932&lt;/D&gt;&lt;D xsi:type="xsd:double"&gt;4.686904&lt;/D&gt;&lt;D xsi:type="xsd:double"&gt;1.7844796&lt;/D&gt;&lt;D xsi:type="xsd:double"&gt;5.77693&lt;/D&gt;&lt;D xsi:type="xsd:double"&gt;1.3665199&lt;/D&gt;&lt;/FQL&gt;&lt;FQL&gt;&lt;Q&gt;EWL^FMA_DIV_YLD(NTMA,-10AY,0,AM,"PORTAGG","MEANR")&lt;/Q&gt;&lt;R&gt;121&lt;/R&gt;&lt;C&gt;1&lt;/C&gt;&lt;D xsi:type="xsd:double"&gt;3.30306642392798&lt;/D&gt;&lt;D xsi:type="xsd:double"&gt;3.26198866762829&lt;/D&gt;&lt;D xsi:type="xsd:double"&gt;3.18066799882133&lt;/D&gt;&lt;D xsi:type="xsd:double"&gt;3.23382354955647&lt;/D&gt;&lt;D xsi:type="xsd:double"&gt;3.31771223668687&lt;/D&gt;&lt;D xsi:type="xsd:double"&gt;3.38894043419198&lt;/D&gt;&lt;D xsi:type="xsd:double"&gt;3.29357269738732&lt;/D&gt;&lt;D xsi:type="xsd:double"&gt;3.52161682291924&lt;/D&gt;&lt;D xsi:type="xsd:double"&gt;3.2790066892827&lt;/D&gt;&lt;D xsi:type="xsd:double"&gt;3.32257632241545&lt;/D&gt;&lt;D xsi:type="xsd:double"&gt;3.26966685007249&lt;/D&gt;&lt;D xsi:type="xsd:double"&gt;3.27185207080714&lt;/D&gt;&lt;D xsi:type="xsd:double"&gt;3.15842228343829&lt;/D&gt;&lt;D xsi:type="xsd:double"&gt;3.02950675542757&lt;/D&gt;&lt;D xsi:type="xsd:double"&gt;3.12539568923146&lt;/D&gt;&lt;D xsi:type="xsd:double"&gt;3.17743579390929&lt;/D&gt;&lt;D xsi:type="xsd:double"&gt;3.13254680615491&lt;/D&gt;&lt;D xsi:type="xsd:double"&gt;3.14946789237375&lt;/D&gt;&lt;D xsi:type="xsd:double"&gt;3.37440997934673&lt;/D&gt;&lt;D xsi:type="xsd:double"&gt;3.38070037836894&lt;/D&gt;&lt;D xsi:type="xsd:double"&gt;3.30946987018078&lt;/D&gt;&lt;D xsi:type="xsd:double"&gt;3.42508089662905&lt;/D&gt;&lt;D xsi:type="xsd:double"&gt;3.48720724168356&lt;/D&gt;&lt;D xsi:type="xsd:double"&gt;3.6480781466079&lt;/D&gt;&lt;D xsi:type="xsd:double"&gt;3.46506404221393&lt;/D&gt;&lt;D xsi:type="xsd:double"&gt;3.47489518055046&lt;/D&gt;&lt;D xsi:type="xsd:double"&gt;3.55533808979782&lt;/D&gt;&lt;D xsi:type="xsd:double"&gt;3.682665630932&lt;/D&gt;&lt;D xsi:type="xsd:double"&gt;3.49150222521164&lt;/D&gt;&lt;D xsi:type="xsd:double"&gt;3.41297798451788&lt;/D&gt;&lt;D xsi:type="xsd:double"&gt;3.4895377980632&lt;/D&gt;&lt;D xsi:type="xsd:double"&gt;3.53893587347619&lt;/D&gt;&lt;D xsi:type="xsd:double"&gt;3.63749585322913&lt;/D&gt;&lt;D xsi:type="xsd:double"&gt;3.57975042883236&lt;/D&gt;&lt;D xsi:type="xsd:double"&gt;3.45879132170879&lt;/D&gt;&lt;D xsi:type="xsd:double"&gt;3.43384679280073&lt;/D&gt;&lt;D xsi:type="xsd:double"&gt;3.35145791292656&lt;/D&gt;&lt;D xsi:type="xsd:double"&gt;3.42841148640405&lt;/D&gt;&lt;D xsi:type="xsd:double"&gt;3.28749648857413&lt;/D&gt;&lt;D xsi:type="xsd:double"&gt;3.35100466126641&lt;/D&gt;&lt;D xsi:type="xsd:double"&gt;3.26016883417296&lt;/D&gt;&lt;D xsi:type="xsd:double"&gt;3.29694030230315&lt;/D&gt;&lt;D xsi:type="xsd:double"&gt;3.27867889744457&lt;/D&gt;&lt;D xsi:type="xsd:double"&gt;3.21961293608313&lt;/D&gt;&lt;D xsi:type="xsd:double"&gt;3.29238156020295&lt;/D&gt;&lt;D xsi:type="xsd:double"&gt;3.22036084950621&lt;/D&gt;&lt;D xsi:type="xsd:double"&gt;3.16540207840941&lt;/D&gt;&lt;D xsi:type="xsd:double"&gt;3.37737328214554&lt;/D&gt;&lt;D xsi:type="xsd:double"&gt;3.438726119462&lt;/D&gt;&lt;D xsi:type="xsd:double"&gt;3.4875735385117&lt;/D&gt;&lt;D xsi:type="xsd:double"&gt;3.42003946506134&lt;/D&gt;&lt;D xsi:type="xsd:double"&gt;3.52393206201761&lt;/D&gt;&lt;D xsi:type="xsd:double"&gt;3.47283507290576&lt;/D&gt;&lt;D xsi:type="xsd:double"&gt;3.43208326034864&lt;/D&gt;&lt;D xsi:type="xsd:double"&gt;3.41397838368394&lt;/D&gt;&lt;D xsi:type="xsd:double"&gt;3.63205222229507&lt;/D&gt;&lt;D xsi:type="xsd:double"&gt;3.55736009227279&lt;/D&gt;&lt;D xsi:type="xsd:double"&gt;3.63273475197637&lt;/D&gt;&lt;D xsi:type="xsd:double"&gt;3.5622094927425&lt;/D&gt;&lt;D xsi:type="xsd:double"&gt;3.40948098590174&lt;/D&gt;&lt;D xsi:type="xsd:double"&gt;3.31986731779412&lt;/D&gt;&lt;D xsi:type="xsd:double"&gt;3.27446593401153&lt;/D&gt;&lt;D xsi:type="xsd:double"&gt;3.36843865531439&lt;/D&gt;&lt;D xsi:type="xsd:double"&gt;3.25118606650274&lt;/D&gt;&lt;D xsi:type="xsd:double"&gt;3.26441827039413&lt;/D&gt;&lt;D xsi:type="xsd:double"&gt;3.31319442633035&lt;/D&gt;&lt;D xsi:type="xsd:double"&gt;3.18947284758149&lt;/D&gt;&lt;D xsi:type="xsd:double"&gt;3.23127318070275&lt;/D&gt;&lt;D xsi:type="xsd:double"&gt;3.15428360261408&lt;/D&gt;&lt;D xsi:type="xsd:double"&gt;3.10462021890715&lt;/D&gt;&lt;D xsi:type="xsd:double"&gt;3.03070038352157&lt;/D&gt;&lt;D xsi:type="xsd:double"&gt;2.93200138192295&lt;/D&gt;&lt;D xsi:type="xsd:double"&gt;3.86368065777976&lt;/D&gt;&lt;D xsi:type="xsd:double"&gt;3.35825686567377&lt;/D&gt;&lt;D xsi:type="xsd:double"&gt;3.34635013656935&lt;/D&gt;&lt;D xsi:type="xsd:double"&gt;3.17601841969189&lt;/D&gt;&lt;D xsi:type="xsd:double"&gt;3.04744851354423&lt;/D&gt;&lt;D xsi:type="xsd:double"&gt;2.9527693845201&lt;/D&gt;&lt;D xsi:type="xsd:double"&gt;2.89222133553833&lt;/D&gt;&lt;D xsi:type="xsd:double"&gt;2.93381972560404&lt;/D&gt;&lt;D xsi:type="xsd:double"&gt;2.89148987521942&lt;/D&gt;&lt;D xsi:type="xsd:double"&gt;2.91546826873979&lt;/D&gt;&lt;D xsi:type="xsd:double"&gt;2.814600127585&lt;/D&gt;&lt;D xsi:type="xsd:double"&gt;2.80591910359979&lt;/D&gt;&lt;D xsi:type="xsd:double"&gt;2.85211612839531&lt;/D&gt;&lt;D xsi:type="xsd:double"&gt;2.74889674568091&lt;/D&gt;&lt;D xsi:type="xsd:double"&gt;2.77153866730078&lt;/D&gt;&lt;D xsi:type="xsd:double"&gt;2.61888366812909&lt;/D&gt;&lt;D xsi:type="xsd:double"&gt;2.61047214944762&lt;/D&gt;&lt;D xsi:type="xsd:double"&gt;2.54745794168173&lt;/D&gt;&lt;D xsi:type="xsd:double"&gt;2.62927236206766&lt;/D&gt;&lt;D xsi:type="xsd:double"&gt;2.70415810052631&lt;/D&gt;&lt;D xsi:type="xsd:double"&gt;2.56947660468959&lt;/D&gt;&lt;D xsi:type="xsd:double"&gt;2.62241271830937&lt;/D&gt;&lt;D xsi:type="xsd:double"&gt;2.63094610546142&lt;/D&gt;&lt;D xsi:type="xsd:double"&gt;2.79718823653122&lt;/D&gt;&lt;D xsi:type="xsd:double"&gt;2.90423784931157&lt;/D&gt;&lt;D xsi:type="xsd:double"&gt;2.75022212337241&lt;/D&gt;&lt;D xsi:type="xsd:double"&gt;2.97746865915342&lt;/D&gt;&lt;D xsi:type="xsd:double"&gt;3.25525387688192&lt;/D&gt;&lt;D xsi:type="xsd:double"&gt;3.20865308535852&lt;/D&gt;&lt;D xsi:type="xsd:double"&gt;3.06429911171943&lt;/D&gt;&lt;D xsi:type="xsd:double"&gt;3.22927228502507&lt;/D&gt;&lt;D xsi:type="xsd:double"&gt;3.42845684950685&lt;/D&gt;&lt;D xsi:type="xsd:double"&gt;3.12040804940768&lt;/D&gt;&lt;D xsi:type="xsd:double"&gt;3.09112695230301&lt;/D&gt;&lt;D xsi:type="xsd:double"&gt;3.0650610171053&lt;/D&gt;&lt;D xsi:type="xsd:double"&gt;3.05986392952181&lt;/D&gt;&lt;D xsi:type="xsd:double"&gt;3.24737433070605&lt;/D&gt;&lt;D xsi:type="xsd:double"&gt;3.09701902722542&lt;/D&gt;&lt;D xsi:type="xsd:double"&gt;3.06753768442508&lt;/D&gt;&lt;D xsi:type="xsd:double"&gt;3.16132230859273&lt;/D&gt;&lt;D xsi:type="xsd:double"&gt;3.16453157943341&lt;/D&gt;&lt;D xsi:type="xsd:double"&gt;3.21160572478486&lt;/D&gt;&lt;D xsi:type="xsd:double"&gt;3.27169905010663&lt;/D&gt;&lt;D xsi:type="xsd:double"&gt;3.36741551234152&lt;/D&gt;&lt;D xsi:type="xsd:double"&gt;3.42188749231552&lt;/D&gt;&lt;D xsi:type="xsd:double"&gt;3.27668543021211&lt;/D&gt;&lt;D xsi:type="xsd:double"&gt;3.27551764293224&lt;/D&gt;&lt;D xsi:type="xsd:double"&gt;3.37104084865236&lt;/D&gt;&lt;D xsi:type="xsd:double"&gt;3.2188114977846&lt;/D&gt;&lt;/FQL&gt;&lt;FQL&gt;&lt;Q&gt;EWG^FMA_PE(NTMA,-10AY,0,AM,"PORTAGG","MEANR")&lt;/Q&gt;&lt;R&gt;121&lt;/R&gt;&lt;C&gt;1&lt;/C&gt;&lt;D xsi:type="xsd:double"&gt;12.4899181615474&lt;/D&gt;&lt;D xsi:type="xsd:double"&gt;12.7222965603622&lt;/D&gt;&lt;D xsi:type="xsd:double"&gt;13.1697698088425&lt;/D&gt;&lt;D xsi:type="xsd:double"&gt;13.2939779082844&lt;/D&gt;&lt;D xsi:type="xsd:double"&gt;12.9896732171757&lt;/D&gt;&lt;D xsi:type="xsd:double"&gt;12.3102771047948&lt;/D&gt;&lt;D xsi:type="xsd:double"&gt;12.7640312246931&lt;/D&gt;&lt;D xsi:type="xsd:double"&gt;11.6490998019409&lt;/D&gt;&lt;D xsi:type="xsd:double"&gt;12.2076243999072&lt;/D&gt;&lt;D xsi:type="xsd:double"&gt;12.6140545513023&lt;/D&gt;&lt;D xsi:type="xsd:double"&gt;12.8785811076913&lt;/D&gt;&lt;D xsi:type="xsd:double"&gt;14.2886855812265&lt;/D&gt;&lt;D xsi:type="xsd:double"&gt;15.4349626366232&lt;/D&gt;&lt;D xsi:type="xsd:double"&gt;15.6916592768264&lt;/D&gt;&lt;D xsi:type="xsd:double"&gt;14.4252286897179&lt;/D&gt;&lt;D xsi:type="xsd:double"&gt;13.7275961497461&lt;/D&gt;&lt;D xsi:type="xsd:double"&gt;13.9802314095971&lt;/D&gt;&lt;D xsi:type="xsd:double"&gt;13.2744546978587&lt;/D&gt;&lt;D xsi:type="xsd:double"&gt;12.2349766377223&lt;/D&gt;&lt;D xsi:type="xsd:double"&gt;12.2003159773529&lt;/D&gt;&lt;D xsi:type="xsd:double"&gt;13.3288568991972&lt;/D&gt;&lt;D xsi:type="xsd:double"&gt;12.6398717127845&lt;/D&gt;&lt;D xsi:type="xsd:double"&gt;12.1484572489961&lt;/D&gt;&lt;D xsi:type="xsd:double"&gt;11.3732567940769&lt;/D&gt;&lt;D xsi:type="xsd:double"&gt;12.7317741074829&lt;/D&gt;&lt;D xsi:type="xsd:double"&gt;12.8738224329256&lt;/D&gt;&lt;D xsi:type="xsd:double"&gt;12.4370012438733&lt;/D&gt;&lt;D xsi:type="xsd:double"&gt;11.749362805553&lt;/D&gt;&lt;D xsi:type="xsd:double"&gt;12.4153321241763&lt;/D&gt;&lt;D xsi:type="xsd:double"&gt;13.1512439580967&lt;/D&gt;&lt;D xsi:type="xsd:double"&gt;12.7509539324969&lt;/D&gt;&lt;D xsi:type="xsd:double"&gt;12.9261583050711&lt;/D&gt;&lt;D xsi:type="xsd:double"&gt;12.8232402422416&lt;/D&gt;&lt;D xsi:type="xsd:double"&gt;13.4251640017606&lt;/D&gt;&lt;D xsi:type="xsd:double"&gt;13.7707020331007&lt;/D&gt;&lt;D xsi:type="xsd:double"&gt;13.7503865369021&lt;/D&gt;&lt;D xsi:type="xsd:double"&gt;13.8710466172393&lt;/D&gt;&lt;D xsi:type="xsd:double"&gt;13.804441353196&lt;/D&gt;&lt;D xsi:type="xsd:double"&gt;14.0443225095291&lt;/D&gt;&lt;D xsi:type="xsd:double"&gt;13.8418672113558&lt;/D&gt;&lt;D xsi:type="xsd:double"&gt;13.6201731117836&lt;/D&gt;&lt;D xsi:type="xsd:double"&gt;13.0651418328918&lt;/D&gt;&lt;D xsi:type="xsd:double"&gt;13.3960007662718&lt;/D&gt;&lt;D xsi:type="xsd:double"&gt;13.8209267650486&lt;/D&gt;&lt;D xsi:type="xsd:double"&gt;13.8562314402595&lt;/D&gt;&lt;D xsi:type="xsd:double"&gt;13.9460959930191&lt;/D&gt;&lt;D xsi:type="xsd:double"&gt;14.0563175615472&lt;/D&gt;&lt;D xsi:type="xsd:double"&gt;13.0577732316787&lt;/D&gt;&lt;D xsi:type="xsd:double"&gt;12.9274174818453&lt;/D&gt;&lt;D xsi:type="xsd:double"&gt;13.0612487600414&lt;/D&gt;&lt;D xsi:type="xsd:double"&gt;13.4051795645038&lt;/D&gt;&lt;D xsi:type="xsd:double"&gt;13.5536612788291&lt;/D&gt;&lt;D xsi:type="xsd:double"&gt;12.9864254568374&lt;/D&gt;&lt;D xsi:type="xsd:double"&gt;12.790729536139&lt;/D&gt;&lt;D xsi:type="xsd:double"&gt;12.5862041964867&lt;/D&gt;&lt;D xsi:type="xsd:double"&gt;11.8801994813437&lt;/D&gt;&lt;D xsi:type="xsd:double"&gt;11.7155820507163&lt;/D&gt;&lt;D xsi:type="xsd:double"&gt;11.273842873834&lt;/D&gt;&lt;D xsi:type="xsd:double"&gt;11.2897856107754&lt;/D&gt;&lt;D xsi:type="xsd:double"&gt;11.6962975909269&lt;/D&gt;&lt;D xsi:type="xsd:double"&gt;12.2415676495909&lt;/D&gt;&lt;D xsi:type="xsd:double"&gt;12.6627812798449&lt;/D&gt;&lt;D xsi:type="xsd:double"&gt;12.4879174321966&lt;/D&gt;&lt;D xsi:type="xsd:double"&gt;12.3427111688941&lt;/D&gt;&lt;D xsi:type="xsd:double"&gt;12.8080491134829&lt;/D&gt;&lt;D xsi:type="xsd:double"&gt;12.1411649728349&lt;/D&gt;&lt;D xsi:type="xsd:double"&gt;13.1471170088523&lt;/D&gt;&lt;D xsi:type="xsd:double"&gt;13.1014010742&lt;/D&gt;&lt;D xsi:type="xsd:double"&gt;13.8607597217528&lt;/D&gt;&lt;D xsi:type="xsd:double"&gt;14.1713357375567&lt;/D&gt;&lt;D xsi:type="xsd:double"&gt;14.3375493641496&lt;/D&gt;&lt;D xsi:type="xsd:double"&gt;14.5433827283186&lt;/D&gt;&lt;D xsi:type="xsd:double"&gt;9.97865038780621&lt;/D&gt;&lt;D xsi:type="xsd:double"&gt;13.7071284914508&lt;/D&gt;&lt;D xsi:type="xsd:double"&gt;14.7723467562521&lt;/D&gt;&lt;D xsi:type="xsd:double"&gt;17.3288670006862&lt;/D&gt;&lt;D xsi:type="xsd:double"&gt;18.3167272795566&lt;/D&gt;&lt;D xsi:type="xsd:double"&gt;17.9807394843818&lt;/D&gt;&lt;D xsi:type="xsd:double"&gt;17.6732971129687&lt;/D&gt;&lt;D xsi:type="xsd:double"&gt;16.8823670638447&lt;/D&gt;&lt;D xsi:type="xsd:double"&gt;16.10004981814&lt;/D&gt;&lt;D xsi:type="xsd:double"&gt;15.7657408277185&lt;/D&gt;&lt;D xsi:type="xsd:double"&gt;16.210947338463&lt;/D&gt;&lt;D xsi:type="xsd:double"&gt;15.8623919642842&lt;/D&gt;&lt;D xsi:type="xsd:double"&gt;15.8913177921663&lt;/D&gt;&lt;D xsi:type="xsd:double"&gt;16.0587468174922&lt;/D&gt;&lt;D xsi:type="xsd:double"&gt;14.8377992008927&lt;/D&gt;&lt;D xsi:type="xsd:double"&gt;14.9977779588263&lt;/D&gt;&lt;D xsi:type="xsd:double"&gt;14.7364722162264&lt;/D&gt;&lt;D xsi:type="xsd:double"&gt;14.4278366041525&lt;/D&gt;&lt;D xsi:type="xsd:double"&gt;14.0908086946026&lt;/D&gt;&lt;D xsi:type="xsd:double"&gt;13.6902648967049&lt;/D&gt;&lt;D xsi:type="xsd:double"&gt;13.8013495034117&lt;/D&gt;&lt;D xsi:type="xsd:double"&gt;13.1439759392871&lt;/D&gt;&lt;D xsi:type="xsd:double"&gt;13.3450077522965&lt;/D&gt;&lt;D xsi:type="xsd:double"&gt;12.4848898240291&lt;/D&gt;&lt;D xsi:type="xsd:double"&gt;11.3325726958324&lt;/D&gt;&lt;D xsi:type="xsd:double"&gt;11.3203859587289&lt;/D&gt;&lt;D xsi:type="xsd:double"&gt;10.7558131576644&lt;/D&gt;&lt;D xsi:type="xsd:double"&gt;10.1425202049616&lt;/D&gt;&lt;D xsi:type="xsd:double"&gt;9.54555000775651&lt;/D&gt;&lt;D xsi:type="xsd:double"&gt;10.3435496235475&lt;/D&gt;&lt;D xsi:type="xsd:double"&gt;9.73109204605257&lt;/D&gt;&lt;D xsi:type="xsd:double"&gt;9.23331859705206&lt;/D&gt;&lt;D xsi:type="xsd:double"&gt;10.7865737451949&lt;/D&gt;&lt;D xsi:type="xsd:double"&gt;10.7712944752607&lt;/D&gt;&lt;D xsi:type="xsd:double"&gt;11.4048337696508&lt;/D&gt;&lt;D xsi:type="xsd:double"&gt;11.6530591175096&lt;/D&gt;&lt;D xsi:type="xsd:double"&gt;11.2816199304305&lt;/D&gt;&lt;D xsi:type="xsd:double"&gt;11.4565428165154&lt;/D&gt;&lt;D xsi:type="xsd:double"&gt;11.0472285877559&lt;/D&gt;&lt;D xsi:type="xsd:double"&gt;11.0014633323693&lt;/D&gt;&lt;D xsi:type="xsd:double"&gt;10.7850024898991&lt;/D&gt;&lt;D xsi:type="xsd:double"&gt;10.6754444204553&lt;/D&gt;&lt;D xsi:type="xsd:double"&gt;10.6136397673834&lt;/D&gt;&lt;D xsi:type="xsd:double"&gt;10.1579974909546&lt;/D&gt;&lt;D xsi:type="xsd:double"&gt;10.5371323800575&lt;/D&gt;&lt;D xsi:type="xsd:double"&gt;11.2297960534434&lt;/D&gt;&lt;D xsi:type="xsd:double"&gt;11.1084540077934&lt;/D&gt;&lt;D xsi:type="xsd:double"&gt;11.5121454321323&lt;/D&gt;&lt;D xsi:type="xsd:double"&gt;12.1825679319545&lt;/D&gt;&lt;/FQL&gt;&lt;FQL&gt;&lt;Q&gt;EWA^FMA_PE(LTMA,-10AY,0,AM,"PORTAGG","MEANR")&lt;/Q&gt;&lt;R&gt;121&lt;/R&gt;&lt;C&gt;1&lt;/C&gt;&lt;D xsi:type="xsd:double"&gt;15.2584171867823&lt;/D&gt;&lt;D xsi:type="xsd:double"&gt;15.2381047175838&lt;/D&gt;&lt;D xsi:type="xsd:double"&gt;15.2316780385959&lt;/D&gt;&lt;D xsi:type="xsd:double"&gt;15.1298565139047&lt;/D&gt;&lt;D xsi:type="xsd:double"&gt;15.3342290422773&lt;/D&gt;&lt;D xsi:type="xsd:double"&gt;15.3452538510161&lt;/D&gt;&lt;D xsi:type="xsd:double"&gt;15.2487152257446&lt;/D&gt;&lt;D xsi:type="xsd:double"&gt;14.6023870016482&lt;/D&gt;&lt;D xsi:type="xsd:double"&gt;15.1098108753778&lt;/D&gt;&lt;D xsi:type="xsd:double"&gt;14.1659501262923&lt;/D&gt;&lt;D xsi:type="xsd:double"&gt;14.6416666756835&lt;/D&gt;&lt;D xsi:type="xsd:double"&gt;15.992758416721&lt;/D&gt;&lt;D xsi:type="xsd:double"&gt;16.146771947462&lt;/D&gt;&lt;D xsi:type="xsd:double"&gt;16.376269016058&lt;/D&gt;&lt;D xsi:type="xsd:double"&gt;16.2803861337635&lt;/D&gt;&lt;D xsi:type="xsd:double"&gt;15.9774469485795&lt;/D&gt;&lt;D xsi:type="xsd:double"&gt;16.0000998106198&lt;/D&gt;&lt;D xsi:type="xsd:double"&gt;15.7391463649467&lt;/D&gt;&lt;D xsi:type="xsd:double"&gt;15.311820298683&lt;/D&gt;&lt;D xsi:type="xsd:double"&gt;15.5341697117207&lt;/D&gt;&lt;D xsi:type="xsd:double"&gt;15.1281328575469&lt;/D&gt;&lt;D xsi:type="xsd:double"&gt;14.8805382982834&lt;/D&gt;&lt;D xsi:type="xsd:double"&gt;14.7731825514463&lt;/D&gt;&lt;D xsi:type="xsd:double"&gt;14.5687737263046&lt;/D&gt;&lt;D xsi:type="xsd:double"&gt;15.17786077811&lt;/D&gt;&lt;D xsi:type="xsd:double"&gt;15.2547832818796&lt;/D&gt;&lt;D xsi:type="xsd:double"&gt;15.6158153964433&lt;/D&gt;&lt;D xsi:type="xsd:double"&gt;15.6120864658022&lt;/D&gt;&lt;D xsi:type="xsd:double"&gt;16.08819417176&lt;/D&gt;&lt;D xsi:type="xsd:double"&gt;16.609676108332&lt;/D&gt;&lt;D xsi:type="xsd:double"&gt;16.0967040192029&lt;/D&gt;&lt;D xsi:type="xsd:double"&gt;16.7829674339016&lt;/D&gt;&lt;D xsi:type="xsd:double"&gt;16.9576683340942&lt;/D&gt;&lt;D xsi:type="xsd:double"&gt;17.5705435796263&lt;/D&gt;&lt;D xsi:type="xsd:double"&gt;17.8994780160689&lt;/D&gt;&lt;D xsi:type="xsd:double"&gt;17.7596848917559&lt;/D&gt;&lt;D xsi:type="xsd:double"&gt;17.4372445338715&lt;/D&gt;&lt;D xsi:type="xsd:double"&gt;17.3439459848615&lt;/D&gt;&lt;D xsi:type="xsd:double"&gt;17.1268254270935&lt;/D&gt;&lt;D xsi:type="xsd:double"&gt;16.9632926880252&lt;/D&gt;&lt;D xsi:type="xsd:double"&gt;16.8503678981852&lt;/D&gt;&lt;D xsi:type="xsd:double"&gt;16.7222838655336&lt;/D&gt;&lt;D xsi:type="xsd:double"&gt;16.5822714508393&lt;/D&gt;&lt;D xsi:type="xsd:double"&gt;16.5366616559205&lt;/D&gt;&lt;D xsi:type="xsd:double"&gt;16.6897720731067&lt;/D&gt;&lt;D xsi:type="xsd:double"&gt;16.6666961195096&lt;/D&gt;&lt;D xsi:type="xsd:double"&gt;16.7844566738707&lt;/D&gt;&lt;D xsi:type="xsd:double"&gt;16.1318981747732&lt;/D&gt;&lt;D xsi:type="xsd:double"&gt;16.4723687929869&lt;/D&gt;&lt;D xsi:type="xsd:double"&gt;16.2718284249743&lt;/D&gt;&lt;D xsi:type="xsd:double"&gt;16.3857727620579&lt;/D&gt;&lt;D xsi:type="xsd:double"&gt;16.0843872544811&lt;/D&gt;&lt;D xsi:type="xsd:double"&gt;16.324867049336&lt;/D&gt;&lt;D xsi:type="xsd:double"&gt;16.3407630702116&lt;/D&gt;&lt;D xsi:type="xsd:double"&gt;16.0022337727002&lt;/D&gt;&lt;D xsi:type="xsd:double"&gt;15.414780971712&lt;/D&gt;&lt;D xsi:type="xsd:double"&gt;15.0297080375237&lt;/D&gt;&lt;D xsi:type="xsd:double"&gt;14.596807754415&lt;/D&gt;&lt;D xsi:type="xsd:double"&gt;14.9845924405887&lt;/D&gt;&lt;D xsi:type="xsd:double"&gt;15.6560454959259&lt;/D&gt;&lt;D xsi:type="xsd:double"&gt;15.8650091271355&lt;/D&gt;&lt;D xsi:type="xsd:double"&gt;15.8579386987641&lt;/D&gt;&lt;D xsi:type="xsd:double"&gt;15.7796117347335&lt;/D&gt;&lt;D xsi:type="xsd:double"&gt;16.0974121842654&lt;/D&gt;&lt;D xsi:type="xsd:double"&gt;16.2652980835206&lt;/D&gt;&lt;D xsi:type="xsd:double"&gt;16.2934635017302&lt;/D&gt;&lt;D xsi:type="xsd:double"&gt;16.7062563116354&lt;/D&gt;&lt;D xsi:type="xsd:double"&gt;16.8740870873576&lt;/D&gt;&lt;D xsi:type="xsd:double"&gt;17.4265986902493&lt;/D&gt;&lt;D xsi:type="xsd:double"&gt;17.691391181435&lt;/D&gt;&lt;D xsi:type="xsd:double"&gt;18.3811514125371&lt;/D&gt;&lt;D xsi:type="xsd:double"&gt;18.8899791188243&lt;/D&gt;&lt;D xsi:type="xsd:double"&gt;16.5009586256373&lt;/D&gt;&lt;D xsi:type="xsd:double"&gt;16.9108898150794&lt;/D&gt;&lt;D xsi:type="xsd:double"&gt;17.2737339159739&lt;/D&gt;&lt;D xsi:type="xsd:double"&gt;18.2982321148561&lt;/D&gt;&lt;D xsi:type="xsd:double"&gt;18.6289691549499&lt;/D&gt;&lt;D xsi:type="xsd:double"&gt;19.5686680567047&lt;/D&gt;&lt;D xsi:type="xsd:double"&gt;19.3350420355164&lt;/D&gt;&lt;D xsi:type="xsd:double"&gt;20.0705326579792&lt;/D&gt;&lt;D xsi:type="xsd:double"&gt;21.1583679077484&lt;/D&gt;&lt;D xsi:type="xsd:double"&gt;22.6500957715027&lt;/D&gt;&lt;D xsi:type="xsd:double"&gt;23.3576353893216&lt;/D&gt;&lt;D xsi:type="xsd:double"&gt;22.9374277053511&lt;/D&gt;&lt;D xsi:type="xsd:double"&gt;21.6524389955929&lt;/D&gt;&lt;D xsi:type="xsd:double"&gt;21.2600843411237&lt;/D&gt;&lt;D xsi:type="xsd:double"&gt;20.767569135073&lt;/D&gt;&lt;D xsi:type="xsd:double"&gt;20.5560431019943&lt;/D&gt;&lt;D xsi:type="xsd:double"&gt;19.5929710241359&lt;/D&gt;&lt;D xsi:type="xsd:double"&gt;19.328353597446&lt;/D&gt;&lt;D xsi:type="xsd:double"&gt;18.7670076770473&lt;/D&gt;&lt;D xsi:type="xsd:double"&gt;18.5752578815229&lt;/D&gt;&lt;D xsi:type="xsd:double"&gt;18.4226841181656&lt;/D&gt;&lt;D xsi:type="xsd:double"&gt;17.7314237774147&lt;/D&gt;&lt;D xsi:type="xsd:double"&gt;17.6988894954391&lt;/D&gt;&lt;D xsi:type="xsd:double"&gt;16.1536534290113&lt;/D&gt;&lt;D xsi:type="xsd:double"&gt;15.6763275123126&lt;/D&gt;&lt;D xsi:type="xsd:double"&gt;15.6625557741543&lt;/D&gt;&lt;D xsi:type="xsd:double"&gt;15.0694966852221&lt;/D&gt;&lt;D xsi:type="xsd:double"&gt;14.3380442929712&lt;/D&gt;&lt;D xsi:type="xsd:double"&gt;14.0276372002917&lt;/D&gt;&lt;D xsi:type="xsd:double"&gt;14.6190928816561&lt;/D&gt;&lt;D xsi:type="xsd:double"&gt;13.9648914140577&lt;/D&gt;&lt;D xsi:type="xsd:double"&gt;13.3955053427908&lt;/D&gt;&lt;D xsi:type="xsd:double"&gt;14.2096392146054&lt;/D&gt;&lt;D xsi:type="xsd:double"&gt;14.3891610168839&lt;/D&gt;&lt;D xsi:type="xsd:double"&gt;14.5110175390165&lt;/D&gt;&lt;D xsi:type="xsd:double"&gt;14.7572341397175&lt;/D&gt;&lt;D xsi:type="xsd:double"&gt;14.1579584110515&lt;/D&gt;&lt;D xsi:type="xsd:double"&gt;14.3633661614595&lt;/D&gt;&lt;D xsi:type="xsd:double"&gt;14.3444266458699&lt;/D&gt;&lt;D xsi:type="xsd:double"&gt;14.4974419590541&lt;/D&gt;&lt;D xsi:type="xsd:double"&gt;14.8721127696045&lt;/D&gt;&lt;D xsi:type="xsd:double"&gt;14.9189301808384&lt;/D&gt;&lt;D xsi:type="xsd:double"&gt;15.0153349895935&lt;/D&gt;&lt;D xsi:type="xsd:double"&gt;14.6812870456116&lt;/D&gt;&lt;D xsi:type="xsd:double"&gt;14.9178139165934&lt;/D&gt;&lt;D xsi:type="xsd:double"&gt;15.8821006440039&lt;/D&gt;&lt;D xsi:type="xsd:double"&gt;16.2673596155824&lt;/D&gt;&lt;D xsi:type="xsd:double"&gt;16.2452626916542&lt;/D&gt;&lt;D xsi:type="xsd:double"&gt;16.62195570019&lt;/D&gt;&lt;/FQL&gt;&lt;FQL&gt;&lt;Q&gt;WL-FDS^FG_PRICE_CHANGE(0,-1AM)&lt;/Q&gt;&lt;R&gt;1&lt;/R&gt;&lt;C&gt;1&lt;/C&gt;&lt;D xsi:type="xsd:double"&gt;-6.66464247760742&lt;/D&gt;&lt;/FQL&gt;&lt;FQL&gt;&lt;Q&gt;NI-FDS^FG_PRICE_CHANGE(0,-1AM)&lt;/Q&gt;&lt;R&gt;1&lt;/R&gt;&lt;C&gt;1&lt;/C&gt;&lt;D xsi:type="xsd:double"&gt;10.1768538628607&lt;/D&gt;&lt;/FQL&gt;&lt;FQL&gt;&lt;Q&gt;CPALM-FDS^FG_PRICE_CHANGE(0,-1AM)&lt;/Q&gt;&lt;R&gt;1&lt;/R&gt;&lt;C&gt;1&lt;/C&gt;&lt;D xsi:type="xsd:double"&gt;8.3854818523154&lt;/D&gt;&lt;/FQL&gt;&lt;FQL&gt;&lt;Q&gt;BRENT-FDS^FG_PRICE_CHANGE(0,-1AM)&lt;/Q&gt;&lt;R&gt;1&lt;/R&gt;&lt;C&gt;1&lt;/C&gt;&lt;D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xsi:type="xsd:double"&gt;-14.0666150271108&lt;/D&gt;&lt;/FQL&gt;&lt;FQL&gt;&lt;Q&gt;EWN^FG_PRICE_MAVG(0,,,,60)&lt;/Q&gt;&lt;R&gt;1&lt;/R&gt;&lt;C&gt;1&lt;/C&gt;&lt;D xsi:type="xsd:double"&gt;45.86508&lt;/D&gt;&lt;/FQL&gt;&lt;FQL&gt;&lt;Q&gt;EWU^FG_PRICE_MAVG(0,,,,60)&lt;/Q&gt;&lt;R&gt;1&lt;/R&gt;&lt;C&gt;1&lt;/C&gt;&lt;D xsi:type="xsd:double"&gt;32.705166&lt;/D&gt;&lt;/FQL&gt;&lt;FQL&gt;&lt;Q&gt;SPY^FG_TOTAL_RETURNC(0,-3AM)&lt;/Q&gt;&lt;R&gt;1&lt;/R&gt;&lt;C&gt;1&lt;/C&gt;&lt;D xsi:type="xsd:double"&gt;9.540331&lt;/D&gt;&lt;/FQL&gt;&lt;FQL&gt;&lt;Q&gt;EWQ^FG_TOTAL_RETURNC(0,-3AM)&lt;/Q&gt;&lt;R&gt;1&lt;/R&gt;&lt;C&gt;1&lt;/C&gt;&lt;D xsi:type="xsd:double"&gt;6.2060714&lt;/D&gt;&lt;/FQL&gt;&lt;FQL&gt;&lt;Q&gt;EWA^FG_TOTAL_RETURNC(0,-3AM)&lt;/Q&gt;&lt;R&gt;1&lt;/R&gt;&lt;C&gt;1&lt;/C&gt;&lt;D xsi:type="xsd:double"&gt;2.6134014&lt;/D&gt;&lt;/FQL&gt;&lt;FQL&gt;&lt;Q&gt;EWQ^PERCENT_CHANGE(FMA_EPS(+1,0,,,,"PORTAGG","MEAN"),FMA_EPS(+1,-3AM,,,,"PORTAGG","MEAN"))&lt;/Q&gt;&lt;R&gt;1&lt;/R&gt;&lt;C&gt;1&lt;/C&gt;&lt;D xsi:type="xsd:double"&gt;-4.77998387703614&lt;/D&gt;&lt;/FQL&gt;&lt;FQL&gt;&lt;Q&gt;ENZL^FMA_RBICS_REV_CURRENT(30, LOC, "PORTAGG")&lt;/Q&gt;&lt;R&gt;1&lt;/R&gt;&lt;C&gt;1&lt;/C&gt;&lt;D xsi:type="xsd:double"&gt;13.7517044499309&lt;/D&gt;&lt;/FQL&gt;&lt;FQL&gt;&lt;Q&gt;REFJPTON-FDS^(SUBARRAY(NOT_NA(NO_REPEAT_F(FG_YIELD(NOW,-10AY,D))),0,1)-SUBARRAY(NOT_NA(NO_REPEAT_F(FG_YIELD(NOW,-10AY,D))),1,1))*100&lt;/Q&gt;&lt;R&gt;1&lt;/R&gt;&lt;C&gt;1&lt;/C&gt;&lt;D xsi:type="xsd:double"&gt;-20&lt;/D&gt;&lt;/FQL&gt;&lt;FQL&gt;&lt;Q&gt;TRYIT10Y-FDS^PCTCHG(FG_YIELD(0,,,,"YTM"),FG_YIELD(-1AM,,,,"YTM"))&lt;/Q&gt;&lt;R&gt;1&lt;/R&gt;&lt;C&gt;1&lt;/C&gt;&lt;D xsi:type="xsd:double"&gt;-6.044949&lt;/D&gt;&lt;/FQL&gt;&lt;FQL&gt;&lt;Q&gt;TRYJP10Y-FDS^PCTCHG(FG_YIELD(0,,,,"YTM"),FG_YIELD(-1AM,,,,"YTM"))&lt;/Q&gt;&lt;R&gt;1&lt;/R&gt;&lt;C&gt;1&lt;/C&gt;&lt;D xsi:type="xsd:double"&gt;2.3326707&lt;/D&gt;&lt;/FQL&gt;&lt;FQL&gt;&lt;Q&gt;TRYCA10Y-FDS^FG_YIELD_NAME&lt;/Q&gt;&lt;R&gt;1&lt;/R&gt;&lt;C&gt;1&lt;/C&gt;&lt;D xsi:type="xsd:string"&gt;Canada Benchmark Bond - 10 Year&lt;/D&gt;&lt;/FQL&gt;&lt;FQL&gt;&lt;Q&gt;EWI^FMA_EVAL_EBIT(LTMA,NOW,NOW,M,"PORTAGG","MEANR")&lt;/Q&gt;&lt;R&gt;1&lt;/R&gt;&lt;C&gt;1&lt;/C&gt;&lt;D xsi:type="xsd:double"&gt;11.2668444196391&lt;/D&gt;&lt;/FQL&gt;&lt;FQL&gt;&lt;Q&gt;EWL^FMA_ROE(NTMA,-20AY,NOW,FY,"PORTAGG","MEANR")&lt;/Q&gt;&lt;R&gt;20&lt;/R&gt;&lt;C&gt;1&lt;/C&gt;&lt;D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xsi:type="xsd:double"&gt;14.6677795152565&lt;/D&gt;&lt;D xsi:type="xsd:double"&gt;16.3837417700753&lt;/D&gt;&lt;D xsi:type="xsd:double"&gt;16.6906517335277&lt;/D&gt;&lt;D xsi:type="xsd:double"&gt;19.299912173729&lt;/D&gt;&lt;/FQL&gt;&lt;FQL&gt;&lt;Q&gt;TRYIN10Y-FDS^FG_YIELD(-10AY,0,Y,,"YTM")&lt;/Q&gt;&lt;R&gt;10&lt;/R&gt;&lt;C&gt;1&lt;/C&gt;&lt;D xsi:type="xsd:string"&gt;@NA&lt;/D&gt;&lt;D xsi:type="xsd:string"&gt;@NA&lt;/D&gt;&lt;D xsi:type="xsd:double"&gt;6.63&lt;/D&gt;&lt;D xsi:type="xsd:double"&gt;7.4903&lt;/D&gt;&lt;D xsi:type="xsd:string"&gt;@NA&lt;/D&gt;&lt;D xsi:type="xsd:string"&gt;@NA&lt;/D&gt;&lt;D xsi:type="xsd:string"&gt;@NA&lt;/D&gt;&lt;D xsi:type="xsd:double"&gt;6.4688&lt;/D&gt;&lt;D xsi:type="xsd:double"&gt;7.3388&lt;/D&gt;&lt;D xsi:type="xsd:double"&gt;7.2&lt;/D&gt;&lt;/FQL&gt;&lt;FQL&gt;&lt;Q&gt;TRYGR10Y-FDS^FG_YIELD(-10AY,0,Y,,"YTM")&lt;/Q&gt;&lt;R&gt;10&lt;/R&gt;&lt;C&gt;1&lt;/C&gt;&lt;D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xsi:type="xsd:double"&gt;-7.409358&lt;/D&gt;&lt;/FQL&gt;&lt;FQL&gt;&lt;Q&gt;USDCHF^FG_PRICE_CHANGE(0,-6AM)&lt;/Q&gt;&lt;R&gt;1&lt;/R&gt;&lt;C&gt;1&lt;/C&gt;&lt;D xsi:type="xsd:double"&gt;-1.2298107&lt;/D&gt;&lt;/FQL&gt;&lt;FQL&gt;&lt;Q&gt;USDUSD^FG_PRICE_CHANGE(0,-6AM)&lt;/Q&gt;&lt;R&gt;1&lt;/R&gt;&lt;C&gt;1&lt;/C&gt;&lt;D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xsi:type="xsd:double"&gt;-2.0435393&lt;/D&gt;&lt;/FQL&gt;&lt;FQL&gt;&lt;Q&gt;USDAUD^FG_PRICE_CHANGE(0,-6AM)&lt;/Q&gt;&lt;R&gt;1&lt;/R&gt;&lt;C&gt;1&lt;/C&gt;&lt;D xsi:type="xsd:double"&gt;-2.103269&lt;/D&gt;&lt;/FQL&gt;&lt;FQL&gt;&lt;Q&gt;EWN^FMA_EPS(NTMA,-20AY,0,CY,,"PORTAGG","MEANR")&lt;/Q&gt;&lt;R&gt;20&lt;/R&gt;&lt;C&gt;1&lt;/C&gt;&lt;D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xsi:type="xsd:double"&gt;2.95560758181579&lt;/D&gt;&lt;/FQL&gt;&lt;FQL&gt;&lt;Q&gt;SPY^P_PRICE_RETURNS_PR('52W',2,-10AY,0,AM)&lt;/Q&gt;&lt;R&gt;121&lt;/R&gt;&lt;C&gt;1&lt;/C&gt;&lt;D xsi:type="xsd:double"&gt;20.198654&lt;/D&gt;&lt;D xsi:type="xsd:double"&gt;17.524206&lt;/D&gt;&lt;D xsi:type="xsd:double"&gt;16.72926&lt;/D&gt;&lt;D xsi:type="xsd:double"&gt;20.604086&lt;/D&gt;&lt;D xsi:type="xsd:double"&gt;20.28222&lt;/D&gt;&lt;D xsi:type="xsd:double"&gt;18.29356&lt;/D&gt;&lt;D xsi:type="xsd:double"&gt;20.180428&lt;/D&gt;&lt;D xsi:type="xsd:double"&gt;11.93782&lt;/D&gt;&lt;D xsi:type="xsd:double"&gt;16.14206&lt;/D&gt;&lt;D xsi:type="xsd:double"&gt;14.968145&lt;/D&gt;&lt;D xsi:type="xsd:double"&gt;11.494434&lt;/D&gt;&lt;D xsi:type="xsd:double"&gt;16.86573&lt;/D&gt;&lt;D xsi:type="xsd:double"&gt;13.320017&lt;/D&gt;&lt;D xsi:type="xsd:double"&gt;16.748201&lt;/D&gt;&lt;D xsi:type="xsd:double"&gt;14.435816&lt;/D&gt;&lt;D xsi:type="xsd:double"&gt;10.627996&lt;/D&gt;&lt;D xsi:type="xsd:double"&gt;8.712101&lt;/D&gt;&lt;D xsi:type="xsd:double"&gt;9.077644&lt;/D&gt;&lt;D xsi:type="xsd:double"&gt;0.36517382&lt;/D&gt;&lt;D xsi:type="xsd:double"&gt;8.324205&lt;/D&gt;&lt;D xsi:type="xsd:double"&gt;1.2000084&lt;/D&gt;&lt;D xsi:type="xsd:double"&gt;3.0456543&lt;/D&gt;&lt;D xsi:type="xsd:double"&gt;-2.456987&lt;/D&gt;&lt;D xsi:type="xsd:double"&gt;-8.809787&lt;/D&gt;&lt;D xsi:type="xsd:double"&gt;0.4312873&lt;/D&gt;&lt;D xsi:type="xsd:double"&gt;1.4320612&lt;/D&gt;&lt;D xsi:type="xsd:double"&gt;-0.40470362&lt;/D&gt;&lt;D xsi:type="xsd:double"&gt;1.1955023&lt;/D&gt;&lt;D xsi:type="xsd:double"&gt;4.826522&lt;/D&gt;&lt;D xsi:type="xsd:double"&gt;6.8541527&lt;/D&gt;&lt;D xsi:type="xsd:double"&gt;11.123681&lt;/D&gt;&lt;D xsi:type="xsd:double"&gt;9.255886&lt;/D&gt;&lt;D xsi:type="xsd:double"&gt;9.253097&lt;/D&gt;&lt;D xsi:type="xsd:double"&gt;13.736582&lt;/D&gt;&lt;D xsi:type="xsd:double"&gt;22.826218&lt;/D&gt;&lt;D xsi:type="xsd:double"&gt;27.913929&lt;/D&gt;&lt;D xsi:type="xsd:double"&gt;19.50351&lt;/D&gt;&lt;D xsi:type="xsd:double"&gt;14.098871&lt;/D&gt;&lt;D xsi:type="xsd:double"&gt;18.09188&lt;/D&gt;&lt;D xsi:type="xsd:double"&gt;19.832527&lt;/D&gt;&lt;D xsi:type="xsd:double"&gt;15.935898&lt;/D&gt;&lt;D xsi:type="xsd:double"&gt;15.151787&lt;/D&gt;&lt;D xsi:type="xsd:double"&gt;19.719864&lt;/D&gt;&lt;D xsi:type="xsd:double"&gt;22.112392&lt;/D&gt;&lt;D xsi:type="xsd:double"&gt;21.403515&lt;/D&gt;&lt;D xsi:type="xsd:double"&gt;19.99222&lt;/D&gt;&lt;D xsi:type="xsd:double"&gt;25.065697&lt;/D&gt;&lt;D xsi:type="xsd:double"&gt;17.595089&lt;/D&gt;&lt;D xsi:type="xsd:double"&gt;18.463684&lt;/D&gt;&lt;D xsi:type="xsd:double"&gt;16.208792&lt;/D&gt;&lt;D xsi:type="xsd:double"&gt;16.40141&lt;/D&gt;&lt;D xsi:type="xsd:double"&gt;16.293621&lt;/D&gt;&lt;D xsi:type="xsd:double"&gt;16.52229&lt;/D&gt;&lt;D xsi:type="xsd:double"&gt;17.301094&lt;/D&gt;&lt;D xsi:type="xsd:double"&gt;18.479073&lt;/D&gt;&lt;D xsi:type="xsd:double"&gt;10.342873&lt;/D&gt;&lt;D xsi:type="xsd:double"&gt;6.748271&lt;/D&gt;&lt;D xsi:type="xsd:double"&gt;-0.16747713&lt;/D&gt;&lt;D xsi:type="xsd:double"&gt;-5.612403&lt;/D&gt;&lt;D xsi:type="xsd:double"&gt;3.7229538&lt;/D&gt;&lt;D xsi:type="xsd:double"&gt;4.0815115&lt;/D&gt;&lt;D xsi:type="xsd:double"&gt;11.240339&lt;/D&gt;&lt;D xsi:type="xsd:double"&gt;5.8427334&lt;/D&gt;&lt;D xsi:type="xsd:double"&gt;5.802703&lt;/D&gt;&lt;D xsi:type="xsd:double"&gt;9.757864&lt;/D&gt;&lt;D xsi:type="xsd:double"&gt;1.9892097&lt;/D&gt;&lt;D xsi:type="xsd:double"&gt;5.587232&lt;/</t>
        </r>
      </text>
    </comment>
    <comment ref="A7" authorId="0" shapeId="0" xr:uid="{8F73EE4A-6726-4BC2-B834-D70F3B846D6A}">
      <text>
        <r>
          <rPr>
            <b/>
            <sz val="9"/>
            <color indexed="81"/>
            <rFont val="Tahoma"/>
            <charset val="1"/>
          </rPr>
          <t>D&gt;&lt;D xsi:type="xsd:double"&gt;9.3929405&lt;/D&gt;&lt;D xsi:type="xsd:double"&gt;16.854858&lt;/D&gt;&lt;D xsi:type="xsd:double"&gt;21.968306&lt;/D&gt;&lt;D xsi:type="xsd:double"&gt;29.621292&lt;/D&gt;&lt;D xsi:type="xsd:double"&gt;25.368893&lt;/D&gt;&lt;D xsi:type="xsd:double"&gt;-2.4612963&lt;/D&gt;&lt;D xsi:type="xsd:double"&gt;-0.1703322&lt;/D&gt;&lt;D xsi:type="xsd:double"&gt;2.63592&lt;/D&gt;&lt;D xsi:type="xsd:double"&gt;7.6696634&lt;/D&gt;&lt;D xsi:type="xsd:double"&gt;8.225405&lt;/D&gt;&lt;D xsi:type="xsd:double"&gt;21.050585&lt;/D&gt;&lt;D xsi:type="xsd:double"&gt;14.688433&lt;/D&gt;&lt;D xsi:type="xsd:double"&gt;19.874727&lt;/D&gt;&lt;D xsi:type="xsd:double"&gt;18.129803&lt;/D&gt;&lt;D xsi:type="xsd:double"&gt;17.177666&lt;/D&gt;&lt;D xsi:type="xsd:double"&gt;17.777729&lt;/D&gt;&lt;D xsi:type="xsd:double"&gt;18.580128&lt;/D&gt;&lt;D xsi:type="xsd:double"&gt;61.84759&lt;/D&gt;&lt;D xsi:type="xsd:double"&gt;47.32311&lt;/D&gt;&lt;D xsi:type="xsd:double"&gt;48.542297&lt;/D&gt;&lt;D xsi:type="xsd:double"&gt;42.04695&lt;/D&gt;&lt;D xsi:type="xsd:double"&gt;38.83985&lt;/D&gt;&lt;D xsi:type="xsd:double"&gt;34.374428&lt;/D&gt;&lt;D xsi:type="xsd:double"&gt;33.20247&lt;/D&gt;&lt;D xsi:type="xsd:double"&gt;28.985&lt;/D&gt;&lt;D xsi:type="xsd:double"&gt;34.169186&lt;/D&gt;&lt;D xsi:type="xsd:double"&gt;28.868925&lt;/D&gt;&lt;D xsi:type="xsd:double"&gt;24.444914&lt;/D&gt;&lt;D xsi:type="xsd:double"&gt;13.317108&lt;/D&gt;&lt;D xsi:type="xsd:double"&gt;7.2456&lt;/D&gt;&lt;D xsi:type="xsd:double"&gt;7.8113794&lt;/D&gt;&lt;D xsi:type="xsd:double"&gt;-0.78920126&lt;/D&gt;&lt;D xsi:type="xsd:double"&gt;-10.919655&lt;/D&gt;&lt;D xsi:type="xsd:double"&gt;-12.136448&lt;/D&gt;&lt;D xsi:type="xsd:double"&gt;-2.6786447&lt;/D&gt;&lt;D xsi:type="xsd:double"&gt;-9.89399&lt;/D&gt;&lt;D xsi:type="xsd:double"&gt;-17.953861&lt;/D&gt;&lt;D xsi:type="xsd:double"&gt;-14.158243&lt;/D&gt;&lt;D xsi:type="xsd:double"&gt;-12.49618&lt;/D&gt;&lt;D xsi:type="xsd:double"&gt;-12.818718&lt;/D&gt;&lt;D xsi:type="xsd:double"&gt;-4.4796824&lt;/D&gt;&lt;D xsi:type="xsd:double"&gt;-4.531634&lt;/D&gt;&lt;D xsi:type="xsd:double"&gt;-4.1777906&lt;/D&gt;&lt;D xsi:type="xsd:double"&gt;6.6970587&lt;/D&gt;&lt;D xsi:type="xsd:double"&gt;18.929588&lt;/D&gt;&lt;D xsi:type="xsd:double"&gt;20.844603&lt;/D&gt;&lt;D xsi:type="xsd:double"&gt;6.6482067&lt;/D&gt;&lt;D xsi:type="xsd:double"&gt;16.011547&lt;/D&gt;&lt;D xsi:type="xsd:double"&gt;19.78085&lt;/D&gt;&lt;D xsi:type="xsd:double"&gt;15.374052&lt;/D&gt;&lt;D xsi:type="xsd:double"&gt;20.059132&lt;/D&gt;&lt;D xsi:type="xsd:double"&gt;21.921026&lt;/D&gt;&lt;D xsi:type="xsd:double"&gt;22.674202&lt;/D&gt;&lt;D xsi:type="xsd:double"&gt;33.46783&lt;/D&gt;&lt;/FQL&gt;&lt;FQL&gt;&lt;Q&gt;EWU^FG_TOTAL_RETURNC(-10AY,0,AM)&lt;/Q&gt;&lt;R&gt;121&lt;/R&gt;&lt;C&gt;1&lt;/C&gt;&lt;D xsi:type="xsd:double"&gt;-2.785784&lt;/D&gt;&lt;D xsi:type="xsd:double"&gt;1.6798377&lt;/D&gt;&lt;D xsi:type="xsd:double"&gt;5.782318&lt;/D&gt;&lt;D xsi:type="xsd:double"&gt;0.04593134&lt;/D&gt;&lt;D xsi:type="xsd:double"&gt;0.1975298&lt;/D&gt;&lt;D xsi:type="xsd:double"&gt;-2.7403831&lt;/D&gt;&lt;D xsi:type="xsd:double"&gt;-0.9886265&lt;/D&gt;&lt;D xsi:type="xsd:double"&gt;-8.337492&lt;/D&gt;&lt;D xsi:type="xsd:double"&gt;3.1590462&lt;/D&gt;&lt;D xsi:type="xsd:double"&gt;-6.071806&lt;/D&gt;&lt;D xsi:type="xsd:double"&gt;-0.20443797&lt;/D&gt;&lt;D xsi:type="xsd:double"&gt;8.615744&lt;/D&gt;&lt;D xsi:type="xsd:double"&gt;-5.393976&lt;/D&gt;&lt;D xsi:type="xsd:double"&gt;5.030751&lt;/D&gt;&lt;D xsi:type="xsd:double"&gt;5.9073925&lt;/D&gt;&lt;D xsi:type="xsd:double"&gt;-3.8693488&lt;/D&gt;&lt;D xsi:type="xsd:double"&gt;-0.20008683&lt;/D&gt;&lt;D xsi:type="xsd:double"&gt;-1.9733369&lt;/D&gt;&lt;D xsi:type="xsd:double"&gt;-8.813924&lt;/D&gt;&lt;D xsi:type="xsd:double"&gt;3.520286&lt;/D&gt;&lt;D xsi:type="xsd:double"&gt;-4.207492&lt;/D&gt;&lt;D xsi:type="xsd:double"&gt;-2.9482663&lt;/D&gt;&lt;D xsi:type="xsd:double"&gt;-4.5163274&lt;/D&gt;&lt;D xsi:type="xsd:double"&gt;-3.0463576&lt;/D&gt;&lt;D xsi:type="xsd:double"&gt;6.76229&lt;/D&gt;&lt;D xsi:type="xsd:double"&gt;2.6231647&lt;/D&gt;&lt;D xsi:type="xsd:double"&gt;-2.493769&lt;/D&gt;&lt;D xsi:type="xsd:double"&gt;-3.6445081&lt;/D&gt;&lt;D xsi:type="xsd:double"&gt;5.867338&lt;/D&gt;&lt;D xsi:type="xsd:double"&gt;1.1560678&lt;/D&gt;&lt;D xsi:type="xsd:double"&gt;-1.1428595&lt;/D&gt;&lt;D xsi:type="xsd:double"&gt;-3.0186236&lt;/D&gt;&lt;D xsi:type="xsd:double"&gt;-0.7947087&lt;/D&gt;&lt;D xsi:type="xsd:double"&gt;3.4045458&lt;/D&gt;&lt;D xsi:type="xsd:double"&gt;2.5301576&lt;/D&gt;&lt;D xsi:type="xsd:double"&gt;1.8831849&lt;/D&gt;&lt;D xsi:type="xsd:double"&gt;-0.6578982&lt;/D&gt;&lt;D xsi:type="xsd:double"&gt;2.2390366&lt;/D&gt;&lt;D xsi:type="xsd:double"&gt;5.089462&lt;/D&gt;&lt;D xsi:type="xsd:double"&gt;0.20545721&lt;/D&gt;&lt;D xsi:type="xsd:double"&gt;1.5242815&lt;/D&gt;&lt;D xsi:type="xsd:double"&gt;-0.8554578&lt;/D&gt;&lt;D xsi:type="xsd:double"&gt;2.6777625&lt;/D&gt;&lt;D xsi:type="xsd:double"&gt;2.4340749&lt;/D&gt;&lt;D xsi:type="xsd:double"&gt;-2.6591182&lt;/D&gt;&lt;D xsi:type="xsd:double"&gt;2.818954&lt;/D&gt;&lt;D xsi:type="xsd:double"&gt;6.8716884&lt;/D&gt;&lt;D xsi:type="xsd:double"&gt;-4.8234997&lt;/D&gt;&lt;D xsi:type="xsd:double"&gt;-1.4439344&lt;/D&gt;&lt;D xsi:type="xsd:double"&gt;4.2229176&lt;/D&gt;&lt;D xsi:type="xsd:double"&gt;1.5435576&lt;/D&gt;&lt;D xsi:type="xsd:double"&gt;-1.085782&lt;/D&gt;&lt;D xsi:type="xsd:double"&gt;-1.5266299&lt;/D&gt;&lt;D xsi:type="xsd:double"&gt;-3.8231075&lt;/D&gt;&lt;D xsi:type="xsd:double"&gt;-1.2755871&lt;/D&gt;&lt;D xsi:type="xsd:double"&gt;-2.8846145&lt;/D&gt;&lt;D xsi:type="xsd:double"&gt;-0.8044481&lt;/D&gt;&lt;D xsi:type="xsd:double"&gt;-6.019968&lt;/D&gt;&lt;D xsi:type="xsd:double"&gt;3.0000567&lt;/D&gt;&lt;D xsi:type="xsd:double"&gt;4.708588&lt;/D&gt;&lt;D xsi:type="xsd:double"&gt;3.9937139&lt;/D&gt;&lt;D xsi:type="xsd:double"&gt;2.6307821&lt;/D&gt;&lt;D xsi:type="xsd:double"&gt;-3.8008153&lt;/D&gt;&lt;D xsi:type="xsd:double"&gt;-0.52068233&lt;/D&gt;&lt;D xsi:type="xsd:double"&gt;1.8715262&lt;/D&gt;&lt;D xsi:type="xsd:double"&gt;-8.865463&lt;/D&gt;&lt;D xsi:type="xsd:double"&gt;7.5850368&lt;/D&gt;&lt;D xsi:type="xsd:double"&gt;-0.7903874&lt;/D&gt;&lt;D xsi:type="xsd:double"&gt;3.7603617&lt;/D&gt;&lt;D xsi:type="xsd:double"&gt;4.729724&lt;/D&gt;&lt;D xsi:type="xsd:double"&gt;0.97498894&lt;/D&gt;&lt;D xsi:type="xsd:double"&gt;-2.718681&lt;/D&gt;&lt;D xsi:type="xsd:double"&gt;-27.03523&lt;/D&gt;&lt;D xsi:type="xsd:double"&gt;3.788507&lt;/D&gt;&lt;D xsi:type="xsd:double"&gt;-2.9281974&lt;/D&gt;&lt;D xsi:type="xsd:double"&gt;8.429742&lt;/D&gt;&lt;D xsi:type="xsd:double"&gt;1.2837052&lt;/D&gt;&lt;D xsi:type="xsd:double"&gt;2.4064183&lt;/D&gt;&lt;D xsi:type="xsd:double"&gt;-2.6482642&lt;/D&gt;&lt;D xsi:type="xsd:double"&gt;-0.8812249&lt;/D&gt;&lt;D xsi:type="xsd:double"&gt;9.431767&lt;/D&gt;&lt;D xsi:type="xsd:double"&gt;3.5037875&lt;/D&gt;&lt;D xsi:type="xsd:double"&gt;7.3524356&lt;/D&gt;&lt;D xsi:type="xsd:double"&gt;-1.8006384&lt;/D&gt;&lt;D xsi:type="xsd:double"&gt;4.354942&lt;/D&gt;&lt;D xsi:type="xsd:double"&gt;1.2237191&lt;/D&gt;&lt;D xsi:type="xsd:double"&gt;4.8977137&lt;/D&gt;&lt;D xsi:type="xsd:double"&gt;1.4793277&lt;/D&gt;&lt;D xsi:type="xsd:double"&gt;-2.3393571&lt;/D&gt;&lt;D xsi:type="xsd:double"&gt;2.243793&lt;/D&gt;&lt;D xsi:type="xsd:double"&gt;-2.9062867&lt;/D&gt;&lt;D xsi:type="xsd:double"&gt;2.2296906&lt;/D&gt;&lt;D xsi:type="xsd:double"&gt;0.11949539&lt;/D&gt;&lt;D xsi:type="xsd:double"&gt;-2.5518477&lt;/D&gt;&lt;D xsi:type="xsd:double"&gt;8.810579&lt;/D&gt;&lt;D xsi:type="xsd:double"&gt;-1.3880968&lt;/D&gt;&lt;D xsi:type="xsd:double"&gt;-7.067442&lt;/D&gt;&lt;D xsi:type="xsd:double"&gt;7.604921&lt;/D&gt;&lt;D xsi:type="xsd:double"&gt;-7.5366497&lt;/D&gt;&lt;D xsi:type="xsd:double"&gt;-4.7528625&lt;/D&gt;&lt;D xsi:type="xsd:double"&gt;-3.3231616&lt;/D&gt;&lt;D xsi:type="xsd:double"&gt;9.6808195&lt;/D&gt;&lt;D xsi:type="xsd:double"&gt;-7.6431093&lt;/D&gt;&lt;D xsi:type="xsd:double"&gt;-9.037394&lt;/D&gt;&lt;D xsi:type="xsd:double"&gt;13.094783&lt;/D&gt;&lt;D xsi:type="xsd:double"&gt;7.5430155&lt;/D&gt;&lt;D xsi:type="xsd:double"&gt;3.6213398&lt;/D&gt;&lt;D xsi:type="xsd:double"&gt;1.3182163&lt;/D&gt;&lt;D xsi:type="xsd:double"&gt;-4.1149735&lt;/D&gt;&lt;D xsi:type="xsd:double"&gt;5.932462&lt;/D&gt;&lt;D xsi:type="xsd:double"&gt;-1.0425925&lt;/D&gt;&lt;D xsi:type="xsd:double"&gt;-0.42036176&lt;/D&gt;&lt;D xsi:type="xsd:double"&gt;0.8628607&lt;/D&gt;&lt;D xsi:type="xsd:double"&gt;-1.069349&lt;/D&gt;&lt;D xsi:type="xsd:double"&gt;0.58677197&lt;/D&gt;&lt;D xsi:type="xsd:double"&gt;-2.7632773&lt;/D&gt;&lt;D xsi:type="xsd:double"&gt;0.47363043&lt;/D&gt;&lt;D xsi:type="xsd:double"&gt;5.342555&lt;/D&gt;&lt;D xsi:type="xsd:double"&gt;-0.017344952&lt;/D&gt;&lt;D xsi:type="xsd:double"&gt;-2.2283256&lt;/D&gt;&lt;D xsi:type="xsd:double"&gt;4.5894504&lt;/D&gt;&lt;/FQL&gt;&lt;FQL&gt;&lt;Q&gt;EWJ^FMA_DIV_YLD(NTMA,-10AY,0,AM,"PORTAGG","MEANR")&lt;/Q&gt;&lt;R&gt;121&lt;/R&gt;&lt;C&gt;1&lt;/C&gt;&lt;D xsi:type="xsd:double"&gt;2.16697620281495&lt;/D&gt;&lt;D xsi:type="xsd:double"&gt;2.23667369047767&lt;/D&gt;&lt;D xsi:type="xsd:double"&gt;2.18169022046736&lt;/D&gt;&lt;D xsi:type="xsd:double"&gt;2.09275198343229&lt;/D&gt;&lt;D xsi:type="xsd:double"&gt;2.07681511157093&lt;/D&gt;&lt;D xsi:type="xsd:double"&gt;2.08360102858944&lt;/D&gt;&lt;D xsi:type="xsd:double"&gt;2.03087911859775&lt;/D&gt;&lt;D xsi:type="xsd:double"&gt;2.21544928353686&lt;/D&gt;&lt;D xsi:type="xsd:double"&gt;1.93525354744567&lt;/D&gt;&lt;D xsi:type="xsd:double"&gt;1.98230305646273&lt;/D&gt;&lt;D xsi:type="xsd:double"&gt;2.06466355609562&lt;/D&gt;&lt;D xsi:type="xsd:double"&gt;1.9646430271835&lt;/D&gt;&lt;D xsi:type="xsd:double"&gt;1.8498009923156&lt;/D&gt;&lt;D xsi:type="xsd:double"&gt;1.84293804629947&lt;/D&gt;&lt;D xsi:type="xsd:double"&gt;1.89419450096731&lt;/D&gt;&lt;D xsi:type="xsd:double"&gt;1.88186802131432&lt;/D&gt;&lt;D xsi:type="xsd:double"&gt;1.91835992934058&lt;/D&gt;&lt;D xsi:type="xsd:double"&gt;1.90734367392337&lt;/D&gt;&lt;D xsi:type="xsd:double"&gt;2.18156588111487&lt;/D&gt;&lt;D xsi:type="xsd:double"&gt;2.17168446001355&lt;/D&gt;&lt;D xsi:type="xsd:double"&gt;2.02257399959464&lt;/D&gt;&lt;D xsi:type="xsd:double"&gt;2.11213467100765&lt;/D&gt;&lt;D xsi:type="xsd:double"&gt;2.31772580890418&lt;/D&gt;&lt;D xsi:type="xsd:double"&gt;2.72611818648658&lt;/D&gt;&lt;D xsi:type="xsd:double"&gt;2.33401918088365&lt;/D&gt;&lt;D xsi:type="xsd:double"&gt;2.34262783406322&lt;/D&gt;&lt;D xsi:type="xsd:double"&gt;2.43054599167972&lt;/D&gt;&lt;D xsi:type="xsd:double"&gt;2.4834211692707&lt;/D&gt;&lt;D xsi:type="xsd:double"&gt;2.39994618778415&lt;/D&gt;&lt;D xsi:type="xsd:double"&gt;2.38061433558784&lt;/D&gt;&lt;D xsi:type="xsd:double"&gt;2.40501092370859&lt;/D&gt;&lt;D xsi:type="xsd:double"&gt;2.37037703564221&lt;/D&gt;&lt;D xsi:type="xsd:double"&gt;2.29607159264737&lt;/D&gt;&lt;D xsi:type="xsd:double"&gt;2.08524759124058&lt;/D&gt;&lt;D xsi:type="xsd:double"&gt;2.0992942701875&lt;/D&gt;&lt;D xsi:type="xsd:double"&gt;2.14026195481349&lt;/D&gt;&lt;D xsi:type="xsd:double"&gt;2.12125431601155&lt;/D&gt;&lt;D xsi:type="xsd:double"&gt;2.29404287345227&lt;/D&gt;&lt;D xsi:type="xsd:double"&gt;2.1557088412763&lt;/D&gt;&lt;D xsi:type="xsd:double"&gt;2.18671533210715&lt;/D&gt;&lt;D xsi:type="xsd:double"&gt;2.15701708964624&lt;/D&gt;&lt;D xsi:type="xsd:double"&gt;2.21175774822903&lt;/D&gt;&lt;D xsi:type="xsd:double"&gt;2.20237815407903&lt;/D&gt;&lt;D xsi:type="xsd:double"&gt;2.12405738967706&lt;/D&gt;&lt;D xsi:type="xsd:double"&gt;2.06617168927406&lt;/D&gt;&lt;D xsi:type="xsd:double"&gt;2.06234289032929&lt;/D&gt;&lt;D xsi:type="xsd:double"&gt;1.99754769207599&lt;/D&gt;&lt;D xsi:type="xsd:double"&gt;2.23778460119993&lt;/D&gt;&lt;D xsi:type="xsd:double"&gt;2.22479811699371&lt;/D&gt;&lt;D xsi:type="xsd:double"&gt;2.25800327933796&lt;/D&gt;&lt;D xsi:type="xsd:double"&gt;2.18255300526919&lt;/D&gt;&lt;D xsi:type="xsd:double"&gt;2.23570741124189&lt;/D&gt;&lt;D xsi:type="xsd:double"&gt;2.29955192372787&lt;/D&gt;&lt;D xsi:type="xsd:double"&gt;2.34138913576634&lt;/D&gt;&lt;D xsi:type="xsd:double"&gt;2.32342756235546&lt;/D&gt;&lt;D xsi:type="xsd:double"&gt;2.3726804706327&lt;/D&gt;&lt;D xsi:type="xsd:double"&gt;2.48127854970252&lt;/D&gt;&lt;D xsi:type="xsd:double"&gt;2.5662940847468&lt;/D&gt;&lt;D xsi:type="xsd:double"&gt;2.69159928198638&lt;/D&gt;&lt;D xsi:type="xsd:double"&gt;2.59705243336944&lt;/D&gt;&lt;D xsi:type="xsd:double"&gt;2.59441336027583&lt;/D&gt;&lt;D xsi:type="xsd:double"&gt;2.5835619632294&lt;/D&gt;&lt;D xsi:type="xsd:double"&gt;2.69953821138859&lt;/D&gt;&lt;D xsi:type="xsd:double"&gt;2.69534778552739&lt;/D&gt;&lt;D xsi:type="xsd:double"&gt;2.64662359293902&lt;/D&gt;&lt;D xsi:type="xsd:double"&gt;2.78303602430059&lt;/D&gt;&lt;D xsi:type="xsd:double"&gt;2.57818337901685&lt;/D&gt;&lt;D xsi:type="xsd:double"&gt;2.6160025456464&lt;/D&gt;&lt;D xsi:type="xsd:double"&gt;2.49169604461191&lt;/D&gt;&lt;D xsi:type="xsd:double"&gt;2.41241534857624&lt;/D&gt;&lt;D xsi:type="xsd:double"&gt;2.4196519355388&lt;/D&gt;&lt;D xsi:type="xsd:double"&gt;2.46803093913849&lt;/D&gt;&lt;D xsi:type="xsd:double"&gt;3.29129245237948&lt;/D&gt;&lt;D xsi:type="xsd:double"&gt;2.87146312389536&lt;/D&gt;&lt;D xsi:type="xsd:double"&gt;2.82659703742537&lt;/D&gt;&lt;D xsi:type="xsd:double"&gt;2.5086080027474&lt;/D&gt;&lt;D xsi:type="xsd:double"&gt;2.4950160187318&lt;/D&gt;&lt;D xsi:type="xsd:double"&gt;2.38838264678941&lt;/D&gt;&lt;D xsi:type="xsd:double"&gt;2.34081692134208&lt;/D&gt;&lt;D xsi:type="xsd:double"&gt;2.36276272604789&lt;/D&gt;&lt;D xsi:type="xsd:double"&gt;2.28235476162493&lt;/D&gt;&lt;D xsi:type="xsd:double"&gt;2.15799316786624&lt;/D&gt;&lt;D xsi:type="xsd:double"&gt;2.0671471748886&lt;/D&gt;&lt;D xsi:type="xsd:double"&gt;2.02971237430774&lt;/D&gt;&lt;D xsi:type="xsd:double"&gt;2.05453214048549&lt;/D&gt;&lt;D xsi:type="xsd:double"&gt;2.08026958001258&lt;/D&gt;&lt;D xsi:type="xsd:double"&gt;2.201190562217&lt;/D&gt;&lt;D xsi:type="xsd:double"&gt;2.15894965533725&lt;/D&gt;&lt;D xsi:type="xsd:double"&gt;2.18524854199102&lt;/D&gt;&lt;D xsi:type="xsd:double"&gt;2.21960544132988&lt;/D&gt;&lt;D xsi:type="xsd:double"&gt;2.10536176168286&lt;/D&gt;&lt;D xsi:type="xsd:double"&gt;2.25182690778966&lt;/D&gt;&lt;D xsi:type="xsd:double"&gt;2.2159991569452&lt;/D&gt;&lt;D xsi:type="xsd:double"&gt;2.33014772456469&lt;/D&gt;&lt;D xsi:type="xsd:double"&gt;2.34939970706464&lt;/D&gt;&lt;D xsi:type="xsd:double"&gt;2.4573767305043&lt;/D&gt;&lt;D xsi:type="xsd:double"&gt;2.69988974101582&lt;/D&gt;&lt;D xsi:type="xsd:double"&gt;2.5738578744378&lt;/D&gt;&lt;D xsi:type="xsd:double"&gt;2.65636630359102&lt;/D&gt;&lt;D xsi:type="xsd:double"&gt;2.68522433544455&lt;/D&gt;&lt;D xsi:type="xsd:double"&gt;2.67626140667017&lt;/D&gt;&lt;D xsi:type="xsd:double"&gt;2.57203473004138&lt;/D&gt;&lt;D xsi:type="xsd:double"&gt;2.62655965795628&lt;/D&gt;&lt;D xsi:type="xsd:double"&gt;2.72704342886353&lt;/D&gt;&lt;D xsi:type="xsd:double"&gt;2.63129320982023&lt;/D&gt;&lt;D xsi:type="xsd:double"&gt;2.62432029631705&lt;/D&gt;&lt;D xsi:type="xsd:double"&gt;2.72698807325846&lt;/D&gt;&lt;D xsi:type="xsd:double"&gt;2.60118206418325&lt;/D&gt;&lt;D xsi:type="xsd:double"&gt;2.67785411933897&lt;/D&gt;&lt;D xsi:type="xsd:double"&gt;2.6019292609667&lt;/D&gt;&lt;D xsi:type="xsd:double"&gt;2.53137962835267&lt;/D&gt;&lt;D xsi:type="xsd:double"&gt;2.30949857604455&lt;/D&gt;&lt;D xsi:type="xsd:double"&gt;2.39711620346027&lt;/D&gt;&lt;D xsi:type="xsd:double"&gt;2.38902838182386&lt;/D&gt;&lt;D xsi:type="xsd:double"&gt;2.28686731069294&lt;/D&gt;&lt;D xsi:type="xsd:double"&gt;2.39537622216364&lt;/D&gt;&lt;D xsi:type="xsd:double"&gt;2.3919755164769&lt;/D&gt;&lt;D xsi:type="xsd:double"&gt;2.46575348198985&lt;/D&gt;&lt;D xsi:type="xsd:double"&gt;2.29696717519077&lt;/D&gt;&lt;D xsi:type="xsd:double"&gt;2.25730806466937&lt;/D&gt;&lt;D xsi:type="xsd:double"&gt;2.23335911332336&lt;/D&gt;&lt;/FQL&gt;&lt;FQL&gt;&lt;Q&gt;EWC^FMA_PE(NTMA,-10AY,0,AM,"PORTAGG","MEANR")&lt;/Q&gt;&lt;R&gt;121&lt;/R&gt;&lt;C&gt;1&lt;/C&gt;&lt;D xsi:type="xsd:double"&gt;15.065999866507&lt;/D&gt;&lt;D xsi:type="xsd:double"&gt;14.7239036231781&lt;/D&gt;&lt;D xsi:type="xsd:double"&gt;14.8638836311386&lt;/D&gt;&lt;D xsi:type="xsd:double"&gt;14.9419446970441&lt;/D&gt;&lt;D xsi:type="xsd:double"&gt;15.0076886882821&lt;/D&gt;&lt;D xsi:type="xsd:double"&gt;14.9824547941178&lt;/D&gt;&lt;D xsi:type="xsd:double"&gt;15.1331289476547&lt;/D&gt;&lt;D xsi:type="xsd:double"&gt;13.539044773064&lt;/D&gt;&lt;D xsi:type="xsd:double"&gt;14.656949438133&lt;/D&gt;&lt;D xsi:type="xsd:double"&gt;14.4756396890698&lt;/D&gt;&lt;D xsi:type="xsd:double"&gt;15.1648760839653&lt;/D&gt;&lt;D xsi:type="xsd:double"&gt;17.4078061118425&lt;/D&gt;&lt;D xsi:type="xsd:double"&gt;16.8889986361693&lt;/D&gt;&lt;D xsi:type="xsd:double"&gt;17.4065271212958&lt;/D&gt;&lt;D xsi:type="xsd:double"&gt;16.7310092689878&lt;/D&gt;&lt;D xsi:type="xsd:double"&gt;16.2098284864258&lt;/D&gt;&lt;D xsi:type="xsd:double"&gt;15.8049316622078&lt;/D&gt;&lt;D xsi:type="xsd:double"&gt;15.4507964870292&lt;/D&gt;&lt;D xsi:type="xsd:double"&gt;14.5158527366361&lt;/D&gt;&lt;D xsi:type="xsd:double"&gt;15.1408667760085&lt;/D&gt;&lt;D xsi:type="xsd:double"&gt;14.2643654664393&lt;/D&gt;&lt;D xsi:type="xsd:double"&gt;13.8787262289174&lt;/D&gt;&lt;D xsi:type="xsd:double"&gt;13.6441526377108&lt;/D&gt;&lt;D xsi:type="xsd:double"&gt;14.2089876539957&lt;/D&gt;&lt;D xsi:type="xsd:double"&gt;15.6927145376562&lt;/D&gt;&lt;D xsi:type="xsd:double"&gt;16.2089701744471&lt;/D&gt;&lt;D xsi:type="xsd:double"&gt;16.4751897592953&lt;/D&gt;&lt;D xsi:type="xsd:double"&gt;16.3094885190936&lt;/D&gt;&lt;D xsi:type="xsd:double"&gt;16.6193016284255&lt;/D&gt;&lt;D xsi:type="xsd:double"&gt;16.5464967313097&lt;/D&gt;&lt;D xsi:type="xsd:double"&gt;15.8432977221324&lt;/D&gt;&lt;D xsi:type="xsd:double"&gt;15.8839604485531&lt;/D&gt;&lt;D xsi:type="xsd:double"&gt;15.6765335947669&lt;/D&gt;&lt;D xsi:type="xsd:double"&gt;15.8418106013121&lt;/D&gt;&lt;D xsi:type="xsd:double"&gt;15.9586827809231&lt;/D&gt;&lt;D xsi:type="xsd:double"&gt;16.2950674272405&lt;/D&gt;&lt;D xsi:type="xsd:double"&gt;15.7763987450871&lt;/D&gt;&lt;D xsi:type="xsd:double"&gt;15.7418719508532&lt;/D&gt;&lt;D xsi:type="xsd:double"&gt;15.6157592980341&lt;/D&gt;&lt;D xsi:type="xsd:double"&gt;15.20070489133&lt;/D&gt;&lt;D xsi:type="xsd:double"&gt;15.3516295187364&lt;/D&gt;&lt;D xsi:type="xsd:double"&gt;15.5297045430537&lt;/D&gt;&lt;D xsi:type="xsd:double"&gt;15.3087113676122&lt;/D&gt;&lt;D xsi:type="xsd:double"&gt;15.7554105015151&lt;/D&gt;&lt;D xsi:type="xsd:double"&gt;15.7956575812348&lt;/D&gt;&lt;D xsi:type="xsd:double"&gt;15.8561101805234&lt;/D&gt;&lt;D xsi:type="xsd:double"&gt;15.8605221565807&lt;/D&gt;&lt;D xsi:type="xsd:double"&gt;14.52632223278&lt;/D&gt;&lt;D xsi:type="xsd:double"&gt;14.5115042036129&lt;/D&gt;&lt;D xsi:type="xsd:double"&gt;13.9519023587795&lt;/D&gt;&lt;D xsi:type="xsd:double"&gt;14.4135376482076&lt;/D&gt;&lt;D xsi:type="xsd:double"&gt;14.4276816847667&lt;/D&gt;&lt;D xsi:type="xsd:double"&gt;14.3758713952182&lt;/D&gt;&lt;D xsi:type="xsd:double"&gt;14.0397552161661&lt;/D&gt;&lt;D xsi:type="xsd:double"&gt;13.5207625926032&lt;/D&gt;&lt;D xsi:type="xsd:double"&gt;12.8759536274433&lt;/D&gt;&lt;D xsi:type="xsd:double"&gt;12.5897848703959&lt;/D&gt;&lt;D xsi:type="xsd:double"&gt;12.3527384252626&lt;/D&gt;&lt;D xsi:type="xsd:double"&gt;12.9483566564639&lt;/D&gt;&lt;D xsi:type="xsd:double"&gt;13.8207636313911&lt;/D&gt;&lt;D xsi:type="xsd:double"&gt;14.1799664270454&lt;/D&gt;&lt;D xsi:type="xsd:double"&gt;14.0674127514822&lt;/D&gt;&lt;D xsi:type="xsd:double"&gt;13.5603040456018&lt;/D&gt;&lt;D xsi:type="xsd:double"&gt;13.5589115892928&lt;/D&gt;&lt;D xsi:type="xsd:double"&gt;13.6863297284055&lt;/D&gt;&lt;D xsi:type="xsd:double"&gt;13.329329281247&lt;/D&gt;&lt;D xsi:type="xsd:double"&gt;13.9564269021485&lt;/D&gt;&lt;D xsi:type="xsd:double"&gt;13.7661329510784&lt;/D&gt;&lt;D xsi:type="xsd:double"&gt;14.3462750865204&lt;/D&gt;&lt;D xsi:type="xsd:double"&gt;14.3742179183141&lt;/D&gt;&lt;D xsi:type="xsd:double"&gt;14.544062217956&lt;/D&gt;&lt;D xsi:type="xsd:double"&gt;15.0411560507486&lt;/D&gt;&lt;D xsi:type="xsd:double"&gt;12.1382675883925&lt;/D&gt;&lt;D xsi:type="xsd:double"&gt;15.1065264670543&lt;/D&gt;&lt;D xsi:type="xsd:double"&gt;17.4492667874055&lt;/D&gt;&lt;D xsi:type="xsd:double"&gt;17.698490819762&lt;/D&gt;&lt;D xsi:type="xsd:double"&gt;17.7024178580282&lt;/D&gt;&lt;D xsi:type="xsd:double"&gt;17.4583187008753&lt;/D&gt;&lt;D xsi:type="xsd:double"&gt;16.794026704167&lt;/D&gt;&lt;D xsi:type="xsd:double"&gt;16.293603015931&lt;/D&gt;&lt;D xsi:type="xsd:double"&gt;15.9816436076636&lt;/D&gt;&lt;D xsi:type="xsd:double"&gt;15.9732052633736&lt;/D&gt;&lt;D xsi:type="xsd:double"&gt;16.1270728299752&lt;/D&gt;&lt;D xsi:type="xsd:double"&gt;16.2879756623633&lt;/D&gt;&lt;D xsi:type="xsd:double"&gt;15.4849233659695&lt;/D&gt;&lt;D xsi:type="xsd:double"&gt;15.5351446331955&lt;/D&gt;&lt;D xsi:type="xsd:double"&gt;15.3628896749062&lt;/D&gt;&lt;D xsi:type="xsd:double"&gt;15.5885651510747&lt;/D&gt;&lt;D xsi:type="xsd:double"&gt;15.2124394586115&lt;/D&gt;&lt;D xsi:type="xsd:double"&gt;15.070826504876&lt;/D&gt;&lt;D xsi:type="xsd:double"&gt;14.772036125294&lt;/D&gt;&lt;D xsi:type="xsd:double"&gt;14.8172588736859&lt;/D&gt;&lt;D xsi:type="xsd:double"&gt;15.0832653452175&lt;/D&gt;&lt;D xsi:type="xsd:double"&gt;14.0930946849279&lt;/D&gt;&lt;D xsi:type="xsd:double"&gt;14.3824611150688&lt;/D&gt;&lt;D xsi:type="xsd:double"&gt;14.1834039739505&lt;/D&gt;&lt;D xsi:type="xsd:double"&gt;13.3688433528084&lt;/D&gt;&lt;D xsi:type="xsd:double"&gt;13.3947497629698&lt;/D&gt;&lt;D xsi:type="xsd:double"&gt;12.1170865169325&lt;/D&gt;&lt;D xsi:type="xsd:double"&gt;11.6547173254194&lt;/D&gt;&lt;D xsi:type="xsd:double"&gt;10.7197630789796&lt;/D&gt;&lt;D xsi:type="xsd:double"&gt;11.8424093117307&lt;/D&gt;&lt;D xsi:type="xsd:double"&gt;11.5548133958588&lt;/D&gt;&lt;D xsi:type="xsd:double"&gt;10.7471379957532&lt;/D&gt;&lt;D xsi:type="xsd:double"&gt;11.858267460784&lt;/D&gt;&lt;D xsi:type="xsd:double"&gt;12.1198808473345&lt;/D&gt;&lt;D xsi:type="xsd:double"&gt;12.6686151277673&lt;/D&gt;&lt;D xsi:type="xsd:double"&gt;12.9448307878214&lt;/D&gt;&lt;D xsi:type="xsd:double"&gt;12.4080779185644&lt;/D&gt;&lt;D xsi:type="xsd:double"&gt;13.0409962558059&lt;/D&gt;&lt;D xsi:type="xsd:double"&gt;13.0603870933842&lt;/D&gt;&lt;D xsi:type="xsd:double"&gt;12.9449250189692&lt;/D&gt;&lt;D xsi:type="xsd:double"&gt;13.2747436270659&lt;/D&gt;&lt;D xsi:type="xsd:double"&gt;13.1623483397555&lt;/D&gt;&lt;D xsi:type="xsd:double"&gt;13.3142363713538&lt;/D&gt;&lt;D xsi:type="xsd:double"&gt;12.5126495329089&lt;/D&gt;&lt;D xsi:type="xsd:double"&gt;12.7019835971739&lt;/D&gt;&lt;D xsi:type="xsd:double"&gt;13.4565023238693&lt;/D&gt;&lt;D xsi:type="xsd:double"&gt;13.6303965640804&lt;/D&gt;&lt;D xsi:type="xsd:double"&gt;13.8133267934449&lt;/D&gt;&lt;D xsi:type="xsd:double"&gt;14.603137299534&lt;/D&gt;&lt;/FQL&gt;&lt;FQL&gt;&lt;Q&gt;ENZL^FMA_PE(LTMA,-10AY,0,AM,"PORTAGG","MEANR")&lt;/Q&gt;&lt;R&gt;121&lt;/R&gt;&lt;C&gt;1&lt;/C&gt;&lt;D xsi:type="xsd:double"&gt;17.9673130237466&lt;/D&gt;&lt;D xsi:type="xsd:double"&gt;17.8845828867895&lt;/D&gt;&lt;D xsi:type="xsd:double"&gt;18.0863584446227&lt;/D&gt;&lt;D xsi:type="xsd:double"&gt;17.9694723488328&lt;/D&gt;&lt;D xsi:type="xsd:double"&gt;17.9575927831452&lt;/D&gt;&lt;D xsi:type="xsd:double"&gt;17.87299915699&lt;/D&gt;&lt;D xsi:type="xsd:double"&gt;17.9183637763083&lt;/D&gt;&lt;D xsi:type="xsd:double"&gt;17.6248550673084&lt;/D&gt;&lt;D xsi:type="xsd:double"&gt;18.7856298745461&lt;/D&gt;&lt;D xsi:type="xsd:double"&gt;18.9364000454241&lt;/D&gt;&lt;D xsi:type="xsd:double"&gt;19.518690877178&lt;/D&gt;&lt;D xsi:type="xsd:double"&gt;20.0170029440265&lt;/D&gt;&lt;D xsi:type="xsd:double"&gt;20.459712180041&lt;/D&gt;&lt;D xsi:type="xsd:double"&gt;20.2215097592304&lt;/D&gt;&lt;D xsi:type="xsd:double"&gt;19.9776431975794&lt;/D&gt;&lt;D xsi:type="xsd:double"&gt;19.9608641740254&lt;/D&gt;&lt;D xsi:type="xsd:double"&gt;19.6466059033607&lt;/D&gt;&lt;D xsi:type="xsd:double"&gt;19.3545693602136&lt;/D&gt;&lt;D xsi:type="xsd:double"&gt;19.1112928660701&lt;/D&gt;&lt;D xsi:type="xsd:double"&gt;18.8717505558904&lt;/D&gt;&lt;D xsi:type="xsd:double"&gt;19.3736745263038&lt;/D&gt;&lt;D xsi:type="xsd:double"&gt;19.3117644351378&lt;/D&gt;&lt;D xsi:type="xsd:double"&gt;19.0796872404814&lt;/D&gt;&lt;D xsi:type="xsd:double"&gt;18.4106846123147&lt;/D&gt;&lt;D xsi:type="xsd:double"&gt;19.3569773545915&lt;/D&gt;&lt;D xsi:type="xsd:double"&gt;19.4442513964298&lt;/D&gt;&lt;D xsi:type="xsd:double"&gt;19.6297764744358&lt;/D&gt;&lt;D xsi:type="xsd:double"&gt;19.5694500239083&lt;/D&gt;&lt;D xsi:type="xsd:double"&gt;19.9945027499499&lt;/D&gt;&lt;D xsi:type="xsd:double"&gt;20.6738365589074&lt;/D&gt;&lt;D xsi:type="xsd:double"&gt;20.6949494088644&lt;/D&gt;&lt;D xsi:type="xsd:double"&gt;20.4744921967783&lt;/D&gt;&lt;D xsi:type="xsd:double"&gt;19.6575997068699&lt;/D&gt;&lt;D xsi:type="xsd:double"&gt;19.6146229089096&lt;/D&gt;&lt;D xsi:type="xsd:double"&gt;20.4151542588447&lt;/D&gt;&lt;D xsi:type="xsd:double"&gt;20.6542578506806&lt;/D&gt;&lt;D xsi:type="xsd:double"&gt;19.7761158897697&lt;/D&gt;&lt;D xsi:type="xsd:double"&gt;19.8158037117437&lt;/D&gt;&lt;D xsi:type="xsd:double"&gt;20.0152583091748&lt;/D&gt;&lt;D xsi:type="xsd:double"&gt;20.0034597169237&lt;/D&gt;&lt;D xsi:type="xsd:double"&gt;20.1520044961196&lt;/D&gt;&lt;D xsi:type="xsd:double"&gt;20.6045492230681&lt;/D&gt;&lt;D xsi:type="xsd:double"&gt;20.5471688526667&lt;/D&gt;&lt;D xsi:type="xsd:double"&gt;20.9045520888902&lt;/D&gt;&lt;D xsi:type="xsd:double"&gt;21.1530316590745&lt;/D&gt;&lt;D xsi:type="xsd:double"&gt;22.0986231613712&lt;/D&gt;&lt;D xsi:type="xsd:double"&gt;21.8488627491897&lt;/D&gt;&lt;D xsi:type="xsd:double"&gt;21.6736274122125&lt;/D&gt;&lt;D xsi:type="xsd:double"&gt;22.5875722678052&lt;/D&gt;&lt;D xsi:type="xsd:double"&gt;22.3788953397548&lt;/D&gt;&lt;D xsi:type="xsd:double"&gt;22.4836925485584&lt;/D&gt;&lt;D xsi:type="xsd:double"&gt;22.8039063933447&lt;/D&gt;&lt;D xsi:type="xsd:double"&gt;22.9221282452391&lt;/D&gt;&lt;D xsi:type="xsd:double"&gt;23.0462913626038&lt;/D&gt;&lt;D xsi:type="xsd:double"&gt;23.5735467937231&lt;/D&gt;&lt;D xsi:type="xsd:double"&gt;22.730182309972&lt;/D&gt;&lt;D xsi:type="xsd:double"&gt;22.7687283323163&lt;/D&gt;&lt;D xsi:type="xsd:double"&gt;22.6113893100361&lt;/D&gt;&lt;D xsi:type="xsd:double"&gt;23.274468077263&lt;/D&gt;&lt;D xsi:type="xsd:double"&gt;23.9827579979022&lt;/D&gt;&lt;D xsi:type="xsd:double"&gt;24.0771811751845&lt;/D&gt;&lt;D xsi:type="xsd:double"&gt;24.0774912388268&lt;/D&gt;&lt;D xsi:type="xsd:double"&gt;24.2156854381079&lt;/D&gt;&lt;D xsi:type="xsd:double"&gt;24.3369438491701&lt;/D&gt;&lt;D xsi:type="xsd:double"&gt;25.0577862933579&lt;/D&gt;&lt;D xsi:type="xsd:double"&gt;25.3836045761232&lt;/D&gt;&lt;D xsi:type="xsd:double"&gt;28.5598213671919&lt;/D&gt;&lt;D xsi:type="xsd:double"&gt;29.0129545812475&lt;/D&gt;&lt;D xsi:type="xsd:double"&gt;29.1017475669687&lt;/D&gt;&lt;D xsi:type="xsd:double"&gt;31.3729911298712&lt;/D&gt;&lt;D xsi:type="xsd:double"&gt;32.4889412117038&lt;/D&gt;&lt;D xsi:type="xsd:double"&gt;33.3238883850852&lt;/D&gt;&lt;D xsi:type="xsd:double"&gt;30.2237769179724&lt;/D&gt;&lt;D xsi:type="xsd:double"&gt;30.9430599342695&lt;/D&gt;&lt;D xsi:type="xsd:double"&gt;32.144391030325&lt;/D&gt;&lt;D xsi:type="xsd:double"&gt;32.0777544676088&lt;/D&gt;&lt;D xsi:type="xsd:double"&gt;33.4434639144911&lt;/D&gt;&lt;D xsi:type="xsd:double"&gt;33.6441676556668&lt;/D&gt;&lt;D xsi:type="xsd:double"&gt;33.8498873407544&lt;/D&gt;&lt;D xsi:type="xsd:double"&gt;35.4565568777144&lt;/D&gt;&lt;D xsi:type="xsd:double"&gt;36.0651831936691&lt;/D&gt;&lt;D xsi:type="xsd:double"&gt;36.8079780432806&lt;/D&gt;&lt;D xsi:type="xsd:double"&gt;37.8883004691405&lt;/D&gt;&lt;D xsi:type="xsd:double"&gt;34.9563876207825&lt;/D&gt;&lt;D xsi:type="xsd:double"&gt;34.4423549580636&lt;/D&gt;&lt;D xsi:type="xsd:double"&gt;34.6300694773583&lt;/D&gt;&lt;D xsi:type="xsd:double"&gt;34.6809179173974&lt;/D&gt;&lt;D xsi:type="xsd:double"&gt;35.3609147175413&lt;/D&gt;&lt;D xsi:type="xsd:double"&gt;36.5396776121229&lt;/D&gt;&lt;D xsi:type="xsd:double"&gt;36.9693838698734&lt;/D&gt;&lt;D xsi:type="xsd:double"&gt;38.3975464079033&lt;/D&gt;&lt;D xsi:type="xsd:double"&gt;38.673033727614&lt;/D&gt;&lt;D xsi:type="xsd:double"&gt;38.7604880513004&lt;/D&gt;&lt;D xsi:type="xsd:double"&gt;39.0655948015805&lt;/D&gt;&lt;D xsi:type="xsd:double"&gt;38.1292729645446&lt;/D&gt;&lt;D xsi:type="xsd:double"&gt;36.4218841707149&lt;/D&gt;&lt;D xsi:type="xsd:double"&gt;35.0011882831167&lt;/D&gt;&lt;D xsi:type="xsd:double"&gt;34.4962054461311&lt;/D&gt;&lt;D xsi:type="xsd:double"&gt;34.0650854945549&lt;/D&gt;&lt;D xsi:type="xsd:double"&gt;32.7009925085415&lt;/D&gt;&lt;D xsi:type="xsd:double"&gt;33.189845731311&lt;/D&gt;&lt;D xsi:type="xsd:double"&gt;33.3462320873665&lt;/D&gt;&lt;D xsi:type="xsd:double"&gt;34.0401391776128&lt;/D&gt;&lt;D xsi:type="xsd:double"&gt;31.0581131250816&lt;/D&gt;&lt;D xsi:type="xsd:double"&gt;31.0317684488946&lt;/D&gt;&lt;D xsi:type="xsd:double"&gt;29.4341939468871&lt;/D&gt;&lt;D xsi:type="xsd:double"&gt;29.6400465486256&lt;/D&gt;&lt;D xsi:type="xsd:double"&gt;29.775264202247&lt;/D&gt;&lt;D xsi:type="xsd:double"&gt;29.101705784127&lt;/D&gt;&lt;D xsi:type="xsd:double"&gt;28.6640480628038&lt;/D&gt;&lt;D xsi:type="xsd:double"&gt;28.2728400774899&lt;/D&gt;&lt;D xsi:type="xsd:double"&gt;26.3208620717843&lt;/D&gt;&lt;D xsi:type="xsd:double"&gt;25.8381185940531&lt;/D&gt;&lt;D xsi:type="xsd:double"&gt;24.7563459230549&lt;/D&gt;&lt;D xsi:type="xsd:double"&gt;23.9701324956464&lt;/D&gt;&lt;D xsi:type="xsd:double"&gt;23.3600010527978&lt;/D&gt;&lt;D xsi:type="xsd:double"&gt;22.7088989544269&lt;/D&gt;&lt;D xsi:type="xsd:double"&gt;24.048923240525&lt;/D&gt;&lt;D xsi:type="xsd:double"&gt;24.0566025420845&lt;/D&gt;&lt;D xsi:type="xsd:double"&gt;22.8727402320621&lt;/D&gt;&lt;D xsi:type="xsd:double"&gt;23.7786056583395&lt;/D&gt;&lt;/FQL&gt;&lt;FQL&gt;&lt;Q&gt;WL-FDS^FG_PRICE_MAVG(0,,,,30)&lt;/Q&gt;&lt;R&gt;1&lt;/R&gt;&lt;C&gt;1&lt;/C&gt;&lt;D xsi:type="xsd:double"&gt;629.9&lt;/D&gt;&lt;/FQL&gt;&lt;FQL&gt;&lt;Q&gt;NI-FDS^FG_PRICE_MAVG(0,,,,30)&lt;/Q&gt;&lt;R&gt;1&lt;/R&gt;&lt;C&gt;1&lt;/C&gt;&lt;D xsi:type="xsd:double"&gt;16786&lt;/D&gt;&lt;/FQL&gt;&lt;FQL&gt;&lt;Q&gt;CPALM-FDS^FG_PRICE_MAVG(0,,,,30)&lt;/Q&gt;&lt;R&gt;1&lt;/R&gt;&lt;C&gt;1&lt;/C&gt;&lt;D xsi:type="xsd:double"&gt;4007.7666&lt;/D&gt;&lt;/FQL&gt;&lt;FQL&gt;&lt;Q&gt;BRENT-FDS^FG_PRICE_MAVG(0,,,,30)&lt;/Q&gt;&lt;R&gt;1&lt;/R&gt;&lt;C&gt;1&lt;/C&gt;&lt;D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xsi:type="xsd:double"&gt;123.59534&lt;/D&gt;&lt;/FQL&gt;&lt;FQL&gt;&lt;Q&gt;EWN^FG_PRICE_MAVG(0,,,,30)&lt;/Q&gt;&lt;R&gt;1&lt;/R&gt;&lt;C&gt;1&lt;/C&gt;&lt;D xsi:type="xsd:double"&gt;47.5115&lt;/D&gt;&lt;/FQL&gt;&lt;FQL&gt;&lt;Q&gt;EWU^FG_PRICE_MAVG(0,,,,30)&lt;/Q&gt;&lt;R&gt;1&lt;/R&gt;&lt;C&gt;1&lt;/C&gt;&lt;D xsi:type="xsd:double"&gt;32.775665&lt;/D&gt;&lt;/FQL&gt;&lt;FQL&gt;&lt;Q&gt;EWC^FG_PRICE_MAVG(0,,,,30)&lt;/Q&gt;&lt;R&gt;1&lt;/R&gt;&lt;C&gt;1&lt;/C&gt;&lt;D xsi:type="xsd:double"&gt;36.791&lt;/D&gt;&lt;/FQL&gt;&lt;FQL&gt;&lt;Q&gt;EWJ^P_PRICE(0)/P_PRICE_LOW_PR(0,,,USD,,,"PRICE","INTRA","52W")-1&lt;/Q&gt;&lt;R&gt;1&lt;/R&gt;&lt;C&gt;1&lt;/C&gt;&lt;D xsi:type="xsd:double"&gt;0.26587844&lt;/D&gt;&lt;/FQL&gt;&lt;FQL&gt;&lt;Q&gt;CAGDPY@IT^EE_ACTUAL_ANNUAL(MED,+1)&lt;/Q&gt;&lt;R&gt;1&lt;/R&gt;&lt;C&gt;1&lt;/C&gt;&lt;D xsi:type="xsd:double"&gt;0.9&lt;/D&gt;&lt;/FQL&gt;&lt;FQL&gt;&lt;Q&gt;CAGDPY@JP^EE_ACTUAL_ANNUAL(MED,+1)&lt;/Q&gt;&lt;R&gt;1&lt;/R&gt;&lt;C&gt;1&lt;/C&gt;&lt;D xsi:type="xsd:double"&gt;3.2&lt;/D&gt;&lt;/FQL&gt;&lt;FQL&gt;&lt;Q&gt;CC_CA^FG_COMPANY_NAME&lt;/Q&gt;&lt;R&gt;1&lt;/R&gt;&lt;C&gt;1&lt;/C&gt;&lt;D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xsi:type="xsd:double"&gt;-1.3698518&lt;/D&gt;&lt;/FQL&gt;&lt;FQL&gt;&lt;Q&gt;USDCHF^FG_PRICE_CHANGE(0,-1AY)&lt;/Q&gt;&lt;R&gt;1&lt;/R&gt;&lt;C&gt;1&lt;/C&gt;&lt;D xsi:type="xsd:double"&gt;-3.2895505&lt;/D&gt;&lt;/FQL&gt;&lt;FQL&gt;&lt;Q&gt;USDEUR^FG_PRICE_CHANGE(0,-1AY)&lt;/Q&gt;&lt;R&gt;1&lt;/R&gt;&lt;C&gt;1&lt;/C&gt;&lt;D xsi:type="xsd:double"&gt;-1.5108407&lt;/D&gt;&lt;/FQL&gt;&lt;FQL&gt;&lt;Q&gt;USDAUD^FG_PRICE_CHANGE(0,-1AY)&lt;/Q&gt;&lt;R&gt;1&lt;/R&gt;&lt;C&gt;1&lt;/C&gt;&lt;D xsi:type="xsd:double"&gt;1.1845112&lt;/D&gt;&lt;/FQL&gt;&lt;FQL&gt;&lt;Q&gt;QQQ^FMA_EPS(NTMA,-20AY,0,CY,,"PORTAGG","MEANR")&lt;/Q&gt;&lt;R&gt;20&lt;/R&gt;&lt;C&gt;1&lt;/C&gt;&lt;D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xsi:type="xsd:double"&gt;16.3227849383645&lt;/D&gt;&lt;/FQL&gt;&lt;FQL&gt;&lt;Q&gt;EWL^P_PRICE_RETURNS_PR('52W',2,-10AY,0,AM)&lt;/Q&gt;&lt;R&gt;121&lt;/R&gt;&lt;C&gt;1&lt;/C&gt;&lt;D xsi:type="xsd:double"&gt;15.153193&lt;/D&gt;&lt;D xsi:type="xsd:double"&gt;16.84147&lt;/D&gt;&lt;D xsi:type="xsd:double"&gt;17.464388&lt;/D&gt;&lt;D xsi:type="xsd:double"&gt;19.017529&lt;/D&gt;&lt;D xsi:type="xsd:double"&gt;17.429901&lt;/D&gt;&lt;D xsi:type="xsd:double"&gt;10.992992&lt;/D&gt;&lt;D xsi:type="xsd:double"&gt;11.946392&lt;/D&gt;&lt;D xsi:type="xsd:double"&gt;0.91307163&lt;/D&gt;&lt;D xsi:type="xsd:double"&gt;3.884101&lt;/D&gt;&lt;D xsi:type="xsd:double"&gt;4.6156883&lt;/D&gt;&lt;D xsi:type="xsd:double"&gt;-2.024746&lt;/D&gt;&lt;D xsi:type="xsd:double"&gt;0.4916191&lt;/D&gt;&lt;D xsi:type="xsd:double"&gt;-0.8619368&lt;/D&gt;&lt;D xsi:type="xsd:double"&gt;3.10601&lt;/D&gt;&lt;D xsi:type="xsd:double"&gt;5.2400947&lt;/D&gt;&lt;D xsi:type="xsd:double"&gt;1.6569734&lt;/D&gt;&lt;D xsi:type="xsd:double"&gt;3.0323386&lt;/D&gt;&lt;D xsi:type="xsd:double"&gt;3.4372568&lt;/D&gt;&lt;D xsi:type="xsd:double"&gt;-3.2998443&lt;/D&gt;&lt;D xsi:type="xsd:double"&gt;6.303239&lt;/D&gt;&lt;D xsi:type="xsd:double"&gt;-4.008931&lt;/D&gt;&lt;D xsi:type="xsd:double"&gt;-2.659142&lt;/D&gt;&lt;D xsi:type="xsd:double"&gt;-4.64617&lt;/D&gt;&lt;D xsi:type="xsd:double"&gt;-12.0646&lt;/D&gt;&lt;D xsi:type="xsd:double"&gt;-6.661648&lt;/D&gt;&lt;D xsi:type="xsd:double"&gt;-9.229094&lt;/D&gt;&lt;D xsi:type="xsd:double"&gt;-13.516885&lt;/D&gt;&lt;D xsi:type="xsd:double"&gt;-13.639146&lt;/D&gt;&lt;D xsi:type="xsd:double"&gt;-10.618294&lt;/D&gt;&lt;D xsi:type="xsd:double"&gt;-5.3179083&lt;/D&gt;&lt;D xsi:type="xsd:double"&gt;-1.026535&lt;/D&gt;&lt;D xsi:type="xsd:double"&gt;-3.9622784&lt;/D&gt;&lt;D xsi:type="xsd:double"&gt;-3.1065404&lt;/D&gt;&lt;D xsi:type="xsd:double"&gt;-2.1896362&lt;/D&gt;&lt;D xsi:type="xsd:double"&gt;7.3699594&lt;/D&gt;&lt;D xsi:type="xsd:double"&gt;11.952209&lt;/D&gt;&lt;D xsi:type="xsd:double"&gt;9.458923&lt;/D&gt;&lt;D xsi:type="xsd:double"&gt;8.065248&lt;/D&gt;&lt;D xsi:type="xsd:double"&gt;16.178417&lt;/D&gt;&lt;D xsi:type="xsd:double"&gt;20.359337&lt;/D&gt;&lt;D xsi:type="xsd:double"&gt;17.89893&lt;/D&gt;&lt;D xsi:type="xsd:double"&gt;13.742352&lt;/D&gt;&lt;D xsi:type="xsd:double"&gt;17.168045&lt;/D&gt;&lt;D xsi:type="xsd:double"&gt;22.138596&lt;/D&gt;&lt;D xsi:type="xsd:double"&gt;21.021961&lt;/D&gt;&lt;D xsi:type="xsd:double"&gt;23.254765&lt;/D&gt;&lt;D xsi:type="xsd:double"&gt;22.733711&lt;/D&gt;&lt;D xsi:type="xsd:double"&gt;18.80622&lt;/D&gt;&lt;D xsi:type="xsd:double"&gt;13.148535&lt;/D&gt;&lt;D xsi:type="xsd:double"&gt;9.930981&lt;/D&gt;&lt;D xsi:type="xsd:double"&gt;3.093779&lt;/D&gt;&lt;D xsi:type="xsd:double"&gt;0.12317896&lt;/D&gt;&lt;D xsi:type="xsd:double"&gt;-0.8000314&lt;/D&gt;&lt;D xsi:type="xsd:double"&gt;2.2378683&lt;/D&gt;&lt;D xsi:type="xsd:double"&gt;2.6845813&lt;/D&gt;&lt;D xsi:type="xsd:double"&gt;-5.6500196&lt;/D&gt;&lt;D xsi:type="xsd:double"&gt;-2.1068692&lt;/D&gt;&lt;D xsi:type="xsd:double"&gt;-6.4518986&lt;/D&gt;&lt;D xsi:type="xsd:double"&gt;-8.183688&lt;/D&gt;&lt;D xsi:type="xsd:double"&gt;-3.8075924&lt;/D&gt;&lt;D xsi:type="xsd:double"&gt;2.9183626&lt;/D&gt;&lt;D xsi:type="xsd:double"&gt;6.2368035&lt;/D&gt;&lt;D xsi:type="xsd:double"&gt;5.031717&lt;/D&gt;&lt;D xsi:type="xsd:double"&gt;13.125467&lt;/D&gt;&lt;D xsi:type="xsd:double"&gt;13.750065&lt;/D&gt;&lt;D xsi:type="xsd:double"&gt;9.594655&lt;/D&gt;&lt;D xsi:type="xsd:double"&gt;10.845256&lt;/D&gt;&lt;D xsi:type="xsd:double"&gt;16.970694&lt;/D&gt;&lt;D xsi:type="xsd:double"&gt;20.51673&lt;/D&gt;&lt;D xsi:type="xsd:double"&gt;23.695385&lt;/D&gt;&lt;D xsi:type="xsd:double"&gt;27.319193&lt;/D&gt;&lt;D xsi:type="xsd:double"&gt;27.606796&lt;/D&gt;&lt;D xsi:type="xsd:double"&gt;0.910604&lt;/D&gt;&lt;D xsi:type="xsd:double"&gt;5.207479&lt;/D&gt;&lt;D xsi:type="xsd:double"&gt;5.257714&lt;/D&gt;&lt;D xsi:type="xsd:double"&gt;5.413127&lt;/D&gt;&lt;D xsi:type="xsd:double"&gt;11.277223&lt;/D&gt;&lt;D xsi:type="xsd:double"&gt;15.13735&lt;/D&gt;&lt;D xsi:type="xsd:double"&gt;13.983417&lt;/D&gt;&lt;D xsi:type="xsd:double"&gt;13.903009&lt;/D&gt;&lt;D xsi:type="xsd:double"&gt;12.416113&lt;/D&gt;&lt;D xsi:type="xsd:double"&gt;11.604727&lt;/D&gt;&lt;D xsi:type="xsd:double"&gt;12.938094&lt;/D&gt;&lt;D xsi:type="xsd:double"&gt;9.787345&lt;/D&gt;&lt;D xsi:type="xsd:double"&gt;40.04383&lt;/D&gt;&lt;D xsi:type="xsd:double"&gt;27.022766&lt;/D&gt;&lt;D xsi:type="xsd:double"&gt;31.530678&lt;/D&gt;&lt;D xsi:type="xsd:double"&gt;33.379173&lt;/D&gt;&lt;D xsi:type="xsd:double"&gt;24.633944&lt;/D&gt;&lt;D xsi:type="xsd:double"&gt;24.511814&lt;/D&gt;&lt;D xsi:type="xsd:double"&gt;18.852627&lt;/D&gt;&lt;D xsi:type="xsd:double"&gt;18.176914&lt;/D&gt;&lt;D xsi:type="xsd:double"&gt;22.994923&lt;/D&gt;&lt;D xsi:type="xsd:double"&gt;18.595064&lt;/D&gt;&lt;D xsi:type="xsd:double"&gt;14.737892&lt;/D&gt;&lt;D xsi:type="xsd:double"&gt;8.243429&lt;/D&gt;&lt;D xsi:type="xsd:double"&gt;6.2241316&lt;/D&gt;&lt;D xsi:type="xsd:double"&gt;9.372878&lt;/D&gt;&lt;D xsi:type="xsd:double"&gt;-4.3748674&lt;/D&gt;&lt;D xsi:type="xsd:double"&gt;-19.360888&lt;/D&gt;&lt;D xsi:type="xsd:double"&gt;-16.368204&lt;/D&gt;&lt;D xsi:type="xsd:double"&gt;-11.146397&lt;/D&gt;&lt;D xsi:type="xsd:double"&gt;-15.918321&lt;/D&gt;&lt;D xsi:type="xsd:double"&gt;-21.920849&lt;/D&gt;&lt;D xsi:type="xsd:double"&gt;-15.122956&lt;/D&gt;&lt;D xsi:type="xsd:double"&gt;-11.987477&lt;/D&gt;&lt;D xsi:type="xsd:double"&gt;-11.338472&lt;/D&gt;&lt;D xsi:type="xsd:double"&gt;-4.775107&lt;/D&gt;&lt;D xsi:type="xsd:double"&gt;-2.9459834&lt;/D&gt;&lt;D xsi:type="xsd:double"&gt;-2.1449327&lt;/D&gt;&lt;D xsi:type="xsd:double"&gt;14.762676&lt;/D&gt;&lt;D xsi:type="xsd:double"&gt;19.415855&lt;/D&gt;&lt;D xsi:type="xsd:double"&gt;19.281567&lt;/D&gt;&lt;D xsi:type="xsd:double"&gt;7.868409&lt;/D&gt;&lt;D xsi:type="xsd:double"&gt;13.853431&lt;/D&gt;&lt;D xsi:type="xsd:double"&gt;20.683014&lt;/D&gt;&lt;D xsi:type="xsd:double"&gt;6.481087&lt;/D&gt;&lt;D xsi:type="xsd:double"&gt;10.945642&lt;/D&gt;&lt;D xsi:type="xsd:double"&gt;10.134708&lt;/D&gt;&lt;D xsi:type="xsd:double"&gt;5.199349&lt;/D&gt;&lt;D xsi:type="xsd:double"&gt;13.360572&lt;/D&gt;&lt;/FQL&gt;&lt;FQL&gt;&lt;Q&gt;EWG^FG_TOTAL_RETURNC(-10AY,0,AM)&lt;/Q&gt;&lt;R&gt;121&lt;/R&gt;&lt;C&gt;1&lt;/C&gt;&lt;D xsi:type="xsd:double"&gt;-5.1314535&lt;/D&gt;&lt;D xsi:type="xsd:double"&gt;2.3372293&lt;/D&gt;&lt;D xsi:type="xsd:double"&gt;3.1973839&lt;/D&gt;&lt;D xsi:type="xsd:double"&gt;0.4742384&lt;/D&gt;&lt;D xsi:type="xsd:double"&gt;-0.87180734&lt;/D&gt;&lt;D xsi:type="xsd:double"&gt;-6.897664&lt;/D&gt;&lt;D xsi:type="xsd:double"&gt;0.7304311&lt;/D&gt;&lt;D xsi:type="xsd:double"&gt;-10.669881&lt;/D&gt;&lt;D xsi:type="xsd:double"&gt;4.0587544&lt;/D&gt;&lt;D xsi:type="xsd:double"&gt;2.6745915&lt;/D&gt;&lt;D xsi:type="xsd:double"&gt;-1.9536853&lt;/D&gt;&lt;D xsi:type="xsd:double"&gt;7.7121735&lt;/D&gt;&lt;D xsi:type="xsd:double"&gt;0&lt;/D&gt;&lt;D xsi:type="xsd:double"&gt;4.0424824&lt;/D&gt;&lt;D xsi:type="xsd:double"&gt;0.55975914&lt;/D&gt;&lt;D xsi:type="xsd:double"&gt;-4.3876886&lt;/D&gt;&lt;D xsi:type="xsd:double"&gt;0.62054396&lt;/D&gt;&lt;D xsi:type="xsd:double"&gt;-2.8047085&lt;/D&gt;&lt;D xsi:type="xsd:double"&gt;-6.1275363&lt;/D&gt;&lt;D xsi:type="xsd:double"&gt;-1.1385262&lt;/D&gt;&lt;D xsi:type="xsd:double"&gt;0&lt;/D&gt;&lt;D xsi:type="xsd:double"&gt;-1.1516273&lt;/D&gt;&lt;D xsi:type="xsd:double"&gt;-4.7378597&lt;/D&gt;&lt;D xsi:type="xsd:double"&gt;-5.748063&lt;/D&gt;&lt;D xsi:type="xsd:double"&gt;9.169542&lt;/D&gt;&lt;D xsi:type="xsd:double"&gt;2.337563&lt;/D&gt;&lt;D xsi:type="xsd:double"&gt;-1.4711559&lt;/D&gt;&lt;D xsi:type="xsd:double"&gt;-3.889984&lt;/D&gt;&lt;D xsi:type="xsd:double"&gt;3.9794087&lt;/D&gt;&lt;D xsi:type="xsd:double"&gt;6.7257404&lt;/D&gt;&lt;D xsi:type="xsd:double"&gt;-2.3018897&lt;/D&gt;&lt;D xsi:type="xsd:double"&gt;-0.46349764&lt;/D&gt;&lt;D xsi:type="xsd:double"&gt;-2.0566583&lt;/D&gt;&lt;D xsi:type="xsd:double"&gt;3.090334&lt;/D&gt;&lt;D xsi:type="xsd:double"&gt;4.2633414&lt;/D&gt;&lt;D xsi:type="xsd:double"&gt;1.1799455&lt;/D&gt;&lt;D xsi:type="xsd:double"&gt;1.7128229&lt;/D&gt;&lt;D xsi:type="xsd:double"&gt;0.8599043&lt;/D&gt;&lt;D xsi:type="xsd:double"&gt;8.49024&lt;/D&gt;&lt;D xsi:type="xsd:double"&gt;2.9796958&lt;/D&gt;&lt;D xsi:type="xsd:double"&gt;0.78053474&lt;/D&gt;&lt;D xsi:type="xsd:double"&gt;-1.1900961&lt;/D&gt;&lt;D xsi:type="xsd:double"&gt;4.0039063&lt;/D&gt;&lt;D xsi:type="xsd:double"&gt;2.7855992&lt;/D&gt;&lt;D xsi:type="xsd:double"&gt;0.030446053&lt;/D&gt;&lt;D xsi:type="xsd:double"&gt;0.12177229&lt;/D&gt;&lt;D xsi:type="xsd:double"&gt;5.1903486&lt;/D&gt;&lt;D xsi:type="xsd:double"&gt;-3.7959933&lt;/D&gt;&lt;D xsi:type="xsd:double"&gt;-1.9578338&lt;/D&gt;&lt;D xsi:type="xsd:double"&gt;1.0445476&lt;/D&gt;&lt;D xsi:type="xsd:double"&gt;0.6080866&lt;/D&gt;&lt;D xsi:type="xsd:double"&gt;-1.5110314&lt;/D&gt;&lt;D xsi:type="xsd:double"&gt;-3.7448764&lt;/D&gt;&lt;D xsi:type="xsd:double"&gt;-3.3627152&lt;/D&gt;&lt;D xsi:type="xsd:double"&gt;0.37162304&lt;/D&gt;&lt;D xsi:type="xsd:double"&gt;-5.</t>
        </r>
      </text>
    </comment>
    <comment ref="A8" authorId="0" shapeId="0" xr:uid="{D7344456-1A29-4D7B-ADBE-B1736B34BD9E}">
      <text>
        <r>
          <rPr>
            <b/>
            <sz val="9"/>
            <color indexed="81"/>
            <rFont val="Tahoma"/>
            <charset val="1"/>
          </rPr>
          <t>923927&lt;/D&gt;&lt;D xsi:type="xsd:double"&gt;-2.6833653&lt;/D&gt;&lt;D xsi:type="xsd:double"&gt;-5.955887&lt;/D&gt;&lt;D xsi:type="xsd:double"&gt;1.9546509&lt;/D&gt;&lt;D xsi:type="xsd:double"&gt;0.26839972&lt;/D&gt;&lt;D xsi:type="xsd:double"&gt;4.474187&lt;/D&gt;&lt;D xsi:type="xsd:double"&gt;3.294289&lt;/D&gt;&lt;D xsi:type="xsd:double"&gt;-1.594609&lt;/D&gt;&lt;D xsi:type="xsd:double"&gt;-0.28808117&lt;/D&gt;&lt;D xsi:type="xsd:double"&gt;2.5180817&lt;/D&gt;&lt;D xsi:type="xsd:double"&gt;-8.034742&lt;/D&gt;&lt;D xsi:type="xsd:double"&gt;8.26447&lt;/D&gt;&lt;D xsi:type="xsd:double"&gt;-0.6179571&lt;/D&gt;&lt;D xsi:type="xsd:double"&gt;5.4133177&lt;/D&gt;&lt;D xsi:type="xsd:double"&gt;2.047193&lt;/D&gt;&lt;D xsi:type="xsd:double"&gt;1.3940811&lt;/D&gt;&lt;D xsi:type="xsd:double"&gt;-1.1401772&lt;/D&gt;&lt;D xsi:type="xsd:double"&gt;-28.019&lt;/D&gt;&lt;D xsi:type="xsd:double"&gt;9.660709&lt;/D&gt;&lt;D xsi:type="xsd:double"&gt;-3.1800568&lt;/D&gt;&lt;D xsi:type="xsd:double"&gt;19.041275&lt;/D&gt;&lt;D xsi:type="xsd:double"&gt;6.8824053&lt;/D&gt;&lt;D xsi:type="xsd:double"&gt;4.5118093&lt;/D&gt;&lt;D xsi:type="xsd:double"&gt;2.3608804&lt;/D&gt;&lt;D xsi:type="xsd:double"&gt;-1.5486062&lt;/D&gt;&lt;D xsi:type="xsd:double"&gt;0.16733408&lt;/D&gt;&lt;D xsi:type="xsd:double"&gt;3.8987875&lt;/D&gt;&lt;D xsi:type="xsd:double"&gt;5.9915304&lt;/D&gt;&lt;D xsi:type="xsd:double"&gt;1.2288809&lt;/D&gt;&lt;D xsi:type="xsd:double"&gt;0.72836876&lt;/D&gt;&lt;D xsi:type="xsd:double"&gt;4.2181373&lt;/D&gt;&lt;D xsi:type="xsd:double"&gt;2.399528&lt;/D&gt;&lt;D xsi:type="xsd:double"&gt;2.4456382&lt;/D&gt;&lt;D xsi:type="xsd:double"&gt;-1.8778086&lt;/D&gt;&lt;D xsi:type="xsd:double"&gt;0.94258785&lt;/D&gt;&lt;D xsi:type="xsd:double"&gt;-1.8675745&lt;/D&gt;&lt;D xsi:type="xsd:double"&gt;-3.7773967&lt;/D&gt;&lt;D xsi:type="xsd:double"&gt;2.217567&lt;/D&gt;&lt;D xsi:type="xsd:double"&gt;-5.3489265&lt;/D&gt;&lt;D xsi:type="xsd:double"&gt;4.159677&lt;/D&gt;&lt;D xsi:type="xsd:double"&gt;-6.3287377&lt;/D&gt;&lt;D xsi:type="xsd:double"&gt;-12.103743&lt;/D&gt;&lt;D xsi:type="xsd:double"&gt;-1.0200381&lt;/D&gt;&lt;D xsi:type="xsd:double"&gt;-5.1159325&lt;/D&gt;&lt;D xsi:type="xsd:double"&gt;-4.98578&lt;/D&gt;&lt;D xsi:type="xsd:double"&gt;-9.68014&lt;/D&gt;&lt;D xsi:type="xsd:double"&gt;12.767946&lt;/D&gt;&lt;D xsi:type="xsd:double"&gt;-8.842981&lt;/D&gt;&lt;D xsi:type="xsd:double"&gt;-8.884853&lt;/D&gt;&lt;D xsi:type="xsd:double"&gt;22.636806&lt;/D&gt;&lt;D xsi:type="xsd:double"&gt;4.213512&lt;/D&gt;&lt;D xsi:type="xsd:double"&gt;8.216513&lt;/D&gt;&lt;D xsi:type="xsd:double"&gt;1.2234569&lt;/D&gt;&lt;D xsi:type="xsd:double"&gt;-2.452892&lt;/D&gt;&lt;D xsi:type="xsd:double"&gt;6.1953306&lt;/D&gt;&lt;D xsi:type="xsd:double"&gt;-0.9951949&lt;/D&gt;&lt;D xsi:type="xsd:double"&gt;1.7130852&lt;/D&gt;&lt;D xsi:type="xsd:double"&gt;2.275908&lt;/D&gt;&lt;D xsi:type="xsd:double"&gt;-3.7315905&lt;/D&gt;&lt;D xsi:type="xsd:double"&gt;-3.0938864&lt;/D&gt;&lt;D xsi:type="xsd:double"&gt;-5.7614684&lt;/D&gt;&lt;D xsi:type="xsd:double"&gt;6.5420628&lt;/D&gt;&lt;D xsi:type="xsd:double"&gt;8.114028&lt;/D&gt;&lt;D xsi:type="xsd:double"&gt;-1.2118697&lt;/D&gt;&lt;D xsi:type="xsd:double"&gt;-0.205338&lt;/D&gt;&lt;D xsi:type="xsd:double"&gt;6.824422&lt;/D&gt;&lt;/FQL&gt;&lt;FQL&gt;&lt;Q&gt;EWA^FMA_DIV_YLD(NTMA,-10AY,0,AM,"PORTAGG","MEANR")&lt;/Q&gt;&lt;R&gt;121&lt;/R&gt;&lt;C&gt;1&lt;/C&gt;&lt;D xsi:type="xsd:double"&gt;4.91184008084457&lt;/D&gt;&lt;D xsi:type="xsd:double"&gt;4.84151765390694&lt;/D&gt;&lt;D xsi:type="xsd:double"&gt;4.74695402103916&lt;/D&gt;&lt;D xsi:type="xsd:double"&gt;4.84038529184913&lt;/D&gt;&lt;D xsi:type="xsd:double"&gt;4.73008204192005&lt;/D&gt;&lt;D xsi:type="xsd:double"&gt;4.74379526918984&lt;/D&gt;&lt;D xsi:type="xsd:double"&gt;4.8052723800259&lt;/D&gt;&lt;D xsi:type="xsd:double"&gt;5.14488727595988&lt;/D&gt;&lt;D xsi:type="xsd:double"&gt;4.91118845114226&lt;/D&gt;&lt;D xsi:type="xsd:double"&gt;5.14562330070198&lt;/D&gt;&lt;D xsi:type="xsd:double"&gt;5.04121212887083&lt;/D&gt;&lt;D xsi:type="xsd:double"&gt;4.618311590846&lt;/D&gt;&lt;D xsi:type="xsd:double"&gt;4.68187158745944&lt;/D&gt;&lt;D xsi:type="xsd:double"&gt;4.56668155365355&lt;/D&gt;&lt;D xsi:type="xsd:double"&gt;4.7005970898141&lt;/D&gt;&lt;D xsi:type="xsd:double"&gt;4.90949735949374&lt;/D&gt;&lt;D xsi:type="xsd:double"&gt;4.89082590452327&lt;/D&gt;&lt;D xsi:type="xsd:double"&gt;5.10791159386685&lt;/D&gt;&lt;D xsi:type="xsd:double"&gt;5.41131171256665&lt;/D&gt;&lt;D xsi:type="xsd:double"&gt;5.24906409881144&lt;/D&gt;&lt;D xsi:type="xsd:double"&gt;5.41668061144677&lt;/D&gt;&lt;D xsi:type="xsd:double"&gt;5.51362178490055&lt;/D&gt;&lt;D xsi:type="xsd:double"&gt;5.53870179083491&lt;/D&gt;&lt;D xsi:type="xsd:double"&gt;5.3109486475608&lt;/D&gt;&lt;D xsi:type="xsd:double"&gt;4.7090405026498&lt;/D&gt;&lt;D xsi:type="xsd:double"&gt;4.78152915536029&lt;/D&gt;&lt;D xsi:type="xsd:double"&gt;4.59766981783266&lt;/D&gt;&lt;D xsi:type="xsd:double"&gt;4.7123823837001&lt;/D&gt;&lt;D xsi:type="xsd:double"&gt;4.53917663603793&lt;/D&gt;&lt;D xsi:type="xsd:double"&gt;4.45046731935085&lt;/D&gt;&lt;D xsi:type="xsd:double"&gt;4.73348845400571&lt;/D&gt;&lt;D xsi:type="xsd:double"&gt;4.54815502393868&lt;/D&gt;&lt;D xsi:type="xsd:double"&gt;4.62161476805157&lt;/D&gt;&lt;D xsi:type="xsd:double"&gt;4.51499387401859&lt;/D&gt;&lt;D xsi:type="xsd:double"&gt;4.47686615468953&lt;/D&gt;&lt;D xsi:type="xsd:double"&gt;4.51589182746554&lt;/D&gt;&lt;D xsi:type="xsd:double"&gt;4.56741453005858&lt;/D&gt;&lt;D xsi:type="xsd:double"&gt;4.49241857908844&lt;/D&gt;&lt;D xsi:type="xsd:double"&gt;4.56118458433826&lt;/D&gt;&lt;D xsi:type="xsd:double"&gt;4.5568231655954&lt;/D&gt;&lt;D xsi:type="xsd:double"&gt;4.56231754683531&lt;/D&gt;&lt;D xsi:type="xsd:double"&gt;4.60756283246133&lt;/D&gt;&lt;D xsi:type="xsd:double"&gt;4.56728736138145&lt;/D&gt;&lt;D xsi:type="xsd:double"&gt;4.53685515543787&lt;/D&gt;&lt;D xsi:type="xsd:double"&gt;4.47176215416553&lt;/D&gt;&lt;D xsi:type="xsd:double"&gt;4.49132478049664&lt;/D&gt;&lt;D xsi:type="xsd:double"&gt;4.45728095530157&lt;/D&gt;&lt;D xsi:type="xsd:double"&gt;4.69971179573182&lt;/D&gt;&lt;D xsi:type="xsd:double"&gt;4.66885697467708&lt;/D&gt;&lt;D xsi:type="xsd:double"&gt;4.78323949451702&lt;/D&gt;&lt;D xsi:type="xsd:double"&gt;4.58764741361808&lt;/D&gt;&lt;D xsi:type="xsd:double"&gt;4.77784265559858&lt;/D&gt;&lt;D xsi:type="xsd:double"&gt;4.56211945827358&lt;/D&gt;&lt;D xsi:type="xsd:double"&gt;4.5852892880627&lt;/D&gt;&lt;D xsi:type="xsd:double"&gt;4.76945326768688&lt;/D&gt;&lt;D xsi:type="xsd:double"&gt;5.02426204733035&lt;/D&gt;&lt;D xsi:type="xsd:double"&gt;5.23385059258006&lt;/D&gt;&lt;D xsi:type="xsd:double"&gt;5.40791565395275&lt;/D&gt;&lt;D xsi:type="xsd:double"&gt;5.18558672763674&lt;/D&gt;&lt;D xsi:type="xsd:double"&gt;4.95592691471928&lt;/D&gt;&lt;D xsi:type="xsd:double"&gt;4.964712178216&lt;/D&gt;&lt;D xsi:type="xsd:double"&gt;4.89112712028864&lt;/D&gt;&lt;D xsi:type="xsd:double"&gt;4.92936526393701&lt;/D&gt;&lt;D xsi:type="xsd:double"&gt;4.68737642622889&lt;/D&gt;&lt;D xsi:type="xsd:double"&gt;4.61857063885436&lt;/D&gt;&lt;D xsi:type="xsd:double"&gt;4.65372897801502&lt;/D&gt;&lt;D xsi:type="xsd:double"&gt;4.47937054324022&lt;/D&gt;&lt;D xsi:type="xsd:double"&gt;4.46290433021058&lt;/D&gt;&lt;D xsi:type="xsd:double"&gt;4.35577188347537&lt;/D&gt;&lt;D xsi:type="xsd:double"&gt;4.3029217614979&lt;/D&gt;&lt;D xsi:type="xsd:double"&gt;4.17592881556301&lt;/D&gt;&lt;D xsi:type="xsd:double"&gt;4.07327895528173&lt;/D&gt;&lt;D xsi:type="xsd:double"&gt;5.20012743401364&lt;/D&gt;&lt;D xsi:type="xsd:double"&gt;4.42557492501316&lt;/D&gt;&lt;D xsi:type="xsd:double"&gt;3.8900763068621&lt;/D&gt;&lt;D xsi:type="xsd:double"&gt;3.46658433815307&lt;/D&gt;&lt;D xsi:type="xsd:double"&gt;3.46240502210055&lt;/D&gt;&lt;D xsi:type="xsd:double"&gt;3.33913985231138&lt;/D&gt;&lt;D xsi:type="xsd:double"&gt;3.58891729897078&lt;/D&gt;&lt;D xsi:type="xsd:double"&gt;3.54225069884672&lt;/D&gt;&lt;D xsi:type="xsd:double"&gt;3.53253549938006&lt;/D&gt;&lt;D xsi:type="xsd:double"&gt;3.52648549665719&lt;/D&gt;&lt;D xsi:type="xsd:double"&gt;3.52980852401204&lt;/D&gt;&lt;D xsi:type="xsd:double"&gt;3.61076405482337&lt;/D&gt;&lt;D xsi:type="xsd:double"&gt;3.8938234026468&lt;/D&gt;&lt;D xsi:type="xsd:double"&gt;3.88664031805721&lt;/D&gt;&lt;D xsi:type="xsd:double"&gt;3.94546016722028&lt;/D&gt;&lt;D xsi:type="xsd:double"&gt;3.87103570450648&lt;/D&gt;&lt;D xsi:type="xsd:double"&gt;4.06154588945511&lt;/D&gt;&lt;D xsi:type="xsd:double"&gt;4.00076630991481&lt;/D&gt;&lt;D xsi:type="xsd:double"&gt;4.07306709164286&lt;/D&gt;&lt;D xsi:type="xsd:double"&gt;4.05968344982147&lt;/D&gt;&lt;D xsi:type="xsd:double"&gt;3.95580794033634&lt;/D&gt;&lt;D xsi:type="xsd:double"&gt;3.93953978319005&lt;/D&gt;&lt;D xsi:type="xsd:double"&gt;3.87700807266834&lt;/D&gt;&lt;D xsi:type="xsd:double"&gt;4.25057900320775&lt;/D&gt;&lt;D xsi:type="xsd:double"&gt;4.33778570932445&lt;/D&gt;&lt;D xsi:type="xsd:double"&gt;4.33388876302986&lt;/D&gt;&lt;D xsi:type="xsd:double"&gt;4.75718159489333&lt;/D&gt;&lt;D xsi:type="xsd:double"&gt;5.15967616418707&lt;/D&gt;&lt;D xsi:type="xsd:double"&gt;5.19642984439964&lt;/D&gt;&lt;D xsi:type="xsd:double"&gt;4.72951926897852&lt;/D&gt;&lt;D xsi:type="xsd:double"&gt;4.92440556538563&lt;/D&gt;&lt;D xsi:type="xsd:double"&gt;5.08928712528076&lt;/D&gt;&lt;D xsi:type="xsd:double"&gt;4.62108276112838&lt;/D&gt;&lt;D xsi:type="xsd:double"&gt;4.45819214766092&lt;/D&gt;&lt;D xsi:type="xsd:double"&gt;4.39724632312393&lt;/D&gt;&lt;D xsi:type="xsd:double"&gt;4.29833564352954&lt;/D&gt;&lt;D xsi:type="xsd:double"&gt;4.65997046902876&lt;/D&gt;&lt;D xsi:type="xsd:double"&gt;4.36084801518595&lt;/D&gt;&lt;D xsi:type="xsd:double"&gt;4.44080452883409&lt;/D&gt;&lt;D xsi:type="xsd:double"&gt;4.36545169235255&lt;/D&gt;&lt;D xsi:type="xsd:double"&gt;4.17666727173991&lt;/D&gt;&lt;D xsi:type="xsd:double"&gt;4.22472624477333&lt;/D&gt;&lt;D xsi:type="xsd:double"&gt;4.20678170981515&lt;/D&gt;&lt;D xsi:type="xsd:double"&gt;4.37051189686638&lt;/D&gt;&lt;D xsi:type="xsd:double"&gt;4.36273795016295&lt;/D&gt;&lt;D xsi:type="xsd:double"&gt;4.12139378258208&lt;/D&gt;&lt;D xsi:type="xsd:double"&gt;4.04808637053867&lt;/D&gt;&lt;D xsi:type="xsd:double"&gt;4.05078541004921&lt;/D&gt;&lt;D xsi:type="xsd:double"&gt;3.96328217967791&lt;/D&gt;&lt;/FQL&gt;&lt;FQL&gt;&lt;Q&gt;ENZL^JULIAN(FMA_DIV_YLD(NTMA,-10AY,0,AM,"PORTAGG","MEANR").DATES)&lt;/Q&gt;&lt;R&gt;121&lt;/R&gt;&lt;C&gt;1&lt;/C&gt;&lt;D xsi:type="xsd:long"&gt;41712&lt;/D&gt;&lt;D xsi:type="xsd:long"&gt;41743&lt;/D&gt;&lt;D xsi:type="xsd:long"&gt;41773&lt;/D&gt;&lt;D xsi:type="xsd:long"&gt;41803&lt;/D&gt;&lt;D xsi:type="xsd:long"&gt;41834&lt;/D&gt;&lt;D xsi:type="xsd:long"&gt;41865&lt;/D&gt;&lt;D xsi:type="xsd:long"&gt;41894&lt;/D&gt;&lt;D xsi:type="xsd:long"&gt;41926&lt;/D&gt;&lt;D xsi:type="xsd:long"&gt;41957&lt;/D&gt;&lt;D xsi:type="xsd:long"&gt;41985&lt;/D&gt;&lt;D xsi:type="xsd:long"&gt;42018&lt;/D&gt;&lt;D xsi:type="xsd:long"&gt;42048&lt;/D&gt;&lt;D xsi:type="xsd:long"&gt;42076&lt;/D&gt;&lt;D xsi:type="xsd:long"&gt;42108&lt;/D&gt;&lt;D xsi:type="xsd:long"&gt;42138&lt;/D&gt;&lt;D xsi:type="xsd:long"&gt;42167&lt;/D&gt;&lt;D xsi:type="xsd:long"&gt;42199&lt;/D&gt;&lt;D xsi:type="xsd:long"&gt;42230&lt;/D&gt;&lt;D xsi:type="xsd:long"&gt;42261&lt;/D&gt;&lt;D xsi:type="xsd:long"&gt;42291&lt;/D&gt;&lt;D xsi:type="xsd:long"&gt;42321&lt;/D&gt;&lt;D xsi:type="xsd:long"&gt;42352&lt;/D&gt;&lt;D xsi:type="xsd:long"&gt;42383&lt;/D&gt;&lt;D xsi:type="xsd:long"&gt;42412&lt;/D&gt;&lt;D xsi:type="xsd:long"&gt;42443&lt;/D&gt;&lt;D xsi:type="xsd:long"&gt;42474&lt;/D&gt;&lt;D xsi:type="xsd:long"&gt;42503&lt;/D&gt;&lt;D xsi:type="xsd:long"&gt;42535&lt;/D&gt;&lt;D xsi:type="xsd:long"&gt;42565&lt;/D&gt;&lt;D xsi:type="xsd:long"&gt;42594&lt;/D&gt;&lt;D xsi:type="xsd:long"&gt;42627&lt;/D&gt;&lt;D xsi:type="xsd:long"&gt;42657&lt;/D&gt;&lt;D xsi:type="xsd:long"&gt;42688&lt;/D&gt;&lt;D xsi:type="xsd:long"&gt;42718&lt;/D&gt;&lt;D xsi:type="xsd:long"&gt;42748&lt;/D&gt;&lt;D xsi:type="xsd:long"&gt;42780&lt;/D&gt;&lt;D xsi:type="xsd:long"&gt;42808&lt;/D&gt;&lt;D xsi:type="xsd:long"&gt;42838&lt;/D&gt;&lt;D xsi:type="xsd:long"&gt;42867&lt;/D&gt;&lt;D xsi:type="xsd:long"&gt;42900&lt;/D&gt;&lt;D xsi:type="xsd:long"&gt;42930&lt;/D&gt;&lt;D xsi:type="xsd:long"&gt;42961&lt;/D&gt;&lt;D xsi:type="xsd:long"&gt;42992&lt;/D&gt;&lt;D xsi:type="xsd:long"&gt;43021&lt;/D&gt;&lt;D xsi:type="xsd:long"&gt;43053&lt;/D&gt;&lt;D xsi:type="xsd:long"&gt;43083&lt;/D&gt;&lt;D xsi:type="xsd:long"&gt;43112&lt;/D&gt;&lt;D xsi:type="xsd:long"&gt;43145&lt;/D&gt;&lt;D xsi:type="xsd:long"&gt;43173&lt;/D&gt;&lt;D xsi:type="xsd:long"&gt;43203&lt;/D&gt;&lt;D xsi:type="xsd:long"&gt;43234&lt;/D&gt;&lt;D xsi:type="xsd:long"&gt;43265&lt;/D&gt;&lt;D xsi:type="xsd:long"&gt;43294&lt;/D&gt;&lt;D xsi:type="xsd:long"&gt;43326&lt;/D&gt;&lt;D xsi:type="xsd:long"&gt;43357&lt;/D&gt;&lt;D xsi:type="xsd:long"&gt;43385&lt;/D&gt;&lt;D xsi:type="xsd:long"&gt;43418&lt;/D&gt;&lt;D xsi:type="xsd:long"&gt;43448&lt;/D&gt;&lt;D xsi:type="xsd:long"&gt;43479&lt;/D&gt;&lt;D xsi:type="xsd:long"&gt;43510&lt;/D&gt;&lt;D xsi:type="xsd:long"&gt;43538&lt;/D&gt;&lt;D xsi:type="xsd:long"&gt;43567&lt;/D&gt;&lt;D xsi:type="xsd:long"&gt;43599&lt;/D&gt;&lt;D xsi:type="xsd:long"&gt;43630&lt;/D&gt;&lt;D xsi:type="xsd:long"&gt;43658&lt;/D&gt;&lt;D xsi:type="xsd:long"&gt;43691&lt;/D&gt;&lt;D xsi:type="xsd:long"&gt;43721&lt;/D&gt;&lt;D xsi:type="xsd:long"&gt;43752&lt;/D&gt;&lt;D xsi:type="xsd:long"&gt;43783&lt;/D&gt;&lt;D xsi:type="xsd:long"&gt;43812&lt;/D&gt;&lt;D xsi:type="xsd:long"&gt;43844&lt;/D&gt;&lt;D xsi:type="xsd:long"&gt;43875&lt;/D&gt;&lt;D xsi:type="xsd:long"&gt;43903&lt;/D&gt;&lt;D xsi:type="xsd:long"&gt;43935&lt;/D&gt;&lt;D xsi:type="xsd:long"&gt;43965&lt;/D&gt;&lt;D xsi:type="xsd:long"&gt;43994&lt;/D&gt;&lt;D xsi:type="xsd:long"&gt;44026&lt;/D&gt;&lt;D xsi:type="xsd:long"&gt;44057&lt;/D&gt;&lt;D xsi:type="xsd:long"&gt;44088&lt;/D&gt;&lt;D xsi:type="xsd:long"&gt;44118&lt;/D&gt;&lt;D xsi:type="xsd:long"&gt;44148&lt;/D&gt;&lt;D xsi:type="xsd:long"&gt;44179&lt;/D&gt;&lt;D xsi:type="xsd:long"&gt;44210&lt;/D&gt;&lt;D xsi:type="xsd:long"&gt;44239&lt;/D&gt;&lt;D xsi:type="xsd:long"&gt;44267&lt;/D&gt;&lt;D xsi:type="xsd:long"&gt;44300&lt;/D&gt;&lt;D xsi:type="xsd:long"&gt;44330&lt;/D&gt;&lt;D xsi:type="xsd:long"&gt;44361&lt;/D&gt;&lt;D xsi:type="xsd:long"&gt;44391&lt;/D&gt;&lt;D xsi:type="xsd:long"&gt;44421&lt;/D&gt;&lt;D xsi:type="xsd:long"&gt;44453&lt;/D&gt;&lt;D xsi:type="xsd:long"&gt;44483&lt;/D&gt;&lt;D xsi:type="xsd:long"&gt;44512&lt;/D&gt;&lt;D xsi:type="xsd:long"&gt;44544&lt;/D&gt;&lt;D xsi:type="xsd:long"&gt;44575&lt;/D&gt;&lt;D xsi:type="xsd:long"&gt;44606&lt;/D&gt;&lt;D xsi:type="xsd:long"&gt;44634&lt;/D&gt;&lt;D xsi:type="xsd:long"&gt;44665&lt;/D&gt;&lt;D xsi:type="xsd:long"&gt;44694&lt;/D&gt;&lt;D xsi:type="xsd:long"&gt;44726&lt;/D&gt;&lt;D xsi:type="xsd:long"&gt;44756&lt;/D&gt;&lt;D xsi:type="xsd:long"&gt;44785&lt;/D&gt;&lt;D xsi:type="xsd:long"&gt;44818&lt;/D&gt;&lt;D xsi:type="xsd:long"&gt;44848&lt;/D&gt;&lt;D xsi:type="xsd:long"&gt;44879&lt;/D&gt;&lt;D xsi:type="xsd:long"&gt;44909&lt;/D&gt;&lt;D xsi:type="xsd:long"&gt;44939&lt;/D&gt;&lt;D xsi:type="xsd:long"&gt;44971&lt;/D&gt;&lt;D xsi:type="xsd:long"&gt;44999&lt;/D&gt;&lt;D xsi:type="xsd:long"&gt;45030&lt;/D&gt;&lt;D xsi:type="xsd:long"&gt;45058&lt;/D&gt;&lt;D xsi:type="xsd:long"&gt;45091&lt;/D&gt;&lt;D xsi:type="xsd:long"&gt;45121&lt;/D&gt;&lt;D xsi:type="xsd:long"&gt;45152&lt;/D&gt;&lt;D xsi:type="xsd:long"&gt;45183&lt;/D&gt;&lt;D xsi:type="xsd:long"&gt;45212&lt;/D&gt;&lt;D xsi:type="xsd:long"&gt;45244&lt;/D&gt;&lt;D xsi:type="xsd:long"&gt;45274&lt;/D&gt;&lt;D xsi:type="xsd:long"&gt;45303&lt;/D&gt;&lt;D xsi:type="xsd:long"&gt;45336&lt;/D&gt;&lt;D xsi:type="xsd:long"&gt;45364&lt;/D&gt;&lt;/FQL&gt;&lt;FQL&gt;&lt;Q&gt;DDR3512M-FDS^FG_PRICE(0)/MAX(FG_PRICE(0,-1AY))&lt;/Q&gt;&lt;R&gt;1&lt;/R&gt;&lt;C&gt;1&lt;/C&gt;&lt;D xsi:type="xsd:double"&gt;0.813886738668961&lt;/D&gt;&lt;/FQL&gt;&lt;FQL&gt;&lt;Q&gt;PASP-FDS^FG_PRICE(0)/MAX(FG_PRICE(0,-1AY))&lt;/Q&gt;&lt;R&gt;1&lt;/R&gt;&lt;C&gt;1&lt;/C&gt;&lt;D xsi:type="xsd:double"&gt;0.663414634146341&lt;/D&gt;&lt;/FQL&gt;&lt;FQL&gt;&lt;Q&gt;PLATI-FDS^FG_PRICE(0)/MAX(FG_PRICE(0,-1AY))&lt;/Q&gt;&lt;R&gt;1&lt;/R&gt;&lt;C&gt;1&lt;/C&gt;&lt;D xsi:type="xsd:double"&gt;0.827312775330396&lt;/D&gt;&lt;/FQL&gt;&lt;FQL&gt;&lt;Q&gt;W-FDS^FG_PRICE(0)/MAX(FG_PRICE(0,-1AY))&lt;/Q&gt;&lt;R&gt;1&lt;/R&gt;&lt;C&gt;1&lt;/C&gt;&lt;D xsi:type="xsd:double"&gt;0.683327852680039&lt;/D&gt;&lt;/FQL&gt;&lt;FQL&gt;&lt;Q&gt;COPP-FDS^FG_PRICE(0)/MAX(FG_PRICE(0,-1AY))&lt;/Q&gt;&lt;R&gt;1&lt;/R&gt;&lt;C&gt;1&lt;/C&gt;&lt;D xsi:type="xsd:double"&gt;0.973709599614086&lt;/D&gt;&lt;/FQL&gt;&lt;FQL&gt;&lt;Q&gt;FC0000JP^FG_PRICE(0)&lt;/Q&gt;&lt;R&gt;1&lt;/R&gt;&lt;C&gt;1&lt;/C&gt;&lt;D xsi:type="xsd:double"&gt;178.07106&lt;/D&gt;&lt;/FQL&gt;&lt;FQL&gt;&lt;Q&gt;FC0000NZ^FG_PRICE(0)&lt;/Q&gt;&lt;R&gt;1&lt;/R&gt;&lt;C&gt;1&lt;/C&gt;&lt;D xsi:type="xsd:double"&gt;391.46954&lt;/D&gt;&lt;/FQL&gt;&lt;FQL&gt;&lt;Q&gt;EWQ^FG_PRICE_MAVG(0,,,,60)&lt;/Q&gt;&lt;R&gt;1&lt;/R&gt;&lt;C&gt;1&lt;/C&gt;&lt;D xsi:type="xsd:double"&gt;39.17375&lt;/D&gt;&lt;/FQL&gt;&lt;FQL&gt;&lt;Q&gt;EWL^FG_PRICE_MAVG(0,,,,60)&lt;/Q&gt;&lt;R&gt;1&lt;/R&gt;&lt;C&gt;1&lt;/C&gt;&lt;D xsi:type="xsd:double"&gt;47.376335&lt;/D&gt;&lt;/FQL&gt;&lt;FQL&gt;&lt;Q&gt;EWA^FG_PRICE_MAVG(0,,,,60)&lt;/Q&gt;&lt;R&gt;1&lt;/R&gt;&lt;C&gt;1&lt;/C&gt;&lt;D xsi:type="xsd:double"&gt;23.845667&lt;/D&gt;&lt;/FQL&gt;&lt;FQL&gt;&lt;Q&gt;EWJ^FG_TOTAL_RETURNC(0,-3AM)&lt;/Q&gt;&lt;R&gt;1&lt;/R&gt;&lt;C&gt;1&lt;/C&gt;&lt;D xsi:type="xsd:double"&gt;9.90802&lt;/D&gt;&lt;/FQL&gt;&lt;FQL&gt;&lt;Q&gt;EWI^FG_TOTAL_RETURNC(0,-3AM)&lt;/Q&gt;&lt;R&gt;1&lt;/R&gt;&lt;C&gt;1&lt;/C&gt;&lt;D xsi:type="xsd:double"&gt;9.784222&lt;/D&gt;&lt;/FQL&gt;&lt;FQL&gt;&lt;Q&gt;ENZL^FG_TOTAL_RETURNC(0,-3AM)&lt;/Q&gt;&lt;R&gt;1&lt;/R&gt;&lt;C&gt;1&lt;/C&gt;&lt;D xsi:type="xsd:double"&gt;-3.4225225&lt;/D&gt;&lt;/FQL&gt;&lt;FQL&gt;&lt;Q&gt;VGK^PERCENT_CHANGE(FMA_EPS(+1,0,,,,"PORTAGG","MEAN"),FMA_EPS(+1,-3AM,,,,"PORTAGG","MEAN"))&lt;/Q&gt;&lt;R&gt;1&lt;/R&gt;&lt;C&gt;1&lt;/C&gt;&lt;D xsi:type="xsd:double"&gt;-3.71271239633812&lt;/D&gt;&lt;/FQL&gt;&lt;FQL&gt;&lt;Q&gt;SPY^PERCENT_CHANGE(FMA_EPS(+1,0,,,,"PORTAGG","MEAN"),FMA_EPS(+1,-1AM,,,,"PORTAGG","MEAN"))&lt;/Q&gt;&lt;R&gt;1&lt;/R&gt;&lt;C&gt;1&lt;/C&gt;&lt;D xsi:type="xsd:double"&gt;0.572270303705405&lt;/D&gt;&lt;/FQL&gt;&lt;FQL&gt;&lt;Q&gt;EWG^FMA_PCT_ABOVE_MAVG(200,0,,,,"PORTAGG")&lt;/Q&gt;&lt;R&gt;1&lt;/R&gt;&lt;C&gt;1&lt;/C&gt;&lt;D xsi:type="xsd:double"&gt;71.9298245614035&lt;/D&gt;&lt;/FQL&gt;&lt;FQL&gt;&lt;Q&gt;EWJ^SIZE(FG_CONSTITUENTS)&lt;/Q&gt;&lt;R&gt;1&lt;/R&gt;&lt;C&gt;1&lt;/C&gt;&lt;D xsi:type="xsd:long"&gt;219&lt;/D&gt;&lt;/FQL&gt;&lt;FQL&gt;&lt;Q&gt;EWD^FMA_COS_DOWN("EPS","1M",+1,0,,,"PORTAGG","MEANR")&lt;/Q&gt;&lt;R&gt;1&lt;/R&gt;&lt;C&gt;1&lt;/C&gt;&lt;D xsi:type="xsd:double"&gt;15&lt;/D&gt;&lt;/FQL&gt;&lt;FQL&gt;&lt;Q&gt;EWU^FMA_COS_UP("EPS","1M",+1,0,,,"PORTAGG","MEANR")&lt;/Q&gt;&lt;R&gt;1&lt;/R&gt;&lt;C&gt;1&lt;/C&gt;&lt;D xsi:type="xsd:double"&gt;34&lt;/D&gt;&lt;/FQL&gt;&lt;FQL&gt;&lt;Q&gt;ENZL^SIZE(FG_CONSTITUENTS)&lt;/Q&gt;&lt;R&gt;1&lt;/R&gt;&lt;C&gt;1&lt;/C&gt;&lt;D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xsi:type="xsd:double"&gt;34.5462492743982&lt;/D&gt;&lt;/FQL&gt;&lt;FQL&gt;&lt;Q&gt;EWQ^FG_ROE(0)&lt;/Q&gt;&lt;R&gt;1&lt;/R&gt;&lt;C&gt;1&lt;/C&gt;&lt;D xsi:type="xsd:double"&gt;12.1723873373532&lt;/D&gt;&lt;/FQL&gt;&lt;FQL&gt;&lt;Q&gt;TRYGB10Y-FDS^FG_YIELD_NAME&lt;/Q&gt;&lt;R&gt;1&lt;/R&gt;&lt;C&gt;1&lt;/C&gt;&lt;D xsi:type="xsd:string"&gt;United Kingdom Benchmark Bond - 10 Year&lt;/D&gt;&lt;/FQL&gt;&lt;FQL&gt;&lt;Q&gt;REFFFUND-FDS^(SUBARRAY(NOT_NA(NO_REPEAT_F(FG_YIELD(NOW,-10AY,D))),0,1)-SUBARRAY(NOT_NA(NO_REPEAT_F(FG_YIELD(NOW,-10AY,D))),1,1))*100&lt;/Q&gt;&lt;R&gt;1&lt;/R&gt;&lt;C&gt;1&lt;/C&gt;&lt;D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xsi:type="xsd:double"&gt;25&lt;/D&gt;&lt;/FQL&gt;&lt;FQL&gt;&lt;Q&gt;CAGDPY@SE^EE_ACTUAL_ANNUAL(MED,0)&lt;/Q&gt;&lt;R&gt;1&lt;/R&gt;&lt;C&gt;1&lt;/C&gt;&lt;D xsi:type="xsd:double"&gt;6.76905401199225&lt;/D&gt;&lt;/FQL&gt;&lt;FQL&gt;&lt;Q&gt;CAGDPY@DE^EE_ACTUAL_ANNUAL(MED,0)&lt;/Q&gt;&lt;R&gt;1&lt;/R&gt;&lt;C&gt;1&lt;/C&gt;&lt;D xsi:type="xsd:double"&gt;6.01260398456499&lt;/D&gt;&lt;/FQL&gt;&lt;FQL&gt;&lt;Q&gt;USDITL^STD(FG_PRICE_CHANGE(0,-3AY,M))&lt;/Q&gt;&lt;R&gt;1&lt;/R&gt;&lt;C&gt;1&lt;/C&gt;&lt;D xsi:type="xsd:double"&gt;2.27878559120409&lt;/D&gt;&lt;/FQL&gt;&lt;FQL&gt;&lt;Q&gt;USDANG^STD(FG_PRICE_CHANGE(0,-3AY,M))&lt;/Q&gt;&lt;R&gt;1&lt;/R&gt;&lt;C&gt;1&lt;/C&gt;&lt;D xsi:type="xsd:double"&gt;0&lt;/D&gt;&lt;/FQL&gt;&lt;FQL&gt;&lt;Q&gt;USDGBP^STD(FG_PRICE_CHANGE(0,-3AY,M))&lt;/Q&gt;&lt;R&gt;1&lt;/R&gt;&lt;C&gt;1&lt;/C&gt;&lt;D xsi:type="xsd:double"&gt;2.41245979550438&lt;/D&gt;&lt;/FQL&gt;&lt;FQL&gt;&lt;Q&gt;USDJPY^STD(FG_PRICE_CHANGE(0,-3AY,M))&lt;/Q&gt;&lt;R&gt;1&lt;/R&gt;&lt;C&gt;1&lt;/C&gt;&lt;D xsi:type="xsd:double"&gt;3.05516145651881&lt;/D&gt;&lt;/FQL&gt;&lt;FQL&gt;&lt;Q&gt;USDCAD^STD(FG_PRICE_CHANGE(0,-3AY,M))&lt;/Q&gt;&lt;R&gt;1&lt;/R&gt;&lt;C&gt;1&lt;/C&gt;&lt;D xsi:type="xsd:double"&gt;1.88393951090363&lt;/D&gt;&lt;/FQL&gt;&lt;FQL&gt;&lt;Q&gt;USDNZD^STD(FG_PRICE_CHANGE(0,-3AY,M))&lt;/Q&gt;&lt;R&gt;1&lt;/R&gt;&lt;C&gt;1&lt;/C&gt;&lt;D xsi:type="xsd:double"&gt;3.53129360615239&lt;/D&gt;&lt;/FQL&gt;&lt;FQL&gt;&lt;Q&gt;EWJ^FMA_EPS(NTMA,-20AY,0,CY,,"PORTAGG","MEANR")&lt;/Q&gt;&lt;R&gt;20&lt;/R&gt;&lt;C&gt;1&lt;/C&gt;&lt;D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xsi:type="xsd:double"&gt;4.07638219874125&lt;/D&gt;&lt;D xsi:type="xsd:double"&gt;3.67789534776584&lt;/D&gt;&lt;D xsi:type="xsd:double"&gt;4.61613845138492&lt;/D&gt;&lt;D xsi:type="xsd:double"&gt;4.46089531352278&lt;/D&gt;&lt;D xsi:type="xsd:double"&gt;4.56547544298887&lt;/D&gt;&lt;/FQL&gt;&lt;FQL&gt;&lt;Q&gt;EWC^P_PRICE_RETURNS_PR('52W',2,-10AY,0,AM)&lt;/Q&gt;&lt;R&gt;121&lt;/R&gt;&lt;C&gt;1&lt;/C&gt;&lt;D xsi:type="xsd:double"&gt;4.7064543&lt;/D&gt;&lt;D xsi:type="xsd:double"&gt;9.927738&lt;/D&gt;&lt;D xsi:type="xsd:double"&gt;11.756695&lt;/D&gt;&lt;D xsi:type="xsd:double"&gt;16.987669&lt;/D&gt;&lt;D xsi:type="xsd:double"&gt;20.792913&lt;/D&gt;&lt;D xsi:type="xsd:double"&gt;17.45045&lt;/D&gt;&lt;D xsi:type="xsd:double"&gt;17.075657&lt;/D&gt;&lt;D xsi:type="xsd:double"&gt;2.0513773&lt;/D&gt;&lt;D xsi:type="xsd:double"&gt;5.032742&lt;/D&gt;&lt;D xsi:type="xsd:double"&gt;-1.0899127&lt;/D&gt;&lt;D xsi:type="xsd:double"&gt;-3.3954918&lt;/D&gt;&lt;D xsi:type="xsd:double"&gt;-0.9020865&lt;/D&gt;&lt;D xsi:type="xsd:double"&gt;-7.354796&lt;/D&gt;&lt;D xsi:type="xsd:double"&gt;-1.9316852&lt;/D&gt;&lt;D xsi:type="xsd:double"&gt;-4.0528717&lt;/D&gt;&lt;D xsi:type="xsd:double"&gt;-10.070783&lt;/D&gt;&lt;D xsi:type="xsd:double"&gt;-16.736263&lt;/D&gt;&lt;D xsi:type="xsd:double"&gt;-19.750845&lt;/D&gt;&lt;D xsi:type="xsd:double"&gt;-26.188564&lt;/D&gt;&lt;D xsi:type="xsd:double"&gt;-11.32893&lt;/D&gt;&lt;D xsi:type="xsd:double"&gt;-23.106533&lt;/D&gt;&lt;D xsi:type="xsd:double"&gt;-20.09787&lt;/D&gt;&lt;D xsi:type="xsd:double"&gt;-25.493223&lt;/D&gt;&lt;D xsi:type="xsd:double"&gt;-25.495165&lt;/D&gt;&lt;D xsi:type="xsd:double"&gt;-10.513508&lt;/D&gt;&lt;D xsi:type="xsd:double"&gt;-12.750035&lt;/D&gt;&lt;D xsi:type="xsd:double"&gt;-14.417857&lt;/D&gt;&lt;D xsi:type="xsd:double"&gt;-8.905565&lt;/D&gt;&lt;D xsi:type="xsd:double"&gt;-1.143831&lt;/D&gt;&lt;D xsi:type="xsd:double"&gt;3.2059312&lt;/D&gt;&lt;D xsi:type="xsd:double"&gt;8.754206&lt;/D&gt;&lt;D xsi:type="xsd:double"&gt;4.801643&lt;/D&gt;&lt;D xsi:type="xsd:double"&gt;12.61462&lt;/D&gt;&lt;D xsi:type="xsd:double"&gt;26.714588&lt;/D&gt;&lt;D xsi:type="xsd:double"&gt;42.5112&lt;/D&gt;&lt;D xsi:type="xsd:double"&gt;38.51149&lt;/D&gt;&lt;D xsi:type="xsd:double"&gt;15.144289&lt;/D&gt;&lt;D xsi:type="xsd:double"&gt;11.446857&lt;/D&gt;&lt;D xsi:type="xsd:double"&gt;8.891022&lt;/D&gt;&lt;D xsi:type="xsd:double"&gt;9.421802&lt;/D&gt;&lt;D xsi:type="xsd:double"&gt;10.408342&lt;/D&gt;&lt;D xsi:type="xsd:double"&gt;8.04578&lt;/D&gt;&lt;D xsi:type="xsd:double"&gt;17.67273&lt;/D&gt;&lt;D xsi:type="xsd:double"&gt;17.399883&lt;/D&gt;&lt;D xsi:type="xsd:double"&gt;18.688274&lt;/D&gt;&lt;D xsi:type="xsd:double"&gt;11.831474&lt;/D&gt;&lt;D xsi:type="xsd:double"&gt;13.878298&lt;/D&gt;&lt;D xsi:type="xsd:double"&gt;3.7707806&lt;/D&gt;&lt;D xsi:type="xsd:double"&gt;8.090914&lt;/D&gt;&lt;D xsi:type="xsd:double"&gt;6.9368124&lt;/D&gt;&lt;D xsi:type="xsd:double"&gt;14.122796&lt;/D&gt;&lt;D xsi:type="xsd:double"&gt;11.972057&lt;/D&gt;&lt;D xsi:type="xsd:double"&gt;8.584225&lt;/D&gt;&lt;D xsi:type="xsd:double"&gt;8.3670025&lt;/D&gt;&lt;D xsi:type="xsd:double"&gt;1.1568189&lt;/D&gt;&lt;D xsi:type="xsd:double"&gt;-4.5971813&lt;/D&gt;&lt;D xsi:type="xsd:double"&gt;-6.536579&lt;/D&gt;&lt;D xsi:type="xsd:double"&gt;-11.274642&lt;/D&gt;&lt;D xsi:type="xsd:double"&gt;-12.119722&lt;/D&gt;&lt;D xsi:type="xsd:double"&gt;-1.7672539&lt;/D&gt;&lt;D xsi:type="xsd:double"&gt;2.0034075&lt;/D&gt;&lt;D xsi:type="xsd:double"&gt;4.2378306&lt;/D&gt;&lt;D xsi:type="xsd:double"&gt;-2.1542907&lt;/D&gt;&lt;D xsi:type="xsd:double"&gt;-0.8790016&lt;/D&gt;&lt;D xsi:type="xsd:double"&gt;2.3510456&lt;/D&gt;&lt;D xsi:type="xsd:double"&gt;-2.9246986&lt;/D&gt;&lt;D xsi:type="xsd:double"&gt;4.15107&lt;/D&gt;&lt;D xsi:type="xsd:double"&gt;7.0753336&lt;/D&gt;&lt;D xsi:type="xsd:double"&gt;14.148199&lt;/D&gt;&lt;D xsi:type="xsd:double"&gt;18.625402&lt;/D&gt;&lt;D xsi:type="xsd:double"&gt;19.562197&lt;/D&gt;&lt;D xsi:type="xsd:double"&gt;15.713251&lt;/D&gt;&lt;D xsi:type="xsd:double"&gt;-17.387777&lt;/D&gt;&lt;D xsi:type="xsd:double"&gt;-15.941536&lt;/D&gt;&lt;D xsi:type="xsd:double"&gt;-13.19654&lt;/D&gt;&lt;D xsi:type="xsd:double"&gt;-6.2170267&lt;/D&gt;&lt;D xsi:type="xsd:double"&gt;-6.3659725&lt;/D&gt;&lt;D xsi:type="xsd:double"&gt;5.490446&lt;/D&gt;&lt;D xsi:type="xsd:double"&gt;-0.12949109&lt;/D&gt;&lt;D xsi:type="xsd:double"&gt;1.9592524&lt;/D&gt;&lt;D xsi:type="xsd:double"&gt;-0.27762055&lt;/D&gt;&lt;D xsi:type="xsd:double"&gt;7.511723&lt;/D&gt;&lt;D xsi:type="xsd:double"&gt;8.978069&lt;/D&gt;&lt;D xsi:type="xsd:double"&gt;9.85496&lt;/D&gt;&lt;D xsi:type="xsd:double"&gt;73.709045&lt;/D&gt;&lt;D xsi:type="xsd:double"&gt;53.187706&lt;/D&gt;&lt;D xsi:type="xsd:double"&gt;59.30877&lt;/D&gt;&lt;D xsi:type="xsd:double"&gt;52.226578&lt;/D&gt;&lt;D xsi:type="xsd:double"&gt;41.82564&lt;/D&gt;&lt;D xsi:type="xsd:double"&gt;35.65315&lt;/D&gt;&lt;D xsi:type="xsd:double"&gt;34.203888&lt;/D&gt;&lt;D xsi:type="xsd:double"&gt;39.103065&lt;/D&gt;&lt;D xsi:type="xsd:double"&gt;42.23353&lt;/D&gt;&lt;D xsi:type="xsd:double"&gt;21.612978&lt;/D&gt;&lt;D xsi:type="xsd:double"&gt;23.967922&lt;/D&gt;&lt;D xsi:type="xsd:double"&gt;19.369162&lt;/D&gt;&lt;D xsi:type="xsd:double"&gt;12.086046&lt;/D&gt;&lt;D xsi:type="xsd:double"&gt;15.282261&lt;/D&gt;&lt;D xsi:type="xsd:double"&gt;0.8226156&lt;/D&gt;&lt;D xsi:type="xsd:double"&gt;-7.11053&lt;/D&gt;&lt;D xsi:type="xsd:double"&gt;-11.411535&lt;/D&gt;&lt;D xsi:type="xsd:double"&gt;-1.980567&lt;/D&gt;&lt;D xsi:type="xsd:double"&gt;-5.1906166&lt;/D&gt;&lt;D xsi:type="xsd:double"&gt;-19.673275&lt;/D&gt;&lt;D xsi:type="xsd:double"&gt;-11.8037405&lt;/D&gt;&lt;D xsi:type="xsd:double"&gt;-6.6335735&lt;/D&gt;&lt;D xsi:type="xsd:double"&gt;-8.838081&lt;/D&gt;&lt;D xsi:type="xsd:double"&gt;-5.3245187&lt;/D&gt;&lt;D xsi:type="xsd:double"&gt;-10.913658&lt;/D&gt;&lt;D xsi:type="xsd:double"&gt;-8.682812&lt;/D&gt;&lt;D xsi:type="xsd:double"&gt;1.9789934&lt;/D&gt;&lt;D xsi:type="xsd:double"&gt;1.951623&lt;/D&gt;&lt;D xsi:type="xsd:double"&gt;12.685657&lt;/D&gt;&lt;D xsi:type="xsd:double"&gt;-1.7285585&lt;/D&gt;&lt;D xsi:type="xsd:double"&gt;4.865718&lt;/D&gt;&lt;D xsi:type="xsd:double"&gt;8.954037&lt;/D&gt;&lt;D xsi:type="xsd:double"&gt;1.3882041&lt;/D&gt;&lt;D xsi:type="xsd:double"&gt;9.200203&lt;/D&gt;&lt;D xsi:type="xsd:double"&gt;7.1401477&lt;/D&gt;&lt;D xsi:type="xsd:double"&gt;3.1071424&lt;/D&gt;&lt;D xsi:type="xsd:double"&gt;17.012178&lt;/D&gt;&lt;/FQL&gt;&lt;FQL&gt;&lt;Q&gt;ENZL^FG_TOTAL_RETURNC(-10AY,0,AM)&lt;/Q&gt;&lt;R&gt;121&lt;/R&gt;&lt;C&gt;1&lt;/C&gt;&lt;D xsi:type="xsd:double"&gt;5.659902&lt;/D&gt;&lt;D xsi:type="xsd:double"&gt;1.7055035&lt;/D&gt;&lt;D xsi:type="xsd:double"&gt;2.6688695&lt;/D&gt;&lt;D xsi:type="xsd:double"&gt;-1.5182853&lt;/D&gt;&lt;D xsi:type="xsd:double"&gt;0.57703257&lt;/D&gt;&lt;D xsi:type="xsd:double"&gt;-4.6329317&lt;/D&gt;&lt;D xsi:type="xsd:double"&gt;-0.9965062&lt;/D&gt;&lt;D xsi:type="xsd:double"&gt;-4.8314095&lt;/D&gt;&lt;D xsi:type="xsd:double"&gt;8.80487&lt;/D&gt;&lt;D xsi:type="xsd:double"&gt;-1.9927084&lt;/D&gt;&lt;D xsi:type="xsd:double"&gt;2.7032852&lt;/D&gt;&lt;D xsi:type="xsd:double"&gt;-1.0918319&lt;/D&gt;&lt;D xsi:type="xsd:double"&gt;-0.3415346&lt;/D&gt;&lt;D xsi:type="xsd:double"&gt;2.7849078&lt;/D&gt;&lt;D xsi:type="xsd:double"&gt;-2.2782981&lt;/D&gt;&lt;D xsi:type="xsd:double"&gt;-5.5653095&lt;/D&gt;&lt;D xsi:type="xsd:double"&gt;-5.8821144&lt;/D&gt;&lt;D xsi:type="xsd:double"&gt;-3.4143507&lt;/D&gt;&lt;D xsi:type="xsd:double"&gt;-4.3079734&lt;/D&gt;&lt;D xsi:type="xsd:double"&gt;9.1663&lt;/D&gt;&lt;D xsi:type="xsd:double"&gt;0.17235279&lt;/D&gt;&lt;D xsi:type="xsd:double"&gt;4.4088244&lt;/D&gt;&lt;D xsi:type="xsd:double"&gt;-3.201723&lt;/D&gt;&lt;D xsi:type="xsd:double"&gt;-0.28867722&lt;/D&gt;&lt;D xsi:type="xsd:double"&gt;10.741162&lt;/D&gt;&lt;D xsi:type="xsd:double"&gt;8.130717&lt;/D&gt;&lt;D xsi:type="xsd:double"&gt;-0.33848882&lt;/D&gt;&lt;D xsi:type="xsd:double"&gt;2.4017453&lt;/D&gt;&lt;D xsi:type="xsd:double"&gt;7.0335984&lt;/D&gt;&lt;D xsi:type="xsd:double"&gt;4.2142987&lt;/D&gt;&lt;D xsi:type="xsd:double"&gt;-1.5702367&lt;/D&gt;&lt;D xsi:type="xsd:double"&gt;-4.392481&lt;/D&gt;&lt;D xsi:type="xsd:double"&gt;-5.348569&lt;/D&gt;&lt;D xsi:type="xsd:double"&gt;0.9659529&lt;/D&gt;&lt;D xsi:type="xsd:double"&gt;3.8505554&lt;/D&gt;&lt;D xsi:type="xsd:double"&gt;3.0736208&lt;/D&gt;&lt;D xsi:type="xsd:double"&gt;-4.715663&lt;/D&gt;&lt;D xsi:type="xsd:double"&gt;2.6443481&lt;/D&gt;&lt;D xsi:type="xsd:double"&gt;1.8671632&lt;/D&gt;&lt;D xsi:type="xsd:double"&gt;6.4269185&lt;/D&gt;&lt;D xsi:type="xsd:double"&gt;3.7774444&lt;/D&gt;&lt;D xsi:type="xsd:double"&gt;0.25678873&lt;/D&gt;&lt;D xsi:type="xsd:double"&gt;-0.6189883&lt;/D&gt;&lt;D xsi:type="xsd:double"&gt;2.4055004&lt;/D&gt;&lt;D xsi:type="xsd:double"&gt;-5.7676196&lt;/D&gt;&lt;D xsi:type="xsd:double"&gt;5.564213&lt;/D&gt;&lt;D xsi:type="xsd:double"&gt;2.4581313&lt;/D&gt;&lt;D xsi:type="xsd:double"&gt;0.0838995&lt;/D&gt;&lt;D xsi:type="xsd:double"&gt;4.4216275&lt;/D&gt;&lt;D xsi:type="xsd:double"&gt;0.5619049&lt;/D&gt;&lt;D xsi:type="xsd:double"&gt;-3.5721421&lt;/D&gt;&lt;D xsi:type="xsd:double"&gt;4.9047947&lt;/D&gt;&lt;D xsi:type="xsd:double"&gt;-3.2112896&lt;/D&gt;&lt;D xsi:type="xsd:double"&gt;-2.7979255&lt;/D&gt;&lt;D xsi:type="xsd:double"&gt;2.494669&lt;/D&gt;&lt;D xsi:type="xsd:double"&gt;-5.512798&lt;/D&gt;&lt;D xsi:type="xsd:double"&gt;4.0070534&lt;/D&gt;&lt;D xsi:type="xsd:double"&gt;-1.1219382&lt;/D&gt;&lt;D xsi:type="xsd:double"&gt;4.4792414&lt;/D&gt;&lt;D xsi:type="xsd:double"&gt;2.962041&lt;/D&gt;&lt;D xsi:type="xsd:double"&gt;1.6815186&lt;/D&gt;&lt;D xsi:type="xsd:double"&gt;2.7495503&lt;/D&gt;&lt;D xsi:type="xsd:double"&gt;-0.096952915&lt;/D&gt;&lt;D xsi:type="xsd:double"&gt;-0.6793499&lt;/D&gt;&lt;D xsi:type="xsd:double"&gt;8.395708&lt;/D&gt;&lt;D xsi:type="xsd:double"&gt;-3.7335277&lt;/D&gt;&lt;D xsi:type="xsd:double"&gt;0.38022995&lt;/D&gt;&lt;D xsi:type="xsd:double"&gt;-0.24621487&lt;/D&gt;&lt;D xsi:type="xsd:double"&gt;0.35694838&lt;/D&gt;&lt;D xsi:type="xsd:double"&gt;7.0225835&lt;/D&gt;&lt;D xsi:type="xsd:double"&gt;3.5754323&lt;/D&gt;&lt;D xsi:type="xsd:double"&gt;-0.3137529&lt;/D&gt;&lt;D xsi:type="xsd:double"&gt;-14.040917&lt;/D&gt;&lt;D xsi:type="xsd:double"&gt;-3.0801415&lt;/D&gt;&lt;D xsi:type="xsd:double"&gt;4.518974&lt;/D&gt;&lt;D xsi:type="xsd:double"&gt;7.577479&lt;/D&gt;&lt;D xsi:type="xsd:double"&gt;8.092713&lt;/D&gt;&lt;D xsi:type="xsd:double"&gt;-1.2651742&lt;/D&gt;&lt;D xsi:type="xsd:double"&gt;4.36697&lt;/D&gt;&lt;D xsi:type="xsd:double"&gt;4.690397&lt;/D&gt;&lt;D xsi:type="xsd:double"&gt;4.7703505&lt;/D&gt;&lt;D xsi:type="xsd:double"&gt;2.8197527&lt;/D&gt;&lt;D xsi:type="xsd:double"&gt;1.7100453&lt;/D&gt;&lt;D xsi:type="xsd:double"&gt;-2.3657143&lt;/D&gt;&lt;D xsi:type="xsd:double"&gt;-2.7735472&lt;/D&gt;&lt;D xsi:type="xsd:double"&gt;0.29780865&lt;/D&gt;&lt;D xsi:type="xsd:double"&gt;-1.6565084&lt;/D&gt;&lt;D xsi:type="xsd:double"&gt;-1.0030985&lt;/D&gt;&lt;D xsi:type="xsd:double"&gt;0.32393932&lt;/D&gt;&lt;D xsi:type="xsd:double"&gt;-0.5166292&lt;/D&gt;&lt;D xsi:type="xsd:double"&gt;2.6127934&lt;/D&gt;&lt;D xsi:type="xsd:double"&gt;-0.72749853&lt;/D&gt;&lt;D xsi:type="xsd:double"&gt;-1.9754708&lt;/D&gt;&lt;D xsi:type="xsd:double"&gt;-4.837811&lt;/D&gt;&lt;D xsi:type="xsd:double"&gt;0.08670092&lt;/D&gt;&lt;D xsi:type="xsd:double"&gt;-9.372836&lt;/D&gt;&lt;D xsi:type="xsd:double"&gt;1.6058087&lt;/D&gt;&lt;D xsi:type="xsd:double"&gt;-0.018817186&lt;/D&gt;&lt;D xsi:type="xsd:double"&gt;-12.909299&lt;/D&gt;&lt;D xsi:type="xsd:double"&gt;-5.8222294&lt;/D&gt;&lt;D xsi:type="xsd:double"&gt;4.387188&lt;/D&gt;&lt;D xsi:type="xsd:double"&gt;11.652207&lt;/D&gt;&lt;D xsi:type="xsd:double"&gt;-8.265281&lt;/D&gt;&lt;D xsi:type="xsd:double"&gt;-13.547552&lt;/D&gt;&lt;D xsi:type="xsd:double"&gt;12.832748&lt;/D&gt;&lt;D xsi:type="xsd:double"&gt;10.459555&lt;/D&gt;&lt;D xsi:type="xsd:double"&gt;2.308154&lt;/D&gt;&lt;D xsi:type="xsd:double"&gt;1.2072086&lt;/D&gt;&lt;D xsi:type="xsd:double"&gt;-4.7321024&lt;/D&gt;&lt;D xsi:type="xsd:double"&gt;1.2109995&lt;/D&gt;&lt;D xsi:type="xsd:double"&gt;1.3790369&lt;/D&gt;&lt;D xsi:type="xsd:double"&gt;-2.1912515&lt;/D&gt;&lt;D xsi:type="xsd:double"&gt;5.184877&lt;/D&gt;&lt;D xsi:type="xsd:double"&gt;-7.698345&lt;/D&gt;&lt;D xsi:type="xsd:double"&gt;-5.2978754&lt;/D&gt;&lt;D xsi:type="xsd:double"&gt;-2.3590207&lt;/D&gt;&lt;D xsi:type="xsd:double"&gt;3.2443643&lt;/D&gt;&lt;D xsi:type="xsd:double"&gt;7.064855&lt;/D&gt;&lt;D xsi:type="xsd:double"&gt;2.2509933&lt;/D&gt;&lt;D xsi:type="xsd:double"&gt;-7.0033255&lt;/D&gt;&lt;D xsi:type="xsd:double"&gt;1.5642524&lt;/D&gt;&lt;/FQL&gt;&lt;FQL&gt;&lt;Q&gt;EWI^FMA_PE(NTMA,-10AY,0,AM,"PORTAGG","MEANR")&lt;/Q&gt;&lt;R&gt;121&lt;/R&gt;&lt;C&gt;1&lt;/C&gt;&lt;D xsi:type="xsd:double"&gt;12.9778502255185&lt;/D&gt;&lt;D xsi:type="xsd:double"&gt;13.5734962197466&lt;/D&gt;&lt;D xsi:type="xsd:double"&gt;13.7754011372725&lt;/D&gt;&lt;D xsi:type="xsd:double"&gt;14.5888732738745&lt;/D&gt;&lt;D xsi:type="xsd:double"&gt;13.8460168795323&lt;/D&gt;&lt;D xsi:type="xsd:double"&gt;13.0560077498886&lt;/D&gt;&lt;D xsi:type="xsd:double"&gt;14.0367275641081&lt;/D&gt;&lt;D xsi:type="xsd:double"&gt;12.4642627416881&lt;/D&gt;&lt;D xsi:type="xsd:double"&gt;12.566323629492&lt;/D&gt;&lt;D xsi:type="xsd:double"&gt;12.2693076711912&lt;/D&gt;&lt;D xsi:type="xsd:double"&gt;12.0410670348895&lt;/D&gt;&lt;D xsi:type="xsd:double"&gt;14.62394735332&lt;/D&gt;&lt;D xsi:type="xsd:double"&gt;15.5851339871113&lt;/D&gt;&lt;D xsi:type="xsd:double"&gt;16.1369155551393&lt;/D&gt;&lt;D xsi:type="xsd:double"&gt;15.9534506831449&lt;/D&gt;&lt;D xsi:type="xsd:double"&gt;15.2023251459669&lt;/D&gt;&lt;D xsi:type="xsd:double"&gt;15.0652080082579&lt;/D&gt;&lt;D xsi:type="xsd:double"&gt;15.2929084118395&lt;/D&gt;&lt;D xsi:type="xsd:double"&gt;14.2200947994526&lt;/D&gt;&lt;D xsi:type="xsd:double"&gt;14.3608774217726&lt;/D&gt;&lt;D xsi:type="xsd:double"&gt;14.5157390606785&lt;/D&gt;&lt;D xsi:type="xsd:double"&gt;13.5576625654789&lt;/D&gt;&lt;D xsi:type="xsd:double"&gt;13.3378046621181&lt;/D&gt;&lt;D xsi:type="xsd:double"&gt;11.8941230188023&lt;/D&gt;&lt;D xsi:type="xsd:double"&gt;13.717286254361&lt;/D&gt;&lt;D xsi:type="xsd:double"&gt;13.3306627712923&lt;/D&gt;&lt;D xsi:type="xsd:double"&gt;13.5082172291081&lt;/D&gt;&lt;D xsi:type="xsd:double"&gt;11.8690187366414&lt;/D&gt;&lt;D xsi:type="xsd:double"&gt;12.429387220636&lt;/D&gt;&lt;D xsi:type="xsd:double"&gt;12.7699715220756&lt;/D&gt;&lt;D xsi:type="xsd:double"&gt;11.9424489512518&lt;/D&gt;&lt;D xsi:type="xsd:double"&gt;11.7829982941884&lt;/D&gt;&lt;D xsi:type="xsd:double"&gt;11.7014953277816&lt;/D&gt;&lt;D xsi:type="xsd:double"&gt;13.2191401605084&lt;/D&gt;&lt;D xsi:type="xsd:double"&gt;13.4553553952506&lt;/D&gt;&lt;D xsi:type="xsd:double"&gt;13.2343182577071&lt;/D&gt;&lt;D xsi:type="xsd:double"&gt;13.1694909483257&lt;/D&gt;&lt;D xsi:type="xsd:double"&gt;12.9901808620348&lt;/D&gt;&lt;D xsi:type="xsd:double"&gt;13.8504926056749&lt;/D&gt;&lt;D xsi:type="xsd:double"&gt;13.3217177521307&lt;/D&gt;&lt;D xsi:type="xsd:double"&gt;13.5759248046259&lt;/D&gt;&lt;D xsi:type="xsd:double"&gt;13.3551831423087&lt;/D&gt;&lt;D xsi:type="xsd:double"&gt;13.4371587784693&lt;/D&gt;&lt;D xsi:type="xsd:double"&gt;13.5552089361186&lt;/D&gt;&lt;D xsi:type="xsd:double"&gt;13.2512131107901&lt;/D&gt;&lt;D xsi:type="xsd:double"&gt;13.2600648787736&lt;/D&gt;&lt;D xsi:type="xsd:double"&gt;13.6443184132609&lt;/D&gt;&lt;D xsi:type="xsd:double"&gt;12.5076503357347&lt;/D&gt;&lt;D xsi:type="xsd:double"&gt;12.5324283134098&lt;/D&gt;&lt;D xsi:type="xsd:double"&gt;12.7955426561836&lt;/D&gt;&lt;D xsi:type="xsd:double"&gt;12.9067184455301&lt;/D&gt;&lt;D xsi:type="xsd:double"&gt;11.857841202924&lt;/D&gt;&lt;D xsi:type="xsd:double"&gt;11.4306726135023&lt;/D&gt;&lt;D xsi:type="xsd:double"&gt;10.9666131883562&lt;/D&gt;&lt;D xsi:type="xsd:double"&gt;10.7260255709366&lt;/D&gt;&lt;D xsi:type="xsd:double"&gt;9.87071874186469&lt;/D&gt;&lt;D xsi:type="xsd:double"&gt;9.68827233957357&lt;/D&gt;&lt;D xsi:type="xsd:double"&gt;9.49309686499545&lt;/D&gt;&lt;D xsi:type="xsd:double"&gt;9.62135822039394&lt;/D&gt;&lt;D xsi:type="xsd:double"&gt;10.2312576681016&lt;/D&gt;&lt;D xsi:type="xsd:double"&gt;10.5512842527427&lt;/D&gt;&lt;D xsi:type="xsd:double"&gt;10.9293200999984&lt;/D&gt;&lt;D xsi:type="xsd:double"&gt;10.3747316524049&lt;/D&gt;&lt;D xsi:type="xsd:double"&gt;10.1996098077383&lt;/D&gt;&lt;D xsi:type="xsd:double"&gt;10.9466900290377&lt;/D&gt;&lt;D xsi:type="xsd:double"&gt;9.854780703171&lt;/D&gt;&lt;D xsi:type="xsd:double"&gt;10.8849673323702&lt;/D&gt;&lt;D xsi:type="xsd:double"&gt;10.8153575564101&lt;/D&gt;&lt;D xsi:type="xsd:double"&gt;11.3365243199604&lt;/D&gt;&lt;D xsi:type="xsd:double"&gt;11.3340184750654&lt;/D&gt;&lt;D xsi:type="xsd:double"&gt;11.5730354446359&lt;/D&gt;&lt;D xsi:type="xsd:double"&gt;11.8433227288521&lt;/D&gt;&lt;D xsi:type="xsd:double"&gt;7.93263523425419&lt;/D&gt;&lt;D xsi:type="xsd:double"&gt;11.10253065473&lt;/D&gt;&lt;D xsi:type="xsd:double"&gt;14.4709869064245&lt;/D&gt;&lt;D xsi:type="xsd:double"&gt;17.0033739989701&lt;/D&gt;&lt;D xsi:type="xsd:double"&gt;17.3710492992678&lt;/D&gt;&lt;D xsi:type="xsd:double"&gt;16.5140518104341&lt;/D&gt;&lt;D xsi:type="xsd:double"&gt;15.601463234832&lt;/D&gt;&lt;D xsi:type="xsd:double"&gt;14.8194015434583&lt;/D&gt;&lt;D xsi:type="xsd:double"&gt;14.7260320543259&lt;/D&gt;&lt;D xsi:type="xsd:double"&gt;14.8164992235329&lt;/D&gt;&lt;D xsi:type="xsd:double"&gt;14.8782572679924&lt;/D&gt;&lt;D xsi:type="xsd:double"&gt;14.3642110167861&lt;/D&gt;&lt;D xsi:type="xsd:double"&gt;13.9810237556395&lt;/D&gt;&lt;D xsi:type="xsd:double"&gt;13.8765306962895&lt;/D&gt;&lt;D xsi:type="xsd:double"&gt;13.3196482716872&lt;/D&gt;&lt;D xsi:type="xsd:double"&gt;13.8195695235478&lt;/D&gt;&lt;D xsi:type="xsd:double"&gt;13.1758674612345&lt;/D&gt;&lt;D xsi:type="xsd:double"&gt;12.4683343205807&lt;/D&gt;&lt;D xsi:type="xsd:double"&gt;11.7714933428848&lt;/D&gt;&lt;D xsi:type="xsd:double"&gt;11.6910532573936&lt;/D&gt;&lt;D xsi:type="xsd:double"&gt;11.7934113909717&lt;/D&gt;&lt;D xsi:type="xsd:double"&gt;10.7872370054603&lt;/D&gt;&lt;D xsi:type="xsd:double"&gt;11.077434246242&lt;/D&gt;&lt;D xsi:type="xsd:double"&gt;10.4478148711067&lt;/D&gt;&lt;D xsi:type="xsd:double"&gt;9.35638741369434&lt;/D&gt;&lt;D xsi:type="xsd:double"&gt;9.73310447423821&lt;/D&gt;&lt;D xsi:type="xsd:double"&gt;9.15376002476104&lt;/D&gt;&lt;D xsi:type="xsd:double"&gt;7.93090825256188&lt;/D&gt;&lt;D xsi:type="xsd:double"&gt;7.36547955159584&lt;/D&gt;&lt;D xsi:type="xsd:double"&gt;7.73687142592395&lt;/D&gt;&lt;D xsi:type="xsd:double"&gt;7.7859271449903&lt;/D&gt;&lt;D xsi:type="xsd:double"&gt;7.30226109134474&lt;/D&gt;&lt;D xsi:type="xsd:double"&gt;8.30869921411259&lt;/D&gt;&lt;D xsi:type="xsd:double"&gt;7.89135503301554&lt;/D&gt;&lt;D xsi:type="xsd:double"&gt;8.2154269201636&lt;/D&gt;&lt;D xsi:type="xsd:double"&gt;8.44076294881808&lt;/D&gt;&lt;D xsi:type="xsd:double"&gt;8.40494524782875&lt;/D&gt;&lt;D xsi:type="xsd:double"&gt;8.77301863021218&lt;/D&gt;&lt;D xsi:type="xsd:double"&gt;8.39269248312189&lt;/D&gt;&lt;D xsi:type="xsd:double"&gt;8.78013520420303&lt;/D&gt;&lt;D xsi:type="xsd:double"&gt;8.82770551554842&lt;/D&gt;&lt;D xsi:type="xsd:double"&gt;8.29408369008333&lt;/D&gt;&lt;D xsi:type="xsd:double"&gt;8.51861930517423&lt;/D&gt;&lt;D xsi:type="xsd:double"&gt;8.17609614533267&lt;/D&gt;&lt;D xsi:type="xsd:double"&gt;8.32241983228357&lt;/D&gt;&lt;D xsi:type="xsd:double"&gt;8.84561977964837&lt;/D&gt;&lt;D xsi:type="xsd:double"&gt;8.98267940217932&lt;/D&gt;&lt;D xsi:type="xsd:double"&gt;9.03769860571177&lt;/D&gt;&lt;D xsi:type="xsd:double"&gt;9.5952746189439&lt;/D&gt;&lt;/FQL&gt;&lt;FQL&gt;&lt;Q&gt;EWN^FMA_PE(LTMA,-10AY,0,AM,"PORTAGG","MEANR")&lt;/Q&gt;&lt;R&gt;121&lt;/R&gt;&lt;C&gt;1&lt;/C&gt;&lt;D xsi:type="xsd:double"&gt;17.2187413924626&lt;/D&gt;&lt;D xsi:type="xsd:double"&gt;16.9975297125602&lt;/D&gt;&lt;D xsi:type="xsd:double"&gt;16.8520639805153&lt;/D&gt;&lt;D xsi:type="xsd:double"&gt;16.8403987094338&lt;/D&gt;&lt;D xsi:type="xsd:double"&gt;16.5386435974662&lt;/D&gt;&lt;D xsi:type="xsd:double"&gt;16.2048316043063&lt;/D&gt;&lt;D xsi:type="xsd:double"&gt;16.7564180225009&lt;/D&gt;&lt;D xsi:type="xsd:double"&gt;15.953833649959&lt;/D&gt;&lt;D xsi:type="xsd:double"&gt;17.2602401688342&lt;/D&gt;&lt;D xsi:type="xsd:double"&gt;17.1197986578401&lt;/D&gt;&lt;D xsi:type="xsd:double"&gt;17.668146863063&lt;/D&gt;&lt;D xsi:type="xsd:double"&gt;19.2336068246071&lt;/D&gt;&lt;D xsi:type="xsd:double"&gt;20.1240020383847&lt;/D&gt;&lt;D xsi:type="xsd:double"&gt;19.9735896096617&lt;/D&gt;&lt;D xsi:type="xsd:double"&gt;19.5108676483512&lt;/D&gt;&lt;D xsi:type="xsd:double"&gt;19.0927020763043&lt;/D&gt;&lt;D xsi:type="xsd:double"&gt;19.1487934858596&lt;/D&gt;&lt;D xsi:type="xsd:double"&gt;18.3055441095897&lt;/D&gt;&lt;D xsi:type="xsd:double"&gt;16.9846358974163&lt;/D&gt;&lt;D xsi:type="xsd:double"&gt;16.7337150414076&lt;/D&gt;&lt;D xsi:type="xsd:double"&gt;17.7350351908805&lt;/D&gt;&lt;D xsi:type="xsd:double"&gt;16.5983105218563&lt;/D&gt;&lt;D xsi:type="xsd:double"&gt;15.7493373930082&lt;/D&gt;&lt;D xsi:type="xsd:double"&gt;14.7508105727415&lt;/D&gt;&lt;D xsi:type="xsd:double"&gt;16.4322292641527&lt;</t>
        </r>
      </text>
    </comment>
    <comment ref="A9" authorId="0" shapeId="0" xr:uid="{E73D6088-31EE-4481-BB84-88F3684A507E}">
      <text>
        <r>
          <rPr>
            <b/>
            <sz val="9"/>
            <color indexed="81"/>
            <rFont val="Tahoma"/>
            <charset val="1"/>
          </rPr>
          <t>/D&gt;&lt;D xsi:type="xsd:double"&gt;16.4008164026235&lt;/D&gt;&lt;D xsi:type="xsd:double"&gt;16.1434028920266&lt;/D&gt;&lt;D xsi:type="xsd:double"&gt;15.7471911150822&lt;/D&gt;&lt;D xsi:type="xsd:double"&gt;15.9784234025006&lt;/D&gt;&lt;D xsi:type="xsd:double"&gt;16.2220108363401&lt;/D&gt;&lt;D xsi:type="xsd:double"&gt;15.8380835695787&lt;/D&gt;&lt;D xsi:type="xsd:double"&gt;15.8482008666429&lt;/D&gt;&lt;D xsi:type="xsd:double"&gt;15.4985146303392&lt;/D&gt;&lt;D xsi:type="xsd:double"&gt;15.9373575789315&lt;/D&gt;&lt;D xsi:type="xsd:double"&gt;16.4408764074805&lt;/D&gt;&lt;D xsi:type="xsd:double"&gt;16.330015629588&lt;/D&gt;&lt;D xsi:type="xsd:double"&gt;16.4896259750188&lt;/D&gt;&lt;D xsi:type="xsd:double"&gt;16.5432632357665&lt;/D&gt;&lt;D xsi:type="xsd:double"&gt;16.7432103059388&lt;/D&gt;&lt;D xsi:type="xsd:double"&gt;16.6832418305033&lt;/D&gt;&lt;D xsi:type="xsd:double"&gt;16.6944146245128&lt;/D&gt;&lt;D xsi:type="xsd:double"&gt;16.6418780811098&lt;/D&gt;&lt;D xsi:type="xsd:double"&gt;16.8432337374571&lt;/D&gt;&lt;D xsi:type="xsd:double"&gt;17.2642493918652&lt;/D&gt;&lt;D xsi:type="xsd:double"&gt;17.231843308814&lt;/D&gt;&lt;D xsi:type="xsd:double"&gt;17.2904951931341&lt;/D&gt;&lt;D xsi:type="xsd:double"&gt;17.5270297534334&lt;/D&gt;&lt;D xsi:type="xsd:double"&gt;16.5054557741314&lt;/D&gt;&lt;D xsi:type="xsd:double"&gt;16.6313236237997&lt;/D&gt;&lt;D xsi:type="xsd:double"&gt;16.6149063581327&lt;/D&gt;&lt;D xsi:type="xsd:double"&gt;16.6290808935148&lt;/D&gt;&lt;D xsi:type="xsd:double"&gt;16.7452216955823&lt;/D&gt;&lt;D xsi:type="xsd:double"&gt;16.6290856453298&lt;/D&gt;&lt;D xsi:type="xsd:double"&gt;16.5952932207721&lt;/D&gt;&lt;D xsi:type="xsd:double"&gt;16.2832623845787&lt;/D&gt;&lt;D xsi:type="xsd:double"&gt;15.4917908262192&lt;/D&gt;&lt;D xsi:type="xsd:double"&gt;15.6549099849285&lt;/D&gt;&lt;D xsi:type="xsd:double"&gt;14.906782510018&lt;/D&gt;&lt;D xsi:type="xsd:double"&gt;14.5355808991335&lt;/D&gt;&lt;D xsi:type="xsd:double"&gt;15.9087621370713&lt;/D&gt;&lt;D xsi:type="xsd:double"&gt;16.1459311308122&lt;/D&gt;&lt;D xsi:type="xsd:double"&gt;16.2517276393038&lt;/D&gt;&lt;D xsi:type="xsd:double"&gt;16.156108531733&lt;/D&gt;&lt;D xsi:type="xsd:double"&gt;16.2267686134815&lt;/D&gt;&lt;D xsi:type="xsd:double"&gt;16.4380431841224&lt;/D&gt;&lt;D xsi:type="xsd:double"&gt;16.0810886652633&lt;/D&gt;&lt;D xsi:type="xsd:double"&gt;17.1385577800331&lt;/D&gt;&lt;D xsi:type="xsd:double"&gt;17.1858399099487&lt;/D&gt;&lt;D xsi:type="xsd:double"&gt;17.878652898796&lt;/D&gt;&lt;D xsi:type="xsd:double"&gt;18.461589692337&lt;/D&gt;&lt;D xsi:type="xsd:double"&gt;18.7341268582995&lt;/D&gt;&lt;D xsi:type="xsd:double"&gt;20.0690061901101&lt;/D&gt;&lt;D xsi:type="xsd:double"&gt;16.5531008767703&lt;/D&gt;&lt;D xsi:type="xsd:double"&gt;17.2187354961025&lt;/D&gt;&lt;D xsi:type="xsd:double"&gt;17.723862381405&lt;/D&gt;&lt;D xsi:type="xsd:double"&gt;18.9383279996941&lt;/D&gt;&lt;D xsi:type="xsd:double"&gt;20.1077968836167&lt;/D&gt;&lt;D xsi:type="xsd:double"&gt;20.8266747708089&lt;/D&gt;&lt;D xsi:type="xsd:double"&gt;21.5609853649831&lt;/D&gt;&lt;D xsi:type="xsd:double"&gt;22.7736258004413&lt;/D&gt;&lt;D xsi:type="xsd:double"&gt;24.5616236451619&lt;/D&gt;&lt;D xsi:type="xsd:double"&gt;26.0544528833982&lt;/D&gt;&lt;D xsi:type="xsd:double"&gt;28.7511590756958&lt;/D&gt;&lt;D xsi:type="xsd:double"&gt;29.898961082611&lt;/D&gt;&lt;D xsi:type="xsd:double"&gt;28.7582833699093&lt;/D&gt;&lt;D xsi:type="xsd:double"&gt;28.431259848172&lt;/D&gt;&lt;D xsi:type="xsd:double"&gt;27.3622206992482&lt;/D&gt;&lt;D xsi:type="xsd:double"&gt;27.0063527065058&lt;/D&gt;&lt;D xsi:type="xsd:double"&gt;26.466138745956&lt;/D&gt;&lt;D xsi:type="xsd:double"&gt;26.0552634693985&lt;/D&gt;&lt;D xsi:type="xsd:double"&gt;25.7139803257387&lt;/D&gt;&lt;D xsi:type="xsd:double"&gt;24.2740115618702&lt;/D&gt;&lt;D xsi:type="xsd:double"&gt;24.5563165309537&lt;/D&gt;&lt;D xsi:type="xsd:double"&gt;22.1437754950833&lt;/D&gt;&lt;D xsi:type="xsd:double"&gt;21.8209922276867&lt;/D&gt;&lt;D xsi:type="xsd:double"&gt;19.7024469967139&lt;/D&gt;&lt;D xsi:type="xsd:double"&gt;18.1700257751306&lt;/D&gt;&lt;D xsi:type="xsd:double"&gt;18.4235799240869&lt;/D&gt;&lt;D xsi:type="xsd:double"&gt;17.9994770486884&lt;/D&gt;&lt;D xsi:type="xsd:double"&gt;17.8315485025255&lt;/D&gt;&lt;D xsi:type="xsd:double"&gt;18.0569493453507&lt;/D&gt;&lt;D xsi:type="xsd:double"&gt;19.7354950710584&lt;/D&gt;&lt;D xsi:type="xsd:double"&gt;18.3739541020684&lt;/D&gt;&lt;D xsi:type="xsd:double"&gt;16.6994357716997&lt;/D&gt;&lt;D xsi:type="xsd:double"&gt;18.5062472146905&lt;/D&gt;&lt;D xsi:type="xsd:double"&gt;18.782381098075&lt;/D&gt;&lt;D xsi:type="xsd:double"&gt;19.3902703283975&lt;/D&gt;&lt;D xsi:type="xsd:double"&gt;20.7972285289515&lt;/D&gt;&lt;D xsi:type="xsd:double"&gt;20.410416375194&lt;/D&gt;&lt;D xsi:type="xsd:double"&gt;20.1749445094447&lt;/D&gt;&lt;D xsi:type="xsd:double"&gt;19.6042671193608&lt;/D&gt;&lt;D xsi:type="xsd:double"&gt;19.4525304819732&lt;/D&gt;&lt;D xsi:type="xsd:double"&gt;19.3483047980113&lt;/D&gt;&lt;D xsi:type="xsd:double"&gt;18.3368735284742&lt;/D&gt;&lt;D xsi:type="xsd:double"&gt;17.3215025392183&lt;/D&gt;&lt;D xsi:type="xsd:double"&gt;16.4034953277814&lt;/D&gt;&lt;D xsi:type="xsd:double"&gt;16.4909669384114&lt;/D&gt;&lt;D xsi:type="xsd:double"&gt;16.9180577005196&lt;/D&gt;&lt;D xsi:type="xsd:double"&gt;16.4201949677075&lt;/D&gt;&lt;D xsi:type="xsd:double"&gt;17.6382928553406&lt;/D&gt;&lt;D xsi:type="xsd:double"&gt;18.5163245101294&lt;/D&gt;&lt;/FQL&gt;&lt;FQL&gt;&lt;Q&gt;DDR3512M-FDS^FG_PRICE_CHANGE(0,-3AM)&lt;/Q&gt;&lt;R&gt;1&lt;/R&gt;&lt;C&gt;1&lt;/C&gt;&lt;D xsi:type="xsd:double"&gt;-3.39904279464993&lt;/D&gt;&lt;/FQL&gt;&lt;FQL&gt;&lt;Q&gt;PASP-FDS^FG_PRICE_CHANGE(0,-3AM)&lt;/Q&gt;&lt;R&gt;1&lt;/R&gt;&lt;C&gt;1&lt;/C&gt;&lt;D xsi:type="xsd:double"&gt;5.12077294685991&lt;/D&gt;&lt;/FQL&gt;&lt;FQL&gt;&lt;Q&gt;PLATI-FDS^FG_PRICE_CHANGE(0,-3AM)&lt;/Q&gt;&lt;R&gt;1&lt;/R&gt;&lt;C&gt;1&lt;/C&gt;&lt;D xsi:type="xsd:double"&gt;-0.844772967265051&lt;/D&gt;&lt;/FQL&gt;&lt;FQL&gt;&lt;Q&gt;W-FDS^FG_PRICE_CHANGE(0,-3AM)&lt;/Q&gt;&lt;R&gt;1&lt;/R&gt;&lt;C&gt;1&lt;/C&gt;&lt;D xsi:type="xsd:double"&gt;-12.5420875420875&lt;/D&gt;&lt;/FQL&gt;&lt;FQL&gt;&lt;Q&gt;COPP-FDS^FG_PRICE_CHANGE(0,-3AM)&lt;/Q&gt;&lt;R&gt;1&lt;/R&gt;&lt;C&gt;1&lt;/C&gt;&lt;D xsi:type="xsd:double"&gt;3.81895332390381&lt;/D&gt;&lt;/FQL&gt;&lt;FQL&gt;&lt;Q&gt;EWI^FG_PRICE_MAVG(0,,,,200)&lt;/Q&gt;&lt;R&gt;1&lt;/R&gt;&lt;C&gt;1&lt;/C&gt;&lt;D xsi:type="xsd:double"&gt;32.3756&lt;/D&gt;&lt;/FQL&gt;&lt;FQL&gt;&lt;Q&gt;SPY^FG_PRICE_MAVG(0,,,,200)&lt;/Q&gt;&lt;R&gt;1&lt;/R&gt;&lt;C&gt;1&lt;/C&gt;&lt;D xsi:type="xsd:double"&gt;456.06076&lt;/D&gt;&lt;/FQL&gt;&lt;FQL&gt;&lt;Q&gt;EWJ^FG_PRICE_MAVG(0,,,,200)&lt;/Q&gt;&lt;R&gt;1&lt;/R&gt;&lt;C&gt;1&lt;/C&gt;&lt;D xsi:type="xsd:double"&gt;62.9419&lt;/D&gt;&lt;/FQL&gt;&lt;FQL&gt;&lt;Q&gt;ENZL^FG_PRICE_MAVG(0,,,,200)&lt;/Q&gt;&lt;R&gt;1&lt;/R&gt;&lt;C&gt;1&lt;/C&gt;&lt;D xsi:type="xsd:double"&gt;46.260063&lt;/D&gt;&lt;/FQL&gt;&lt;FQL&gt;&lt;Q&gt;URTH^FG_TOTAL_RETURNC(0,-6AM)&lt;/Q&gt;&lt;R&gt;1&lt;/R&gt;&lt;C&gt;1&lt;/C&gt;&lt;D xsi:type="xsd:double"&gt;14.212143&lt;/D&gt;&lt;/FQL&gt;&lt;FQL&gt;&lt;Q&gt;EWD^FG_TOTAL_RETURNC(0,-6AM)&lt;/Q&gt;&lt;R&gt;1&lt;/R&gt;&lt;C&gt;1&lt;/C&gt;&lt;D xsi:type="xsd:double"&gt;27.696991&lt;/D&gt;&lt;/FQL&gt;&lt;FQL&gt;&lt;Q&gt;QQQ^FG_TOTAL_RETURNC(0,-6AM)&lt;/Q&gt;&lt;R&gt;1&lt;/R&gt;&lt;C&gt;1&lt;/C&gt;&lt;D xsi:type="xsd:double"&gt;16.860294&lt;/D&gt;&lt;/FQL&gt;&lt;FQL&gt;&lt;Q&gt;EWG^FG_TOTAL_RETURNC(0,-6AM)&lt;/Q&gt;&lt;R&gt;1&lt;/R&gt;&lt;C&gt;1&lt;/C&gt;&lt;D xsi:type="xsd:double"&gt;14.317905&lt;/D&gt;&lt;/FQL&gt;&lt;FQL&gt;&lt;Q&gt;FXI^FMA_PCT_ABOVE_MAVG(200,0,,,,"PORTAGG")&lt;/Q&gt;&lt;R&gt;1&lt;/R&gt;&lt;C&gt;1&lt;/C&gt;&lt;D xsi:type="xsd:double"&gt;45.0980392156863&lt;/D&gt;&lt;/FQL&gt;&lt;FQL&gt;&lt;Q&gt;EWI^PERCENT_CHANGE(FMA_EPS(+1,0,,,,"PORTAGG","MEAN"),FMA_EPS(+1,-3AM,,,,"PORTAGG","MEAN"))&lt;/Q&gt;&lt;R&gt;1&lt;/R&gt;&lt;C&gt;1&lt;/C&gt;&lt;D xsi:type="xsd:double"&gt;-0.160867146018886&lt;/D&gt;&lt;/FQL&gt;&lt;FQL&gt;&lt;Q&gt;QQQ^PERCENT_CHANGE(FMA_EPS(+1,0,,,,"PORTAGG","MEAN"),FMA_EPS(+1,-1AM,,,,"PORTAGG","MEAN"))&lt;/Q&gt;&lt;R&gt;1&lt;/R&gt;&lt;C&gt;1&lt;/C&gt;&lt;D xsi:type="xsd:double"&gt;0.55495918682442&lt;/D&gt;&lt;/FQL&gt;&lt;FQL&gt;&lt;Q&gt;EWC^FMA_PCT_ABOVE_MAVG(200,0,,,,"PORTAGG")&lt;/Q&gt;&lt;R&gt;1&lt;/R&gt;&lt;C&gt;1&lt;/C&gt;&lt;D xsi:type="xsd:double"&gt;68.1818181818182&lt;/D&gt;&lt;/FQL&gt;&lt;FQL&gt;&lt;Q&gt;URTH^SIZE(FG_CONSTITUENTS)&lt;/Q&gt;&lt;R&gt;1&lt;/R&gt;&lt;C&gt;1&lt;/C&gt;&lt;D xsi:type="xsd:long"&gt;1467&lt;/D&gt;&lt;/FQL&gt;&lt;FQL&gt;&lt;Q&gt;EWN^FMA_COS_DOWN("EPS","1M",+1,0,,,"PORTAGG","MEANR")&lt;/Q&gt;&lt;R&gt;1&lt;/R&gt;&lt;C&gt;1&lt;/C&gt;&lt;D xsi:type="xsd:double"&gt;26&lt;/D&gt;&lt;/FQL&gt;&lt;FQL&gt;&lt;Q&gt;EWL^FMA_COS_UP("EPS","1M",+1,0,,,"PORTAGG","MEANR")&lt;/Q&gt;&lt;R&gt;1&lt;/R&gt;&lt;C&gt;1&lt;/C&gt;&lt;D xsi:type="xsd:double"&gt;13&lt;/D&gt;&lt;/FQL&gt;&lt;FQL&gt;&lt;Q&gt;EWQ^FMA_RBICS_REV_CURRENT(30, LOC, "PORTAGG")&lt;/Q&gt;&lt;R&gt;1&lt;/R&gt;&lt;C&gt;1&lt;/C&gt;&lt;D xsi:type="xsd:double"&gt;10.7535343809748&lt;/D&gt;&lt;/FQL&gt;&lt;FQL&gt;&lt;Q&gt;EWU^FG_ROE(0)&lt;/Q&gt;&lt;R&gt;1&lt;/R&gt;&lt;C&gt;1&lt;/C&gt;&lt;D xsi:type="xsd:double"&gt;15.8716272215686&lt;/D&gt;&lt;/FQL&gt;&lt;FQL&gt;&lt;Q&gt;EWI^FMA_ROE(NTMA,-20AY,NOW,FY,"PORTAGG","MEANR")&lt;/Q&gt;&lt;R&gt;20&lt;/R&gt;&lt;C&gt;1&lt;/C&gt;&lt;D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xsi:type="xsd:double"&gt;13.3572177464321&lt;/D&gt;&lt;/FQL&gt;&lt;FQL&gt;&lt;Q&gt;TRYVN10Y-FDS^FG_YIELD(-10AY,0,Y,,"YTM")&lt;/Q&gt;&lt;R&gt;10&lt;/R&gt;&lt;C&gt;1&lt;/C&gt;&lt;D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xsi:type="xsd:double"&gt;1.211&lt;/D&gt;&lt;/FQL&gt;&lt;FQL&gt;&lt;Q&gt;EWU^P_PRICE(0)/P_PRICE_HIGH_PR(0,,,USD,,,"PRICE","INTRA","52W")&lt;/Q&gt;&lt;R&gt;1&lt;/R&gt;&lt;C&gt;1&lt;/C&gt;&lt;D xsi:type="xsd:double"&gt;0.9839918&lt;/D&gt;&lt;/FQL&gt;&lt;FQL&gt;&lt;Q&gt;EWC^P_PRICE(0)/P_PRICE_HIGH_PR(0,,,USD,,,"PRICE","INTRA","52W")&lt;/Q&gt;&lt;R&gt;1&lt;/R&gt;&lt;C&gt;1&lt;/C&gt;&lt;D xsi:type="xsd:double"&gt;0.9878384&lt;/D&gt;&lt;/FQL&gt;&lt;FQL&gt;&lt;Q&gt;SPY^FMA_PCT_ABOVE_MAVG(200,0,,,,"PORTAGG")&lt;/Q&gt;&lt;R&gt;1&lt;/R&gt;&lt;C&gt;1&lt;/C&gt;&lt;D xsi:type="xsd:double"&gt;75.7455268389662&lt;/D&gt;&lt;/FQL&gt;&lt;FQL&gt;&lt;Q&gt;EWD^PERCENT_CHANGE(FMA_EPS(+1,0,,,,"PORTAGG","MEAN"),FMA_EPS(+1,-3AM,,,,"PORTAGG","MEAN"))&lt;/Q&gt;&lt;R&gt;1&lt;/R&gt;&lt;C&gt;1&lt;/C&gt;&lt;D xsi:type="xsd:double"&gt;-4.47082188472482&lt;/D&gt;&lt;/FQL&gt;&lt;FQL&gt;&lt;Q&gt;EWU^PERCENT_CHANGE(FMA_EPS(+1,0,,,,"PORTAGG","MEAN"),FMA_EPS(+1,-1AM,,,,"PORTAGG","MEAN"))&lt;/Q&gt;&lt;R&gt;1&lt;/R&gt;&lt;C&gt;1&lt;/C&gt;&lt;D xsi:type="xsd:double"&gt;1.00030761852542&lt;/D&gt;&lt;/FQL&gt;&lt;FQL&gt;&lt;Q&gt;EWA^FMA_PCT_ABOVE_MAVG(200,0,,,,"PORTAGG")&lt;/Q&gt;&lt;R&gt;1&lt;/R&gt;&lt;C&gt;1&lt;/C&gt;&lt;D xsi:type="xsd:double"&gt;74.5762711864407&lt;/D&gt;&lt;/FQL&gt;&lt;FQL&gt;&lt;Q&gt;VWO^SIZE(FG_CONSTITUENTS)&lt;/Q&gt;&lt;R&gt;1&lt;/R&gt;&lt;C&gt;1&lt;/C&gt;&lt;D xsi:type="xsd:long"&gt;4677&lt;/D&gt;&lt;/FQL&gt;&lt;FQL&gt;&lt;Q&gt;EWQ^FMA_COS_DOWN("EPS","1M",+1,0,,,"PORTAGG","MEANR")&lt;/Q&gt;&lt;R&gt;1&lt;/R&gt;&lt;C&gt;1&lt;/C&gt;&lt;D xsi:type="xsd:double"&gt;27&lt;/D&gt;&lt;/FQL&gt;&lt;FQL&gt;&lt;Q&gt;EWJ^FMA_COS_UP("EPS","1M",+1,0,,,"PORTAGG","MEANR")&lt;/Q&gt;&lt;R&gt;1&lt;/R&gt;&lt;C&gt;1&lt;/C&gt;&lt;D xsi:type="xsd:double"&gt;115&lt;/D&gt;&lt;/FQL&gt;&lt;FQL&gt;&lt;Q&gt;EWU^FMA_RBICS_REV_CURRENT(30, LOC, "PORTAGG")&lt;/Q&gt;&lt;R&gt;1&lt;/R&gt;&lt;C&gt;1&lt;/C&gt;&lt;D xsi:type="xsd:double"&gt;17.7139371648032&lt;/D&gt;&lt;/FQL&gt;&lt;FQL&gt;&lt;Q&gt;EWG^FG_ROE(0)&lt;/Q&gt;&lt;R&gt;1&lt;/R&gt;&lt;C&gt;1&lt;/C&gt;&lt;D xsi:type="xsd:double"&gt;10.5083144050553&lt;/D&gt;&lt;/FQL&gt;&lt;FQL&gt;&lt;Q&gt;TRYNZ10Y-FDS^FG_YIELD_NAME&lt;/Q&gt;&lt;R&gt;1&lt;/R&gt;&lt;C&gt;1&lt;/C&gt;&lt;D xsi:type="xsd:string"&gt;New Zealand Benchmark Bond - 10 Year&lt;/D&gt;&lt;/FQL&gt;&lt;FQL&gt;&lt;Q&gt;REFGBBANK-FDS^(SUBARRAY(NOT_NA(NO_REPEAT_F(FG_YIELD(NOW,-10AY,D))),0,1)-SUBARRAY(NOT_NA(NO_REPEAT_F(FG_YIELD(NOW,-10AY,D))),1,1))*100&lt;/Q&gt;&lt;R&gt;1&lt;/R&gt;&lt;C&gt;1&lt;/C&gt;&lt;D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xsi:type="xsd:double"&gt;3.8791&lt;/D&gt;&lt;/FQL&gt;&lt;FQL&gt;&lt;Q&gt;CAGDPY@SE^EE_ACTUAL_ANNUAL(MED,+1)&lt;/Q&gt;&lt;R&gt;1&lt;/R&gt;&lt;C&gt;1&lt;/C&gt;&lt;D xsi:type="xsd:double"&gt;5.4&lt;/D&gt;&lt;/FQL&gt;&lt;FQL&gt;&lt;Q&gt;USDEUR^FG_PRICE(0)&lt;/Q&gt;&lt;R&gt;1&lt;/R&gt;&lt;C&gt;1&lt;/C&gt;&lt;D xsi:type="xsd:double"&gt;0.9184423&lt;/D&gt;&lt;/FQL&gt;&lt;FQL&gt;&lt;Q&gt;ENZL^JULIAN(FG_TOTAL_RETURNC(-10AY,0,AM).DATES)&lt;/Q&gt;&lt;R&gt;121&lt;/R&gt;&lt;C&gt;1&lt;/C&gt;&lt;D xsi:type="xsd:long"&gt;41712&lt;/D&gt;&lt;D xsi:type="xsd:long"&gt;41743&lt;/D&gt;&lt;D xsi:type="xsd:long"&gt;41773&lt;/D&gt;&lt;D xsi:type="xsd:long"&gt;41803&lt;/D&gt;&lt;D xsi:type="xsd:long"&gt;41834&lt;/D&gt;&lt;D xsi:type="xsd:long"&gt;41865&lt;/D&gt;&lt;D xsi:type="xsd:long"&gt;41894&lt;/D&gt;&lt;D xsi:type="xsd:long"&gt;41926&lt;/D&gt;&lt;D xsi:type="xsd:long"&gt;41957&lt;/D&gt;&lt;D xsi:type="xsd:long"&gt;41985&lt;/D&gt;&lt;D xsi:type="xsd:long"&gt;42018&lt;/D&gt;&lt;D xsi:type="xsd:long"&gt;42048&lt;/D&gt;&lt;D xsi:type="xsd:long"&gt;42076&lt;/D&gt;&lt;D xsi:type="xsd:long"&gt;42108&lt;/D&gt;&lt;D xsi:type="xsd:long"&gt;42138&lt;/D&gt;&lt;D xsi:type="xsd:long"&gt;42167&lt;/D&gt;&lt;D xsi:type="xsd:long"&gt;42199&lt;/D&gt;&lt;D xsi:type="xsd:long"&gt;42230&lt;/D&gt;&lt;D xsi:type="xsd:long"&gt;42261&lt;/D&gt;&lt;D xsi:type="xsd:long"&gt;42291&lt;/D&gt;&lt;D xsi:type="xsd:long"&gt;42321&lt;/D&gt;&lt;D xsi:type="xsd:long"&gt;42352&lt;/D&gt;&lt;D xsi:type="xsd:long"&gt;42383&lt;/D&gt;&lt;D xsi:type="xsd:long"&gt;42412&lt;/D&gt;&lt;D xsi:type="xsd:long"&gt;42443&lt;/D&gt;&lt;D xsi:type="xsd:long"&gt;42474&lt;/D&gt;&lt;D xsi:type="xsd:long"&gt;42503&lt;/D&gt;&lt;D xsi:type="xsd:long"&gt;42535&lt;/D&gt;&lt;D xsi:type="xsd:long"&gt;42565&lt;/D&gt;&lt;D xsi:type="xsd:long"&gt;42594&lt;/D&gt;&lt;D xsi:type="xsd:long"&gt;42627&lt;/D&gt;&lt;D xsi:type="xsd:long"&gt;42657&lt;/D&gt;&lt;D xsi:type="xsd:long"&gt;42688&lt;/D&gt;&lt;D xsi:type="xsd:long"&gt;42718&lt;/D&gt;&lt;D xsi:type="xsd:long"&gt;42748&lt;/D&gt;&lt;D xsi:type="xsd:long"&gt;42780&lt;/D&gt;&lt;D xsi:type="xsd:long"&gt;42808&lt;/D&gt;&lt;D xsi:type="xsd:long"&gt;42838&lt;/D&gt;&lt;D xsi:type="xsd:long"&gt;42867&lt;/D&gt;&lt;D xsi:type="xsd:long"&gt;42900&lt;/D&gt;&lt;D xsi:type="xsd:long"&gt;42930&lt;/D&gt;&lt;D xsi:type="xsd:long"&gt;42961&lt;/D&gt;&lt;D xsi:type="xsd:long"&gt;42992&lt;/D&gt;&lt;D xsi:type="xsd:long"&gt;43021&lt;/D&gt;&lt;D xsi:type="xsd:long"&gt;43053&lt;/D&gt;&lt;D xsi:type="xsd:long"&gt;43083&lt;/D&gt;&lt;D xsi:type="xsd:long"&gt;43112&lt;/D&gt;&lt;D xsi:type="xsd:long"&gt;43145&lt;/D&gt;&lt;D xsi:type="xsd:long"&gt;43173&lt;/D&gt;&lt;D xsi:type="xsd:long"&gt;43203&lt;/D&gt;&lt;D xsi:type="xsd:long"&gt;43234&lt;/D&gt;&lt;D xsi:type="xsd:long"&gt;43265&lt;/D&gt;&lt;D xsi:type="xsd:long"&gt;43294&lt;/D&gt;&lt;D xsi:type="xsd:long"&gt;43326&lt;/D&gt;&lt;D xsi:type="xsd:long"&gt;43357&lt;/D&gt;&lt;D xsi:type="xsd:long"&gt;43385&lt;/D&gt;&lt;D xsi:type="xsd:long"&gt;43418&lt;/D&gt;&lt;D xsi:type="xsd:long"&gt;43448&lt;/D&gt;&lt;D xsi:type="xsd:long"&gt;43479&lt;/D&gt;&lt;D xsi:type="xsd:long"&gt;43510&lt;/D&gt;&lt;D xsi:type="xsd:long"&gt;43538&lt;/D&gt;&lt;D xsi:type="xsd:long"&gt;43567&lt;/D&gt;&lt;D xsi:type="xsd:long"&gt;43599&lt;/D&gt;&lt;D xsi:type="xsd:long"&gt;43630&lt;/D&gt;&lt;D xsi:type="xsd:long"&gt;43658&lt;/D&gt;&lt;D xsi:type="xsd:long"&gt;43691&lt;/D&gt;&lt;D xsi:type="xsd:long"&gt;43721&lt;/D&gt;&lt;D xsi:type="xsd:long"&gt;43752&lt;/D&gt;&lt;D xsi:type="xsd:long"&gt;43783&lt;/D&gt;&lt;D xsi:type="xsd:long"&gt;43812&lt;/D&gt;&lt;D xsi:type="xsd:long"&gt;43844&lt;/D&gt;&lt;D xsi:type="xsd:long"&gt;43875&lt;/D&gt;&lt;D xsi:type="xsd:long"&gt;43903&lt;/D&gt;&lt;D xsi:type="xsd:long"&gt;43935&lt;/D&gt;&lt;D xsi:type="xsd:long"&gt;43965&lt;/D&gt;&lt;D xsi:type="xsd:long"&gt;43994&lt;/D&gt;&lt;D xsi:type="xsd:long"&gt;44026&lt;/D&gt;&lt;D xsi:type="xsd:long"&gt;44057&lt;/D&gt;&lt;D xsi:type="xsd:long"&gt;44088&lt;/D&gt;&lt;D xsi:type="xsd:long"&gt;44118&lt;/D&gt;&lt;D xsi:type="xsd:long"&gt;44148&lt;/D&gt;&lt;D xsi:type="xsd:long"&gt;44179&lt;/D&gt;&lt;D xsi:type="xsd:long"&gt;44210&lt;/D&gt;&lt;D xsi:type="xsd:long"&gt;44239&lt;/D&gt;&lt;D xsi:type="xsd:long"&gt;44267&lt;/D&gt;&lt;D xsi:type="xsd:long"&gt;44300&lt;/D&gt;&lt;D xsi:type="xsd:long"&gt;44330&lt;/D&gt;&lt;D xsi:type="xsd:long"&gt;44361&lt;/D&gt;&lt;D xsi:type="xsd:long"&gt;44391&lt;/D&gt;&lt;D xsi:type="xsd:long"&gt;44421&lt;/D&gt;&lt;D xsi:type="xsd:long"&gt;44453&lt;/D&gt;&lt;D xsi:type="xsd:long"&gt;44483&lt;/D&gt;&lt;D xsi:type="xsd:long"&gt;44512&lt;/D&gt;&lt;D xsi:type="xsd:long"&gt;44544&lt;/D&gt;&lt;D xsi:type="xsd:long"&gt;44575&lt;/D&gt;&lt;D xsi:type="xsd:long"&gt;44606&lt;/D&gt;&lt;D xsi:type="xsd:long"&gt;44634&lt;/D&gt;&lt;D xsi:type="xsd:long"&gt;44665&lt;/D&gt;&lt;D xsi:type="xsd:long"&gt;44694&lt;/D&gt;&lt;D xsi:type="xsd:long"&gt;44726&lt;/D&gt;&lt;D xsi:type="xsd:long"&gt;44756&lt;/D&gt;&lt;D xsi:type="xsd:long"&gt;44785&lt;/D&gt;&lt;D xsi:type="xsd:long"&gt;44818&lt;/D&gt;&lt;D xsi:type="xsd:long"&gt;44848&lt;/D&gt;&lt;D xsi:type="xsd:long"&gt;44879&lt;/D&gt;&lt;D xsi:type="xsd:long"&gt;44909&lt;/D&gt;&lt;D xsi:type="xsd:long"&gt;44939&lt;/D&gt;&lt;D xsi:type="xsd:long"&gt;44971&lt;/D&gt;&lt;D xsi:type="xsd:long"&gt;44999&lt;/D&gt;&lt;D xsi:type="xsd:long"&gt;45030&lt;/D&gt;&lt;D xsi:type="xsd:long"&gt;45058&lt;/D&gt;&lt;D xsi:type="xsd:long"&gt;45091&lt;/D&gt;&lt;D xsi:type="xsd:long"&gt;45121&lt;/D&gt;&lt;D xsi:type="xsd:long"&gt;45152&lt;/D&gt;&lt;D xsi:type="xsd:long"&gt;45183&lt;/D&gt;&lt;D xsi:type="xsd:long"&gt;45212&lt;/D&gt;&lt;D xsi:type="xsd:long"&gt;45244&lt;/D&gt;&lt;D xsi:type="xsd:long"&gt;45274&lt;/D&gt;&lt;D xsi:type="xsd:long"&gt;45303&lt;/D&gt;&lt;D xsi:type="xsd:long"&gt;45336&lt;/D&gt;&lt;D xsi:type="xsd:long"&gt;45365&lt;/D&gt;&lt;/FQL&gt;&lt;FQL&gt;&lt;Q&gt;SPY^FMA_PE(LTMA,-10AY,0,AM,"PORTAGG","MEANR")&lt;/Q&gt;&lt;R&gt;121&lt;/R&gt;&lt;C&gt;1&lt;/C&gt;&lt;D xsi:type="xsd:double"&gt;16.3120938834611&lt;/D&gt;&lt;D xsi:type="xsd:double"&gt;16.1952973495996&lt;/D&gt;&lt;D xsi:type="xsd:double"&gt;16.2181359487101&lt;/D&gt;&lt;D xsi:type="xsd:double"&gt;16.3092176938252&lt;/D&gt;&lt;D xsi:type="xsd:double"&gt;16.4413853815699&lt;/D&gt;&lt;D xsi:type="xsd:double"&gt;16.2698447274258&lt;/D&gt;&lt;D xsi:type="xsd:double"&gt;16.4536586232447&lt;/D&gt;&lt;D xsi:type="xsd:double"&gt;15.7879949147533&lt;/D&gt;&lt;D xsi:type="xsd:double"&gt;16.8936009190974&lt;/D&gt;&lt;D xsi:type="xsd:double"&gt;16.6886501133442&lt;/D&gt;&lt;D xsi:type="xsd:double"&gt;16.8957576219884&lt;/D&gt;&lt;D xsi:type="xsd:double"&gt;17.5494875429706&lt;/D&gt;&lt;D xsi:type="xsd:double"&gt;17.5030515248939&lt;/D&gt;&lt;D xsi:type="xsd:double"&gt;17.5410419296972&lt;/D&gt;&lt;D xsi:type="xsd:double"&gt;17.5694941748408&lt;/D&gt;&lt;D xsi:type="xsd:double"&gt;17.4577741585105&lt;/D&gt;&lt;D xsi:type="xsd:double"&gt;17.5142629759943&lt;/D&gt;&lt;D xsi:type="xsd:double"&gt;17.4701055353205&lt;/D&gt;&lt;D xsi:type="xsd:double"&gt;16.6808139379335&lt;/D&gt;&lt;D xsi:type="xsd:double"&gt;16.9278799854373&lt;/D&gt;&lt;D xsi:type="xsd:double"&gt;17.0159669718827&lt;/D&gt;&lt;D xsi:type="xsd:double"&gt;16.9462329904171&lt;/D&gt;&lt;D xsi:type="xsd:double"&gt;16.1291658011906&lt;/D&gt;&lt;D xsi:type="xsd:double"&gt;16.2966838906097&lt;/D&gt;&lt;D xsi:type="xsd:double"&gt;16.18819342752&lt;/D&gt;&lt;D xsi:type="xsd:double"&gt;16.4452153070474&lt;/D&gt;&lt;D xsi:type="xsd:double"&gt;16.565182572191&lt;/D&gt;&lt;D xsi:type="xsd:double"&gt;16.7261987001481&lt;/D&gt;&lt;D xsi:type="xsd:double"&gt;17.2509404483665&lt;/D&gt;&lt;D xsi:type="xsd:double"&gt;17.5214305052838&lt;/D&gt;&lt;D xsi:type="xsd:double"&gt;17.4009154802444&lt;/D&gt;&lt;D xsi:type="xsd:double"&gt;17.5949663885182&lt;/D&gt;&lt;D xsi:type="xsd:double"&gt;17.916486639189&lt;/D&gt;&lt;D xsi:type="xsd:double"&gt;18.7757207844568&lt;/D&gt;&lt;D xsi:type="xsd:double"&gt;19.0233107786646&lt;/D&gt;&lt;D xsi:type="xsd:double"&gt;19.3371355417081&lt;/D&gt;&lt;D xsi:type="xsd:double"&gt;19.4312807629024&lt;/D&gt;&lt;D xsi:type="xsd:double"&gt;19.2070548104936&lt;/D&gt;&lt;D xsi:type="xsd:double"&gt;19.1845115873076&lt;/D&gt;&lt;D xsi:type="xsd:double"&gt;19.198598690696&lt;/D&gt;&lt;D xsi:type="xsd:double"&gt;19.2019749054996&lt;/D&gt;&lt;D xsi:type="xsd:double"&gt;19.1019208968796&lt;/D&gt;&lt;D xsi:type="xsd:double"&gt;19.1796911624296&lt;/D&gt;&lt;D xsi:type="xsd:double"&gt;19.5510217651472&lt;/D&gt;&lt;D xsi:type="xsd:double"&gt;19.5725144145377&lt;/D&gt;&lt;D xsi:type="xsd:double"&gt;20.0743433847366&lt;/D&gt;&lt;D xsi:type="xsd:double"&gt;20.9981464084675&lt;/D&gt;&lt;D xsi:type="xsd:double"&gt;19.8191828987257&lt;/D&gt;&lt;D xsi:type="xsd:double"&gt;19.7209096511444&lt;/D&gt;&lt;D xsi:type="xsd:double"&gt;19.3137726161765&lt;/D&gt;&lt;D xsi:type="xsd:double"&gt;19.0944783680728&lt;/D&gt;&lt;D xsi:type="xsd:double"&gt;18.9464203281689&lt;/D&gt;&lt;D xsi:type="xsd:double"&gt;18.7507653360432&lt;/D&gt;&lt;D xsi:type="xsd:double"&gt;18.5765711281617&lt;/D&gt;&lt;D xsi:type="xsd:double"&gt;18.6182054680109&lt;/D&gt;&lt;D xsi:type="xsd:double"&gt;17.8149109554598&lt;/D&gt;&lt;D xsi:type="xsd:double"&gt;17.0825793128113&lt;/D&gt;&lt;D xsi:type="xsd:double"&gt;16.2170730943309&lt;/D&gt;&lt;D xsi:type="xsd:double"&gt;15.9653443037577&lt;/D&gt;&lt;D xsi:type="xsd:double"&gt;16.8918581293827&lt;/D&gt;&lt;D xsi:type="xsd:double"&gt;17.1137417073279&lt;/D&gt;&lt;D xsi:type="xsd:double"&gt;17.2510356633696&lt;/D&gt;&lt;D xsi:type="xsd:double"&gt;17.0892071209993&lt;/D&gt;&lt;D xsi:type="xsd:double"&gt;17.215534801208&lt;/D&gt;&lt;D xsi:type="xsd:double"&gt;17.6891546597349&lt;/D&gt;&lt;D xsi:type="xsd:double"&gt;17.1824585104354&lt;/D&gt;&lt;D xsi:type="xsd:double"&gt;17.9046492898608&lt;/D&gt;&lt;D xsi:type="xsd:double"&gt;17.9156120873054&lt;/D&gt;&lt;D xsi:type="xsd:double"&gt;18.7090573308101&lt;/D&gt;&lt;D xsi:type="xsd:double"&gt;19.3381208964062&lt;/D&gt;&lt;D xsi:type="xsd:double"&gt;20.1649666283754&lt;/D&gt;&lt;D xsi:type="xsd:double"&gt;20.5215638560382&lt;/D&gt;&lt;D xsi:type="xsd:double"&gt;17.6446337385543&lt;/D&gt;&lt;D xsi:type="xsd:double"&gt;18.5281345826247&lt;/D&gt;&lt;D xsi:type="xsd:double"&gt;19.5795650913774&lt;/D&gt;&lt;D xsi:type="xsd:double"&gt;20.652926901795&lt;/D&gt;&lt;D xsi:type="xsd:double"&gt;21.9429561234393&lt;/D&gt;&lt;D xsi:type="xsd:double"&gt;22.7727949088&lt;/D&gt;&lt;D xsi:type="xsd:double"&gt;23.3551044919938&lt;/D&gt;&lt;D xsi:type="xsd:double"&gt;24.3644305718766&lt;/D&gt;&lt;D xsi:type="xsd:double"&gt;24.8600215167399&lt;/D&gt;&lt;D xsi:type="xsd:double"&gt;25.762531193547&lt;/D&gt;&lt;D xsi:type="xsd:double"&gt;27.4582889451526&lt;/D&gt;&lt;D xsi:type="xsd:double"&gt;27.4302747263545&lt;/D&gt;&lt;D xsi:type="xsd:double"&gt;26.2151677082477&lt;/D&gt;&lt;D xsi:type="xsd:double"&gt;25.9663266722424&lt;/D&gt;&lt;D xsi:type="xsd:double"&gt;25.304447391429&lt;/D&gt;&lt;D xsi:type="xsd:double"&gt;24.9767188669039&lt;/D&gt;&lt;D xsi:type="xsd:double"&gt;24.7372809759193&lt;/D&gt;&lt;D xsi:type="xsd:double"&gt;24.1138366716552&lt;/D&gt;&lt;D xsi:type="xsd:double"&gt;23.5544587597856&lt;/D&gt;&lt;D xsi:type="xsd:double"&gt;23.1095263078168&lt;/D&gt;&lt;D xsi:type="xsd:double"&gt;23.4119556767161&lt;/D&gt;&lt;D xsi:type="xsd:double"&gt;22.7561966025215&lt;/D&gt;&lt;D xsi:type="xsd:double"&gt;22.6077894742329&lt;/D&gt;&lt;D xsi:type="xsd:double"&gt;20.9503127293915&lt;/D&gt;&lt;D xsi:type="xsd:double"&gt;20.4524211225739&lt;/D&gt;&lt;D xsi:type="xsd:double"&gt;20.4553189088115&lt;/D&gt;&lt;D xsi:type="xsd:double"&gt;19.7265825717626&lt;/D&gt;&lt;D xsi:type="xsd:double"&gt;18.8183887916452&lt;/D&gt;&lt;D xsi:type="xsd:double"&gt;18.5942820783623&lt;/D&gt;&lt;D xsi:type="xsd:double"&gt;19.7058387573659&lt;/D&gt;&lt;D xsi:type="xsd:double"&gt;18.5001258934876&lt;/D&gt;&lt;D xsi:type="xsd:double"&gt;17.1314232273275&lt;/D&gt;&lt;D xsi:type="xsd:double"&gt;18.2973919353326&lt;/D&gt;&lt;D xsi:type="xsd:double"&gt;18.2189329030387&lt;/D&gt;&lt;D xsi:type="xsd:double"&gt;18.1304319054134&lt;/D&gt;&lt;D xsi:type="xsd:double"&gt;18.7852997155424&lt;/D&gt;&lt;D xsi:type="xsd:double"&gt;17.9984285176483&lt;/D&gt;&lt;D xsi:type="xsd:double"&gt;18.2909087299347&lt;/D&gt;&lt;D xsi:type="xsd:double"&gt;18.2951491597439&lt;/D&gt;&lt;D xsi:type="xsd:double"&gt;18.8379197744397&lt;/D&gt;&lt;D xsi:type="xsd:double"&gt;19.3815665041577&lt;/D&gt;&lt;D xsi:type="xsd:double"&gt;19.4508684141363&lt;/D&gt;&lt;D xsi:type="xsd:double"&gt;19.6364885729944&lt;/D&gt;&lt;D xsi:type="xsd:double"&gt;19.2233317392763&lt;/D&gt;&lt;D xsi:type="xsd:double"&gt;20.077671831427&lt;/D&gt;&lt;D xsi:type="xsd:double"&gt;21.2434436423029&lt;/D&gt;&lt;D xsi:type="xsd:double"&gt;21.8194767187395&lt;/D&gt;&lt;D xsi:type="xsd:double"&gt;22.4440989953171&lt;/D&gt;&lt;D xsi:type="xsd:double"&gt;22.7301846321427&lt;/D&gt;&lt;/FQL&gt;&lt;FQL&gt;&lt;Q&gt;NI-FDS^FG_PRICE_CHANGE(0,-1AY)&lt;/Q&gt;&lt;R&gt;1&lt;/R&gt;&lt;C&gt;1&lt;/C&gt;&lt;D xsi:type="xsd:double"&gt;-23.6508277789723&lt;/D&gt;&lt;/FQL&gt;&lt;FQL&gt;&lt;Q&gt;BRENT-FDS^FG_PRICE_CHANGE(0,-1AY)&lt;/Q&gt;&lt;R&gt;1&lt;/R&gt;&lt;C&gt;1&lt;/C&gt;&lt;D xsi:type="xsd:double"&gt;8.66978863435008&lt;/D&gt;&lt;/FQL&gt;&lt;FQL&gt;&lt;Q&gt;SPY^FG_PRICE_MAVG(0,,,,60)&lt;/Q&gt;&lt;R&gt;1&lt;/R&gt;&lt;C&gt;1&lt;/C&gt;&lt;D xsi:type="xsd:double"&gt;490.79382&lt;/D&gt;&lt;/FQL&gt;&lt;FQL&gt;&lt;Q&gt;EWJ^FMA_COS_DOWN("EPS","1M",+1,0,,,"PORTAGG","MEANR")&lt;/Q&gt;&lt;R&gt;1&lt;/R&gt;&lt;C&gt;1&lt;/C&gt;&lt;D xsi:type="xsd:double"&gt;91&lt;/D&gt;&lt;/FQL&gt;&lt;FQL&gt;&lt;Q&gt;REFJPTON-FDS^PROPER_NAME(0,,,"SECURITY","NAME")&lt;/Q&gt;&lt;R&gt;1&lt;/R&gt;&lt;C&gt;1&lt;/C&gt;&lt;D xsi:type="xsd:string"&gt;Japan Policy Rate&lt;/D&gt;&lt;/FQL&gt;&lt;FQL&gt;&lt;Q&gt;TRYUS10Y-FDS^PCTCHG(FG_YIELD(0,,,,"YTM"),FG_YIELD(-1AM,,,,"YTM"))&lt;/Q&gt;&lt;R&gt;1&lt;/R&gt;&lt;C&gt;1&lt;/C&gt;&lt;D xsi:type="xsd:double"&gt;0.9115629&lt;/D&gt;&lt;/FQL&gt;&lt;FQL&gt;&lt;Q&gt;EWU^JULIAN(FMA_DIV_YLD(NTMA,NOW,NOW,M,"PORTAGG","MEANR").DATES)&lt;/Q&gt;&lt;R&gt;1&lt;/R&gt;&lt;C&gt;1&lt;/C&gt;&lt;D xsi:type="xsd:long"&gt;45351&lt;/D&gt;&lt;/FQL&gt;&lt;FQL&gt;&lt;Q&gt;VGK^FG_TOTAL_RETURNC(0,-1AM)&lt;/Q&gt;&lt;R&gt;1&lt;/R&gt;&lt;C&gt;1&lt;/C&gt;&lt;D xsi:type="xsd:double"&gt;5.6342483&lt;/D&gt;&lt;/FQL&gt;&lt;FQL&gt;&lt;Q&gt;GLD^P_PRICE(0)/P_PRICE_HIGH_PR(0,,,USD,,,"PRICE","INTRA","52W")&lt;/Q&gt;&lt;R&gt;1&lt;/R&gt;&lt;C&gt;1&lt;/C&gt;&lt;D xsi:type="xsd:double"&gt;0.9854894&lt;/D&gt;&lt;/FQL&gt;&lt;FQL&gt;&lt;Q&gt;CPALM-FDS^FG_PRICE(0)&lt;/Q&gt;&lt;R&gt;1&lt;/R&gt;&lt;C&gt;1&lt;/C&gt;&lt;D xsi:type="xsd:double"&gt;4330&lt;/D&gt;&lt;/FQL&gt;&lt;FQL&gt;&lt;Q&gt;EWQ^SIZE(FG_CONSTITUENTS)&lt;/Q&gt;&lt;R&gt;1&lt;/R&gt;&lt;C&gt;1&lt;/C&gt;&lt;D xsi:type="xsd:long"&gt;63&lt;/D&gt;&lt;/FQL&gt;&lt;FQL&gt;&lt;Q&gt;EWU^FMA_EPS(NTMA,-20AY,0,CY,,"PORTAGG","MEANR")&lt;/Q&gt;&lt;R&gt;20&lt;/R&gt;&lt;C&gt;1&lt;/C&gt;&lt;D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xsi:type="xsd:double"&gt;3.00523278574567&lt;/D&gt;&lt;/FQL&gt;&lt;FQL&gt;&lt;Q&gt;W-FDS^FG_PRICE_CHANGE(0,-1AM)&lt;/Q&gt;&lt;R&gt;1&lt;/R&gt;&lt;C&gt;1&lt;/C&gt;&lt;D xsi:type="xsd:double"&gt;-11.2724167378309&lt;/D&gt;&lt;/FQL&gt;&lt;FQL&gt;&lt;Q&gt;USDITL^FG_PRICE_CHANGE(0,-6AM)&lt;/Q&gt;&lt;R&gt;1&lt;/R&gt;&lt;C&gt;1&lt;/C&gt;&lt;D xsi:type="xsd:double"&gt;-2.0435393&lt;/D&gt;&lt;/FQL&gt;&lt;FQL&gt;&lt;Q&gt;EWJ^FMA_PE(LTMA,-10AY,0,AM,"PORTAGG","MEANR")&lt;/Q&gt;&lt;R&gt;121&lt;/R&gt;&lt;C&gt;1&lt;/C&gt;&lt;D xsi:type="xsd:double"&gt;15.5951399833229&lt;/D&gt;&lt;D xsi:type="xsd:double"&gt;15.2518985474815&lt;/D&gt;&lt;D xsi:type="xsd:double"&gt;15.1991126199706&lt;/D&gt;&lt;D xsi:type="xsd:double"&gt;15.3231129784518&lt;/D&gt;&lt;D xsi:type="xsd:double"&gt;15.241291081434&lt;/D&gt;&lt;D xsi:type="xsd:double"&gt;15.0739925497244&lt;/D&gt;&lt;D xsi:type="xsd:double"&gt;15.2585615979241&lt;/D&gt;&lt;D xsi:type="xsd:double"&gt;14.3888152807069&lt;/D&gt;&lt;D xsi:type="xsd:double"&gt;15.9825767546697&lt;/D&gt;&lt;D xsi:type="xsd:double"&gt;15.6711940372779&lt;/D&gt;&lt;D xsi:type="xsd:double"&gt;15.2776000149591&lt;/D&gt;&lt;D xsi:type="xsd:double"&gt;16.0616306388166&lt;/D&gt;&lt;D xsi:type="xsd:double"&gt;16.932912698453&lt;/D&gt;&lt;D xsi:type="xsd:double"&gt;16.9066164830026&lt;/D&gt;&lt;D xsi:type="xsd:double"&gt;16.8992065017699&lt;/D&gt;&lt;D xsi:type="xsd:double"&gt;17.0182069184101&lt;/D&gt;&lt;D xsi:type="xsd:double"&gt;16.7568018273441&lt;/D&gt;&lt;D xsi:type="xsd:double"&gt;16.7898805113723&lt;/D&gt;&lt;D xsi:type="xsd:double"&gt;15.302639505151&lt;/D&gt;&lt;D xsi:type="xsd:double"&gt;15.1958923925933&lt;/D&gt;&lt;D xsi:type="xsd:double"&gt;16.1374401491894&lt;/D&gt;&lt;D xsi:type="xsd:double"&gt;15.4785865640691&lt;/D&gt;&lt;D xsi:type="xsd:double"&gt;14.3607143432812&lt;/D&gt;&lt;D xsi:type="xsd:double"&gt;12.4005548182792&lt;/D&gt;&lt;D xsi:type="xsd:double"&gt;13.9311921541875&lt;/D&gt;&lt;D xsi:type="xsd:double"&gt;13.8959604515515&lt;/D&gt;&lt;D xsi:type="xsd:double"&gt;13.8150023298499&lt;/D&gt;&lt;D xsi:type="xsd:double"&gt;13.7538327968348&lt;/D&gt;&lt;D xsi:type="xsd:double"&gt;14.0979069299582&lt;/D&gt;&lt;D xsi:type="xsd:double"&gt;14.1438707735123&lt;/D&gt;&lt;D xsi:type="xsd:double"&gt;14.1702652845379&lt;/D&gt;&lt;D xsi:type="xsd:double"&gt;14.3625418902155&lt;/D&gt;&lt;D xsi:type="xsd:double"&gt;14.9267222196842&lt;/D&gt;&lt;D xsi:type="xsd:double"&gt;16.534637388168&lt;/D&gt;&lt;D xsi:type="xsd:double"&gt;16.6314603625066&lt;/D&gt;&lt;D xsi:type="xsd:double"&gt;16.251942360436&lt;/D&gt;&lt;D xsi:type="xsd:double"&gt;15.9340902705558&lt;/D&gt;&lt;D xsi:type="xsd:double"&gt;15.5214720725998&lt;/D&gt;&lt;D xsi:type="xsd:double"&gt;15.6974544801761&lt;/D&gt;&lt;D xsi:type="xsd:double"&gt;15.6109600081893&lt;/D&gt;&lt;D xsi:type="xsd:double"&gt;15.5096257915626&lt;/D&gt;&lt;D xsi:type="xsd:double"&gt;15.0444711116175&lt;/D&gt;&lt;D xsi:type="xsd:double"&gt;14.8013505612557&lt;/D&gt;&lt;D xsi:type="xsd:double"&gt;15.1285208372042&lt;/D&gt;&lt;D xsi:type="xsd:double"&gt;15.6929010708714&lt;/D&gt;&lt;D xsi:type="xsd:double"&gt;16.1803850680878&lt;/D&gt;&lt;D xsi:type="xsd:double"&gt;16.8554473808461&lt;/D&gt;&lt;D xsi:type="xsd:double"&gt;14.8560619513755&lt;/D&gt;&lt;D xsi:type="xsd:double"&gt;14.3993903787279&lt;/D&gt;&lt;D xsi:type="xsd:double"&gt;14.2381202740088&lt;/D&gt;&lt;D xsi:type="xsd:double"&gt;14.337572676697&lt;/D&gt;&lt;D xsi:type="xsd:double"&gt;14.1445026927713&lt;/D&gt;&lt;D xsi:type="xsd:double"&gt;13.8786754005506&lt;/D&gt;&lt;D xsi:type="xsd:double"&gt;13.6251900595783&lt;/D&gt;&lt;D xsi:type="xsd:double"&gt;13.5555643097804&lt;/D&gt;&lt;D xsi:type="xsd:double"&gt;13.2519175787343&lt;/D&gt;&lt;D xsi:type="xsd:double"&gt;12.7281738121472&lt;/D&gt;&lt;D xsi:type="xsd:double"&gt;12.2795198837491&lt;/D&gt;&lt;D xsi:type="xsd:double"&gt;11.7912307340953&lt;/D&gt;&lt;D xsi:type="xsd:double"&gt;12.5030719427999&lt;/D&gt;&lt;D xsi:type="xsd:double"&gt;12.6810740270971&lt;/D&gt;&lt;D xsi:type="xsd:double"&gt;12.7270649391396&lt;/D&gt;&lt;D xsi:type="xsd:double"&gt;12.5854728943222&lt;/D&gt;&lt;D xsi:type="xsd:double"&gt;12.7774068883139&lt;/D&gt;&lt;D xsi:type="xsd:double"&gt;12.9844540862258&lt;/D&gt;&lt;D xsi:type="xsd:double"&gt;12.7155132518844&lt;/D&gt;&lt;D xsi:type="xsd:double"&gt;13.5142277015692&lt;/D&gt;&lt;D xsi:type="xsd:double"&gt;13.5114797168294&lt;/D&gt;&lt;D xsi:type="xsd:double"&gt;14.3685754104084&lt;/D&gt;&lt;D xsi:type="xsd:double"&gt;15.3019189856006&lt;/D&gt;&lt;D xsi:type="xsd:double"&gt;15.5309955558658&lt;/D&gt;&lt;D xsi:type="xsd:double"&gt;15.3906451381308&lt;/D&gt;&lt;D xsi:type="xsd:double"&gt;13.5416688661305&lt;/D&gt;&lt;D xsi:type="xsd:double"&gt;13.9917505609627&lt;/D&gt;&lt;D xsi:type="xsd:double"&gt;14.4519061291426&lt;/D&gt;&lt;D xsi:type="xsd:double"&gt;16.3134715095968&lt;/D&gt;&lt;D xsi:type="xsd:double"&gt;17.3856240559851&lt;/D&gt;&lt;D xsi:type="xsd:double"&gt;18.1584824956244&lt;/D&gt;&lt;D xsi:type="xsd:double"&gt;19.8235705990185&lt;/D&gt;&lt;D xsi:type="xsd:double"&gt;20.5751106596834&lt;/D&gt;&lt;D xsi:type="xsd:double"&gt;21.7155726581256&lt;/D&gt;&lt;D xsi:type="xsd:double"&gt;22.8576178922856&lt;/D&gt;&lt;D xsi:type="xsd:double"&gt;24.152726344401&lt;/D&gt;&lt;D xsi:type="xsd:double"&gt;23.7008484772791&lt;/D&gt;&lt;D xsi:type="xsd:double"&gt;21.5926033192353&lt;/D&gt;&lt;D xsi:type="xsd:double"&gt;21.1224552561858&lt;/D&gt;&lt;D xsi:type="xsd:double"&gt;20.3508297102713&lt;/D&gt;&lt;D xsi:type="xsd:double"&gt;20.105436994714&lt;/D&gt;&lt;D xsi:type="xsd:double"&gt;19.6222460307335&lt;/D&gt;&lt;D xsi:type="xsd:double"&gt;18.8983756824237&lt;/D&gt;&lt;D xsi:type="xsd:double"&gt;18.9227658226905&lt;/D&gt;&lt;D xsi:type="xsd:double"&gt;17.6528732266311&lt;/D&gt;&lt;D xsi:type="xsd:double"&gt;17.5921176297997&lt;/D&gt;&lt;D xsi:type="xsd:double"&gt;16.2694048011373&lt;/D&gt;&lt;D xsi:type="xsd:double"&gt;15.8660230156558&lt;/D&gt;&lt;D xsi:type="xsd:double"&gt;15.1173232599083&lt;/D&gt;&lt;D xsi:type="xsd:double"&gt;14.5057095679436&lt;/D&gt;&lt;D xsi:type="xsd:double"&gt;14.480912234076&lt;/D&gt;&lt;D xsi:type="xsd:double"&gt;14.2150291888616&lt;/D&gt;&lt;D xsi:type="xsd:double"&gt;13.9810815853462&lt;/D&gt;&lt;D xsi:type="xsd:double"&gt;13.8354400977848&lt;/D&gt;&lt;D xsi:type="xsd:double"&gt;14.0392787703173&lt;/D&gt;&lt;D xsi:type="xsd:double"&gt;13.6433911592122&lt;/D&gt;&lt;D xsi:type="xsd:double"&gt;13.1761378075134&lt;/D&gt;&lt;D xsi:type="xsd:double"&gt;13.437188870956&lt;/D&gt;&lt;D xsi:type="xsd:double"&gt;13.4751086026631&lt;/D&gt;&lt;D xsi:type="xsd:double"&gt;12.8891006256096&lt;/D&gt;&lt;D xsi:type="xsd:double"&gt;13.5310837354772&lt;/D&gt;&lt;D xsi:type="xsd:double"&gt;13.5861376007305&lt;/D&gt;&lt;D xsi:type="xsd:double"&gt;13.6875541571783&lt;/D&gt;&lt;D xsi:type="xsd:double"&gt;13.8766420500067&lt;/D&gt;&lt;D xsi:type="xsd:double"&gt;14.5429574994342&lt;/D&gt;&lt;D xsi:type="xsd:double"&gt;14.4504571487018&lt;/D&gt;&lt;D xsi:type="xsd:double"&gt;14.5668381418397&lt;/D&gt;&lt;D xsi:type="xsd:double"&gt;15.168996651637&lt;/D&gt;&lt;D xsi:type="xsd:double"&gt;14.7955171303172&lt;/D&gt;&lt;D xsi:type="xsd:double"&gt;15.0673201828906&lt;/D&gt;&lt;D xsi:type="xsd:double"&gt;14.9253606857095&lt;/D&gt;&lt;D xsi:type="xsd:double"&gt;16.2127511908202&lt;/D&gt;&lt;D xsi:type="xsd:double"&gt;16.5027036679186&lt;/D&gt;&lt;D xsi:type="xsd:double"&gt;16.9399777480746&lt;/D&gt;&lt;/FQL&gt;&lt;FQL&gt;&lt;Q&gt;EWJ^P_PRICE(0)/P_PRICE_HIGH_PR(0,,,USD,,,"PRICE","INTRA","52W")&lt;/Q&gt;&lt;R&gt;1&lt;/R&gt;&lt;C&gt;1&lt;/C&gt;&lt;D xsi:type="xsd:double"&gt;0.9624416&lt;/D&gt;&lt;/FQL&gt;&lt;FQL&gt;&lt;Q&gt;EWJ^FMA_PCT_ABOVE_MAVG(200,0,,,,"PORTAGG")&lt;/Q&gt;&lt;R&gt;1&lt;/R&gt;&lt;C&gt;1&lt;/C&gt;&lt;D xsi:type="xsd:double"&gt;66.6666666666667&lt;/D&gt;&lt;/FQL&gt;&lt;FQL&gt;&lt;Q&gt;QQQ^FMA_PCT_ABOVE_MAVG(200,0,,,,"PORTAGG")&lt;/Q&gt;&lt;R&gt;1&lt;/R&gt;&lt;C&gt;1&lt;/C&gt;&lt;D xsi:type="xsd:double"&gt;74.5098039215686&lt;/D&gt;&lt;/FQL&gt;&lt;FQL&gt;&lt;Q&gt;EWU^FMA_COS_DOWN("EPS","1M",+1,0,,,"PORTAGG","MEANR")&lt;/Q&gt;&lt;R&gt;1&lt;/R&gt;&lt;C&gt;1&lt;/C&gt;&lt;D xsi:type="xsd:double"&gt;42&lt;/D&gt;&lt;/FQL&gt;&lt;FQL&gt;&lt;Q&gt;EWJ^FG_ROE(0)&lt;/Q&gt;&lt;R&gt;1&lt;/R&gt;&lt;C&gt;1&lt;/C&gt;&lt;D xsi:type="xsd:double"&gt;9.61210955405445&lt;/D&gt;&lt;/FQL&gt;&lt;FQL&gt;&lt;Q&gt;TRYUS10Y-FDS^FG_YIELD(0,,,,"YTM")&lt;/Q&gt;&lt;R&gt;1&lt;/R&gt;&lt;C&gt;1&lt;/C&gt;&lt;D xsi:type="xsd:double"&gt;4.2952&lt;/D&gt;&lt;/FQL&gt;&lt;FQL&gt;&lt;Q&gt;CC_FR^IMF_IFS_RCPI_Q(0)&lt;/Q&gt;&lt;R&gt;1&lt;/R&gt;&lt;C&gt;1&lt;/C&gt;&lt;D xsi:type="xsd:double"&gt;3.7187452&lt;/D&gt;&lt;/FQL&gt;&lt;FQL&gt;&lt;Q&gt;EWI^FG_FCF_YIELD_NTM(0)&lt;/Q&gt;&lt;R&gt;1&lt;/R&gt;&lt;C&gt;1&lt;/C&gt;&lt;D xsi:type="xsd:double"&gt;6.3839386089715&lt;/D&gt;&lt;/FQL&gt;&lt;FQL&gt;&lt;Q&gt;EWQ^FG_FCF_YIELD_NTM(0)&lt;/Q&gt;&lt;R&gt;1&lt;/R&gt;&lt;C&gt;1&lt;/C&gt;&lt;D xsi:type="xsd:double"&gt;5.49936707270707&lt;/D&gt;&lt;/FQL&gt;&lt;FQL&gt;&lt;Q&gt;EWG^JULIAN(FMA_DIV_YLD(NTMA,NOW,NOW,M,"PORTAGG","MEANR").DATES)&lt;/Q&gt;&lt;R&gt;1&lt;/R&gt;&lt;C&gt;1&lt;/C&gt;&lt;D xsi:type="xsd:long"&gt;45351&lt;/D&gt;&lt;/FQL&gt;&lt;FQL&gt;&lt;Q&gt;ENZL^FMA_PE(LTM,0,,,"PORTAGG","MEANR")&lt;/Q&gt;&lt;R&gt;1&lt;/R&gt;&lt;C&gt;1&lt;/C&gt;&lt;D xsi:type="xsd:double"&gt;29.6305548570072&lt;/D&gt;&lt;/FQL&gt;&lt;FQL&gt;&lt;Q&gt;EWQ^FMA_DIV_YLD(NTMA,NOW,NOW,M,"PORTAGG","MEANR")&lt;/Q&gt;&lt;R&gt;1&lt;/R&gt;&lt;C&gt;1&lt;/C&gt;&lt;D xsi:type="xsd:double"&gt;3.13188282593286&lt;/D&gt;&lt;/FQL&gt;&lt;FQL&gt;&lt;Q&gt;EWC^FMA_EVAL_EBIT(LTMA,NOW,NOW,M,"PORTAGG","MEANR")&lt;/Q&gt;&lt;R&gt;1&lt;/R&gt;&lt;C&gt;1&lt;/C&gt;&lt;D xsi:type="xsd:double"&gt;16.3648080905648&lt;/D&gt;&lt;/FQL&gt;&lt;FQL&gt;&lt;Q&gt;GLD^FG_TOTAL_RETURNC(0,-3AM)&lt;/Q&gt;&lt;R&gt;1&lt;/R&gt;&lt;C&gt;1&lt;/C&gt;&lt;D xsi:type="xsd:double"&gt;6.156945&lt;/D&gt;&lt;/FQL&gt;&lt;FQL&gt;&lt;Q&gt;TRYCH10Y-FDS^PCTCHG(FG_YIELD(0,,,,"YTM"),FG_YIELD(-3AM,,,,"YTM"))&lt;/Q&gt;&lt;R&gt;1&lt;/R&gt;&lt;C&gt;1&lt;/C&gt;&lt;D xsi:type="xsd:double"&gt;14.372159&lt;/D&gt;&lt;/FQL&gt;&lt;FQL&gt;&lt;Q&gt;EWA^FMA_COS_DOWN("EPS","1M",+1,0,,,"PORTAGG","MEANR")&lt;/Q&gt;&lt;R&gt;1&lt;/R&gt;&lt;C&gt;1&lt;/C&gt;&lt;D xsi:type="xsd:double"&gt;21&lt;/D&gt;&lt;/FQL&gt;&lt;FQL&gt;&lt;Q&gt;EWD^JULIAN(FMA_DIV_YLD(NTMA,NOW,NOW,M,"PORTAGG","MEANR").DATES)&lt;/Q&gt;&lt;R&gt;1&lt;/R&gt;&lt;C&gt;1&lt;/C&gt;&lt;D xsi:type="xsd:long"&gt;45351&lt;/D&gt;&lt;/FQL&gt;&lt;FQL&gt;&lt;Q&gt;EWJ^FMA_EVAL_EBITDA(NTMA,0,,,"PORTAGG","MEANR")&lt;/Q&gt;&lt;R&gt;1&lt;/R&gt;&lt;C&gt;1&lt;/C&gt;&lt;D xsi:type="xsd:double"&gt;10.5600700076735&lt;/D&gt;&lt;/FQL&gt;&lt;FQL&gt;&lt;Q&gt;USDNZD^STD(FG_PRICE_CHANGE(0,-1AY,AM))&lt;/Q&gt;&lt;R&gt;1&lt;/R&gt;&lt;C&gt;1&lt;/C&gt;&lt;D xsi:type="xsd:double"&gt;2.57162092746816&lt;/D&gt;&lt;/FQL&gt;&lt;FQL&gt;&lt;Q&gt;TIOS-FDS^FG_PRICE(0)&lt;/Q&gt;&lt;R&gt;1&lt;/R&gt;&lt;C&gt;1&lt;/C&gt;&lt;D xsi:type="xsd:double"&gt;110.94&lt;/D&gt;&lt;/FQL&gt;&lt;FQL&gt;&lt;Q&gt;EWA^FG_TOTAL_RETURNC(-10AY,0,AM)&lt;/Q&gt;&lt;R&gt;121&lt;/R&gt;&lt;C&gt;1&lt;/C&gt;&lt;D xsi:type="xsd:double"&gt;-0.64335465&lt;/D&gt;&lt;D xsi:type="xsd:double"&gt;6.191826&lt;/D&gt;&lt;D xsi:type="xsd:double"&gt;1.8292665&lt;/D&gt;&lt;D xsi:type="xsd:double"&gt;-0.97305775&lt;/D&gt;&lt;D xsi:type="xsd:double"&gt;2.31148&lt;/D&gt;&lt;D xsi:type="xsd:double"&gt;-0.14998317&lt;/D&gt;&lt;D xsi:type="xsd:double"&gt;-2.7037144&lt;/D&gt;&lt;D xsi:type="xsd:double"&gt;-9.26283&lt;/D&gt;&lt;D xsi:type="xsd:double"&gt;6.2526584&lt;/D&gt;&lt;D xsi:type="xsd:double"&gt;-11.008805&lt;/D&gt;&lt;D xsi:type="xsd:double"&gt;1.9025207&lt;/D&gt;&lt;D xsi:type="xsd:double"&gt;5.8796644&lt;/D&gt;&lt;D xsi:type="xsd:double"&gt;-2.4537206&lt;/D&gt;&lt;D xsi:type="xsd:double"&gt;2.7361035&lt;/D&gt;&lt;D xsi:type="xsd:double"&gt;1.8470764&lt;/D&gt;&lt;D xsi:type="xsd:double"&gt;-7.59173&lt;/D&gt;&lt;D xsi:type="xsd:double"&gt;-2.0643473&lt;/D&gt;&lt;D xsi:type="xsd:double"&gt;-5.2028656&lt;/D&gt;&lt;D xsi:type="xsd:double"&gt;-7.1500483&lt;/D&gt;&lt;D xsi:type="xsd:double"&gt;4.446852&lt;/D&gt;&lt;D xsi:type="xsd:double"&gt;-5.9709253&lt;/D&gt;&lt;D xsi:type="xsd:double"&gt;-0.055217743&lt;/D&gt;&lt;D xsi:type="xsd:double"&gt;-2.4889946&lt;/D&gt;&lt;D xsi:type="xsd:double"&gt;-1.3395429&lt;/D&gt;&lt;D xsi:type="xsd:double"&gt;15.171194&lt;/D&gt;&lt;D xsi:type="xsd:double"&gt;0.9226084&lt;/D&gt;&lt;D xsi:type="xsd:double"&gt;-1.4728308&lt;/D&gt;&lt;D xsi:type="xsd:double"&gt;-1.649481&lt;/D&gt;&lt;D xsi:type="xsd:double"&gt;8.699942&lt;/D&gt;&lt;D xsi:type="xsd:double"&gt;2.0048857&lt;/D&gt;&lt;D xsi:type="xsd:double"&gt;-6.8072853&lt;/D&gt;&lt;D xsi:type="xsd:double"&gt;6.4814806&lt;/D&gt;&lt;D xsi:type="xsd:double"&gt;-1.0628104&lt;/D&gt;&lt;D xsi:type="xsd:double"&gt;2.1484375&lt;/D&gt;&lt;D xsi:type="xsd:double"&gt;5.1769376&lt;/D&gt;&lt;D xsi:type="xsd:double"&gt;2.5664926&lt;/D&gt;&lt;D xsi:type="xsd:double"&gt;-0.045496225&lt;/D&gt;&lt;D xsi:type="xsd:double"&gt;2.0937681&lt;/D&gt;&lt;D xsi:type="xsd:double"&gt;-3.0316532&lt;/D&gt;&lt;D xsi:type="xsd:double"&gt;2.2068977&lt;/D&gt;&lt;D xsi:type="xsd:double"&gt;2.336657&lt;/D&gt;&lt;D xsi:type="xsd:double"&gt;0.35939217&lt;/D&gt;&lt;D xsi:type="xsd:double"&gt;2.8200507&lt;/D&gt;&lt;D xsi:type="xsd:double"&gt;-0.043535233&lt;/D&gt;&lt;D xsi:type="xsd:double"&gt;-0.9146273&lt;/D&gt;&lt;D xsi:type="xsd:double"&gt;1.5824199&lt;/D&gt;&lt;D xsi:type="xsd:double"&gt;4.945159&lt;/D&gt;&lt;D xsi:type="xsd:double"&gt;-2.8305888&lt;/D&gt;&lt;D xsi:type="xsd:double"&gt;0.43478012&lt;/D&gt;&lt;D xsi:type="xsd:double"&gt;-3.116</t>
        </r>
      </text>
    </comment>
    <comment ref="A10" authorId="0" shapeId="0" xr:uid="{6DC3D9AE-1FC6-4097-BE96-92F1AC19DFB7}">
      <text>
        <r>
          <rPr>
            <b/>
            <sz val="9"/>
            <color indexed="81"/>
            <rFont val="Tahoma"/>
            <charset val="1"/>
          </rPr>
          <t>8878&lt;/D&gt;&lt;D xsi:type="xsd:double"&gt;2.3235083&lt;/D&gt;&lt;D xsi:type="xsd:double"&gt;-1.8777311&lt;/D&gt;&lt;D xsi:type="xsd:double"&gt;3.5894036&lt;/D&gt;&lt;D xsi:type="xsd:double"&gt;-1.7082751&lt;/D&gt;&lt;D xsi:type="xsd:double"&gt;-2.584672&lt;/D&gt;&lt;D xsi:type="xsd:double"&gt;-5.8097005&lt;/D&gt;&lt;D xsi:type="xsd:double"&gt;0.97135305&lt;/D&gt;&lt;D xsi:type="xsd:double"&gt;-3.6075056&lt;/D&gt;&lt;D xsi:type="xsd:double"&gt;4.325819&lt;/D&gt;&lt;D xsi:type="xsd:double"&gt;3.0799866&lt;/D&gt;&lt;D xsi:type="xsd:double"&gt;2.9397607&lt;/D&gt;&lt;D xsi:type="xsd:double"&gt;2.3408294&lt;/D&gt;&lt;D xsi:type="xsd:double"&gt;-2.7904868&lt;/D&gt;&lt;D xsi:type="xsd:double"&gt;4.5176387&lt;/D&gt;&lt;D xsi:type="xsd:double"&gt;3.88062&lt;/D&gt;&lt;D xsi:type="xsd:double"&gt;-6.7226887&lt;/D&gt;&lt;D xsi:type="xsd:double"&gt;6.9701195&lt;/D&gt;&lt;D xsi:type="xsd:double"&gt;-2.6595771&lt;/D&gt;&lt;D xsi:type="xsd:double"&gt;2.959931&lt;/D&gt;&lt;D xsi:type="xsd:double"&gt;1.1499405&lt;/D&gt;&lt;D xsi:type="xsd:double"&gt;3.3372164&lt;/D&gt;&lt;D xsi:type="xsd:double"&gt;-0.5179167&lt;/D&gt;&lt;D xsi:type="xsd:double"&gt;-25.119305&lt;/D&gt;&lt;D xsi:type="xsd:double"&gt;-0.6952524&lt;/D&gt;&lt;D xsi:type="xsd:double"&gt;-3.6172627999999998&lt;/D&gt;&lt;D xsi:type="xsd:double"&gt;16.222763&lt;/D&gt;&lt;D xsi:type="xsd:double"&gt;3.808105&lt;/D&gt;&lt;D xsi:type="xsd:double"&gt;4.7352314&lt;/D&gt;&lt;D xsi:type="xsd:double"&gt;-1.166749&lt;/D&gt;&lt;D xsi:type="xsd:double"&gt;2.213478&lt;/D&gt;&lt;D xsi:type="xsd:double"&gt;6.785369&lt;/D&gt;&lt;D xsi:type="xsd:double"&gt;7.3476434&lt;/D&gt;&lt;D xsi:type="xsd:double"&gt;4.8687577&lt;/D&gt;&lt;D xsi:type="xsd:double"&gt;1.4533639&lt;/D&gt;&lt;D xsi:type="xsd:double"&gt;0.03979206&lt;/D&gt;&lt;D xsi:type="xsd:double"&gt;2.4264097&lt;/D&gt;&lt;D xsi:type="xsd:double"&gt;2.9126167&lt;/D&gt;&lt;D xsi:type="xsd:double"&gt;3.4981847&lt;/D&gt;&lt;D xsi:type="xsd:double"&gt;-3.7707925&lt;/D&gt;&lt;D xsi:type="xsd:double"&gt;2.2282004&lt;/D&gt;&lt;D xsi:type="xsd:double"&gt;-3.2318711&lt;/D&gt;&lt;D xsi:type="xsd:double"&gt;1.1262178&lt;/D&gt;&lt;D xsi:type="xsd:double"&gt;0.11520386&lt;/D&gt;&lt;D xsi:type="xsd:double"&gt;-4.6268225&lt;/D&gt;&lt;D xsi:type="xsd:double"&gt;2.54488&lt;/D&gt;&lt;D xsi:type="xsd:double"&gt;-3.6178887&lt;/D&gt;&lt;D xsi:type="xsd:double"&gt;1.5605211&lt;/D&gt;&lt;D xsi:type="xsd:double"&gt;9.593021&lt;/D&gt;&lt;D xsi:type="xsd:double"&gt;-10.458506&lt;/D&gt;&lt;D xsi:type="xsd:double"&gt;-7.210326&lt;/D&gt;&lt;D xsi:type="xsd:double"&gt;-2.7306974&lt;/D&gt;&lt;D xsi:type="xsd:double"&gt;12.536299&lt;/D&gt;&lt;D xsi:type="xsd:double"&gt;-7.1827946&lt;/D&gt;&lt;D xsi:type="xsd:double"&gt;-9.267843&lt;/D&gt;&lt;D xsi:type="xsd:double"&gt;15.015327&lt;/D&gt;&lt;D xsi:type="xsd:double"&gt;4.2142153&lt;/D&gt;&lt;D xsi:type="xsd:double"&gt;4.210067&lt;/D&gt;&lt;D xsi:type="xsd:double"&gt;1.7492771&lt;/D&gt;&lt;D xsi:type="xsd:double"&gt;-8.227592&lt;/D&gt;&lt;D xsi:type="xsd:double"&gt;4.6387076&lt;/D&gt;&lt;D xsi:type="xsd:double"&gt;-2.4296641&lt;/D&gt;&lt;D xsi:type="xsd:double"&gt;1.5340686&lt;/D&gt;&lt;D xsi:type="xsd:double"&gt;2.1481752&lt;/D&gt;&lt;D xsi:type="xsd:double"&gt;-4.9785376&lt;/D&gt;&lt;D xsi:type="xsd:double"&gt;0.85817575&lt;/D&gt;&lt;D xsi:type="xsd:double"&gt;-5.239588&lt;/D&gt;&lt;D xsi:type="xsd:double"&gt;4.867673&lt;/D&gt;&lt;D xsi:type="xsd:double"&gt;8.111763&lt;/D&gt;&lt;D xsi:type="xsd:double"&gt;0.8691311&lt;/D&gt;&lt;D xsi:type="xsd:double"&gt;-1.4339864&lt;/D&gt;&lt;D xsi:type="xsd:double"&gt;3.2092452&lt;/D&gt;&lt;/FQL&gt;&lt;FQL&gt;&lt;Q&gt;USDEUR^FG_COMPANY_NAME&lt;/Q&gt;&lt;R&gt;1&lt;/R&gt;&lt;C&gt;1&lt;/C&gt;&lt;D xsi:type="xsd:string"&gt;Euro per U.S. Dollar&lt;/D&gt;&lt;/FQL&gt;&lt;FQL&gt;&lt;Q&gt;EWG^FMA_EPS(NTMA,-20AY,0,CY,,"PORTAGG","MEANR")&lt;/Q&gt;&lt;R&gt;20&lt;/R&gt;&lt;C&gt;1&lt;/C&gt;&lt;D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xsi:type="xsd:double"&gt;1.97990608176048&lt;/D&gt;&lt;D xsi:type="xsd:double"&gt;2.44949512523756&lt;/D&gt;&lt;D xsi:type="xsd:double"&gt;2.36388795150729&lt;/D&gt;&lt;D xsi:type="xsd:double"&gt;2.65680492825543&lt;/D&gt;&lt;/FQL&gt;&lt;FQL&gt;&lt;Q&gt;EWI^FMA_DIV_YLD(NTMA,-10AY,0,AM,"PORTAGG","MEANR")&lt;/Q&gt;&lt;R&gt;121&lt;/R&gt;&lt;C&gt;1&lt;/C&gt;&lt;D xsi:type="xsd:double"&gt;3.55071889946704&lt;/D&gt;&lt;D xsi:type="xsd:double"&gt;3.45011373186564&lt;/D&gt;&lt;D xsi:type="xsd:double"&gt;3.49628064872052&lt;/D&gt;&lt;D xsi:type="xsd:double"&gt;3.39136304444844&lt;/D&gt;&lt;D xsi:type="xsd:double"&gt;3.49929636253426&lt;/D&gt;&lt;D xsi:type="xsd:double"&gt;3.74852556593978&lt;/D&gt;&lt;D xsi:type="xsd:double"&gt;3.51543329623409&lt;/D&gt;&lt;D xsi:type="xsd:double"&gt;3.98801583681067&lt;/D&gt;&lt;D xsi:type="xsd:double"&gt;4.02290992528502&lt;/D&gt;&lt;D xsi:type="xsd:double"&gt;4.13076116290824&lt;/D&gt;&lt;D xsi:type="xsd:double"&gt;4.22688594988961&lt;/D&gt;&lt;D xsi:type="xsd:double"&gt;3.63234371246209&lt;/D&gt;&lt;D xsi:type="xsd:double"&gt;3.24224568698529&lt;/D&gt;&lt;D xsi:type="xsd:double"&gt;3.09575222153836&lt;/D&gt;&lt;D xsi:type="xsd:double"&gt;3.1454561545873&lt;/D&gt;&lt;D xsi:type="xsd:double"&gt;3.30007642644915&lt;/D&gt;&lt;D xsi:type="xsd:double"&gt;3.25766418849694&lt;/D&gt;&lt;D xsi:type="xsd:double"&gt;3.15805107064817&lt;/D&gt;&lt;D xsi:type="xsd:double"&gt;3.45034264770366&lt;/D&gt;&lt;D xsi:type="xsd:double"&gt;3.62870665525586&lt;/D&gt;&lt;D xsi:type="xsd:double"&gt;3.6858353651983&lt;/D&gt;&lt;D xsi:type="xsd:double"&gt;3.97315772448031&lt;/D&gt;&lt;D xsi:type="xsd:double"&gt;4.16912132403744&lt;/D&gt;&lt;D xsi:type="xsd:double"&gt;4.81654836132896&lt;/D&gt;&lt;D xsi:type="xsd:double"&gt;4.18349916587472&lt;/D&gt;&lt;D xsi:type="xsd:double"&gt;4.38038239496175&lt;/D&gt;&lt;D xsi:type="xsd:double"&gt;4.52733402111726&lt;/D&gt;&lt;D xsi:type="xsd:double"&gt;5.01589851151739&lt;/D&gt;&lt;D xsi:type="xsd:double"&gt;4.75197571321077&lt;/D&gt;&lt;D xsi:type="xsd:double"&gt;4.68540837418352&lt;/D&gt;&lt;D xsi:type="xsd:double"&gt;4.90867863062452&lt;/D&gt;&lt;D xsi:type="xsd:double"&gt;4.9375960449522&lt;/D&gt;&lt;D xsi:type="xsd:double"&gt;4.80440228727907&lt;/D&gt;&lt;D xsi:type="xsd:double"&gt;4.41953758231724&lt;/D&gt;&lt;D xsi:type="xsd:double"&gt;4.28902672126053&lt;/D&gt;&lt;D xsi:type="xsd:double"&gt;4.3899084498856&lt;/D&gt;&lt;D xsi:type="xsd:double"&gt;4.09029225640549&lt;/D&gt;&lt;D xsi:type="xsd:double"&gt;4.05345804219064&lt;/D&gt;&lt;D xsi:type="xsd:double"&gt;3.76320828119867&lt;/D&gt;&lt;D xsi:type="xsd:double"&gt;3.79346879758346&lt;/D&gt;&lt;D xsi:type="xsd:double"&gt;3.74476470191503&lt;/D&gt;&lt;D xsi:type="xsd:double"&gt;3.76864838540097&lt;/D&gt;&lt;D xsi:type="xsd:double"&gt;3.72239629624641&lt;/D&gt;&lt;D xsi:type="xsd:double"&gt;3.80324046632163&lt;/D&gt;&lt;D xsi:type="xsd:double"&gt;3.878434996906&lt;/D&gt;&lt;D xsi:type="xsd:double"&gt;3.91160479900449&lt;/D&gt;&lt;D xsi:type="xsd:double"&gt;3.75590048320343&lt;/D&gt;&lt;D xsi:type="xsd:double"&gt;3.98685479261225&lt;/D&gt;&lt;D xsi:type="xsd:double"&gt;4.06332398522689&lt;/D&gt;&lt;D xsi:type="xsd:double"&gt;3.97183940807466&lt;/D&gt;&lt;D xsi:type="xsd:double"&gt;3.89273761033042&lt;/D&gt;&lt;D xsi:type="xsd:double"&gt;4.30205765899747&lt;/D&gt;&lt;D xsi:type="xsd:double"&gt;4.46257301717596&lt;/D&gt;&lt;D xsi:type="xsd:double"&gt;4.62308486268883&lt;/D&gt;&lt;D xsi:type="xsd:double"&gt;4.65340551184904&lt;/D&gt;&lt;D xsi:type="xsd:double"&gt;5.04516185646594&lt;/D&gt;&lt;D xsi:type="xsd:double"&gt;5.12119144918829&lt;/D&gt;&lt;D xsi:type="xsd:double"&gt;5.234511278456&lt;/D&gt;&lt;D xsi:type="xsd:double"&gt;5.20436200017939&lt;/D&gt;&lt;D xsi:type="xsd:double"&gt;5.00551336676117&lt;/D&gt;&lt;D xsi:type="xsd:double"&gt;4.76191452371819&lt;/D&gt;&lt;D xsi:type="xsd:double"&gt;4.60573267049851&lt;/D&gt;&lt;D xsi:type="xsd:double"&gt;4.86854458117748&lt;/D&gt;&lt;D xsi:type="xsd:double"&gt;4.96082340470295&lt;/D&gt;&lt;D xsi:type="xsd:double"&gt;4.63363573748548&lt;/D&gt;&lt;D xsi:type="xsd:double"&gt;5.17788043341775&lt;/D&gt;&lt;D xsi:type="xsd:double"&gt;4.70821635919761&lt;/D&gt;&lt;D xsi:type="xsd:double"&gt;4.7554567596125&lt;/D&gt;&lt;D xsi:type="xsd:double"&gt;4.53652378366794&lt;/D&gt;&lt;D xsi:type="xsd:double"&gt;4.52960154149881&lt;/D&gt;&lt;D xsi:type="xsd:double"&gt;4.4555282202371&lt;/D&gt;&lt;D xsi:type="xsd:double"&gt;4.44293913230754&lt;/D&gt;&lt;D xsi:type="xsd:double"&gt;6.82627287687373&lt;/D&gt;&lt;D xsi:type="xsd:double"&gt;5.70457210008741&lt;/D&gt;&lt;D xsi:type="xsd:double"&gt;5.17719009326606&lt;/D&gt;&lt;D xsi:type="xsd:double"&gt;4.3719146224742&lt;/D&gt;&lt;D xsi:type="xsd:double"&gt;4.30072781035739&lt;/D&gt;&lt;D xsi:type="xsd:double"&gt;3.93919472595609&lt;/D&gt;&lt;D xsi:type="xsd:double"&gt;4.05292623131883&lt;/D&gt;&lt;D xsi:type="xsd:double"&gt;4.07862748795025&lt;/D&gt;&lt;D xsi:type="xsd:double"&gt;4.02388761022947&lt;/D&gt;&lt;D xsi:type="xsd:double"&gt;3.9785489237988&lt;/D&gt;&lt;D xsi:type="xsd:double"&gt;3.94162633077274&lt;/D&gt;&lt;D xsi:type="xsd:double"&gt;3.91190722889868&lt;/D&gt;&lt;D xsi:type="xsd:double"&gt;4.04639910196407&lt;/D&gt;&lt;D xsi:type="xsd:double"&gt;4.0762923383598&lt;/D&gt;&lt;D xsi:type="xsd:double"&gt;4.1706429096372&lt;/D&gt;&lt;D xsi:type="xsd:double"&gt;4.02678470511714&lt;/D&gt;&lt;D xsi:type="xsd:double"&gt;4.17543856658262&lt;/D&gt;&lt;D xsi:type="xsd:double"&gt;4.22900145640868&lt;/D&gt;&lt;D xsi:type="xsd:double"&gt;4.47197356966828&lt;/D&gt;&lt;D xsi:type="xsd:double"&gt;4.43214997056943&lt;/D&gt;&lt;D xsi:type="xsd:double"&gt;4.30408854354832&lt;/D&gt;&lt;D xsi:type="xsd:double"&gt;4.68610080535352&lt;/D&gt;&lt;D xsi:type="xsd:double"&gt;4.59371642495364&lt;/D&gt;&lt;D xsi:type="xsd:double"&gt;4.91012731136381&lt;/D&gt;&lt;D xsi:type="xsd:double"&gt;5.37152380665351&lt;/D&gt;&lt;D xsi:type="xsd:double"&gt;5.03558338301538&lt;/D&gt;&lt;D xsi:type="xsd:double"&gt;5.1828956207796&lt;/D&gt;&lt;D xsi:type="xsd:double"&gt;5.79208075904304&lt;/D&gt;&lt;D xsi:type="xsd:double"&gt;6.17684911880997&lt;/D&gt;&lt;D xsi:type="xsd:double"&gt;5.55776897783925&lt;/D&gt;&lt;D xsi:type="xsd:double"&gt;5.56186889617813&lt;/D&gt;&lt;D xsi:type="xsd:double"&gt;6.14511238023485&lt;/D&gt;&lt;D xsi:type="xsd:double"&gt;5.39793577161365&lt;/D&gt;&lt;D xsi:type="xsd:double"&gt;5.71347175875822&lt;/D&gt;&lt;D xsi:type="xsd:double"&gt;5.43108017361592&lt;/D&gt;&lt;D xsi:type="xsd:double"&gt;5.40355840870979&lt;/D&gt;&lt;D xsi:type="xsd:double"&gt;5.46284548056941&lt;/D&gt;&lt;D xsi:type="xsd:double"&gt;5.29321499500373&lt;/D&gt;&lt;D xsi:type="xsd:double"&gt;5.50974108942096&lt;/D&gt;&lt;D xsi:type="xsd:double"&gt;5.32611971259526&lt;/D&gt;&lt;D xsi:type="xsd:double"&gt;5.24764498462923&lt;/D&gt;&lt;D xsi:type="xsd:double"&gt;5.53822821505478&lt;/D&gt;&lt;D xsi:type="xsd:double"&gt;5.3934343094297&lt;/D&gt;&lt;D xsi:type="xsd:double"&gt;5.57875546594491&lt;/D&gt;&lt;D xsi:type="xsd:double"&gt;5.49841651570302&lt;/D&gt;&lt;D xsi:type="xsd:double"&gt;5.46153583870067&lt;/D&gt;&lt;D xsi:type="xsd:double"&gt;5.41268848837577&lt;/D&gt;&lt;D xsi:type="xsd:double"&gt;5.49188076421836&lt;/D&gt;&lt;D xsi:type="xsd:double"&gt;5.14588973998209&lt;/D&gt;&lt;/FQL&gt;&lt;FQL&gt;&lt;Q&gt;SPY^FG_PRICE_MAVG(0,,,,30)&lt;/Q&gt;&lt;R&gt;1&lt;/R&gt;&lt;C&gt;1&lt;/C&gt;&lt;D xsi:type="xsd:double"&gt;504.234&lt;/D&gt;&lt;/FQL&gt;&lt;FQL&gt;&lt;Q&gt;ENZL^FG_PRICE_MAVG(0,,,,60)&lt;/Q&gt;&lt;R&gt;1&lt;/R&gt;&lt;C&gt;1&lt;/C&gt;&lt;D xsi:type="xsd:double"&gt;46.526&lt;/D&gt;&lt;/FQL&gt;&lt;FQL&gt;&lt;Q&gt;EWD^P_PRICE(0)/P_PRICE_LOW_PR(0,,,USD,,,"PRICE","INTRA","52W")-1&lt;/Q&gt;&lt;R&gt;1&lt;/R&gt;&lt;C&gt;1&lt;/C&gt;&lt;D xsi:type="xsd:double"&gt;0.33452833&lt;/D&gt;&lt;/FQL&gt;&lt;FQL&gt;&lt;Q&gt;TRYUS10Y-FDS^PCTCHG(FG_YIELD(0,,,,"YTM"),FG_YIELD(-3AM,,,,"YTM"))&lt;/Q&gt;&lt;R&gt;1&lt;/R&gt;&lt;C&gt;1&lt;/C&gt;&lt;D xsi:type="xsd:double"&gt;9.70576&lt;/D&gt;&lt;/FQL&gt;&lt;FQL&gt;&lt;Q&gt;EWL^FMA_EVAL_EBIT(LTMA,NOW,NOW,M,"PORTAGG","MEANR")&lt;/Q&gt;&lt;R&gt;1&lt;/R&gt;&lt;C&gt;1&lt;/C&gt;&lt;D xsi:type="xsd:double"&gt;16.67910157144&lt;/D&gt;&lt;/FQL&gt;&lt;FQL&gt;&lt;Q&gt;ENZL^JULIAN(FMA_DIV_YLD(NTMA,NOW,NOW,M,"PORTAGG","MEANR").DATES)&lt;/Q&gt;&lt;R&gt;1&lt;/R&gt;&lt;C&gt;1&lt;/C&gt;&lt;D xsi:type="xsd:long"&gt;45351&lt;/D&gt;&lt;/FQL&gt;&lt;FQL&gt;&lt;Q&gt;TLT^P_PRICE(0)/P_PRICE_HIGH_PR(0,,,USD,,,"PRICE","INTRA","52W")&lt;/Q&gt;&lt;R&gt;1&lt;/R&gt;&lt;C&gt;1&lt;/C&gt;&lt;D xsi:type="xsd:double"&gt;0.85395426&lt;/D&gt;&lt;/FQL&gt;&lt;FQL&gt;&lt;Q&gt;GLD^FG_TOTAL_RETURNC(0,-6AM)&lt;/Q&gt;&lt;R&gt;1&lt;/R&gt;&lt;C&gt;1&lt;/C&gt;&lt;D xsi:type="xsd:double"&gt;13.083482&lt;/D&gt;&lt;/FQL&gt;&lt;FQL&gt;&lt;Q&gt;EWI^FMA_DIV_YLD(NTMA,NOW,NOW,M,"PORTAGG","MEANR")&lt;/Q&gt;&lt;R&gt;1&lt;/R&gt;&lt;C&gt;1&lt;/C&gt;&lt;D xsi:type="xsd:double"&gt;5.32575352475591&lt;/D&gt;&lt;/FQL&gt;&lt;FQL&gt;&lt;Q&gt;EWI^FMA_PE(NTMA,0,,,"PORTAGG","MEANR")&lt;/Q&gt;&lt;R&gt;1&lt;/R&gt;&lt;C&gt;1&lt;/C&gt;&lt;D xsi:type="xsd:double"&gt;9.5952746189439&lt;/D&gt;&lt;/FQL&gt;&lt;FQL&gt;&lt;Q&gt;EWQ^FMA_PE(NTMA,0,,,"PORTAGG","MEANR")&lt;/Q&gt;&lt;R&gt;1&lt;/R&gt;&lt;C&gt;1&lt;/C&gt;&lt;D xsi:type="xsd:double"&gt;14.6538922159081&lt;/D&gt;&lt;/FQL&gt;&lt;FQL&gt;&lt;Q&gt;EWC^FMA_EVAL_EBITDA(NTMA,0,,,"PORTAGG","MEANR")&lt;/Q&gt;&lt;R&gt;1&lt;/R&gt;&lt;C&gt;1&lt;/C&gt;&lt;D xsi:type="xsd:double"&gt;9.950770576389&lt;/D&gt;&lt;/FQL&gt;&lt;FQL&gt;&lt;Q&gt;TLT^FG_TOTAL_RETURNC(0,-3AM)&lt;/Q&gt;&lt;R&gt;1&lt;/R&gt;&lt;C&gt;1&lt;/C&gt;&lt;D xsi:type="xsd:double"&gt;-5.5382195&lt;/D&gt;&lt;/FQL&gt;&lt;FQL&gt;&lt;Q&gt;REFNZOCR-FDS^FG_YIELD(NOW,,,0)&lt;/Q&gt;&lt;R&gt;1&lt;/R&gt;&lt;C&gt;1&lt;/C&gt;&lt;D xsi:type="xsd:double"&gt;5.5&lt;/D&gt;&lt;/FQL&gt;&lt;FQL&gt;&lt;Q&gt;ENZL^P_PRICE_RETURNS_PR('52W',2,-10AY,0,AM)&lt;/Q&gt;&lt;R&gt;121&lt;/R&gt;&lt;C&gt;1&lt;/C&gt;&lt;D xsi:type="xsd:double"&gt;18.87871&lt;/D&gt;&lt;D xsi:type="xsd:double"&gt;15.5557995&lt;/D&gt;&lt;D xsi:type="xsd:double"&gt;17.898905&lt;/D&gt;&lt;D xsi:type="xsd:double"&gt;25.44458&lt;/D&gt;&lt;D xsi:type="xsd:double"&gt;26.49418&lt;/D&gt;&lt;D xsi:type="xsd:double"&gt;18.821049&lt;/D&gt;&lt;D xsi:type="xsd:double"&gt;13.207542&lt;/D&gt;&lt;D xsi:type="xsd:double"&gt;1.7155647&lt;/D&gt;&lt;D xsi:type="xsd:double"&gt;6.8191767&lt;/D&gt;&lt;D xsi:type="xsd:double"&gt;10.927284&lt;/D&gt;&lt;D xsi:type="xsd:double"&gt;7.761657&lt;/D&gt;&lt;D xsi:type="xsd:double"&gt;7.020557&lt;/D&gt;&lt;D xsi:type="xsd:double"&gt;0.11053085&lt;/D&gt;&lt;D xsi:type="xsd:double"&gt;1.3917565&lt;/D&gt;&lt;D xsi:type="xsd:double"&gt;-3.4938812&lt;/D&gt;&lt;D xsi:type="xsd:double"&gt;-8.061039&lt;/D&gt;&lt;D xsi:type="xsd:double"&gt;-13.402742&lt;/D&gt;&lt;D xsi:type="xsd:double"&gt;-12.296224&lt;/D&gt;&lt;D xsi:type="xsd:double"&gt;-15.229744&lt;/D&gt;&lt;D xsi:type="xsd:double"&gt;-2.7614474&lt;/D&gt;&lt;D xsi:type="xsd:double"&gt;-9.730446&lt;/D&gt;&lt;D xsi:type="xsd:double"&gt;-4.628885&lt;/D&gt;&lt;D xsi:type="xsd:double"&gt;-10.112333&lt;/D&gt;&lt;D xsi:type="xsd:double"&gt;-9.108484&lt;/D&gt;&lt;D xsi:type="xsd:double"&gt;0.69487095&lt;/D&gt;&lt;D xsi:type="xsd:double"&gt;5.9319735&lt;/D&gt;&lt;D xsi:type="xsd:double"&gt;8.688677&lt;/D&gt;&lt;D xsi:type="xsd:double"&gt;17.149174&lt;/D&gt;&lt;D xsi:type="xsd:double"&gt;33.225464&lt;/D&gt;&lt;D xsi:type="xsd:double"&gt;39.81091&lt;/D&gt;&lt;D xsi:type="xsd:double"&gt;47.860683&lt;/D&gt;&lt;D xsi:type="xsd:double"&gt;29.49593&lt;/D&gt;&lt;D xsi:type="xsd:double"&gt;22.358847&lt;/D&gt;&lt;D xsi:type="xsd:double"&gt;18.32409&lt;/D&gt;&lt;D xsi:type="xsd:double"&gt;26.470364&lt;/D&gt;&lt;D xsi:type="xsd:double"&gt;31.225252&lt;/D&gt;&lt;D xsi:type="xsd:double"&gt;12.909328&lt;/D&gt;&lt;D xsi:type="xsd:double"&gt;6.8704367&lt;/D&gt;&lt;D xsi:type="xsd:double"&gt;8.551847&lt;/D&gt;&lt;D xsi:type="xsd:double"&gt;13.858819&lt;/D&gt;&lt;D xsi:type="xsd:double"&gt;10.395026&lt;/D&gt;&lt;D xsi:type="xsd:double"&gt;6.202793&lt;/D&gt;&lt;D xsi:type="xsd:double"&gt;7.2291613&lt;/D&gt;&lt;D xsi:type="xsd:double"&gt;14.9060135&lt;/D&gt;&lt;D xsi:type="xsd:double"&gt;14.345002&lt;/D&gt;&lt;D xsi:type="xsd:double"&gt;19.552565&lt;/D&gt;&lt;D xsi:type="xsd:double"&gt;18.062126&lt;/D&gt;&lt;D xsi:type="xsd:double"&gt;14.528406&lt;/D&gt;&lt;D xsi:type="xsd:double"&gt;25.511097&lt;/D&gt;&lt;D xsi:type="xsd:double"&gt;22.964752&lt;/D&gt;&lt;D xsi:type="xsd:double"&gt;16.398918&lt;/D&gt;&lt;D xsi:type="xsd:double"&gt;14.734184&lt;/D&gt;&lt;D xsi:type="xsd:double"&gt;8.211732&lt;/D&gt;&lt;D xsi:type="xsd:double"&gt;3.7471652&lt;/D&gt;&lt;D xsi:type="xsd:double"&gt;6.997621&lt;/D&gt;&lt;D xsi:type="xsd:double"&gt;-0.22950172&lt;/D&gt;&lt;D xsi:type="xsd:double"&gt;8.964861&lt;/D&gt;&lt;D xsi:type="xsd:double"&gt;2.063322&lt;/D&gt;&lt;D xsi:type="xsd:double"&gt;4.076636&lt;/D&gt;&lt;D xsi:type="xsd:double"&gt;7.0696115&lt;/D&gt;&lt;D xsi:type="xsd:double"&gt;4.2600155&lt;/D&gt;&lt;D xsi:type="xsd:double"&gt;6.591928&lt;/D&gt;&lt;D xsi:type="xsd:double"&gt;10.36731&lt;/D&gt;&lt;D xsi:type="xsd:double"&gt;4.49239&lt;/D&gt;&lt;D xsi:type="xsd:double"&gt;16.444016&lt;/D&gt;&lt;D xsi:type="xsd:double"&gt;15.896821&lt;/D&gt;&lt;D xsi:type="xsd:double"&gt;13.270271&lt;/D&gt;&lt;D xsi:type="xsd:double"&gt;19.832552&lt;/D&gt;&lt;D xsi:type="xsd:double"&gt;15.627062&lt;/D&gt;&lt;D xsi:type="xsd:double"&gt;22.502338&lt;/D&gt;&lt;D xsi:type="xsd:double"&gt;24.068535&lt;/D&gt;&lt;D xsi:type="xsd:double"&gt;20.12123&lt;/D&gt;&lt;D xsi:type="xsd:double"&gt;1.3254881&lt;/D&gt;&lt;D xsi:type="xsd:double"&gt;-4.213929&lt;/D&gt;&lt;D xsi:type="xsd:double"&gt;0.21176338&lt;/D&gt;&lt;D xsi:type="xsd:double"&gt;7.6381564&lt;/D&gt;&lt;D xsi:type="xsd:double"&gt;8.239281&lt;/D&gt;&lt;D xsi:type="xsd:double"&gt;11.014641&lt;/D&gt;&lt;D xsi:type="xsd:double"&gt;15.4237385&lt;/D&gt;&lt;D xsi:type="xsd:double"&gt;21.135818&lt;/D&gt;&lt;D xsi:type="xsd:double"&gt;26.410389&lt;/D&gt;&lt;D xsi:type="xsd:double"&gt;21.49675&lt;/D&gt;&lt;D xsi:type="xsd:double"&gt;19.308603&lt;/D&gt;&lt;D xsi:type="xsd:double"&gt;15.659534&lt;/D&gt;&lt;D xsi:type="xsd:double"&gt;43.169083&lt;/D&gt;&lt;D xsi:type="xsd:double"&gt;36.77609&lt;/D&gt;&lt;D xsi:type="xsd:double"&gt;28.694702&lt;/D&gt;&lt;D xsi:type="xsd:double"&gt;18.429792&lt;/D&gt;&lt;D xsi:type="xsd:double"&gt;9.91807&lt;/D&gt;&lt;D xsi:type="xsd:double"&gt;9.650839&lt;/D&gt;&lt;D xsi:type="xsd:double"&gt;8.889914&lt;/D&gt;&lt;D xsi:type="xsd:double"&gt;3.2546878&lt;/D&gt;&lt;D xsi:type="xsd:double"&gt;-2.6449263&lt;/D&gt;&lt;D xsi:type="xsd:double"&gt;-10.588371&lt;/D&gt;&lt;D xsi:type="xsd:double"&gt;-12.01542&lt;/D&gt;&lt;D xsi:type="xsd:double"&gt;-18.32999&lt;/D&gt;&lt;D xsi:type="xsd:double"&gt;-14.6513405&lt;/D&gt;&lt;D xsi:type="xsd:double"&gt;-14.920771&lt;/D&gt;&lt;D xsi:type="xsd:double"&gt;-24.977701&lt;/D&gt;&lt;D xsi:type="xsd:double"&gt;-28.323544&lt;/D&gt;&lt;D xsi:type="xsd:double"&gt;-25.420553&lt;/D&gt;&lt;D xsi:type="xsd:double"&gt;-15.405637&lt;/D&gt;&lt;D xsi:type="xsd:double"&gt;-25.171297&lt;/D&gt;&lt;D xsi:type="xsd:double"&gt;-34.83468&lt;/D&gt;&lt;D xsi:type="xsd:double"&gt;-24.99038&lt;/D&gt;&lt;D xsi:type="xsd:double"&gt;-12.932563&lt;/D&gt;&lt;D xsi:type="xsd:double"&gt;-11.444986&lt;/D&gt;&lt;D xsi:type="xsd:double"&gt;-0.6099999&lt;/D&gt;&lt;D xsi:type="xsd:double"&gt;-6.8096995&lt;/D&gt;&lt;D xsi:type="xsd:double"&gt;-5.663413&lt;/D&gt;&lt;D xsi:type="xsd:double"&gt;10.86775&lt;/D&gt;&lt;D xsi:type="xsd:double"&gt;14.047503&lt;/D&gt;&lt;D xsi:type="xsd:double"&gt;14.919019&lt;/D&gt;&lt;D xsi:type="xsd:double"&gt;-4.997712&lt;/D&gt;&lt;D xsi:type="xsd:double"&gt;-1.9246161&lt;/D&gt;&lt;D xsi:type="xsd:double"&gt;8.081043&lt;/D&gt;&lt;D xsi:type="xsd:double"&gt;1.355207&lt;/D&gt;&lt;D xsi:type="xsd:double"&gt;-1.7596841&lt;/D&gt;&lt;D xsi:type="xsd:double"&gt;-0.2150178&lt;/D&gt;&lt;D xsi:type="xsd:double"&gt;-9.77996&lt;/D&gt;&lt;D xsi:type="xsd:double"&gt;-3.8172185&lt;/D&gt;&lt;/FQL&gt;&lt;FQL&gt;&lt;Q&gt;EWD^FG_PRICE_MAVG(0,,,,30)&lt;/Q&gt;&lt;R&gt;1&lt;/R&gt;&lt;C&gt;1&lt;/C&gt;&lt;D xsi:type="xsd:double"&gt;38.991333&lt;/D&gt;&lt;/FQL&gt;&lt;FQL&gt;&lt;Q&gt;ENZL^P_PRICE(0)/P_PRICE_HIGH_PR(0,,,USD,,,"PRICE","INTRA","52W")&lt;/Q&gt;&lt;R&gt;1&lt;/R&gt;&lt;C&gt;1&lt;/C&gt;&lt;D xsi:type="xsd:double"&gt;0.88596493&lt;/D&gt;&lt;/FQL&gt;&lt;FQL&gt;&lt;Q&gt;EWI^FG_ROE(0)&lt;/Q&gt;&lt;R&gt;1&lt;/R&gt;&lt;C&gt;1&lt;/C&gt;&lt;D xsi:type="xsd:double"&gt;13.0728580263773&lt;/D&gt;&lt;/FQL&gt;&lt;FQL&gt;&lt;Q&gt;URTH^FG_TOTAL_RETURNC(0,-3AM)&lt;/Q&gt;&lt;R&gt;1&lt;/R&gt;&lt;C&gt;1&lt;/C&gt;&lt;D xsi:type="xsd:double"&gt;8.482552&lt;/D&gt;&lt;/FQL&gt;&lt;FQL&gt;&lt;Q&gt;TRYAU10Y-FDS^FG_YIELD_NAME&lt;/Q&gt;&lt;R&gt;1&lt;/R&gt;&lt;C&gt;1&lt;/C&gt;&lt;D xsi:type="xsd:string"&gt;Australia Benchmark Bond - 10 Year&lt;/D&gt;&lt;/FQL&gt;&lt;FQL&gt;&lt;Q&gt;ENZL^FMA_COS_UP("EPS","1M",+1,0,,,"PORTAGG","MEANR")&lt;/Q&gt;&lt;R&gt;1&lt;/R&gt;&lt;C&gt;1&lt;/C&gt;&lt;D xsi:type="xsd:double"&gt;4&lt;/D&gt;&lt;/FQL&gt;&lt;FQL&gt;&lt;Q&gt;EWJ^FG_TOTAL_RETURNC(0,-1AM)&lt;/Q&gt;&lt;R&gt;1&lt;/R&gt;&lt;C&gt;1&lt;/C&gt;&lt;D xsi:type="xsd:double"&gt;3.0746222&lt;/D&gt;&lt;/FQL&gt;&lt;FQL&gt;&lt;Q&gt;CAGDPY@NL^EE_ACTUAL_ANNUAL(MED,+1)&lt;/Q&gt;&lt;R&gt;1&lt;/R&gt;&lt;C&gt;1&lt;/C&gt;&lt;D xsi:type="xsd:double"&gt;9&lt;/D&gt;&lt;/FQL&gt;&lt;FQL&gt;&lt;Q&gt;USDSEK^FG_PRICE_CHANGE(0,-3AM)&lt;/Q&gt;&lt;R&gt;1&lt;/R&gt;&lt;C&gt;1&lt;/C&gt;&lt;D xsi:type="xsd:double"&gt;1.2891531&lt;/D&gt;&lt;/FQL&gt;&lt;FQL&gt;&lt;Q&gt;SPY^FMA_DIV_YLD(NTMA,-10AY,0,AM,"PORTAGG","MEANR")&lt;/Q&gt;&lt;R&gt;121&lt;/R&gt;&lt;C&gt;1&lt;/C&gt;&lt;D xsi:type="xsd:double"&gt;2.19877647118388&lt;/D&gt;&lt;D xsi:type="xsd:double"&gt;2.22059395903031&lt;/D&gt;&lt;D xsi:type="xsd:double"&gt;2.15594626685652&lt;/D&gt;&lt;D xsi:type="xsd:double"&gt;2.1156816090426&lt;/D&gt;&lt;D xsi:type="xsd:double"&gt;2.09110739679907&lt;/D&gt;&lt;D xsi:type="xsd:double"&gt;2.13079264374755&lt;/D&gt;&lt;D xsi:type="xsd:double"&gt;2.11026912673755&lt;/D&gt;&lt;D xsi:type="xsd:double"&gt;2.24601295726489&lt;/D&gt;&lt;D xsi:type="xsd:double"&gt;2.08981761912827&lt;/D&gt;&lt;D xsi:type="xsd:double"&gt;2.14980447837433&lt;/D&gt;&lt;D xsi:type="xsd:double"&gt;2.15806553215046&lt;/D&gt;&lt;D xsi:type="xsd:double"&gt;2.10604062913922&lt;/D&gt;&lt;D xsi:type="xsd:double"&gt;2.19237359466593&lt;/D&gt;&lt;D xsi:type="xsd:double"&gt;2.15523511704102&lt;/D&gt;&lt;D xsi:type="xsd:double"&gt;2.14248908687457&lt;/D&gt;&lt;D xsi:type="xsd:double"&gt;2.17634430099422&lt;/D&gt;&lt;D xsi:type="xsd:double"&gt;2.16344202716943&lt;/D&gt;&lt;D xsi:type="xsd:double"&gt;2.21045830907253&lt;/D&gt;&lt;D xsi:type="xsd:double"&gt;2.37960062974529&lt;/D&gt;&lt;D xsi:type="xsd:double"&gt;2.33525910802671&lt;/D&gt;&lt;D xsi:type="xsd:double"&gt;2.33448330452586&lt;/D&gt;&lt;D xsi:type="xsd:double"&gt;2.33221471961502&lt;/D&gt;&lt;D xsi:type="xsd:double"&gt;2.47001498053205&lt;/D&gt;&lt;D xsi:type="xsd:double"&gt;2.45182025901469&lt;/D&gt;&lt;D xsi:type="xsd:double"&gt;2.47519773454617&lt;/D&gt;&lt;D xsi:type="xsd:double"&gt;2.29179874134034&lt;/D&gt;&lt;D xsi:type="xsd:double"&gt;2.29270141173246&lt;/D&gt;&lt;D xsi:type="xsd:double"&gt;2.30120942561684&lt;/D&gt;&lt;D xsi:type="xsd:double"&gt;2.21649861597909&lt;/D&gt;&lt;D xsi:type="xsd:double"&gt;2.20341664155043&lt;/D&gt;&lt;D xsi:type="xsd:double"&gt;2.26782089968565&lt;/D&gt;&lt;D xsi:type="xsd:double"&gt;2.25893253253315&lt;/D&gt;&lt;D xsi:type="xsd:double"&gt;2.24067770266886&lt;/D&gt;&lt;D xsi:type="xsd:double"&gt;2.1695899741761&lt;/D&gt;&lt;D xsi:type="xsd:double"&gt;2.1612069884052&lt;/D&gt;&lt;D xsi:type="xsd:double"&gt;2.12306754515369&lt;/D&gt;&lt;D xsi:type="xsd:double"&gt;2.10826239645759&lt;/D&gt;&lt;D xsi:type="xsd:double"&gt;2.15093950389525&lt;/D&gt;&lt;D xsi:type="xsd:double"&gt;2.10952993394301&lt;/D&gt;&lt;D xsi:type="xsd:double"&gt;2.08223914003155&lt;/D&gt;&lt;D xsi:type="xsd:double"&gt;2.08852115986716&lt;/D&gt;&lt;D xsi:type="xsd:double"&gt;2.09567367083041&lt;/D&gt;&lt;D xsi:type="xsd:double"&gt;2.07899058249246&lt;/D&gt;&lt;D xsi:type="xsd:double"&gt;2.03870731281238&lt;/D&gt;&lt;D xsi:type="xsd:double"&gt;2.02230542208557&lt;/D&gt;&lt;D xsi:type="xsd:double"&gt;1.97348545007993&lt;/D&gt;&lt;D xsi:type="xsd:double"&gt;1.89000774206863&lt;/D&gt;&lt;D xsi:type="xsd:double"&gt;1.98503321299076&lt;/D&gt;&lt;D xsi:type="xsd:double"&gt;1.97019326385586&lt;/D&gt;&lt;D xsi:type="xsd:double"&gt;2.05575943027115&lt;/D&gt;&lt;D xsi:type="xsd:double"&gt;2.02068256975354&lt;/D&gt;&lt;D xsi:type="xsd:double"&gt;1.99244539964108&lt;/D&gt;&lt;D xsi:type="xsd:double"&gt;2.00323932845769&lt;/D&gt;&lt;D xsi:type="xsd:double"&gt;1.99423100631717&lt;/D&gt;&lt;D xsi:type="xsd:double"&gt;1.95855025211312&lt;/D&gt;&lt;D xsi:type="xsd:double"&gt;2.06684288990431&lt;/D&gt;&lt;D xsi:type="xsd:double"&gt;2.12461887121735&lt;/D&gt;&lt;D xsi:type="xsd:double"&gt;2.22468361929695&lt;/D&gt;&lt;D xsi:type="xsd:double"&gt;2.25460032679182&lt;/D&gt;&lt;D xsi:type="xsd:double"&gt;2.13256651214282&lt;/D&gt;&lt;D xsi:type="xsd:double"&gt;2.09623135660136&lt;/D&gt;&lt;D xsi:type="xsd:double"&gt;2.04401004961559&lt;/D&gt;&lt;D xsi:type="xsd:double"&gt;2.10766198704209&lt;/D&gt;&lt;D xsi:type="xsd:double"&gt;2.08347783398823&lt;/D&gt;&lt;D xsi:type="xsd:double"&gt;2.00642321885782&lt;/D&gt;&lt;D xsi:type="xsd:double"&gt;2.13778900388156&lt;/D&gt;&lt;D xsi:type="xsd:double"&gt;2.02950472899431&lt;/D&gt;&lt;D xsi:type="xsd:double"&gt;2.06783352064204&lt;/D&gt;&lt;D xsi:type="xsd:double"&gt;1.99531345796928&lt;/D&gt;&lt;D xsi:type="xsd:double"&gt;1.96231167230161&lt;/D&gt;&lt;D xsi:type="xsd:double"&gt;1.90933100441995&lt;/D&gt;&lt;D xsi:type="xsd:double"&gt;1.86880880384791&lt;/D&gt;&lt;D xsi:type="xsd:double"&gt;2.33416209116096&lt;/D&gt;&lt;D xsi:type="xsd:double"&gt;2.17588686167945&lt;/D&gt;&lt;D xsi:type="xsd:double"&gt;2.12584905117136&lt;/D&gt;&lt;D xsi:type="xsd:double"&gt;1.98159846050906&lt;/D&gt;&lt;D xsi:type="xsd:double"&gt;1.86153241620151&lt;/D&gt;&lt;D xsi:type="xsd:double"&gt;1.76604733701542&lt;/D&gt;&lt;D xsi:type="xsd:double"&gt;1.76483482438922&lt;/D&gt;&lt;D xsi:type="xsd:double"&gt;1.71509823577344&lt;/D&gt;&lt;D xsi:type="xsd:double"&gt;1.66991381947957&lt;/D&gt;&lt;D xsi:type="xsd:double"&gt;1.64837627121496&lt;/D&gt;&lt;D xsi:type="xsd:double"&gt;1.56623281226263&lt;/D&gt;&lt;D xsi:type="xsd:double"&gt;1.52505351724656&lt;/D&gt;&lt;D xsi:type="xsd:double"&gt;1.53153744353795&lt;/D&gt;&lt;D xsi:type="xsd:double"&gt;1.47335469578822&lt;/D&gt;&lt;D xsi:type="xsd:double"&gt;1.46399395889851&lt;/D&gt;&lt;D xsi:type="xsd:double"&gt;1.44944402467758&lt;/D&gt;&lt;D xsi:type="xsd:double"&gt;1.4307736266279&lt;/D&gt;&lt;D xsi:type="xsd:double"&gt;1.41039247604924&lt;/D&gt;&lt;D xsi:type="xsd:double"&gt;1.42873190169093&lt;/D&gt;&lt;D xsi:type="xsd:double"&gt;1.43848987445069&lt;/D&gt;&lt;D xsi:type="xsd:double"&gt;1.36993187404431&lt;/D&gt;&lt;D xsi:type="xsd:double"&gt;1.39416232878612&lt;/D&gt;&lt;D xsi:type="xsd:double"&gt;1.38895022635071&lt;/D&gt;&lt;D xsi:type="xsd:double"&gt;1.49396130499605&lt;/D&gt;&lt;D xsi:type="xsd:double"&gt;1.58277380250835&lt;/D&gt;&lt;D xsi:type="xsd:double"&gt;1.50085068016276&lt;/D&gt;&lt;D xsi:type="xsd:double"&gt;1.64736654700154&lt;/D&gt;&lt;D xsi:type="xsd:double"&gt;1.78863451900408&lt;/D&gt;&lt;D xsi:type="xsd:double"&gt;1.77540736460805&lt;/D&gt;&lt;D xsi:type="xsd:double"&gt;1.58623958909689&lt;/D&gt;&lt;D xsi:type="xsd:double"&gt;1.7352320752634&lt;/D&gt;&lt;D xsi:type="xsd:double"&gt;1.91786159299005&lt;/D&gt;&lt;D xsi:type="xsd:double"&gt;1.74828583451751&lt;/D&gt;&lt;D xsi:type="xsd:double"&gt;1.73480650312783&lt;/D&gt;&lt;D xsi:type="xsd:double"&gt;1.73957406560789&lt;/D&gt;&lt;D xsi:type="xsd:double"&gt;1.69266560398143&lt;/D&gt;&lt;D xsi:type="xsd:double"&gt;1.79490487158621&lt;/D&gt;&lt;D xsi:type="xsd:double"&gt;1.70731669918574&lt;/D&gt;&lt;D xsi:type="xsd:double"&gt;1.71056008734227&lt;/D&gt;&lt;D xsi:type="xsd:double"&gt;1.62509250264836&lt;/D&gt;&lt;D xsi:type="xsd:double"&gt;1.58003001650873&lt;/D&gt;&lt;D xsi:type="xsd:double"&gt;1.59765281769881&lt;/D&gt;&lt;D xsi:type="xsd:double"&gt;1.59913023860195&lt;/D&gt;&lt;D xsi:type="xsd:double"&gt;1.67864393257714&lt;/D&gt;&lt;D xsi:type="xsd:double"&gt;1.62121721033635&lt;/D&gt;&lt;D xsi:type="xsd:double"&gt;1.55050547247127&lt;/D&gt;&lt;D xsi:type="xsd:double"&gt;1.54163816159338&lt;/D&gt;&lt;D xsi:type="xsd:double"&gt;1.49709228544548&lt;/D&gt;&lt;D xsi:type="xsd:double"&gt;1.45974206692317&lt;/D&gt;&lt;/FQL&gt;&lt;FQL&gt;&lt;Q&gt;ENZL^JULIAN(FMA_DIV_YLD(LTMA,-10AY,0,AM,"PORTAGG","MEANR").DATES)&lt;/Q&gt;&lt;R&gt;121&lt;/R&gt;&lt;C&gt;1&lt;/C&gt;&lt;D xsi:type="xsd:long"&gt;41712&lt;/D&gt;&lt;D xsi:type="xsd:long"&gt;41743&lt;/D&gt;&lt;D xsi:type="xsd:long"&gt;41773&lt;/D&gt;&lt;D xsi:type="xsd:long"&gt;41803&lt;/D&gt;&lt;D xsi:type="xsd:long"&gt;41834&lt;/D&gt;&lt;D xsi:type="xsd:long"&gt;41865&lt;/D&gt;&lt;D xsi:type="xsd:long"&gt;41894&lt;/D&gt;&lt;D xsi:type="xsd:long"&gt;41926&lt;/D&gt;&lt;D xsi:type="xsd:long"&gt;41957&lt;/D&gt;&lt;D xsi:type="xsd:long"&gt;41985&lt;/D&gt;&lt;D xsi:type="xsd:long"&gt;42018&lt;/D&gt;&lt;D xsi:type="xsd:long"&gt;42048&lt;/D&gt;&lt;D xsi:type="xsd:long"&gt;42076&lt;/D&gt;&lt;D xsi:type="xsd:long"&gt;42108&lt;/D&gt;&lt;D xsi:type="xsd:long"&gt;42138&lt;/D&gt;&lt;D xsi:type="xsd:long"&gt;42167&lt;/D&gt;&lt;D xsi:type="xsd:long"&gt;42199&lt;/D&gt;&lt;D xsi:type="xsd:long"&gt;42230&lt;/D&gt;&lt;D xsi:type="xsd:long"&gt;42261&lt;/D&gt;&lt;D xsi:type="xsd:long"&gt;42291&lt;/D&gt;&lt;D xsi:type="xsd:long"&gt;42321&lt;/D&gt;&lt;D xsi:type="xsd:long"&gt;42352&lt;/D&gt;&lt;D xsi:type="xsd:long"&gt;42383&lt;/D&gt;&lt;D xsi:type="xsd:long"&gt;42412&lt;/D&gt;&lt;D xsi:type="xsd:long"&gt;42443&lt;/D&gt;&lt;D xsi:type="xsd:long"&gt;42474&lt;/D&gt;&lt;D xsi:type="xsd:long"&gt;42503&lt;/D&gt;&lt;D xsi:type="xsd:long"&gt;42535&lt;/D&gt;&lt;D xsi:type="xsd:long"&gt;42565&lt;/D&gt;&lt;D xsi:type="xsd:long"&gt;42594&lt;/D&gt;&lt;D xsi:type="xsd:long"&gt;42627&lt;/D&gt;&lt;D xsi:type="xsd:long"&gt;42657&lt;/D&gt;&lt;D xsi:type="xsd:long"&gt;42688&lt;/D&gt;&lt;D xsi:type="xsd:long"&gt;42718&lt;/D&gt;&lt;D xsi:type="xsd:long"&gt;42748&lt;/D&gt;&lt;D xsi:type="xsd:long"&gt;42780&lt;/D&gt;&lt;D xsi:type="xsd:long"&gt;42808&lt;/D&gt;&lt;D xsi:type="xsd:long"&gt;42838&lt;/D&gt;&lt;D xsi:type="xsd:long"&gt;42867&lt;/D&gt;&lt;D xsi:type="xsd:long"&gt;42900&lt;/D&gt;&lt;D xsi:type="xsd:long"&gt;42930&lt;/D&gt;&lt;D xsi:type="xsd:long"&gt;42961&lt;/D&gt;&lt;D xsi:type="xsd:long"&gt;42992&lt;/D&gt;&lt;D xsi:type="xsd:long"&gt;43021&lt;/D&gt;&lt;D xsi:type="xsd:long"&gt;43053&lt;/D&gt;&lt;D xsi:type="xsd:long"&gt;43083&lt;/D&gt;&lt;D xsi:type="xsd:long"&gt;43112&lt;/D&gt;&lt;D xsi:type="xsd:long"&gt;43145&lt;/D&gt;&lt;D xsi:type="xsd:long"&gt;43173&lt;/D&gt;&lt;D xsi:type="xsd:long"&gt;43203&lt;/D&gt;&lt;D xsi:type="xsd:long"&gt;43234&lt;/D&gt;&lt;D xsi:type="xsd:long"&gt;43265&lt;/D&gt;&lt;D xsi:type="xsd:long"&gt;43294&lt;/D&gt;&lt;D xsi:type="xsd:long"&gt;43326&lt;/D&gt;&lt;D xsi:type="xsd:long"&gt;43357&lt;/D&gt;&lt;D xsi:type="xsd:long"&gt;43385&lt;/D&gt;&lt;D xsi:type="xsd:long"&gt;43418&lt;/D&gt;&lt;D xsi:type="xsd:long"&gt;43448&lt;/D&gt;&lt;D xsi:type="xsd:long"&gt;43479&lt;/D&gt;&lt;D xsi:type="xsd:long"&gt;43510&lt;/D&gt;&lt;D xsi:type="xsd:long"&gt;43538&lt;/D&gt;&lt;D xsi:type="xsd:long"&gt;43567&lt;/D&gt;&lt;D xsi:type="xsd:long"&gt;43599&lt;/D&gt;&lt;D xsi:type="xsd:long"&gt;43630&lt;/D&gt;&lt;D xsi:type="xsd:long"&gt;43658&lt;/D&gt;&lt;D xsi:type="xsd:long"&gt;43691&lt;/D&gt;&lt;D xsi:type="xsd:long"&gt;43721&lt;/D&gt;&lt;D xsi:type="xsd:long"&gt;43752&lt;/D&gt;&lt;D xsi:type="xsd:long"&gt;43783&lt;/D&gt;&lt;D xsi:type="xsd:long"&gt;43812&lt;/D&gt;&lt;D xsi:type="xsd:long"&gt;43844&lt;/D&gt;&lt;D xsi:type="xsd:long"&gt;43875&lt;/D&gt;&lt;D xsi:type="xsd:long"&gt;43903&lt;/D&gt;&lt;D xsi:type="xsd:long"&gt;43935&lt;/D&gt;&lt;D xsi:type="xsd:long"&gt;43965&lt;/D&gt;&lt;D xsi:type="xsd:long"&gt;43994&lt;/D&gt;&lt;D xsi:type="xsd:long"&gt;44026&lt;/D&gt;&lt;D xsi:type="xsd:long"&gt;44057&lt;/D&gt;&lt;D xsi:type="xsd:long"&gt;44088&lt;/D&gt;&lt;D xsi:type="xsd:long"&gt;44118&lt;/D&gt;&lt;D xsi:type="xsd:long"&gt;44148&lt;/D&gt;&lt;D xsi:type="xsd:long"&gt;44179&lt;/D&gt;&lt;D xsi:type="xsd:long"&gt;44210&lt;/D&gt;&lt;D xsi:type="xsd:long"&gt;44239&lt;/D&gt;&lt;D xsi:type="xsd:long"&gt;44267&lt;/D&gt;&lt;D xsi:type="xsd:long"&gt;44300&lt;/D&gt;&lt;D xsi:type="xsd:long"&gt;44330&lt;/D&gt;&lt;D xsi:type="xsd:long"&gt;44361&lt;/D&gt;&lt;D xsi:type="xsd:long"&gt;44391&lt;/D&gt;&lt;D xsi:type="xsd:long"&gt;44421&lt;/D&gt;&lt;D xsi:type="xsd:long"&gt;44453&lt;/D&gt;&lt;D xsi:type="xsd:long"&gt;44483&lt;/D&gt;&lt;D xsi:type="xsd:long"&gt;44512&lt;/D&gt;&lt;D xsi:type="xsd:long"&gt;44544&lt;/D&gt;&lt;D xsi:type="xsd:long"&gt;44575&lt;/D&gt;&lt;D xsi:type="xsd:long"&gt;44606&lt;/D&gt;&lt;D xsi:type="xsd:long"&gt;44634&lt;/D&gt;&lt;D xsi:type="xsd:long"&gt;44665&lt;/D&gt;&lt;D xsi:type="xsd:long"&gt;44694&lt;/D&gt;&lt;D xsi:type="xsd:long"&gt;44726&lt;/D&gt;&lt;D xsi:type="xsd:long"&gt;44756&lt;/D&gt;&lt;D xsi:type="xsd:long"&gt;44785&lt;/D&gt;&lt;D xsi:type="xsd:long"&gt;44818&lt;/D&gt;&lt;D xsi:type="xsd:long"&gt;44848&lt;/D&gt;&lt;D xsi:type="xsd:long"&gt;44879&lt;/D&gt;&lt;D xsi:type="xsd:long"&gt;44909&lt;/D&gt;&lt;D xsi:type="xsd:long"&gt;44939&lt;/D&gt;&lt;D xsi:type="xsd:long"&gt;44971&lt;/D&gt;&lt;D xsi:type="xsd:long"&gt;44999&lt;/D&gt;&lt;D xsi:type="xsd:long"&gt;45030&lt;/D&gt;&lt;D xsi:type="xsd:long"&gt;45058&lt;/D&gt;&lt;D xsi:type="xsd:long"&gt;45091&lt;/D&gt;&lt;D xsi:type="xsd:long"&gt;45121&lt;/D&gt;&lt;D xsi:type="xsd:long"&gt;45152&lt;/D&gt;&lt;D xsi:type="xsd:long"&gt;45183&lt;/D&gt;&lt;D xsi:type="xsd:long"&gt;45212&lt;/D&gt;&lt;D xsi:type="xsd:long"&gt;45244&lt;/D&gt;&lt;D xsi:type="xsd:long"&gt;45274&lt;/D&gt;&lt;D xsi:type="xsd:long"&gt;45303&lt;/D&gt;&lt;D xsi:type="xsd:long"&gt;45336&lt;/D&gt;&lt;D xsi:type="xsd:long"&gt;45364&lt;/D&gt;&lt;/FQL&gt;&lt;FQL&gt;&lt;Q&gt;NI-FDS^FG_PRICE(0)&lt;/Q&gt;&lt;R&gt;1&lt;/R&gt;&lt;C&gt;1&lt;/C&gt;&lt;D xsi:type="xsd:double"&gt;17755&lt;/D&gt;&lt;/FQL&gt;&lt;FQL&gt;&lt;Q&gt;BRENT-FDS^FG_PRICE(0)&lt;/Q&gt;&lt;R&gt;1&lt;/R&gt;&lt;C&gt;1&lt;/C&gt;&lt;D xsi:type="xsd:double"&gt;85.86&lt;/D&gt;&lt;/FQL&gt;&lt;FQL&gt;&lt;Q&gt;EWJ^FG_TOTAL_RETURNC(0,-6AM)&lt;/Q&gt;&lt;R&gt;1&lt;/R&gt;&lt;C&gt;1&lt;/C&gt;&lt;D xsi:type="xsd:double"&gt;10.567403&lt;/D&gt;&lt;/FQL&gt;&lt;FQL&gt;&lt;Q&gt;VWO^PERCENT_CHANGE(FMA_EPS(+1,0,,,,"PORTAGG","MEAN"),FMA_EPS(+1,-3AM,,,,"PORTAGG","MEAN"))&lt;/Q&gt;&lt;R&gt;1&lt;/R&gt;&lt;C&gt;1&lt;/C&gt;&lt;D xsi:type="xsd:double"&gt;-4.3408333882002&lt;/D&gt;&lt;/FQL&gt;&lt;FQL&gt;&lt;Q&gt;EWU^PERCENT_CHANGE(FMA_EPS(+1,0,,,,"PORTAGG","MEAN"),FMA_EPS(+1,-3AM,,,,"PORTAGG","MEAN"))&lt;/Q&gt;&lt;R&gt;1&lt;/R&gt;&lt;C&gt;1&lt;/C&gt;&lt;D xsi:type="xsd:double"&gt;-5.61856991391505&lt;/D&gt;&lt;/FQL&gt;&lt;FQL&gt;&lt;Q&gt;ENZL^FG_ROE(0)&lt;/Q&gt;&lt;R&gt;1&lt;/R&gt;&lt;C&gt;1&lt;/C&gt;&lt;D xsi:type="xsd:double"&gt;5.44505133334689&lt;/D&gt;&lt;/FQL&gt;&lt;FQL&gt;&lt;Q&gt;TRYUS10Y-FDS^FG_YIELD_NAME&lt;/Q&gt;&lt;R&gt;1&lt;/R&gt;&lt;C&gt;1&lt;/C&gt;&lt;D xsi:type="xsd:string"&gt;US Benchmark Bond - 10 Year&lt;/D&gt;&lt;/FQL&gt;&lt;FQL&gt;&lt;Q&gt;EWL^PERCENT_CHANGE(FMA_EPS(+1,0,,,,"PORTAGG","MEAN"),FMA_EPS(+1,-1AM,,,,"PORTAGG","MEAN"))&lt;/Q&gt;&lt;R&gt;1&lt;/R&gt;&lt;C&gt;1&lt;/C&gt;&lt;D xsi:type="xsd:double"&gt;0.746132020003152&lt;/D&gt;&lt;/FQL&gt;&lt;FQL&gt;&lt;Q&gt;TRYFR10Y-FDS^FG_YIELD_NAME&lt;/Q&gt;&lt;R&gt;1&lt;/R&gt;&lt;C&gt;1&lt;/C&gt;&lt;D xsi:type="xsd:string"&gt;France Benchmark Bond - 10 Year&lt;/D&gt;&lt;/FQL&gt;&lt;FQL&gt;&lt;Q&gt;GLD^FG_TOTAL_RETURNC(0,-1AM)&lt;/Q&gt;&lt;R&gt;1&lt;/R&gt;&lt;C&gt;1&lt;/C&gt;&lt;D xsi:type="xsd:double"&gt;8.637894&lt;/D&gt;&lt;/FQL&gt;&lt;FQL&gt;&lt;Q&gt;EWD^FMA_EVAL_EBIT(LTMA,NOW,NOW,M,"PORTAGG","MEANR")&lt;/Q&gt;&lt;R&gt;1&lt;/R&gt;&lt;C&gt;1&lt;/C&gt;&lt;D xsi:type="xsd:double"&gt;15.9080249848251&lt;/D&gt;&lt;/FQL&gt;&lt;FQL&gt;&lt;Q&gt;CPALM-FDS^FG_PRICE_CHANGE(0,-1AY)&lt;/Q&gt;&lt;R&gt;1&lt;/R&gt;&lt;C&gt;1&lt;/C&gt;&lt;D xsi:type="xsd:double"&gt;5.5325371679259&lt;/D&gt;&lt;/FQL&gt;&lt;FQL&gt;&lt;Q&gt;USDCHF^FG_PRICE_CHANGE(0,-3AM)&lt;/Q&gt;&lt;R&gt;1&lt;/R&gt;&lt;C&gt;1&lt;/C&gt;&lt;D xsi:type="xsd:double"&gt;2.0091176&lt;/D&gt;&lt;/FQL&gt;&lt;FQL&gt;&lt;Q&gt;USDCHF^FG_PRICE(0)&lt;/Q&gt;&lt;R&gt;1&lt;/R&gt;&lt;C&gt;1&lt;/C&gt;&lt;D xsi:type="xsd:double"&gt;0.88345&lt;/D&gt;&lt;/FQL&gt;&lt;FQL&gt;&lt;Q&gt;EWA^FMA_ROE(NTMA,-20AY,NOW,FY,"PORTAGG","MEANR")&lt;/Q&gt;&lt;R&gt;20&lt;/R&gt;&lt;C&gt;1&lt;/C&gt;&lt;D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xsi:type="xsd:double"&gt;13.2261379950135&lt;/D&gt;&lt;/FQL&gt;&lt;FQL&gt;&lt;Q&gt;EWN^FMA_EVAL_EBITDA(NTMA,0,,,"PORTAGG","MEANR")&lt;/Q&gt;&lt;R&gt;1&lt;/R&gt;&lt;C&gt;1&lt;/C&gt;&lt;D xsi:type="xsd:double"&gt;12.674509822792&lt;/D&gt;&lt;/FQL&gt;&lt;FQL&gt;&lt;Q&gt;W-FDS^MAX(FG_PRICE(0,-5AY))&lt;/Q&gt;&lt;R&gt;1&lt;/R&gt;&lt;C&gt;1&lt;/C&gt;&lt;D xsi:type="xsd:double"&gt;14.2525&lt;/D&gt;&lt;/FQL&gt;&lt;FQL&gt;&lt;Q&gt;QQQ^FMA_DIV_YLD(NTMA,NOW,NOW,M,"PORTAGG","MEANR")&lt;/Q&gt;&lt;R&gt;1&lt;/R&gt;&lt;C&gt;1&lt;/C&gt;&lt;D xsi:type="xsd:double"&gt;0.882715245238905&lt;/D&gt;&lt;/FQL&gt;&lt;FQL&gt;&lt;Q&gt;DUMMY^ECON_DATE(45245,,, 'MM/YYYY')&lt;/Q&gt;&lt;R&gt;1&lt;/R&gt;&lt;C&gt;1&lt;/C&gt;&lt;D xsi:type="xsd:string"&gt;11/2023&lt;/D&gt;&lt;/FQL&gt;&lt;FQL&gt;&lt;Q&gt;EWJ^FG_TOTAL_RETURNC(-10AY,0,AM)&lt;/Q&gt;&lt;R&gt;121&lt;/R&gt;&lt;C&gt;1&lt;/C&gt;&lt;D xsi:type="xsd:double"&gt;-2.9877007&lt;/D&gt;&lt;D xsi:type="xsd:double"&gt;-0.8152187&lt;/D&gt;&lt;D xsi:type="xsd:double"&gt;2.6484013&lt;/D&gt;&lt;D xsi:type="xsd:double"&gt;5.249107&lt;/D&gt;&lt;D xsi:type="xsd:double"&gt;2.8121471&lt;/D&gt;&lt;D xsi:type="xsd:double"&gt;-1.0761619&lt;/D&gt;&lt;D xsi:type="xsd:double"&gt;-1.338911&lt;/D&gt;&lt;D xsi:type="xsd:double"&gt;-6.785411&lt;/D&gt;&lt;D xsi:type="xsd:double"&gt;7.0973635&lt;/D&gt;&lt;D xsi:type="xsd:double"&gt;-3.4834385&lt;/D&gt;&lt;D xsi:type="xsd:double"&gt;-1.1824489&lt;/D&gt;&lt;D xsi:type="xsd:double"&gt;6.899643&lt;/D&gt;&lt;D xsi:type="xsd:double"&gt;4.6102166&lt;/D&gt;&lt;D xsi:type="xsd:double"&gt;3.6458373&lt;/D&gt;&lt;D xsi:type="xsd:double"&gt;1.082325&lt;/D&gt;&lt;D xsi:type="xsd:double"&gt;-0.87953806&lt;/D&gt;&lt;D xsi:type="xsd:double"&gt;0.1167655&lt;/D&gt;&lt;D xsi:type="xsd:double"&gt;0.0774622&lt;/D&gt;&lt;D xsi:type="xsd:double"&gt;-9.365326&lt;/D&gt;&lt;D xsi:type="xsd:double"&gt;1.1955619&lt;/D&gt;&lt;D xsi:type="xsd:double"&gt;4.219413&lt;/D&gt;&lt;D xsi:type="xsd:double"&gt;-1.8623531&lt;/D&gt;&lt;D xsi:type="xsd:double"&gt;-4.424751&lt;/D&gt;&lt;D xsi:type="xsd:double"&gt;-9.478265&lt;/D&gt;&lt;D xsi:type="xsd:double"&gt;11.239195&lt;/D&gt;&lt;D xsi:type="xsd:double"&gt;2.6770353&lt;/D&gt;&lt;D xsi:type="xsd:double"&gt;-3.027761&lt;/D&gt;&lt;D xsi:type="xsd:double"&gt;-1.2142181&lt;/D&gt;&lt;D xsi:type="xsd:double"&gt;5.4836392&lt;/D&gt;&lt;D xsi:type="xsd:double"&gt;3.4395933&lt;/D&gt;&lt;D xsi:type="xsd:double"&gt;-1.622057&lt;/D&gt;&lt;D xsi:type="xsd:double"&gt;1.7312407&lt;/D&gt;&lt;D xsi:type="xsd:double"&gt;0.40519238&lt;/D&gt;&lt;D xsi:type="xsd:double"&gt;2.0177603&lt;/D&gt;&lt;D xsi:type="xsd:double"&gt;1.8332005&lt;/D&gt;&lt;D xsi:type="xsd:double"&gt;0.62880516&lt;/D&gt;&lt;D xsi:type="xsd:double"&gt;0.058591366&lt;/D&gt;&lt;D xsi:type="xsd:double"&gt;-1.2295127&lt;/D&gt;&lt;D xsi:type="xsd:double"&gt;3.4775734&lt;/D&gt;&lt;D xsi:type="xsd:double"&gt;4.1244984&lt;/D&gt;&lt;D xsi:type="xsd:double"&gt;-1.016897&lt;/D&gt;&lt;D xsi:type="xsd:double"&gt;1.5662909&lt;/D&gt;&lt;D xsi:type="xsd:double"&gt;1.2667537&lt;/D&gt;&lt;D xsi:type="xsd:double"&gt;4.0246606&lt;/D&gt;&lt;D xsi:type="xsd:double"&gt;1.9693255&lt;/D&gt;&lt;D xsi:type="xsd:double"&gt;2.3243904&lt;/D&gt;&lt;D xsi:type="xsd:double"&gt;6.706536&lt;/D&gt;&lt;D xsi:type="xsd:double"&gt;-4.853445&lt;/D&gt;&lt;D xsi:type="xsd:double"&gt;0.7618427&lt;/D&gt;&lt;D xsi:type="xsd:double"&gt;-1.0026336&lt;/D&gt;&lt;D xsi:type="xsd:double"&gt;2.3078203&lt;/D&gt;&lt;D xsi:type="xsd:double"&gt;-1.590395&lt;/D&gt;&lt;D xsi:type="xsd:double"&gt;-4.335773&lt;/D&gt;&lt;D xsi:type="xsd:double"&gt;-0.29534698&lt;/D&gt;&lt;D xsi:type="xsd:double"&gt;1.2719989&lt;/D&gt;&lt;D xsi:type="xsd:double"&gt;-2.3916006&lt;/D&gt;&lt;D xsi:type="xsd:double"&gt;-4.2129397&lt;/D&gt;&lt;D xsi:type="xsd:double"&gt;-2.5395691&lt;/D&gt;&lt;D xsi:type="xsd:double"&gt;0.18569231&lt;/D&gt;&lt;D xsi:type="xsd:double"&gt;2.184236&lt;/D&gt;&lt;D xsi:type="xsd:double"&gt;-0.20446181&lt;/D&gt;&lt;D xsi:type="xsd:double"&gt;2.5516868&lt;/D&gt;&lt;D xsi:type="xsd:double"&gt;-2.6698172&lt;/D&gt;&lt;D xsi:type="xsd:double"&gt;0.7650733&lt;/D&gt;&lt;D xsi:type="xsd:double"&gt;2.9447913&lt;/D&gt;&lt;D xsi:type="xsd:double"&gt;-4.9555244&lt;/D&gt;&lt;D xsi:type="xsd:double"&gt;8.613443&lt;/D&gt;&lt;D xsi:type="xsd:double"&gt;0.05276203&lt;/D&gt;&lt;D xsi:type="xsd:double"&gt;4.4639707&lt;/D&gt;&lt;D xsi:type="xsd:double"&gt;2.1702528&lt;/D&gt;&lt;D xsi:type="xsd:double"&gt;-0.22868514&lt;/D&gt;&lt;D xsi:type="xsd:double"&gt;-2.3881078&lt;/D&gt;&lt;D xsi:type="xsd:double"&gt;-20.838326&lt;/D&gt;&lt;D xsi:type="xsd:double"&gt;10.417116&lt;/D&gt;&lt;D xsi:type="xsd:double"&gt;1.0373831&lt;/D&gt;&lt;D xsi:type="xsd:double"&gt;8.756292&lt;/D&gt;&lt;D xsi:type="xsd:double"&gt;0.44261217&lt;/D&gt;&lt;D xsi:type="xsd:double"&gt;3.4143686&lt;/D&gt;&lt;D xsi:type="xsd:double"&gt;1.9360423&lt;/D&gt;&lt;D xsi:type="xsd:double"&gt;0.93268156&lt;/D&gt;&lt;D xsi:type="xsd:double"&gt;6.485212&lt;/D&gt;&lt;D xsi:type="xsd:double"&gt;4.3992877&lt;/D&gt;&lt;D xsi:type="xsd:double"&gt;6.0840487&lt;/D&gt;&lt;D xsi:type="xsd:double"&gt;2.331245&lt;/D&gt;&lt;D xsi:type="xsd:double"&gt;-3.6477983&lt;/D&gt;&lt;D xsi:type="xsd:double"&gt;0.88483095&lt;/D&gt;&lt;D xsi:type="xsd:double"&gt;-3.652048&lt;/D&gt;&lt;D xsi:type="xsd:double"&gt;3.5150528&lt;/D&gt;&lt;D xsi:type="xsd:double"&gt;-0.15974641&lt;/D&gt;&lt;D xsi:type="xsd:double"&gt;-0.16000271&lt;/D&gt;&lt;D xsi:type="xsd:double"&gt;6.934738&lt;/D&gt;&lt;D xsi:type="xsd:double</t>
        </r>
      </text>
    </comment>
    <comment ref="A11" authorId="0" shapeId="0" xr:uid="{FE729E04-8D61-4A4C-8649-F1568CAD657D}">
      <text>
        <r>
          <rPr>
            <b/>
            <sz val="9"/>
            <color indexed="81"/>
            <rFont val="Tahoma"/>
            <charset val="1"/>
          </rPr>
          <t xml:space="preserve">"&gt;-6.9209814&lt;/D&gt;&lt;D xsi:type="xsd:double"&gt;2.5761127&lt;/D&gt;&lt;D xsi:type="xsd:double"&gt;-3.400302&lt;/D&gt;&lt;D xsi:type="xsd:double"&gt;0.6286621&lt;/D&gt;&lt;D xsi:type="xsd:double"&gt;-4.863906&lt;/D&gt;&lt;D xsi:type="xsd:double"&gt;-8.348966&lt;/D&gt;&lt;D xsi:type="xsd:double"&gt;-0.3752947&lt;/D&gt;&lt;D xsi:type="xsd:double"&gt;-3.5616457&lt;/D&gt;&lt;D xsi:type="xsd:double"&gt;-5.153525&lt;/D&gt;&lt;D xsi:type="xsd:double"&gt;-1.3043523&lt;/D&gt;&lt;D xsi:type="xsd:double"&gt;9.231949&lt;/D&gt;&lt;D xsi:type="xsd:double"&gt;-8.679634&lt;/D&gt;&lt;D xsi:type="xsd:double"&gt;-6.9508495&lt;/D&gt;&lt;D xsi:type="xsd:double"&gt;11.824179&lt;/D&gt;&lt;D xsi:type="xsd:double"&gt;3.3293486&lt;/D&gt;&lt;D xsi:type="xsd:double"&gt;1.610887&lt;/D&gt;&lt;D xsi:type="xsd:double"&gt;1.8143415&lt;/D&gt;&lt;D xsi:type="xsd:double"&gt;-2.9757738&lt;/D&gt;&lt;D xsi:type="xsd:double"&gt;4.2082667&lt;/D&gt;&lt;D xsi:type="xsd:double"&gt;3.011644&lt;/D&gt;&lt;D xsi:type="xsd:double"&gt;6.7282557&lt;/D&gt;&lt;D xsi:type="xsd:double"&gt;-2.1630108&lt;/D&gt;&lt;D xsi:type="xsd:double"&gt;-2.5632799&lt;/D&gt;&lt;D xsi:type="xsd:double"&gt;4.143369&lt;/D&gt;&lt;D xsi:type="xsd:double"&gt;-5.9362173&lt;/D&gt;&lt;D xsi:type="xsd:double"&gt;3.4575343&lt;/D&gt;&lt;D xsi:type="xsd:double"&gt;3.3744335&lt;/D&gt;&lt;D xsi:type="xsd:double"&gt;5.7224154&lt;/D&gt;&lt;D xsi:type="xsd:double"&gt;0.8580446&lt;/D&gt;&lt;D xsi:type="xsd:double"&gt;3.0746222&lt;/D&gt;&lt;/FQL&gt;&lt;FQL&gt;&lt;Q&gt;SPY^FMA_EPS(NTMA,-20AY,0,CY,,"PORTAGG","MEANR")&lt;/Q&gt;&lt;R&gt;20&lt;/R&gt;&lt;C&gt;1&lt;/C&gt;&lt;D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xsi:type="xsd:double"&gt;22.2767073894672&lt;/D&gt;&lt;D xsi:type="xsd:double"&gt;22.9690023603335&lt;/D&gt;&lt;D xsi:type="xsd:double"&gt;24.3477044403499&lt;/D&gt;&lt;/FQL&gt;&lt;FQL&gt;&lt;Q&gt;UUP^P_PRICE(0)/P_PRICE_HIGH_PR(0,,,USD,,,"PRICE","INTRA","52W")&lt;/Q&gt;&lt;R&gt;1&lt;/R&gt;&lt;C&gt;1&lt;/C&gt;&lt;D xsi:type="xsd:double"&gt;0.92657053&lt;/D&gt;&lt;/FQL&gt;&lt;FQL&gt;&lt;Q&gt;EWC^FMA_EPS(NTMA,-20AY,0,CY,,"PORTAGG","MEANR")&lt;/Q&gt;&lt;R&gt;20&lt;/R&gt;&lt;C&gt;1&lt;/C&gt;&lt;D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xsi:type="xsd:double"&gt;2.68263358415049&lt;/D&gt;&lt;/FQL&gt;&lt;FQL&gt;&lt;Q&gt;QQQ^FG_PRICE_MAVG(0,,,,30)&lt;/Q&gt;&lt;R&gt;1&lt;/R&gt;&lt;C&gt;1&lt;/C&gt;&lt;D xsi:type="xsd:double"&gt;435.21768&lt;/D&gt;&lt;/FQL&gt;&lt;FQL&gt;&lt;Q&gt;ENZL^FG_PRICE_MAVG(0,,,,30)&lt;/Q&gt;&lt;R&gt;1&lt;/R&gt;&lt;C&gt;1&lt;/C&gt;&lt;D xsi:type="xsd:double"&gt;45.6865&lt;/D&gt;&lt;/FQL&gt;&lt;FQL&gt;&lt;Q&gt;EWD^P_PRICE(0)/P_PRICE_HIGH_PR(0,,,USD,,,"PRICE","INTRA","52W")&lt;/Q&gt;&lt;R&gt;1&lt;/R&gt;&lt;C&gt;1&lt;/C&gt;&lt;D xsi:type="xsd:double"&gt;0.9853224&lt;/D&gt;&lt;/FQL&gt;&lt;FQL&gt;&lt;Q&gt;EWL^SIZE(FG_CONSTITUENTS)&lt;/Q&gt;&lt;R&gt;1&lt;/R&gt;&lt;C&gt;1&lt;/C&gt;&lt;D xsi:type="xsd:long"&gt;46&lt;/D&gt;&lt;/FQL&gt;&lt;FQL&gt;&lt;Q&gt;EWL^FMA_EVAL_EBITDA(NTMA,0,,,"PORTAGG","MEANR")&lt;/Q&gt;&lt;R&gt;1&lt;/R&gt;&lt;C&gt;1&lt;/C&gt;&lt;D xsi:type="xsd:double"&gt;13.2264679310387&lt;/D&gt;&lt;/FQL&gt;&lt;FQL&gt;&lt;Q&gt;TLT^FG_TOTAL_RETURNC(0,-6AM)&lt;/Q&gt;&lt;R&gt;1&lt;/R&gt;&lt;C&gt;1&lt;/C&gt;&lt;D xsi:type="xsd:double"&gt;1.3159633&lt;/D&gt;&lt;/FQL&gt;&lt;FQL&gt;&lt;Q&gt;VWO^PERCENT_CHANGE(FMA_EPS(+1,0,,,,"PORTAGG","MEAN"),FMA_EPS(+1,-1AM,,,,"PORTAGG","MEAN"))&lt;/Q&gt;&lt;R&gt;1&lt;/R&gt;&lt;C&gt;1&lt;/C&gt;&lt;D xsi:type="xsd:double"&gt;0&lt;/D&gt;&lt;/FQL&gt;&lt;FQL&gt;&lt;Q&gt;TRYPH10Y-FDS^FG_YIELD(-10AY,0,Y,,"YTM")&lt;/Q&gt;&lt;R&gt;10&lt;/R&gt;&lt;C&gt;1&lt;/C&gt;&lt;D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xsi:type="xsd:double"&gt;6.0028777&lt;/D&gt;&lt;/FQL&gt;&lt;FQL&gt;&lt;Q&gt;CAGDPY@NL^EE_ACTUAL_ANNUAL(MED,0)&lt;/Q&gt;&lt;R&gt;1&lt;/R&gt;&lt;C&gt;1&lt;/C&gt;&lt;D xsi:type="xsd:double"&gt;9.1&lt;/D&gt;&lt;/FQL&gt;&lt;FQL&gt;&lt;Q&gt;USDSEK^FG_PRICE_CHANGE(0,-1AM)&lt;/Q&gt;&lt;R&gt;1&lt;/R&gt;&lt;C&gt;1&lt;/C&gt;&lt;D xsi:type="xsd:double"&gt;-1.9301593&lt;/D&gt;&lt;/FQL&gt;&lt;FQL&gt;&lt;Q&gt;USDCAD^STD(FG_PRICE_CHANGE(0,-1AY,AM))&lt;/Q&gt;&lt;R&gt;1&lt;/R&gt;&lt;C&gt;1&lt;/C&gt;&lt;D xsi:type="xsd:double"&gt;1.57299166694209&lt;/D&gt;&lt;/FQL&gt;&lt;FQL&gt;&lt;Q&gt;EWI^P_PRICE_RETURNS_PR('52W',2,-10AY,0,AM)&lt;/Q&gt;&lt;R&gt;121&lt;/R&gt;&lt;C&gt;1&lt;/C&gt;&lt;D xsi:type="xsd:double"&gt;36.432182&lt;/D&gt;&lt;D xsi:type="xsd:double"&gt;45.557045&lt;/D&gt;&lt;D xsi:type="xsd:double"&gt;31.849552&lt;/D&gt;&lt;D xsi:type="xsd:double"&gt;41.03261&lt;/D&gt;&lt;D xsi:type="xsd:double"&gt;43.035053&lt;/D&gt;&lt;D xsi:type="xsd:double"&gt;14.50088&lt;/D&gt;&lt;D xsi:type="xsd:double"&gt;19.685268&lt;/D&gt;&lt;D xsi:type="xsd:double"&gt;-4.461664&lt;/D&gt;&lt;D xsi:type="xsd:double"&gt;-3.4235537&lt;/D&gt;&lt;D xsi:type="xsd:double"&gt;-3.3575594&lt;/D&gt;&lt;D xsi:type="xsd:double"&gt;-16.867054&lt;/D&gt;&lt;D xsi:type="xsd:double"&gt;-10.152167&lt;/D&gt;&lt;D xsi:type="xsd:double"&gt;-12.726188&lt;/D&gt;&lt;D xsi:type="xsd:double"&gt;-12.048351&lt;/D&gt;&lt;D xsi:type="xsd:double"&gt;-4.9198627&lt;/D&gt;&lt;D xsi:type="xsd:double"&gt;-11.595768&lt;/D&gt;&lt;D xsi:type="xsd:double"&gt;-7.173705&lt;/D&gt;&lt;D xsi:type="xsd:double"&gt;3.3969283&lt;/D&gt;&lt;D xsi:type="xsd:double"&gt;-7.1057615&lt;/D&gt;&lt;D xsi:type="xsd:double"&gt;7.74945&lt;/D&gt;&lt;D xsi:type="xsd:double"&gt;1.8876314&lt;/D&gt;&lt;D xsi:type="xsd:double"&gt;2.0961165&lt;/D&gt;&lt;D xsi:type="xsd:double"&gt;1.9905686&lt;/D&gt;&lt;D xsi:type="xsd:double"&gt;-21.479733&lt;/D&gt;&lt;D xsi:type="xsd:double"&gt;-10.259313&lt;/D&gt;&lt;D xsi:type="xsd:double"&gt;-17.803823&lt;/D&gt;&lt;D xsi:type="xsd:double"&gt;-22.59965&lt;/D&gt;&lt;D xsi:type="xsd:double"&gt;-26.877707&lt;/D&gt;&lt;D xsi:type="xsd:double"&gt;-24.851263&lt;/D&gt;&lt;D xsi:type="xsd:double"&gt;-25.645733&lt;/D&gt;&lt;D xsi:type="xsd:double"&gt;-21.90826&lt;/D&gt;&lt;D xsi:type="xsd:double"&gt;-25.738495&lt;/D&gt;&lt;D xsi:type="xsd:double"&gt;-20.201874&lt;/D&gt;&lt;D xsi:type="xsd:double"&gt;-10.893613&lt;/D&gt;&lt;D xsi:type="xsd:double"&gt;-0.61445236&lt;/D&gt;&lt;D xsi:type="xsd:double"&gt;12.237072&lt;/D&gt;&lt;D xsi:type="xsd:double"&gt;1.2695551&lt;/D&gt;&lt;D xsi:type="xsd:double"&gt;6.0695767&lt;/D&gt;&lt;D xsi:type="xsd:double"&gt;20.464611&lt;/D&gt;&lt;D xsi:type="xsd:double"&gt;31.61124&lt;/D&gt;&lt;D xsi:type="xsd:double"&gt;34.431435&lt;/D&gt;&lt;D xsi:type="xsd:double"&gt;36.14737&lt;/D&gt;&lt;D xsi:type="xsd:double"&gt;43.57618&lt;/D&gt;&lt;D xsi:type="xsd:double"&gt;47.657333&lt;/D&gt;&lt;D xsi:type="xsd:double"&gt;45.11416&lt;/D&gt;&lt;D xsi:type="xsd:double"&gt;32.47949&lt;/D&gt;&lt;D xsi:type="xsd:double"&gt;38.575745&lt;/D&gt;&lt;D xsi:type="xsd:double"&gt;39.374424&lt;/D&gt;&lt;D xsi:type="xsd:double"&gt;35.195984&lt;/D&gt;&lt;D xsi:type="xsd:double"&gt;38.32923&lt;/D&gt;&lt;D xsi:type="xsd:double"&gt;23.225164&lt;/D&gt;&lt;D xsi:type="xsd:double"&gt;10.898554&lt;/D&gt;&lt;D xsi:type="xsd:double"&gt;5.1639557&lt;/D&gt;&lt;D xsi:type="xsd:double"&gt;-4.9997926&lt;/D&gt;&lt;D xsi:type="xsd:double"&gt;-7.0376277&lt;/D&gt;&lt;D xsi:type="xsd:double"&gt;-13.808846&lt;/D&gt;&lt;D xsi:type="xsd:double"&gt;-15.023166&lt;/D&gt;&lt;D xsi:type="xsd:double"&gt;-15.548361&lt;/D&gt;&lt;D xsi:type="xsd:double"&gt;-20.087646&lt;/D&gt;&lt;D xsi:type="xsd:double"&gt;-17.06515&lt;/D&gt;&lt;D xsi:type="xsd:double"&gt;-11.827505&lt;/D&gt;&lt;D xsi:type="xsd:double"&gt;-11.217367&lt;/D&gt;&lt;D xsi:type="xsd:double"&gt;-16.347683&lt;/D&gt;&lt;D xsi:type="xsd:double"&gt;-7.2824774&lt;/D&gt;&lt;D xsi:type="xsd:double"&gt;2.6831865&lt;/D&gt;&lt;D xsi:type="xsd:double"&gt;-3.5911083&lt;/D&gt;&lt;D xsi:type="xsd:double"&gt;4.6154737&lt;/D&gt;&lt;D xsi:type="xsd:double"&gt;12.670493&lt;/D&gt;&lt;D xsi:type="xsd:double"&gt;22.158264&lt;/D&gt;&lt;D xsi:type="xsd:double"&gt;21.16462&lt;/D&gt;&lt;D xsi:type="xsd:double"&gt;21.560265&lt;/D&gt;&lt;D xsi:type="xsd:double"&gt;20.175625&lt;/D&gt;&lt;D xsi:type="xsd:double"&gt;-20.33763&lt;/D&gt;&lt;D xsi:type="xsd:double"&gt;-21.968842&lt;/D&gt;&lt;D xsi:type="xsd:double"&gt;-22.718699&lt;/D&gt;&lt;D xsi:type="xsd:double"&gt;-8.738285&lt;/D&gt;&lt;D xsi:type="xsd:double"&gt;-10.599756&lt;/D&gt;&lt;D xsi:type="xsd:double"&gt;4.7695875&lt;/D&gt;&lt;D xsi:type="xsd:double"&gt;-6.9685698&lt;/D&gt;&lt;D xsi:type="xsd:double"&gt;-8.24945&lt;/D&gt;&lt;D xsi:type="xsd:double"&gt;-5.456257&lt;/D&gt;&lt;D xsi:type="xsd:double"&gt;0.836432&lt;/D&gt;&lt;D xsi:type="xsd:double"&gt;3.0846357&lt;/D&gt;&lt;D xsi:type="xsd:double"&gt;4.34345&lt;/D&gt;&lt;D xsi:type="xsd:double"&gt;72.124626&lt;/D&gt;&lt;D xsi:type="xsd:double"&gt;52.845097&lt;/D&gt;&lt;D xsi:type="xsd:double"&gt;67.51014&lt;/D&gt;&lt;D xsi:type="xsd:double"&gt;46.376503&lt;/D&gt;&lt;D xsi:type="xsd:double"&gt;30.575502&lt;/D&gt;&lt;D xsi:type="xsd:double"&gt;31.801987&lt;/D&gt;&lt;D xsi:type="xsd:double"&gt;30.348623&lt;/D&gt;&lt;D xsi:type="xsd:double"&gt;33.710754&lt;/D&gt;&lt;D xsi:type="xsd:double"&gt;29.993069&lt;/D&gt;&lt;D xsi:type="xsd:double"&gt;13.480067&lt;/D&gt;&lt;D xsi:type="xsd:double"&gt;14.752352&lt;/D&gt;&lt;D xsi:type="xsd:double"&gt;5.5149913&lt;/D&gt;&lt;D xsi:type="xsd:double"&gt;-10.849995&lt;/D&gt;&lt;D xsi:type="xsd:double"&gt;-6.5641284&lt;/D&gt;&lt;D xsi:type="xsd:double"&gt;-13.968247&lt;/D&gt;&lt;D xsi:type="xsd:double"&gt;-24.86593&lt;/D&gt;&lt;D xsi:type="xsd:double"&gt;-28.378773&lt;/D&gt;&lt;D xsi:type="xsd:double"&gt;-21.155035&lt;/D&gt;&lt;D xsi:type="xsd:double"&gt;-23.298996&lt;/D&gt;&lt;D xsi:type="xsd:double"&gt;-30.722696&lt;/D&gt;&lt;D xsi:type="xsd:double"&gt;-16.666204&lt;/D&gt;&lt;D xsi:type="xsd:double"&gt;-9.075361&lt;/D&gt;&lt;D xsi:type="xsd:double"&gt;-7.8005433&lt;/D&gt;&lt;D xsi:type="xsd:double"&gt;1.22962&lt;/D&gt;&lt;D xsi:type="xsd:double"&gt;13.385212&lt;/D&gt;&lt;D xsi:type="xsd:double"&gt;14.228296&lt;/D&gt;&lt;D xsi:type="xsd:double"&gt;24.116528&lt;/D&gt;&lt;D xsi:type="xsd:double"&gt;32.812534&lt;/D&gt;&lt;D xsi:type="xsd:double"&gt;55.708122&lt;/D&gt;&lt;D xsi:type="xsd:double"&gt;30.842125&lt;/D&gt;&lt;D xsi:type="xsd:double"&gt;37.272514&lt;/D&gt;&lt;D xsi:type="xsd:double"&gt;42.14132&lt;/D&gt;&lt;D xsi:type="xsd:double"&gt;24.570107&lt;/D&gt;&lt;D xsi:type="xsd:double"&gt;26.49064&lt;/D&gt;&lt;D xsi:type="xsd:double"&gt;18.622185&lt;/D&gt;&lt;D xsi:type="xsd:double"&gt;14.437962&lt;/D&gt;&lt;D xsi:type="xsd:double"&gt;28.924381&lt;/D&gt;&lt;/FQL&gt;&lt;FQL&gt;&lt;Q&gt;EWG^FMA_DIV_YLD(NTMA,-10AY,0,AM,"PORTAGG","MEANR")&lt;/Q&gt;&lt;R&gt;121&lt;/R&gt;&lt;C&gt;1&lt;/C&gt;&lt;D xsi:type="xsd:double"&gt;3.0954207711104&lt;/D&gt;&lt;D xsi:type="xsd:double"&gt;3.05355207355697&lt;/D&gt;&lt;D xsi:type="xsd:double"&gt;2.9818191717131&lt;/D&gt;&lt;D xsi:type="xsd:double"&gt;2.98037365682393&lt;/D&gt;&lt;D xsi:type="xsd:double"&gt;3.06939873742183&lt;/D&gt;&lt;D xsi:type="xsd:double"&gt;3.24648147568606&lt;/D&gt;&lt;D xsi:type="xsd:double"&gt;3.12056939103687&lt;/D&gt;&lt;D xsi:type="xsd:double"&gt;3.4323118899646&lt;/D&gt;&lt;D xsi:type="xsd:double"&gt;3.35375031000128&lt;/D&gt;&lt;D xsi:type="xsd:double"&gt;3.25471664018052&lt;/D&gt;&lt;D xsi:type="xsd:double"&gt;3.19205410646404&lt;/D&gt;&lt;D xsi:type="xsd:double"&gt;2.87514862004182&lt;/D&gt;&lt;D xsi:type="xsd:double"&gt;2.67702364842334&lt;/D&gt;&lt;D xsi:type="xsd:double"&gt;2.64045023426705&lt;/D&gt;&lt;D xsi:type="xsd:double"&gt;2.87452299442916&lt;/D&gt;&lt;D xsi:type="xsd:double"&gt;3.01079436468088&lt;/D&gt;&lt;D xsi:type="xsd:double"&gt;2.95038360215307&lt;/D&gt;&lt;D xsi:type="xsd:double"&gt;3.1071143406151&lt;/D&gt;&lt;D xsi:type="xsd:double"&gt;3.37189746417836&lt;/D&gt;&lt;D xsi:type="xsd:double"&gt;3.36919725934608&lt;/D&gt;&lt;D xsi:type="xsd:double"&gt;3.02524501940281&lt;/D&gt;&lt;D xsi:type="xsd:double"&gt;3.20837258219867&lt;/D&gt;&lt;D xsi:type="xsd:double"&gt;3.33738395964124&lt;/D&gt;&lt;D xsi:type="xsd:double"&gt;3.66381175684841&lt;/D&gt;&lt;D xsi:type="xsd:double"&gt;3.28614667514841&lt;/D&gt;&lt;D xsi:type="xsd:double"&gt;3.25822543296522&lt;/D&gt;&lt;D xsi:type="xsd:double"&gt;3.35534822446799&lt;/D&gt;&lt;D xsi:type="xsd:double"&gt;3.53146340690515&lt;/D&gt;&lt;D xsi:type="xsd:double"&gt;3.3493611147211&lt;/D&gt;&lt;D xsi:type="xsd:double"&gt;3.14439179500874&lt;/D&gt;&lt;D xsi:type="xsd:double"&gt;3.23711215255956&lt;/D&gt;&lt;D xsi:type="xsd:double"&gt;3.13761306977243&lt;/D&gt;&lt;D xsi:type="xsd:double"&gt;3.17777418284568&lt;/D&gt;&lt;D xsi:type="xsd:double"&gt;3.02525305400379&lt;/D&gt;&lt;D xsi:type="xsd:double"&gt;2.94285311543887&lt;/D&gt;&lt;D xsi:type="xsd:double"&gt;2.94926671142381&lt;/D&gt;&lt;D xsi:type="xsd:double"&gt;2.95026822177531&lt;/D&gt;&lt;D xsi:type="xsd:double"&gt;2.94226077264417&lt;/D&gt;&lt;D xsi:type="xsd:double"&gt;2.87009759506073&lt;/D&gt;&lt;D xsi:type="xsd:double"&gt;2.91149483920843&lt;/D&gt;&lt;D xsi:type="xsd:double"&gt;2.96479966206862&lt;/D&gt;&lt;D xsi:type="xsd:double"&gt;3.095183279079&lt;/D&gt;&lt;D xsi:type="xsd:double"&gt;3.04294286852118&lt;/D&gt;&lt;D xsi:type="xsd:double"&gt;2.95209275135233&lt;/D&gt;&lt;D xsi:type="xsd:double"&gt;2.94918645415853&lt;/D&gt;&lt;D xsi:type="xsd:double"&gt;2.91318615492746&lt;/D&gt;&lt;D xsi:type="xsd:double"&gt;2.8856312831675&lt;/D&gt;&lt;D xsi:type="xsd:double"&gt;3.15034486927769&lt;/D&gt;&lt;D xsi:type="xsd:double"&gt;3.19302436007344&lt;/D&gt;&lt;D xsi:type="xsd:double"&gt;3.18301752127529&lt;/D&gt;&lt;D xsi:type="xsd:double"&gt;3.10668328181466&lt;/D&gt;&lt;D xsi:type="xsd:double"&gt;3.06715077542423&lt;/D&gt;&lt;D xsi:type="xsd:double"&gt;3.21353332551167&lt;/D&gt;&lt;D xsi:type="xsd:double"&gt;3.26964614546269&lt;/D&gt;&lt;D xsi:type="xsd:double"&gt;3.3270890147803&lt;/D&gt;&lt;D xsi:type="xsd:double"&gt;3.54638743823307&lt;/D&gt;&lt;D xsi:type="xsd:double"&gt;3.61089126216275&lt;/D&gt;&lt;D xsi:type="xsd:double"&gt;3.83260562643701&lt;/D&gt;&lt;D xsi:type="xsd:double"&gt;3.834815780181&lt;/D&gt;&lt;D xsi:type="xsd:double"&gt;3.73747127285163&lt;/D&gt;&lt;D xsi:type="xsd:double"&gt;3.59313632325058&lt;/D&gt;&lt;D xsi:type="xsd:double"&gt;3.47734890093575&lt;/D&gt;&lt;D xsi:type="xsd:double"&gt;3.54029111067107&lt;/D&gt;&lt;D xsi:type="xsd:double"&gt;3.58033519115343&lt;/D&gt;&lt;D xsi:type="xsd:double"&gt;3.48411784281128&lt;/D&gt;&lt;D xsi:type="xsd:double"&gt;3.67420227738149&lt;/D&gt;&lt;D xsi:type="xsd:double"&gt;3.37548867014192&lt;/D&gt;&lt;D xsi:type="xsd:double"&gt;3.38154747439027&lt;/D&gt;&lt;D xsi:type="xsd:double"&gt;3.13300829457794&lt;/D&gt;&lt;D xsi:type="xsd:double"&gt;3.0852074531355&lt;/D&gt;&lt;D xsi:type="xsd:double"&gt;3.05680568682681&lt;/D&gt;&lt;D xsi:type="xsd:double"&gt;2.99908874490686&lt;/D&gt;&lt;D xsi:type="xsd:double"&gt;4.44654209242415&lt;/D&gt;&lt;D xsi:type="xsd:double"&gt;3.53452209622355&lt;/D&gt;&lt;D xsi:type="xsd:double"&gt;3.48296336004733&lt;/D&gt;&lt;D xsi:type="xsd:double"&gt;2.98053909761156&lt;/D&gt;&lt;D xsi:type="xsd:double"&gt;2.84200293057688&lt;/D&gt;&lt;D xsi:type="xsd:double"&gt;2.82779682796726&lt;/D&gt;&lt;D xsi:type="xsd:double"&gt;2.80096156311236&lt;/D&gt;&lt;D xsi:type="xsd:double"&gt;2.80874671857517&lt;/D&gt;&lt;D xsi:type="xsd:double"&gt;2.84558790355991&lt;/D&gt;&lt;D xsi:type="xsd:double"&gt;2.80642651573514&lt;/D&gt;&lt;D xsi:type="xsd:double"&gt;2.69768326126615&lt;/D&gt;&lt;D xsi:type="xsd:double"&gt;2.72718562852408&lt;/D&gt;&lt;D xsi:type="xsd:double"&gt;2.75623195068549&lt;/D&gt;&lt;D xsi:type="xsd:double"&gt;2.70390867815983&lt;/D&gt;&lt;D xsi:type="xsd:double"&gt;2.81705434352803&lt;/D&gt;&lt;D xsi:type="xsd:double"&gt;2.78055247365325&lt;/D&gt;&lt;D xsi:type="xsd:double"&gt;2.78299909499547&lt;/D&gt;&lt;D xsi:type="xsd:double"&gt;2.81374063466055&lt;/D&gt;&lt;D xsi:type="xsd:double"&gt;2.8615232724635&lt;/D&gt;&lt;D xsi:type="xsd:double"&gt;2.94570999422672&lt;/D&gt;&lt;D xsi:type="xsd:double"&gt;2.93904801258185&lt;/D&gt;&lt;D xsi:type="xsd:double"&gt;3.08026417298175&lt;/D&gt;&lt;D xsi:type="xsd:double"&gt;3.05803917487999&lt;/D&gt;&lt;D xsi:type="xsd:double"&gt;3.27625591605875&lt;/D&gt;&lt;D xsi:type="xsd:double"&gt;3.60373314264275&lt;/D&gt;&lt;D xsi:type="xsd:double"&gt;3.62641465046835&lt;/D&gt;&lt;D xsi:type="xsd:double"&gt;3.83164322303926&lt;/D&gt;&lt;D xsi:type="xsd:double"&gt;4.05032202717481&lt;/D&gt;&lt;D xsi:type="xsd:double"&gt;4.31707622362751&lt;/D&gt;&lt;D xsi:type="xsd:double"&gt;3.91844034990568&lt;/D&gt;&lt;D xsi:type="xsd:double"&gt;4.14567732453871&lt;/D&gt;&lt;D xsi:type="xsd:double"&gt;4.36138687373826&lt;/D&gt;&lt;D xsi:type="xsd:double"&gt;3.78261260815758&lt;/D&gt;&lt;D xsi:type="xsd:double"&gt;3.72099657602678&lt;/D&gt;&lt;D xsi:type="xsd:double"&gt;3.53782013108308&lt;/D&gt;&lt;D xsi:type="xsd:double"&gt;3.47107421493135&lt;/D&gt;&lt;D xsi:type="xsd:double"&gt;3.60355842936044&lt;/D&gt;&lt;D xsi:type="xsd:double"&gt;3.50247259238765&lt;/D&gt;&lt;D xsi:type="xsd:double"&gt;3.58325900325829&lt;/D&gt;&lt;D xsi:type="xsd:double"&gt;3.56642933491945&lt;/D&gt;&lt;D xsi:type="xsd:double"&gt;3.65441437488633&lt;/D&gt;&lt;D xsi:type="xsd:double"&gt;3.70808450391071&lt;/D&gt;&lt;D xsi:type="xsd:double"&gt;3.73814364874345&lt;/D&gt;&lt;D xsi:type="xsd:double"&gt;3.91213572436178&lt;/D&gt;&lt;D xsi:type="xsd:double"&gt;3.78291557392983&lt;/D&gt;&lt;D xsi:type="xsd:double"&gt;3.53816652270847&lt;/D&gt;&lt;D xsi:type="xsd:double"&gt;3.59807215654268&lt;/D&gt;&lt;D xsi:type="xsd:double"&gt;3.5316255281277&lt;/D&gt;&lt;D xsi:type="xsd:double"&gt;3.29913485675023&lt;/D&gt;&lt;/FQL&gt;&lt;FQL&gt;&lt;Q&gt;DDR3512M-FDS^MAX(FG_PRICE(0,-5AY))&lt;/Q&gt;&lt;R&gt;1&lt;/R&gt;&lt;C&gt;1&lt;/C&gt;&lt;D xsi:type="xsd:double"&gt;3.3053632&lt;/D&gt;&lt;/FQL&gt;&lt;FQL&gt;&lt;Q&gt;PLATI-FDS^MAX(FG_PRICE(0,-5AY))&lt;/Q&gt;&lt;R&gt;1&lt;/R&gt;&lt;C&gt;1&lt;/C&gt;&lt;D xsi:type="xsd:double"&gt;1272.59&lt;/D&gt;&lt;/FQL&gt;&lt;FQL&gt;&lt;Q&gt;COPP-FDS^MAX(FG_PRICE(0,-5AY))&lt;/Q&gt;&lt;R&gt;1&lt;/R&gt;&lt;C&gt;1&lt;/C&gt;&lt;D xsi:type="xsd:double"&gt;4.929&lt;/D&gt;&lt;/FQL&gt;&lt;FQL&gt;&lt;Q&gt;URTH^FMA_COS_DOWN("EPS","1M",+1,0,,,"PORTAGG","MEANR")&lt;/Q&gt;&lt;R&gt;1&lt;/R&gt;&lt;C&gt;1&lt;/C&gt;&lt;D xsi:type="xsd:double"&gt;632&lt;/D&gt;&lt;/FQL&gt;&lt;FQL&gt;&lt;Q&gt;TRYCN10Y-FDS^FG_YIELD(-10AY,0,Y,,"YTM")&lt;/Q&gt;&lt;R&gt;10&lt;/R&gt;&lt;C&gt;1&lt;/C&gt;&lt;D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xsi:type="xsd:double"&gt;2.574&lt;/D&gt;&lt;/FQL&gt;&lt;FQL&gt;&lt;Q&gt;EWN^FMA_PE(NTMA,-10AY,0,AM,"PORTAGG","MEANR")&lt;/Q&gt;&lt;R&gt;121&lt;/R&gt;&lt;C&gt;1&lt;/C&gt;&lt;D xsi:type="xsd:double"&gt;13.7074385943418&lt;/D&gt;&lt;D xsi:type="xsd:double"&gt;13.9461586141512&lt;/D&gt;&lt;D xsi:type="xsd:double"&gt;14.1794268005629&lt;/D&gt;&lt;D xsi:type="xsd:double"&gt;14.5116842271613&lt;/D&gt;&lt;D xsi:type="xsd:double"&gt;14.1769584539095&lt;/D&gt;&lt;D xsi:type="xsd:double"&gt;13.8105026279211&lt;/D&gt;&lt;D xsi:type="xsd:double"&gt;14.6202063653862&lt;/D&gt;&lt;D xsi:type="xsd:double"&gt;13.6954993647045&lt;/D&gt;&lt;D xsi:type="xsd:double"&gt;14.7453221406543&lt;/D&gt;&lt;D xsi:type="xsd:double"&gt;14.5120042300371&lt;/D&gt;&lt;D xsi:type="xsd:double"&gt;14.7349641278394&lt;/D&gt;&lt;D xsi:type="xsd:double"&gt;16.1618023240271&lt;/D&gt;&lt;D xsi:type="xsd:double"&gt;17.5215378807294&lt;/D&gt;&lt;D xsi:type="xsd:double"&gt;17.6847510900181&lt;/D&gt;&lt;D xsi:type="xsd:double"&gt;16.8563295988262&lt;/D&gt;&lt;D xsi:type="xsd:double"&gt;16.3770760510902&lt;/D&gt;&lt;D xsi:type="xsd:double"&gt;16.8535411661481&lt;/D&gt;&lt;D xsi:type="xsd:double"&gt;15.8954448349697&lt;/D&gt;&lt;D xsi:type="xsd:double"&gt;14.4683779158499&lt;/D&gt;&lt;D xsi:type="xsd:double"&gt;14.7458630621135&lt;/D&gt;&lt;D xsi:type="xsd:double"&gt;15.8843692170388&lt;/D&gt;&lt;D xsi:type="xsd:double"&gt;14.9617255678047&lt;/D&gt;&lt;D xsi:type="xsd:double"&gt;14.4626856827912&lt;/D&gt;&lt;D xsi:type="xsd:double"&gt;13.605002475377&lt;/D&gt;&lt;D xsi:type="xsd:double"&gt;15.3666917549405&lt;/D&gt;&lt;D xsi:type="xsd:double"&gt;15.3966806941605&lt;/D&gt;&lt;D xsi:type="xsd:double"&gt;14.7373383813247&lt;/D&gt;&lt;D xsi:type="xsd:double"&gt;13.9856302714255&lt;/D&gt;&lt;D xsi:type="xsd:double"&gt;14.5413393129505&lt;/D&gt;&lt;D xsi:type="xsd:double"&gt;15.0113317918091&lt;/D&gt;&lt;D xsi:type="xsd:double"&gt;14.5928470059147&lt;/D&gt;&lt;D xsi:type="xsd:double"&gt;14.7400104948729&lt;/D&gt;&lt;D xsi:type="xsd:double"&gt;14.4253693451835&lt;/D&gt;&lt;D xsi:type="xsd:double"&gt;14.8115599188039&lt;/D&gt;&lt;D xsi:type="xsd:double"&gt;15.0630903257718&lt;/D&gt;&lt;D xsi:type="xsd:double"&gt;15.3868092194683&lt;/D&gt;&lt;D xsi:type="xsd:double"&gt;15.9885702172457&lt;/D&gt;&lt;D xsi:type="xsd:double"&gt;16.115731773968&lt;/D&gt;&lt;D xsi:type="xsd:double"&gt;16.5092772337628&lt;/D&gt;&lt;D xsi:type="xsd:double"&gt;16.1337813478996&lt;/D&gt;&lt;D xsi:type="xsd:double"&gt;15.9960624979577&lt;/D&gt;&lt;D xsi:type="xsd:double"&gt;15.8251251605005&lt;/D&gt;&lt;D xsi:type="xsd:double"&gt;15.8941373622738&lt;/D&gt;&lt;D xsi:type="xsd:double"&gt;16.2009077344754&lt;/D&gt;&lt;D xsi:type="xsd:double"&gt;15.9877331968745&lt;/D&gt;&lt;D xsi:type="xsd:double"&gt;16.0499924303388&lt;/D&gt;&lt;D xsi:type="xsd:double"&gt;16.2257148449815&lt;/D&gt;&lt;D xsi:type="xsd:double"&gt;15.2509013999455&lt;/D&gt;&lt;D xsi:type="xsd:double"&gt;15.5616648391936&lt;/D&gt;&lt;D xsi:type="xsd:double"&gt;15.6594941513437&lt;/D&gt;&lt;D xsi:type="xsd:double"&gt;15.8165063097559&lt;/D&gt;&lt;D xsi:type="xsd:double"&gt;16.0251467702064&lt;/D&gt;&lt;D xsi:type="xsd:double"&gt;15.7128073876759&lt;/D&gt;&lt;D xsi:type="xsd:double"&gt;15.5713132236309&lt;/D&gt;&lt;D xsi:type="xsd:double"&gt;14.9539043284919&lt;/D&gt;&lt;D xsi:type="xsd:double"&gt;14.0187873257544&lt;/D&gt;&lt;D xsi:type="xsd:double"&gt;14.3239413738223&lt;/D&gt;&lt;D xsi:type="xsd:double"&gt;13.6393486589638&lt;/D&gt;&lt;D xsi:type="xsd:double"&gt;13.2670286849251&lt;/D&gt;&lt;D xsi:type="xsd:double"&gt;14.6893474255779&lt;/D&gt;&lt;D xsi:type="xsd:double"&gt;15.041814689799&lt;/D&gt;&lt;D xsi:type="xsd:double"&gt;15.5421307089545&lt;/D&gt;&lt;D xsi:type="xsd:double"&gt;15.1879780965816&lt;/D&gt;&lt;D xsi:type="xsd:double"&gt;15.2225768393764&lt;/D&gt;&lt;D xsi:type="xsd:double"&gt;15.5320361131098&lt;/D&gt;&lt;D xsi:type="xsd:double"&gt;14.8373933377541&lt;/D&gt;&lt;D xsi:type="xsd:double"&gt;16.118121322609&lt;/D&gt;&lt;D xsi:type="xsd:double"&gt;16.1503028961679&lt;/D&gt;&lt;D xsi:type="xsd:double"&gt;16.6507193558218&lt;/D&gt;&lt;D xsi:type="xsd:double"&gt;16.9839683349906&lt;/D&gt;&lt;D xsi:type="xsd:double"&gt;17.1605492683125&lt;/D&gt;&lt;D xsi:type="xsd:double"&gt;18.2286010756931&lt;/D&gt;&lt;D xsi:type="xsd:double"&gt;12.7281716108759&lt;/D&gt;&lt;D xsi:type="xsd:double"&gt;15.976352616608&lt;/D&gt;&lt;D xsi:type="xsd:double"&gt;17.0117877607125&lt;/D&gt;&lt;D xsi:type="xsd:double"&gt;18.9755304572255&lt;/D&gt;&lt;D xsi:type="xsd:double"&gt;20.1669140634714&lt;/D&gt;&lt;D xsi:type="xsd:double"&gt;19.8968791195131&lt;/D&gt;&lt;D xsi:type="xsd:double"&gt;19.5687110299093&lt;/D&gt;&lt;D xsi:type="xsd:double"&gt;20.1535389729683&lt;/D&gt;&lt;D xsi:type="xsd:double"&gt;20.6206155737785&lt;/D&gt;&lt;D xsi:type="xsd:double"&gt;20.167363372694&lt;/D&gt;&lt;D xsi:type="xsd:double"&gt;21.465452920343&lt;/D&gt;&lt;D xsi:type="xsd:double"&gt;22.6498308647518&lt;/D&gt;&lt;D xsi:type="xsd:double"&gt;21.7226901035616&lt;/D&gt;&lt;D xsi:type="xsd:double"&gt;22.6640543632723&lt;/D&gt;&lt;D xsi:type="xsd:double"&gt;21.1564631725854&lt;/D&gt;&lt;D xsi:type="xsd:double"&gt;21.606606668806&lt;/D&gt;&lt;D xsi:type="xsd:double"&gt;21.423323386723&lt;/D&gt;&lt;D xsi:type="xsd:double"&gt;21.6936535541759&lt;/D&gt;&lt;D xsi:type="xsd:double"&gt;21.8882259085088&lt;/D&gt;&lt;D xsi:type="xsd:double"&gt;20.5846041103148&lt;/D&gt;&lt;D xsi:type="xsd:double"&gt;21.616029496162&lt;/D&gt;&lt;D xsi:type="xsd:double"&gt;19.8235414042558&lt;/D&gt;&lt;D xsi:type="xsd:double"&gt;19.7897495125527&lt;/D&gt;&lt;D xsi:type="xsd:double"&gt;18.0811550347671&lt;/D&gt;&lt;D xsi:type="xsd:double"&gt;16.6987442789012&lt;/D&gt;&lt;D xsi:type="xsd:double"&gt;17.6621551515907&lt;/D&gt;&lt;D xsi:type="xsd:double"&gt;16.3451224184693&lt;/D&gt;&lt;D xsi:type="xsd:double"&gt;15.6717341280494&lt;/D&gt;&lt;D xsi:type="xsd:double"&gt;15.8458009925992&lt;/D&gt;&lt;D xsi:type="xsd:double"&gt;17.8869214160058&lt;/D&gt;&lt;D xsi:type="xsd:double"&gt;15.8411630009717&lt;/D&gt;&lt;D xsi:type="xsd:double"&gt;14.0284099398273&lt;/D&gt;&lt;D xsi:type="xsd:double"&gt;16.3532645043847&lt;/D&gt;&lt;D xsi:type="xsd:double"&gt;16.4779125761798&lt;/D&gt;&lt;D xsi:type="xsd:double"&gt;16.9773890047418&lt;/D&gt;&lt;D xsi:type="xsd:double"&gt;17.02032656985&lt;/D&gt;&lt;D xsi:type="xsd:double"&gt;16.008172969469&lt;/D&gt;&lt;D xsi:type="xsd:double"&gt;16.3798625393298&lt;/D&gt;&lt;D xsi:type="xsd:double"&gt;15.5731470072406&lt;/D&gt;&lt;D xsi:type="xsd:double"&gt;15.9802192953395&lt;/D&gt;&lt;D xsi:type="xsd:double"&gt;16.2266079416437&lt;/D&gt;&lt;D xsi:type="xsd:double"&gt;15.3130945995405&lt;/D&gt;&lt;D xsi:type="xsd:double"&gt;14.1715613762587&lt;/D&gt;&lt;D xsi:type="xsd:double"&gt;13.463647804403&lt;/D&gt;&lt;D xsi:type="xsd:double"&gt;14.5330594582501&lt;/D&gt;&lt;D xsi:type="xsd:double"&gt;15.2569906203921&lt;/D&gt;&lt;D xsi:type="xsd:double"&gt;14.8053711394143&lt;/D&gt;&lt;D xsi:type="xsd:double"&gt;16.0741705860469&lt;/D&gt;&lt;D xsi:type="xsd:double"&gt;16.1467016282411&lt;/D&gt;&lt;/FQL&gt;&lt;FQL&gt;&lt;Q&gt;EWA^FMA_PE(NTMA,0,,,"PORTAGG","MEANR")&lt;/Q&gt;&lt;R&gt;1&lt;/R&gt;&lt;C&gt;1&lt;/C&gt;&lt;D xsi:type="xsd:double"&gt;16.6193384530605&lt;/D&gt;&lt;/FQL&gt;&lt;FQL&gt;&lt;Q&gt;EWD^FMA_COS_UP("EPS","1M",+1,0,,,"PORTAGG","MEANR")&lt;/Q&gt;&lt;R&gt;1&lt;/R&gt;&lt;C&gt;1&lt;/C&gt;&lt;D xsi:type="xsd:double"&gt;11&lt;/D&gt;&lt;/FQL&gt;&lt;FQL&gt;&lt;Q&gt;EWA^PERCENT_CHANGE(FMA_EPS(+1,0,,,,"PORTAGG","MEAN"),FMA_EPS(+1,-3AM,,,,"PORTAGG","MEAN"))&lt;/Q&gt;&lt;R&gt;1&lt;/R&gt;&lt;C&gt;1&lt;/C&gt;&lt;D xsi:type="xsd:double"&gt;-2.53884877339946&lt;/D&gt;&lt;/FQL&gt;&lt;FQL&gt;&lt;Q&gt;TRYAU10Y-FDS^FG_YIELD(0,,,,"YTM")&lt;/Q&gt;&lt;R&gt;1&lt;/R&gt;&lt;C&gt;1&lt;/C&gt;&lt;D xsi:type="xsd:double"&gt;4.055&lt;/D&gt;&lt;/FQL&gt;&lt;FQL&gt;&lt;Q&gt;VWO^FG_PE_NTM(0,,,90,0)&lt;/Q&gt;&lt;R&gt;1&lt;/R&gt;&lt;C&gt;1&lt;/C&gt;&lt;D xsi:type="xsd:double"&gt;11.8406596277676&lt;/D&gt;&lt;/FQL&gt;&lt;FQL&gt;&lt;Q&gt;USDCHF^FG_COMPANY_NAME&lt;/Q&gt;&lt;R&gt;1&lt;/R&gt;&lt;C&gt;1&lt;/C&gt;&lt;D xsi:type="xsd:string"&gt;Swiss Franc per U.S. Dollar&lt;/D&gt;&lt;/FQL&gt;&lt;FQL&gt;&lt;Q&gt;FXI^P_PRICE(0)/P_PRICE_LOW_PR(0,,,USD,,,"PRICE","INTRA","52W")-1&lt;/Q&gt;&lt;R&gt;1&lt;/R&gt;&lt;C&gt;1&lt;/C&gt;&lt;D xsi:type="xsd:double"&gt;0.15723872&lt;/D&gt;&lt;/FQL&gt;&lt;FQL&gt;&lt;Q&gt;EWG^P_PRICE(0)/P_PRICE_LOW_PR(0,,,USD,,,"PRICE","INTRA","52W")-1&lt;/Q&gt;&lt;R&gt;1&lt;/R&gt;&lt;C&gt;1&lt;/C&gt;&lt;D xsi:type="xsd:double"&gt;0.26087832&lt;/D&gt;&lt;/FQL&gt;&lt;FQL&gt;&lt;Q&gt;EWL^FMA_COS_DOWN("EPS","1M",+1,0,,,"PORTAGG","MEANR")&lt;/Q&gt;&lt;R&gt;1&lt;/R&gt;&lt;C&gt;1&lt;/C&gt;&lt;D xsi:type="xsd:double"&gt;29&lt;/D&gt;&lt;/FQL&gt;&lt;FQL&gt;&lt;Q&gt;CC_JP^IMF_IFS_RCPI_Q(0)&lt;/Q&gt;&lt;R&gt;1&lt;/R&gt;&lt;C&gt;1&lt;/C&gt;&lt;D xsi:type="xsd:double"&gt;2.9194753&lt;/D&gt;&lt;/FQL&gt;&lt;FQL&gt;&lt;Q&gt;EWQ^FMA_PE(LTM,0,,,"PORTAGG","MEANR")&lt;/Q&gt;&lt;R&gt;1&lt;/R&gt;&lt;C&gt;1&lt;/C&gt;&lt;D xsi:type="xsd:double"&gt;17.0789594521192&lt;/D&gt;&lt;/FQL&gt;&lt;FQL&gt;&lt;Q&gt;EWL^FG_FCF_YIELD_NTM(0)&lt;/Q&gt;&lt;R&gt;1&lt;/R&gt;&lt;C&gt;1&lt;/C&gt;&lt;D xsi:type="xsd:double"&gt;4.86528848786778&lt;/D&gt;&lt;/FQL&gt;&lt;FQL&gt;&lt;Q&gt;USO^P_PRICE(0)/P_PRICE_HIGH_PR(0,,,USD,,,"PRICE","INTRA","52W")&lt;/Q&gt;&lt;R&gt;1&lt;/R&gt;&lt;C&gt;1&lt;/C&gt;&lt;D xsi:type="xsd:double"&gt;0.91607636&lt;/D&gt;&lt;/FQL&gt;&lt;FQL&gt;&lt;Q&gt;EWI^FMA_PE(LTM,0,,,"PORTAGG","MEANR")&lt;/Q&gt;&lt;R&gt;1&lt;/R&gt;&lt;C&gt;1&lt;/C&gt;&lt;D xsi:type="xsd:double"&gt;10.7888994603983&lt;/D&gt;&lt;/FQL&gt;&lt;FQL&gt;&lt;Q&gt;EWC^FG_FCF_YIELD_NTM(0)&lt;/Q&gt;&lt;R&gt;1&lt;/R&gt;&lt;C&gt;1&lt;/C&gt;&lt;D xsi:type="xsd:double"&gt;5.04073431235704&lt;/D&gt;&lt;/FQL&gt;&lt;FQL&gt;&lt;Q&gt;TRYGB10Y-FDS^FG_YIELD(0,,,,"YTM")&lt;/Q&gt;&lt;R&gt;1&lt;/R&gt;&lt;C&gt;1&lt;/C&gt;&lt;D xsi:type="xsd:double"&gt;4.172&lt;/D&gt;&lt;/FQL&gt;&lt;FQL&gt;&lt;Q&gt;EWI^JULIAN(FMA_DIV_YLD(NTMA,NOW,NOW,M,"PORTAGG","MEANR").DATES)&lt;/Q&gt;&lt;R&gt;1&lt;/R&gt;&lt;C&gt;1&lt;/C&gt;&lt;D xsi:type="xsd:long"&gt;45351&lt;/D&gt;&lt;/FQL&gt;&lt;FQL&gt;&lt;Q&gt;SPY^FMA_DIV_YLD(NTMA,NOW,NOW,M,"PORTAGG","MEANR")&lt;/Q&gt;&lt;R&gt;1&lt;/R&gt;&lt;C&gt;1&lt;/C&gt;&lt;D xsi:type="xsd:double"&gt;1.47138423796435&lt;/D&gt;&lt;/FQL&gt;&lt;FQL&gt;&lt;Q&gt;WL-FDS^FG_PRICE_CHANGE(0,-1AY)&lt;/Q&gt;&lt;R&gt;1&lt;/R&gt;&lt;C&gt;1&lt;/C&gt;&lt;D xsi:type="xsd:double"&gt;5.76294512300017&lt;/D&gt;&lt;/FQL&gt;&lt;FQL&gt;&lt;Q&gt;EWC^PERCENT_CHANGE(FMA_EPS(+1,0,,,,"PORTAGG","MEAN"),FMA_EPS(+1,-1AM,,,,"PORTAGG","MEAN"))&lt;/Q&gt;&lt;R&gt;1&lt;/R&gt;&lt;C&gt;1&lt;/C&gt;&lt;D xsi:type="xsd:double"&gt;-0.470371712461365&lt;/D&gt;&lt;/FQL&gt;&lt;FQL&gt;&lt;Q&gt;TRYDE10Y-FDS^FG_YIELD(0,,,,"YTM")&lt;/Q&gt;&lt;R&gt;1&lt;/R&gt;&lt;C&gt;1&lt;/C&gt;&lt;D xsi:type="xsd:double"&gt;2.42&lt;/D&gt;&lt;/FQL&gt;&lt;FQL&gt;&lt;Q&gt;EWJ^FMA_EVAL_EBIT(LTMA,NOW,NOW,M,"PORTAGG","MEANR")&lt;/Q&gt;&lt;R&gt;1&lt;/R&gt;&lt;C&gt;1&lt;/C&gt;&lt;D xsi:type="xsd:double"&gt;18.2171194214832&lt;/D&gt;&lt;/FQL&gt;&lt;FQL&gt;&lt;Q&gt;EWI^FG_PRICE_MAVG(0,,,,30)&lt;/Q&gt;&lt;R&gt;1&lt;/R&gt;&lt;C&gt;1&lt;/C&gt;&lt;D xsi:type="xsd:double"&gt;35.214333&lt;/D&gt;&lt;/FQL&gt;&lt;FQL&gt;&lt;Q&gt;EWI^FMA_PCT_ABOVE_MAVG(200,0,,,,"PORTAGG")&lt;/Q&gt;&lt;R&gt;1&lt;/R&gt;&lt;C&gt;1&lt;/C&gt;&lt;D xsi:type="xsd:double"&gt;72&lt;/D&gt;&lt;/FQL&gt;&lt;FQL&gt;&lt;Q&gt;TRYAU10Y-FDS^PCTCHG(FG_YIELD(0,,,,"YTM"),FG_YIELD(-1AM,,,,"YTM"))&lt;/Q&gt;&lt;R&gt;1&lt;/R&gt;&lt;C&gt;1&lt;/C&gt;&lt;D xsi:type="xsd:double"&gt;-4.9683704&lt;/D&gt;&lt;/FQL&gt;&lt;FQL&gt;&lt;Q&gt;VWO^FMA_DIV_YLD(NTMA,NOW,NOW,M,"PORTAGG","MEANR")&lt;/Q&gt;&lt;R&gt;1&lt;/R&gt;&lt;C&gt;1&lt;/C&gt;&lt;D xsi:type="xsd:double"&gt;3.15410773796907&lt;/D&gt;&lt;/FQL&gt;&lt;FQL&gt;&lt;Q&gt;URTH^P_PRICE(0)/P_PRICE_HIGH_PR(0,,,USD,,,"PRICE","INTRA","52W")&lt;/Q&gt;&lt;R&gt;1&lt;/R&gt;&lt;C&gt;1&lt;/C&gt;&lt;D xsi:type="xsd:double"&gt;0.99157435&lt;/D&gt;&lt;/FQL&gt;&lt;FQL&gt;&lt;Q&gt;TRYSE10Y-FDS^PCTCHG(FG_YIELD(0,,,,"YTM"),FG_YIELD(-3AM,,,,"YTM"))&lt;/Q&gt;&lt;R&gt;1&lt;/R&gt;&lt;C&gt;1&lt;/C&gt;&lt;D xsi:type="xsd:double"&gt;8.321899&lt;/D&gt;&lt;/FQL&gt;&lt;FQL&gt;&lt;Q&gt;EWG^FG_PRICE_MAVG(0,,,,30)&lt;/Q&gt;&lt;R&gt;1&lt;/R&gt;&lt;C&gt;1&lt;/C&gt;&lt;D xsi:type="xsd:double"&gt;30.100666&lt;/D&gt;&lt;/FQL&gt;&lt;FQL&gt;&lt;Q&gt;ENZL^FG_TOTAL_RETURNC(0,-6AM)&lt;/Q&gt;&lt;R&gt;1&lt;/R&gt;&lt;C&gt;1&lt;/C&gt;&lt;D xsi:type="xsd:double"&gt;4.236853&lt;/D&gt;&lt;/FQL&gt;&lt;FQL&gt;&lt;Q&gt;VGK^FMA_EVAL_EBIT(LTMA,NOW,NOW,M,"PORTAGG","MEANR")&lt;/Q&gt;&lt;R&gt;1&lt;/R&gt;&lt;C&gt;1&lt;/C&gt;&lt;D xsi:type="xsd:double"&gt;13.0685870551554&lt;/D&gt;&lt;/FQL&gt;&lt;FQL&gt;&lt;Q&gt;EWG^FG_FCF_YIELD_NTM(0)&lt;/Q&gt;&lt;R&gt;1&lt;/R&gt;&lt;C&gt;1&lt;/C&gt;&lt;D xsi:type="xsd:double"&gt;6.14234985178329&lt;/D&gt;&lt;/FQL&gt;&lt;FQL&gt;&lt;Q&gt;FXI^PERCENT_CHANGE(FMA_EPS(+1,0,,,,"PORTAGG","MEAN"),FMA_EPS(+1,-1AM,,,,"PORTAGG","MEAN"))&lt;/Q&gt;&lt;R&gt;1&lt;/R&gt;&lt;C&gt;1&lt;/C&gt;&lt;D xsi:type="xsd:double"&gt;-0.365042085990234&lt;/D&gt;&lt;/FQL&gt;&lt;FQL&gt;&lt;Q&gt;CAGDPY@CH^EE_ACTUAL_ANNUAL(MED,+1)&lt;/Q&gt;&lt;R&gt;1&lt;/R&gt;&lt;C&gt;1&lt;/C&gt;&lt;D xsi:type="xsd:double"&gt;8&lt;/D&gt;&lt;/FQL&gt;&lt;FQL&gt;&lt;Q&gt;USDCAD^FG_PRICE_CHANGE(0,-6AM)&lt;/Q&gt;&lt;R&gt;1&lt;/R&gt;&lt;C&gt;1&lt;/C&gt;&lt;D xsi:type="xsd:double"&gt;0.007402897&lt;/D&gt;&lt;/FQL&gt;&lt;FQL&gt;&lt;Q&gt;QQQ^P_PRICE_RETURNS_PR('52W',2,-10AY,0,AM)&lt;/Q&gt;&lt;R&gt;121&lt;/R&gt;&lt;C&gt;1&lt;/C&gt;&lt;D xsi:type="xsd:double"&gt;30.813873&lt;/D&gt;&lt;D xsi:type="xsd:double"&gt;23.12783&lt;/D&gt;&lt;D xsi:type="xsd:double"&gt;21.360445&lt;/D&gt;&lt;D xsi:type="xsd:double"&gt;28.897&lt;/D&gt;&lt;D xsi:type="xsd:double"&gt;29.23479&lt;/D&gt;&lt;D xsi:type="xsd:double"&gt;28.135086&lt;/D&gt;&lt;D xsi:type="xsd:double"&gt;29.483116&lt;/D&gt;&lt;D xsi:type="xsd:double"&gt;18.235706&lt;/D&gt;&lt;D xsi:type="xsd:double"&gt;24.989664&lt;/D&gt;&lt;D xsi:type="xsd:double"&gt;22.62621&lt;/D&gt;&lt;D xsi:type="xsd:double"&gt;16.948187&lt;/D&gt;&lt;D xsi:type="xsd:double"&gt;21.104717&lt;/D&gt;&lt;D xsi:type="xsd:double"&gt;19.301832&lt;/D&gt;&lt;D xsi:type="xsd:double"&gt;27.828074&lt;/D&gt;&lt;D xsi:type="xsd:double"&gt;26.14894&lt;/D&gt;&lt;D xsi:type="xsd:double"&gt;19.454002&lt;/D&gt;&lt;D xsi:type="xsd:double"&gt;16.280031&lt;/D&gt;&lt;D xsi:type="xsd:double"&gt;15.233111&lt;/D&gt;&lt;D xsi:type="xsd:double"&gt;6.935084&lt;/D&gt;&lt;D xsi:type="xsd:double"&gt;15.172529&lt;/D&gt;&lt;D xsi:type="xsd:double"&gt;7.8991175&lt;/D&gt;&lt;D xsi:type="xsd:double"&gt;9.903156&lt;/D&gt;&lt;D xsi:type="xsd:double"&gt;4.1341424&lt;/D&gt;&lt;D xsi:type="xsd:double"&gt;-6.583029&lt;/D&gt;&lt;D xsi:type="xsd:double"&gt;2.2977233&lt;/D&gt;&lt;D xsi:type="xsd:double"&gt;4.6274424&lt;/D&gt;&lt;D xsi:type="xsd:double"&gt;-1.2498617&lt;/D&gt;&lt;D xsi:type="xsd:double"&gt;0.42089224&lt;/D&gt;&lt;D xsi:type="xsd:double"&gt;2.7059555&lt;/D&gt;&lt;D xsi:type="xsd:double"&gt;7.2407603&lt;/D&gt;&lt;D xsi:type="xsd:double"&gt;11.3036995&lt;/D&gt;&lt;D xsi:type="xsd:double"&gt;11.834455&lt;/D&gt;&lt;D xsi:type="xsd:double"&gt;5.5424333&lt;/D&gt;&lt;D xsi:type="xsd:double"&gt;8.905304&lt;/D&gt;&lt;D xsi:type="xsd:double"&gt;22.213804&lt;/D&gt;&lt;D xsi:type="xsd:double"&gt;32.591164&lt;/D&gt;&lt;D xsi:type="xsd:double"&gt;24.455511&lt;/D&gt;&lt;D xsi:type="xsd:double"&gt;18.782162&lt;/D&gt;&lt;D xsi:type="xsd:double"&gt;32.236908&lt;/D&gt;&lt;D xsi:type="xsd:double"&gt;30.692852&lt;/D&gt;&lt;D xsi:type="xsd:double"&gt;28.227043&lt;/D&gt;&lt;D xsi:type="xsd:double"&gt;24.076223&lt;/D&gt;&lt;D xsi:type="xsd:double"&gt;26.954592&lt;/D&gt;&lt;D xsi:type="xsd:double"&gt;28.056728&lt;/D&gt;&lt;D xsi:type="xsd:double"&gt;35.08346&lt;/D&gt;&lt;D xsi:type="xsd:double"&gt;30.972422&lt;/D&gt;&lt;D xsi:type="xsd:double"&gt;35.237564&lt;/D&gt;&lt;D xsi:type="xsd:double"&gt;27.724314&lt;/D&gt;&lt;D xsi:type="xsd:double"&gt;31.956863&lt;/D&gt;&lt;D xsi:type="xsd:double"&gt;24.825727&lt;/D&gt;&lt;D xsi:type="xsd:double"&gt;23.539389&lt;/D&gt;&lt;D xsi:type="xsd:double"&gt;28.1888&lt;/D&gt;&lt;D xsi:type="xsd:double"&gt;28.404903&lt;/D&gt;&lt;D xsi:type="xsd:double"&gt;27.088594&lt;/D&gt;&lt;D xsi:type="xsd:double"&gt;27.42455&lt;/D&gt;&lt;D xsi:type="xsd:double"&gt;18.874311&lt;/D&gt;&lt;D xsi:type="xsd:double"&gt;8.584202&lt;/D&gt;&lt;D xsi:type="xsd:double"&gt;4.130578&lt;/D&gt;&lt;D xsi:type="xsd:double"&gt;-2.3456037&lt;/D&gt;&lt;D xsi:type="xsd:double"&gt;6.149435&lt;/D&gt;&lt;D xsi:type="xsd:double"&gt;3.8098931&lt;/D&gt;&lt;D xsi:type="xsd:double"&gt;15.559519&lt;/D&gt;&lt;D xsi:type="xsd:double"&gt;7.283056&lt;/D&gt;&lt;D xsi:type="xsd:double"&gt;3.7338257&lt;/D&gt;&lt;D xsi:type="xsd:double"&gt;8.786821&lt;/D&gt;&lt;D xsi:type="xsd:double"&gt;1.6061187&lt;/D&gt;&lt;D xsi:type="xsd:double"&gt;5.2566648&lt;/D&gt;&lt;D xsi:type="xsd:double"&gt;10.607136&lt;/D&gt;&lt;D xsi:type="xsd:double"&gt;23.028732&lt;/D&gt;&lt;D xsi:type="xsd:double"&gt;26.623451&lt;/D&gt;&lt;D xsi:type="xsd:double"&gt;39.317383&lt;/D&gt;&lt;D xsi:type="xsd:double"&gt;38.167606&lt;/D&gt;&lt;D xsi:type="xsd:double"&gt;9.554577&lt;/D&gt;&lt;D xsi:type="xsd:double"&gt;14.981127&lt;/D&gt;&lt;D xsi:type="xsd:double"&gt;23.919678&lt;/D&gt;&lt;D xsi:type="xsd:double"&gt;30.467583&lt;/D&gt;&lt;D xsi:type="xsd:double"&gt;35.620106&lt;/D&gt;&lt;D xsi:type="xsd:double"&gt;50.11517&lt;/D&gt;&lt;D xsi:type="xsd:double"&gt;44.06078&lt;/D&gt;&lt;D xsi:type="xsd:double"&gt;53.982197&lt;/D&gt;&lt;D xsi:type="xsd:double"&gt;45.397152&lt;/D&gt;&lt;D xsi:type="xsd:double"&gt;47.842182&lt;/D&gt;&lt;D xsi:type="xsd:double"&gt;43.853462&lt;/D&gt;&lt;D xsi:type="xsd:double"&gt;44.640957&lt;/D&gt;&lt;D xsi:type="xsd:double"&gt;79.1736&lt;/D&gt;&lt;D xsi:type="xsd:double"&gt;59.82735&lt;/D&gt;&lt;D xsi:type="xsd:double"&gt;48.05349&lt;/D&gt;&lt;D xsi:type="xsd:double"&gt;46.964622&lt;/D&gt;&lt;D xsi:type="xsd:double"&gt;40.234695&lt;/D&gt;&lt;D xsi:type="xsd:double"&gt;36.124374&lt;/D&gt;&lt;D xsi:type="xsd:double"&gt;37.15228&lt;/D&gt;&lt;D xsi:type="xsd:double"&gt;26.204098&lt;/D&gt;&lt;D xsi:type="xsd:double"&gt;37.5908&lt;/D&gt;&lt;D xsi:type="xsd:double"&gt;28.363728&lt;/D&gt;&lt;D xsi:type="xsd:double"&gt;21.47051&lt;/D&gt;&lt;D xsi:type="xsd:double"&gt;3.7793756&lt;/D&gt;&lt;D xsi:type="xsd:double"&gt;1.3454556&lt;/D&gt;&lt;D xsi:type="xsd:double"&gt;1.0555506&lt;/D&gt;&lt;D xsi:type="xsd:double"&gt;-4.992759&lt;/D&gt;&lt;D xsi:type="xsd:double"&gt;-19.526123&lt;/D&gt;&lt;D xsi:type="xsd:double"&gt;-20.604628&lt;/D&gt;&lt;D xsi:type="xsd:double"&gt;-9.606457&lt;/D&gt;&lt;D xsi:type="xsd:double"&gt;-20.675611&lt;/D&gt;&lt;D xsi:type="xsd:double"&gt;-28.440916&lt;/D&gt;&lt;D xsi:type="xsd:double"&gt;-27.233278&lt;/D&gt;&lt;D xsi:type="xsd:double"&gt;-25.737524&lt;/D&gt;&lt;D xsi:type="xsd:double"&gt;-25.055843&lt;/D&gt;&lt;D xsi:type="xsd:double"&gt;-11.075574&lt;/D&gt;&lt;D xsi:type="xsd:double"&gt;-5.85078&lt;/D&gt;&lt;D xsi:type="xsd:double"&gt;-5.1479044&lt;/D&gt;&lt;D xsi:type="xsd:double"&gt;12.49094&lt;/D&gt;&lt;D xsi:type="xsd:double"&gt;33.630585&lt;/D&gt;&lt;D xsi:type="xsd:double"&gt;33.177258&lt;/D&gt;&lt;D xsi:type="xsd:double"&gt;12.895929&lt;/D&gt;&lt;D xsi:type="xsd:double"&gt;28.354&lt;/D&gt;&lt;D xsi:type="xsd:double"&gt;36.807884&lt;/D&gt;&lt;D xsi:type="xsd:double"&gt;35.914185&lt;/D&gt;&lt;D xsi:type="xsd:double"&gt;41.75297&lt;/D&gt;&lt;D xsi:type="xsd:double"&gt;47.780643&lt;/D&gt;&lt;D xsi:type="xsd:double"&gt;42.20209&lt;/D&gt;&lt;D xsi:type="xsd:double"&gt;48.69211&lt;/D&gt;&lt;/FQL&gt;&lt;FQL&gt;&lt;Q&gt;EWC^FMA_DIV_YLD(NTMA,-10AY,0,AM,"PORTAGG","MEANR")&lt;/Q&gt;&lt;R&gt;121&lt;/R&gt;&lt;C&gt;1&lt;/C&gt;&lt;D xsi:type="xsd:double"&gt;2.91311916678313&lt;/D&gt;&lt;D xsi:type="xsd:double"&gt;2.94308630735194&lt;/D&gt;&lt;D xsi:type="xsd:double"&gt;2.87152024877792&lt;/D&gt;&lt;D xsi:type="xsd:double"&gt;2.82850573881603&lt;/D&gt;&lt;D xsi:type="xsd:double"&gt;2.79726879073221&lt;/D&gt;&lt;D xsi:type="xsd:double"&gt;2.79839343556975&lt;/D&gt;&lt;D xsi:type="xsd:double"&gt;2.75966064471016&lt;/D&gt;&lt;D xsi:type="xsd:double"&gt;3.0842384074974&lt;/D&gt;&lt;D xsi:type="xsd:double"&gt;2.92683205402861&lt;/D&gt;&lt;D xsi:type="xsd:double"&gt;3.12805441277927&lt;/D&gt;&lt;D xsi:type="xsd:double"&gt;3.0696663017869&lt;/D&gt;&lt;D xsi:type="xsd:double"&gt;2.83919569314153&lt;/D&gt;&lt;D xsi:type="xsd:double"&gt;2.94728738109468&lt;/D&gt;&lt;D xsi:type="xsd:double"&gt;2.82445243072545&lt;/D&gt;&lt;D xsi:type="xsd:double"&gt;2.89173481291648&lt;/D&gt;&lt;D xsi:type="xsd:double"&gt;2.95679757740146&lt;/D&gt;&lt;D xsi:type="xsd:double"&gt;3.01643498426706&lt;/D&gt;&lt;D xsi:type="xsd:double"&gt;3.06878136022445&lt;/D&gt;&lt;D xsi:type="xsd:double"&gt;3.28445501483203&lt;/D&gt;&lt;D xsi:type="xsd:double"&gt;3.17318341606131&lt;/D&gt;&lt;D xsi:type="xsd:double"&gt;3.38484276603167&lt;/D&gt;&lt;D xsi:type="xsd:double"&gt;3.47408692543123&lt;/D&gt;&lt;D xsi:type="xsd:double"&gt;3.55910375117662&lt;/D&gt;&lt;D xsi:type="xsd:double"&gt;3.45973871518972&lt;/D&gt;&lt;D xsi:type="xsd:double"&gt;3.14103056105822&lt;/D&gt;&lt;D xsi:type="xsd:double"&gt;3.10916479264378&lt;/D&gt;&lt;D xsi:type="xsd:double"&gt;3.09416081386268&lt;/D&gt;&lt;D xsi:type="xsd:double"&gt;3.10200181629419&lt;/D&gt;&lt;D xsi:type="xsd:double"&gt;2.99117640006099&lt;/D&gt;&lt;D xsi:type="xsd:double"&gt;2.94639855111516&lt;/D&gt;&lt;D xsi:type="xsd:double"&gt;3.02476921244581&lt;/D&gt;&lt;D xsi:type="xsd:double"&gt;2.96368497944282&lt;/D&gt;&lt;D xsi:type="xsd:double"&gt;2.96081834052166&lt;/D&gt;&lt;D xsi:type="xsd:double"&gt;2.85213222557025&lt;/D&gt;&lt;D xsi:type="xsd:double"&gt;2.81112142195296&lt;/D&gt;&lt;D xsi:type="xsd:double"&gt;2.78757308338301&lt;/D&gt;&lt;D xsi:type="xsd:double"&gt;2.92882392245378&lt;/D&gt;&lt;D xsi:type="xsd:double"&gt;2.93663049030182&lt;/D&gt;&lt;D xsi:type="xsd:double"&gt;2.95319853189571&lt;/D&gt;&lt;D xsi:type="xsd:double"&gt;3.04125545911926&lt;/D&gt;&lt;D xsi:type="xsd:double"&gt;3.04078888631953&lt;/D&gt;&lt;D xsi:type="xsd:double"&gt;3.05317293486801&lt;/D&gt;&lt;D xsi:type="xsd:double"&gt;3.07728630212143&lt;/D&gt;&lt;D xsi:type="xsd:double"&gt;2.9507302059102&lt;/D&gt;&lt;D xsi:type="xsd:double"&gt;2.93709496706854&lt;/D&gt;&lt;D xsi:type="xsd:double"&gt;2.93208985263772&lt;/D&gt;&lt;D xsi:type="xsd:double"&gt;2.89618561555678&lt;/D&gt;&lt;D xsi:type="xsd:double"&gt;3.13572529668869&lt;/D&gt;&lt;D xsi:type="xsd:double"&gt;3.11764614656091&lt;/D&gt;&lt;D xsi:type="xsd:double"&gt;3.21874850736278&lt;/D&gt;&lt;D xsi:type="xsd:double"&gt;3.06142154993042&lt;/D&gt;&lt;D xsi:type="xsd:double"&gt;3.04825813434602&lt;/D&gt;&lt;D xsi:type="xsd:double"&gt;3.02921272572134&lt;/D&gt;&lt;D xsi:type="xsd:double"&gt;3.07924765186178&lt;/D&gt;&lt;D xsi:type="xsd:double"&gt;3.18150356099117&lt;/D&gt;&lt;D </t>
        </r>
      </text>
    </comment>
    <comment ref="A12" authorId="0" shapeId="0" xr:uid="{6BD5F6D2-197B-4D3E-A928-E198A81B8C54}">
      <text>
        <r>
          <rPr>
            <b/>
            <sz val="9"/>
            <color indexed="81"/>
            <rFont val="Tahoma"/>
            <charset val="1"/>
          </rPr>
          <t>xsi:type="xsd:double"&gt;3.33450563755827&lt;/D&gt;&lt;D xsi:type="xsd:double"&gt;3.39903511809269&lt;/D&gt;&lt;D xsi:type="xsd:double"&gt;3.52405817682192&lt;/D&gt;&lt;D xsi:type="xsd:double"&gt;3.44888534619507&lt;/D&gt;&lt;D xsi:type="xsd:double"&gt;3.30824518545992&lt;/D&gt;&lt;D xsi:type="xsd:double"&gt;3.27300324110126&lt;/D&gt;&lt;D xsi:type="xsd:double"&gt;3.19934838128118&lt;/D&gt;&lt;D xsi:type="xsd:double"&gt;3.28614479136125&lt;/D&gt;&lt;D xsi:type="xsd:double"&gt;3.33309653485574&lt;/D&gt;&lt;D xsi:type="xsd:double"&gt;3.30692695815727&lt;/D&gt;&lt;D xsi:type="xsd:double"&gt;3.45896257684523&lt;/D&gt;&lt;D xsi:type="xsd:double"&gt;3.32146467356768&lt;/D&gt;&lt;D xsi:type="xsd:double"&gt;3.371195633591&lt;/D&gt;&lt;D xsi:type="xsd:double"&gt;3.25519512474645&lt;/D&gt;&lt;D xsi:type="xsd:double"&gt;3.25862360279777&lt;/D&gt;&lt;D xsi:type="xsd:double"&gt;3.2231741980071&lt;/D&gt;&lt;D xsi:type="xsd:double"&gt;3.2083159761728&lt;/D&gt;&lt;D xsi:type="xsd:double"&gt;4.20415315458589&lt;/D&gt;&lt;D xsi:type="xsd:double"&gt;4.04720168849636&lt;/D&gt;&lt;D xsi:type="xsd:double"&gt;3.83663520132801&lt;/D&gt;&lt;D xsi:type="xsd:double"&gt;3.60569963088323&lt;/D&gt;&lt;D xsi:type="xsd:double"&gt;3.46135407229399&lt;/D&gt;&lt;D xsi:type="xsd:double"&gt;3.35474142934162&lt;/D&gt;&lt;D xsi:type="xsd:double"&gt;3.38611341462237&lt;/D&gt;&lt;D xsi:type="xsd:double"&gt;3.38786364667215&lt;/D&gt;&lt;D xsi:type="xsd:double"&gt;3.33243732239772&lt;/D&gt;&lt;D xsi:type="xsd:double"&gt;3.1416327638042&lt;/D&gt;&lt;D xsi:type="xsd:double"&gt;3.02744995883959&lt;/D&gt;&lt;D xsi:type="xsd:double"&gt;2.93004478567325&lt;/D&gt;&lt;D xsi:type="xsd:double"&gt;2.84287861092634&lt;/D&gt;&lt;D xsi:type="xsd:double"&gt;2.76454030285003&lt;/D&gt;&lt;D xsi:type="xsd:double"&gt;2.73044371267063&lt;/D&gt;&lt;D xsi:type="xsd:double"&gt;2.56642887032891&lt;/D&gt;&lt;D xsi:type="xsd:double"&gt;2.72101195033569&lt;/D&gt;&lt;D xsi:type="xsd:double"&gt;2.69165430836072&lt;/D&gt;&lt;D xsi:type="xsd:double"&gt;2.76106662428796&lt;/D&gt;&lt;D xsi:type="xsd:double"&gt;2.73262227799667&lt;/D&gt;&lt;D xsi:type="xsd:double"&gt;2.66321960706979&lt;/D&gt;&lt;D xsi:type="xsd:double"&gt;2.85320874411473&lt;/D&gt;&lt;D xsi:type="xsd:double"&gt;2.76472550600424&lt;/D&gt;&lt;D xsi:type="xsd:double"&gt;2.79374227243945&lt;/D&gt;&lt;D xsi:type="xsd:double"&gt;2.88490923225492&lt;/D&gt;&lt;D xsi:type="xsd:double"&gt;2.84438195246633&lt;/D&gt;&lt;D xsi:type="xsd:double"&gt;3.19589021391299&lt;/D&gt;&lt;D xsi:type="xsd:double"&gt;3.29893997276664&lt;/D&gt;&lt;D xsi:type="xsd:double"&gt;3.54457527925773&lt;/D&gt;&lt;D xsi:type="xsd:double"&gt;3.25785974228348&lt;/D&gt;&lt;D xsi:type="xsd:double"&gt;3.39185304422254&lt;/D&gt;&lt;D xsi:type="xsd:double"&gt;3.65889703986376&lt;/D&gt;&lt;D xsi:type="xsd:double"&gt;3.35211610372651&lt;/D&gt;&lt;D xsi:type="xsd:double"&gt;3.38352704654635&lt;/D&gt;&lt;D xsi:type="xsd:double"&gt;3.35626827084282&lt;/D&gt;&lt;D xsi:type="xsd:double"&gt;3.25092965258033&lt;/D&gt;&lt;D xsi:type="xsd:double"&gt;3.43717271085428&lt;/D&gt;&lt;D xsi:type="xsd:double"&gt;3.25402756607469&lt;/D&gt;&lt;D xsi:type="xsd:double"&gt;3.26096236903705&lt;/D&gt;&lt;D xsi:type="xsd:double"&gt;3.29371148199555&lt;/D&gt;&lt;D xsi:type="xsd:double"&gt;3.21636777209817&lt;/D&gt;&lt;D xsi:type="xsd:double"&gt;3.44301664566506&lt;/D&gt;&lt;D xsi:type="xsd:double"&gt;3.45010603324646&lt;/D&gt;&lt;D xsi:type="xsd:double"&gt;3.65759204178765&lt;/D&gt;&lt;D xsi:type="xsd:double"&gt;3.53227082067162&lt;/D&gt;&lt;D xsi:type="xsd:double"&gt;3.39379921125037&lt;/D&gt;&lt;D xsi:type="xsd:double"&gt;3.35206216040865&lt;/D&gt;&lt;D xsi:type="xsd:double"&gt;3.3468410779759&lt;/D&gt;&lt;D xsi:type="xsd:double"&gt;3.13444053326595&lt;/D&gt;&lt;/FQL&gt;&lt;FQL&gt;&lt;Q&gt;EWU^FG_PRICE(0)&lt;/Q&gt;&lt;R&gt;1&lt;/R&gt;&lt;C&gt;1&lt;/C&gt;&lt;D xsi:type="xsd:double"&gt;33.5&lt;/D&gt;&lt;/FQL&gt;&lt;FQL&gt;&lt;Q&gt;EWD^FG_TOTAL_RETURNC(0,-3AM)&lt;/Q&gt;&lt;R&gt;1&lt;/R&gt;&lt;C&gt;1&lt;/C&gt;&lt;D xsi:type="xsd:double"&gt;6.9621086&lt;/D&gt;&lt;/FQL&gt;&lt;FQL&gt;&lt;Q&gt;VWO^FMA_PCT_ABOVE_MAVG(200,0,,,,"PORTAGG")&lt;/Q&gt;&lt;R&gt;1&lt;/R&gt;&lt;C&gt;1&lt;/C&gt;&lt;D xsi:type="xsd:double"&gt;32.6952695269527&lt;/D&gt;&lt;/FQL&gt;&lt;FQL&gt;&lt;Q&gt;URTH^FMA_COS_UP("EPS","1M",+1,0,,,"PORTAGG","MEANR")&lt;/Q&gt;&lt;R&gt;1&lt;/R&gt;&lt;C&gt;1&lt;/C&gt;&lt;D xsi:type="xsd:double"&gt;593&lt;/D&gt;&lt;/FQL&gt;&lt;FQL&gt;&lt;Q&gt;TRYDE10Y-FDS^PCTCHG(FG_YIELD(0,,,,"YTM"),FG_YIELD(-3AM,,,,"YTM"))&lt;/Q&gt;&lt;R&gt;1&lt;/R&gt;&lt;C&gt;1&lt;/C&gt;&lt;D xsi:type="xsd:double"&gt;13.615022&lt;/D&gt;&lt;/FQL&gt;&lt;FQL&gt;&lt;Q&gt;CC_CA^IMF_IFS_RCPI_Q(0)&lt;/Q&gt;&lt;R&gt;1&lt;/R&gt;&lt;C&gt;1&lt;/C&gt;&lt;D xsi:type="xsd:double"&gt;3.2111022&lt;/D&gt;&lt;/FQL&gt;&lt;FQL&gt;&lt;Q&gt;USO^FG_TOTAL_RETURNC(0,-3AM)&lt;/Q&gt;&lt;R&gt;1&lt;/R&gt;&lt;C&gt;1&lt;/C&gt;&lt;D xsi:type="xsd:double"&gt;13.60929&lt;/D&gt;&lt;/FQL&gt;&lt;FQL&gt;&lt;Q&gt;USDAUD^FG_COMPANY_NAME&lt;/Q&gt;&lt;R&gt;1&lt;/R&gt;&lt;C&gt;1&lt;/C&gt;&lt;D xsi:type="xsd:string"&gt;Australian Dollar per U.S. Dollar&lt;/D&gt;&lt;/FQL&gt;&lt;FQL&gt;&lt;Q&gt;ENZL^P_PRICE(0)/P_PRICE_LOW_PR(0,,,USD,,,"PRICE","INTRA","52W")-1&lt;/Q&gt;&lt;R&gt;1&lt;/R&gt;&lt;C&gt;1&lt;/C&gt;&lt;D xsi:type="xsd:double"&gt;0.107723355&lt;/D&gt;&lt;/FQL&gt;&lt;FQL&gt;&lt;Q&gt;TRYCA10Y-FDS^FG_YIELD(0,,,,"YTM")&lt;/Q&gt;&lt;R&gt;1&lt;/R&gt;&lt;C&gt;1&lt;/C&gt;&lt;D xsi:type="xsd:double"&gt;3.5205&lt;/D&gt;&lt;/FQL&gt;&lt;FQL&gt;&lt;Q&gt;TRYBR10Y-FDS^FG_YIELD(-10AY,0,Y,,"YTM")&lt;/Q&gt;&lt;R&gt;10&lt;/R&gt;&lt;C&gt;1&lt;/C&gt;&lt;D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xsi:type="xsd:double"&gt;10.455909&lt;/D&gt;&lt;/FQL&gt;&lt;FQL&gt;&lt;Q&gt;SPY^FG_ROE(0)&lt;/Q&gt;&lt;R&gt;1&lt;/R&gt;&lt;C&gt;1&lt;/C&gt;&lt;D xsi:type="xsd:double"&gt;18.0642206185815&lt;/D&gt;&lt;/FQL&gt;&lt;FQL&gt;&lt;Q&gt;USDSEK^FG_PRICE(0)&lt;/Q&gt;&lt;R&gt;1&lt;/R&gt;&lt;C&gt;1&lt;/C&gt;&lt;D xsi:type="xsd:double"&gt;10.33205&lt;/D&gt;&lt;/FQL&gt;&lt;FQL&gt;&lt;Q&gt;DDR3512M-FDS^FG_PRICE_CHANGE(0,-1AY)&lt;/Q&gt;&lt;R&gt;1&lt;/R&gt;&lt;C&gt;1&lt;/C&gt;&lt;D xsi:type="xsd:double"&gt;-18.6113261331039&lt;/D&gt;&lt;/FQL&gt;&lt;FQL&gt;&lt;Q&gt;PLATI-FDS^FG_PRICE_CHANGE(0,-1AY)&lt;/Q&gt;&lt;R&gt;1&lt;/R&gt;&lt;C&gt;1&lt;/C&gt;&lt;D xsi:type="xsd:double"&gt;-6.1&lt;/D&gt;&lt;/FQL&gt;&lt;FQL&gt;&lt;Q&gt;COPP-FDS^FG_PRICE_CHANGE(0,-1AY)&lt;/Q&gt;&lt;R&gt;1&lt;/R&gt;&lt;C&gt;1&lt;/C&gt;&lt;D xsi:type="xsd:double"&gt;0.660765490587201&lt;/D&gt;&lt;/FQL&gt;&lt;FQL&gt;&lt;Q&gt;SPY^P_PRICE(0)/P_PRICE_LOW_PR(0,,,USD,,,"PRICE","INTRA","52W")-1&lt;/Q&gt;&lt;R&gt;1&lt;/R&gt;&lt;C&gt;1&lt;/C&gt;&lt;D xsi:type="xsd:double"&gt;0.3420292&lt;/D&gt;&lt;/FQL&gt;&lt;FQL&gt;&lt;Q&gt;EWG^P_PRICE(0)/P_PRICE_HIGH_PR(0,,,USD,,,"PRICE","INTRA","52W")&lt;/Q&gt;&lt;R&gt;1&lt;/R&gt;&lt;C&gt;1&lt;/C&gt;&lt;D xsi:type="xsd:double"&gt;0.98888886&lt;/D&gt;&lt;/FQL&gt;&lt;FQL&gt;&lt;Q&gt;EWD^FMA_RBICS_REV_CURRENT(30, LOC, "PORTAGG")&lt;/Q&gt;&lt;R&gt;1&lt;/R&gt;&lt;C&gt;1&lt;/C&gt;&lt;D xsi:type="xsd:double"&gt;27.1998242779552&lt;/D&gt;&lt;/FQL&gt;&lt;FQL&gt;&lt;Q&gt;REFCATARG-FDS^(SUBARRAY(NOT_NA(NO_REPEAT_F(FG_YIELD(NOW,-10AY,D))),0,1)-SUBARRAY(NOT_NA(NO_REPEAT_F(FG_YIELD(NOW,-10AY,D))),1,1))*100&lt;/Q&gt;&lt;R&gt;1&lt;/R&gt;&lt;C&gt;1&lt;/C&gt;&lt;D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xsi:type="xsd:double"&gt;25&lt;/D&gt;&lt;/FQL&gt;&lt;FQL&gt;&lt;Q&gt;SPY^FMA_EVAL_EBITDA(NTMA,0,,,"PORTAGG","MEANR")&lt;/Q&gt;&lt;R&gt;1&lt;/R&gt;&lt;C&gt;1&lt;/C&gt;&lt;D xsi:type="xsd:double"&gt;14.099255174628&lt;/D&gt;&lt;/FQL&gt;&lt;FQL&gt;&lt;Q&gt;EWL^FMA_DIV_YLD(NTMA,NOW,NOW,M,"PORTAGG","MEANR")&lt;/Q&gt;&lt;R&gt;1&lt;/R&gt;&lt;C&gt;1&lt;/C&gt;&lt;D xsi:type="xsd:double"&gt;3.30332242739859&lt;/D&gt;&lt;/FQL&gt;&lt;FQL&gt;&lt;Q&gt;USO^FG_TOTAL_RETURNC(0,-6AM)&lt;/Q&gt;&lt;R&gt;1&lt;/R&gt;&lt;C&gt;1&lt;/C&gt;&lt;D xsi:type="xsd:double"&gt;-5.9418144&lt;/D&gt;&lt;/FQL&gt;&lt;FQL&gt;&lt;Q&gt;EWC^FMA_DIV_YLD(NTMA,NOW,NOW,M,"PORTAGG","MEANR")&lt;/Q&gt;&lt;R&gt;1&lt;/R&gt;&lt;C&gt;1&lt;/C&gt;&lt;D xsi:type="xsd:double"&gt;3.25812743272384&lt;/D&gt;&lt;/FQL&gt;&lt;FQL&gt;&lt;Q&gt;SPY^FMA_PE(LTM,0,,,"PORTAGG","MEANR")&lt;/Q&gt;&lt;R&gt;1&lt;/R&gt;&lt;C&gt;1&lt;/C&gt;&lt;D xsi:type="xsd:double"&gt;25.5859696099937&lt;/D&gt;&lt;/FQL&gt;&lt;FQL&gt;&lt;Q&gt;DBA^FG_TOTAL_RETURNC(0,-3AM)&lt;/Q&gt;&lt;R&gt;1&lt;/R&gt;&lt;C&gt;1&lt;/C&gt;&lt;D xsi:type="xsd:double"&gt;10.251295&lt;/D&gt;&lt;/FQL&gt;&lt;FQL&gt;&lt;Q&gt;CAGDPY@CA^EE_ACTUAL_ANNUAL(MED,+1)&lt;/Q&gt;&lt;R&gt;1&lt;/R&gt;&lt;C&gt;1&lt;/C&gt;&lt;D xsi:type="xsd:double"&gt;-0.7&lt;/D&gt;&lt;/FQL&gt;&lt;FQL&gt;&lt;Q&gt;DBA^FG_TOTAL_RETURNC(0,-1AM)&lt;/Q&gt;&lt;R&gt;1&lt;/R&gt;&lt;C&gt;1&lt;/C&gt;&lt;D xsi:type="xsd:double"&gt;5.4819584&lt;/D&gt;&lt;/FQL&gt;&lt;FQL&gt;&lt;Q&gt;WL-FDS^FG_PRICE(0)&lt;/Q&gt;&lt;R&gt;1&lt;/R&gt;&lt;C&gt;1&lt;/C&gt;&lt;D xsi:type="xsd:double"&gt;614.8&lt;/D&gt;&lt;/FQL&gt;&lt;FQL&gt;&lt;Q&gt;EWA^PERCENT_CHANGE(FMA_EPS(+1,0,,,,"PORTAGG","MEAN"),FMA_EPS(+1,-1AM,,,,"PORTAGG","MEAN"))&lt;/Q&gt;&lt;R&gt;1&lt;/R&gt;&lt;C&gt;1&lt;/C&gt;&lt;D xsi:type="xsd:double"&gt;2.49650050662741&lt;/D&gt;&lt;/FQL&gt;&lt;FQL&gt;&lt;Q&gt;EWN^FMA_DIV_YLD(NTMA,NOW,NOW,M,"PORTAGG","MEANR")&lt;/Q&gt;&lt;R&gt;1&lt;/R&gt;&lt;C&gt;1&lt;/C&gt;&lt;D xsi:type="xsd:double"&gt;2.4848618906768&lt;/D&gt;&lt;/FQL&gt;&lt;FQL&gt;&lt;Q&gt;CAGDPY@CH^EE_ACTUAL_ANNUAL(MED,0)&lt;/Q&gt;&lt;R&gt;1&lt;/R&gt;&lt;C&gt;1&lt;/C&gt;&lt;D xsi:type="xsd:double"&gt;8&lt;/D&gt;&lt;/FQL&gt;&lt;FQL&gt;&lt;Q&gt;USDGBP^STD(FG_PRICE_CHANGE(0,-1AY,AM))&lt;/Q&gt;&lt;R&gt;1&lt;/R&gt;&lt;C&gt;1&lt;/C&gt;&lt;D xsi:type="xsd:double"&gt;2.18856425510442&lt;/D&gt;&lt;/FQL&gt;&lt;FQL&gt;&lt;Q&gt;USDAUD^FG_PRICE_CHANGE(0,-3AM)&lt;/Q&gt;&lt;R&gt;1&lt;/R&gt;&lt;C&gt;1&lt;/C&gt;&lt;D xsi:type="xsd:double"&gt;1.7463923&lt;/D&gt;&lt;/FQL&gt;&lt;FQL&gt;&lt;Q&gt;EWU^P_PRICE_RETURNS_PR('52W',2,-10AY,0,AM)&lt;/Q&gt;&lt;R&gt;121&lt;/R&gt;&lt;C&gt;1&lt;/C&gt;&lt;D xsi:type="xsd:double"&gt;12.698936&lt;/D&gt;&lt;D xsi:type="xsd:double"&gt;14.654291&lt;/D&gt;&lt;D xsi:type="xsd:double"&gt;16.541374&lt;/D&gt;&lt;D xsi:type="xsd:double"&gt;18.762089&lt;/D&gt;&lt;D xsi:type="xsd:double"&gt;19.419432&lt;/D&gt;&lt;D xsi:type="xsd:double"&gt;11.735476&lt;/D&gt;&lt;D xsi:type="xsd:double"&gt;8.541322&lt;/D&gt;&lt;D xsi:type="xsd:double"&gt;-0.91294646&lt;/D&gt;&lt;D xsi:type="xsd:double"&gt;-0.46468377&lt;/D&gt;&lt;D xsi:type="xsd:double"&gt;-4.859805&lt;/D&gt;&lt;D xsi:type="xsd:double"&gt;-10.447961&lt;/D&gt;&lt;D xsi:type="xsd:double"&gt;-2.3568392&lt;/D&gt;&lt;D xsi:type="xsd:double"&gt;-5.3394136&lt;/D&gt;&lt;D xsi:type="xsd:double"&gt;-2.3164392&lt;/D&gt;&lt;D xsi:type="xsd:double"&gt;-2.2009432&lt;/D&gt;&lt;D xsi:type="xsd:double"&gt;-5.941921&lt;/D&gt;&lt;D xsi:type="xsd:double"&gt;-6.401217&lt;/D&gt;&lt;D xsi:type="xsd:double"&gt;-5.663043&lt;/D&gt;&lt;D xsi:type="xsd:double"&gt;-13.118898&lt;/D&gt;&lt;D xsi:type="xsd:double"&gt;-1.8796563&lt;/D&gt;&lt;D xsi:type="xsd:double"&gt;-9.078396&lt;/D&gt;&lt;D xsi:type="xsd:double"&gt;-5.8564425&lt;/D&gt;&lt;D xsi:type="xsd:double"&gt;-9.924114&lt;/D&gt;&lt;D xsi:type="xsd:double"&gt;-19.211079&lt;/D&gt;&lt;D xsi:type="xsd:double"&gt;-9.26413&lt;/D&gt;&lt;D xsi:type="xsd:double"&gt;-11.344046&lt;/D&gt;&lt;D xsi:type="xsd:double"&gt;-17.589891&lt;/D&gt;&lt;D xsi:type="xsd:double"&gt;-18.185812&lt;/D&gt;&lt;D xsi:type="xsd:double"&gt;-13.211841&lt;/D&gt;&lt;D xsi:type="xsd:double"&gt;-10.489904&lt;/D&gt;&lt;D xsi:type="xsd:double"&gt;-2.9070437&lt;/D&gt;&lt;D xsi:type="xsd:double"&gt;-9.039963&lt;/D&gt;&lt;D xsi:type="xsd:double"&gt;-5.799341&lt;/D&gt;&lt;D xsi:type="xsd:double"&gt;0.36683083&lt;/D&gt;&lt;D xsi:type="xsd:double"&gt;9.809899&lt;/D&gt;&lt;D xsi:type="xsd:double"&gt;13.253366&lt;/D&gt;&lt;D xsi:type="xsd:double"&gt;5.382037&lt;/D&gt;&lt;D xsi:type="xsd:double"&gt;4.8568487&lt;/D&gt;&lt;D xsi:type="xsd:double"&gt;12.077737&lt;/D&gt;&lt;D xsi:type="xsd:double"&gt;17.673742&lt;/D&gt;&lt;D xsi:type="xsd:double"&gt;12.846351&lt;/D&gt;&lt;D xsi:type="xsd:double"&gt;10.602343&lt;/D&gt;&lt;D xsi:type="xsd:double"&gt;14.876902&lt;/D&gt;&lt;D xsi:type="xsd:double"&gt;20.935322&lt;/D&gt;&lt;D xsi:type="xsd:double"&gt;19.055439&lt;/D&gt;&lt;D xsi:type="xsd:double"&gt;18.381214&lt;/D&gt;&lt;D xsi:type="xsd:double"&gt;23.670244&lt;/D&gt;&lt;D xsi:type="xsd:double"&gt;15.271271&lt;/D&gt;&lt;D xsi:type="xsd:double"&gt;14.359188&lt;/D&gt;&lt;D xsi:type="xsd:double"&gt;16.578245&lt;/D&gt;&lt;D xsi:type="xsd:double"&gt;12.644696&lt;/D&gt;&lt;D xsi:type="xsd:double"&gt;11.193169&lt;/D&gt;&lt;D xsi:type="xsd:double"&gt;8.814669&lt;/D&gt;&lt;D xsi:type="xsd:double"&gt;4.623413&lt;/D&gt;&lt;D xsi:type="xsd:double"&gt;0.5951524&lt;/D&gt;&lt;D xsi:type="xsd:double"&gt;-4.330367&lt;/D&gt;&lt;D xsi:type="xsd:double"&gt;-2.8109074&lt;/D&gt;&lt;D xsi:type="xsd:double"&gt;-11.165852&lt;/D&gt;&lt;D xsi:type="xsd:double"&gt;-14.384043&lt;/D&gt;&lt;D xsi:type="xsd:double"&gt;-5.8094444&lt;/D&gt;&lt;D xsi:type="xsd:double"&gt;-0.61265826&lt;/D&gt;&lt;D xsi:type="xsd:double"&gt;-2.0499349&lt;/D&gt;&lt;D xsi:type="xsd:double"&gt;-7.2819114&lt;/D&gt;&lt;D xsi:type="xsd:double"&gt;-6.752205&lt;/D&gt;&lt;D xsi:type="xsd:double"&gt;-3.4241378&lt;/D&gt;&lt;D xsi:type="xsd:double"&gt;-8.591854&lt;/D&gt;&lt;D xsi:type="xsd:double"&gt;-0.38787723&lt;/D&gt;&lt;D xsi:type="xsd:double"&gt;1.7601848&lt;/D&gt;&lt;D xsi:type="xsd:double"&gt;6.4430237&lt;/D&gt;&lt;D xsi:type="xsd:double"&gt;17.025805&lt;/D&gt;&lt;D xsi:type="xsd:double"&gt;16.286123&lt;/D&gt;&lt;D xsi:type="xsd:double"&gt;8.037626&lt;/D&gt;&lt;D xsi:type="xsd:double"&gt;-23.944933&lt;/D&gt;&lt;D xsi:type="xsd:double"&gt;-23.34283&lt;/D&gt;&lt;D xsi:type="xsd:double"&gt;-22.647476&lt;/D&gt;&lt;D xsi:type="xsd:double"&gt;-16.306288&lt;/D&gt;&lt;D xsi:type="xsd:double"&gt;-16.17437&lt;/D&gt;&lt;D xsi:type="xsd:double"&gt;-5.806482&lt;/D&gt;&lt;D xsi:type="xsd:double"&gt;-14.766014&lt;/D&gt;&lt;D xsi:type="xsd:double"&gt;-14.844048&lt;/D&gt;&lt;D xsi:type="xsd:double"&gt;-10.354721&lt;/D&gt;&lt;D xsi:type="xsd:double"&gt;-11.240816&lt;/D&gt;&lt;D xsi:type="xsd:double"&gt;-5.634898&lt;/D&gt;&lt;D xsi:type="xsd:double"&gt;-5.746472&lt;/D&gt;&lt;D xsi:type="xsd:double"&gt;42.03029&lt;/D&gt;&lt;D xsi:type="xsd:double"&gt;32.868923&lt;/D&gt;&lt;D xsi:type="xsd:double"&gt;43.580807&lt;/D&gt;&lt;D xsi:type="xsd:double"&gt;34.37717&lt;/D&gt;&lt;D xsi:type="xsd:double"&gt;29.570316&lt;/D&gt;&lt;D xsi:type="xsd:double"&gt;27.838696&lt;/D&gt;&lt;D xsi:type="xsd:double"&gt;29.02168&lt;/D&gt;&lt;D xsi:type="xsd:double"&gt;33.071125&lt;/D&gt;&lt;D xsi:type="xsd:double"&gt;23.624956&lt;/D&gt;&lt;D xsi:type="xsd:double"&gt;14.624226&lt;/D&gt;&lt;D xsi:type="xsd:double"&gt;16.181135&lt;/D&gt;&lt;D xsi:type="xsd:double"&gt;16.669226&lt;/D&gt;&lt;D xsi:type="xsd:double"&gt;3.8989544&lt;/D&gt;&lt;D xsi:type="xsd:double"&gt;10.448801&lt;/D&gt;&lt;D xsi:type="xsd:double"&gt;-1.2131512&lt;/D&gt;&lt;D xsi:type="xsd:double"&gt;-8.622562&lt;/D&gt;&lt;D xsi:type="xsd:double"&gt;-9.543067&lt;/D&gt;&lt;D xsi:type="xsd:double"&gt;-2.4426281&lt;/D&gt;&lt;D xsi:type="xsd:double"&gt;-7.6974335&lt;/D&gt;&lt;D xsi:type="xsd:double"&gt;-17.870415&lt;/D&gt;&lt;D xsi:type="xsd:double"&gt;-7.226592&lt;/D&gt;&lt;D xsi:type="xsd:double"&gt;2.383995&lt;/D&gt;&lt;D xsi:type="xsd:double"&gt;-2.2443175&lt;/D&gt;&lt;D xsi:type="xsd:double"&gt;0.1770854&lt;/D&gt;&lt;D xsi:type="xsd:double"&gt;3.3597112&lt;/D&gt;&lt;D xsi:type="xsd:double"&gt;1.7532468&lt;/D&gt;&lt;D xsi:type="xsd:double"&gt;12.35634&lt;/D&gt;&lt;D xsi:type="xsd:double"&gt;13.853275&lt;/D&gt;&lt;D xsi:type="xsd:double"&gt;18.78302&lt;/D&gt;&lt;D xsi:type="xsd:double"&gt;7.140732&lt;/D&gt;&lt;D xsi:type="xsd:double"&gt;16.688013&lt;/D&gt;&lt;D xsi:type="xsd:double"&gt;21.996582&lt;/D&gt;&lt;D xsi:type="xsd:double"&gt;10.816169&lt;/D&gt;&lt;D xsi:type="xsd:double"&gt;8.548748&lt;/D&gt;&lt;D xsi:type="xsd:double"&gt;5.545926&lt;/D&gt;&lt;D xsi:type="xsd:double"&gt;1.0708094&lt;/D&gt;&lt;D xsi:type="xsd:double"&gt;10.246002&lt;/D&gt;&lt;/FQL&gt;&lt;FQL&gt;&lt;Q&gt;EWL^FG_PRICE_MAVG(0,,,,200)&lt;/Q&gt;&lt;R&gt;1&lt;/R&gt;&lt;C&gt;1&lt;/C&gt;&lt;D xsi:type="xsd:double"&gt;45.86735&lt;/D&gt;&lt;/FQL&gt;&lt;FQL&gt;&lt;Q&gt;EWN^P_PRICE(0)/P_PRICE_LOW_PR(0,,,USD,,,"PRICE","INTRA","52W")-1&lt;/Q&gt;&lt;R&gt;1&lt;/R&gt;&lt;C&gt;1&lt;/C&gt;&lt;D xsi:type="xsd:double"&gt;0.33480287&lt;/D&gt;&lt;/FQL&gt;&lt;FQL&gt;&lt;Q&gt;EWG^PERCENT_CHANGE(FMA_EPS(+1,0,,,,"PORTAGG","MEAN"),FMA_EPS(+1,-3AM,,,,"PORTAGG","MEAN"))&lt;/Q&gt;&lt;R&gt;1&lt;/R&gt;&lt;C&gt;1&lt;/C&gt;&lt;D xsi:type="xsd:double"&gt;-4.61406846612368&lt;/D&gt;&lt;/FQL&gt;&lt;FQL&gt;&lt;Q&gt;VGK^SIZE(FG_CONSTITUENTS)&lt;/Q&gt;&lt;R&gt;1&lt;/R&gt;&lt;C&gt;1&lt;/C&gt;&lt;D xsi:type="xsd:long"&gt;1291&lt;/D&gt;&lt;/FQL&gt;&lt;FQL&gt;&lt;Q&gt;REFSEREPO-FDS^PROPER_NAME(0,,,"SECURITY","NAME")&lt;/Q&gt;&lt;R&gt;1&lt;/R&gt;&lt;C&gt;1&lt;/C&gt;&lt;D xsi:type="xsd:string"&gt;Sweden Repo Rate&lt;/D&gt;&lt;/FQL&gt;&lt;FQL&gt;&lt;Q&gt;TRYDE10Y-FDS^PCTCHG(FG_YIELD(0,,,,"YTM"),FG_YIELD(-1AM,,,,"YTM"))&lt;/Q&gt;&lt;R&gt;1&lt;/R&gt;&lt;C&gt;1&lt;/C&gt;&lt;D xsi:type="xsd:double"&gt;2.4989417&lt;/D&gt;&lt;/FQL&gt;&lt;FQL&gt;&lt;Q&gt;CC_NZ^IMF_IFS_RCPI_Q(0)&lt;/Q&gt;&lt;R&gt;1&lt;/R&gt;&lt;C&gt;1&lt;/C&gt;&lt;D xsi:type="xsd:double"&gt;4.655029&lt;/D&gt;&lt;/FQL&gt;&lt;FQL&gt;&lt;Q&gt;EWC^FMA_ROE(NTMA,-20AY,NOW,FY,"PORTAGG","MEANR")&lt;/Q&gt;&lt;R&gt;20&lt;/R&gt;&lt;C&gt;1&lt;/C&gt;&lt;D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xsi:type="xsd:double"&gt;13.1440312273413&lt;/D&gt;&lt;/FQL&gt;&lt;FQL&gt;&lt;Q&gt;CAGDPY@CA^EE_ACTUAL_ANNUAL(MED,0)&lt;/Q&gt;&lt;R&gt;1&lt;/R&gt;&lt;C&gt;1&lt;/C&gt;&lt;D xsi:type="xsd:double"&gt;-0.614727995236974&lt;/D&gt;&lt;/FQL&gt;&lt;FQL&gt;&lt;Q&gt;EWJ^FG_PRICE_MAVG(0,,,,30)&lt;/Q&gt;&lt;R&gt;1&lt;/R&gt;&lt;C&gt;1&lt;/C&gt;&lt;D xsi:type="xsd:double"&gt;68.447&lt;/D&gt;&lt;/FQL&gt;&lt;FQL&gt;&lt;Q&gt;TRYNZ10Y-FDS^PCTCHG(FG_YIELD(0,,,,"YTM"),FG_YIELD(-3AM,,,,"YTM"))&lt;/Q&gt;&lt;R&gt;1&lt;/R&gt;&lt;C&gt;1&lt;/C&gt;&lt;D xsi:type="xsd:double"&gt;0.95285666&lt;/D&gt;&lt;/FQL&gt;&lt;FQL&gt;&lt;Q&gt;VWO^FG_PE(0)&lt;/Q&gt;&lt;R&gt;1&lt;/R&gt;&lt;C&gt;1&lt;/C&gt;&lt;D xsi:type="xsd:double"&gt;12.8652137726722&lt;/D&gt;&lt;/FQL&gt;&lt;FQL&gt;&lt;Q&gt;REFFFUND-FDS^FG_YIELD(NOW,,,0)&lt;/Q&gt;&lt;R&gt;1&lt;/R&gt;&lt;C&gt;1&lt;/C&gt;&lt;D xsi:type="xsd:double"&gt;5.5&lt;/D&gt;&lt;/FQL&gt;&lt;FQL&gt;&lt;Q&gt;SPY^PERCENT_CHANGE(FMA_EPS(+1,0,,,,"PORTAGG","MEAN"),FMA_EPS(+1,-3AM,,,,"PORTAGG","MEAN"))&lt;/Q&gt;&lt;R&gt;1&lt;/R&gt;&lt;C&gt;1&lt;/C&gt;&lt;D xsi:type="xsd:double"&gt;-0.510625980101564&lt;/D&gt;&lt;/FQL&gt;&lt;FQL&gt;&lt;Q&gt;TRYCH10Y-FDS^FG_YIELD(-10AY,0,Y,,"YTM")&lt;/Q&gt;&lt;R&gt;10&lt;/R&gt;&lt;C&gt;1&lt;/C&gt;&lt;D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xsi:type="xsd:double"&gt;0.703&lt;/D&gt;&lt;/FQL&gt;&lt;FQL&gt;&lt;Q&gt;USDSEK^FG_COMPANY_NAME&lt;/Q&gt;&lt;R&gt;1&lt;/R&gt;&lt;C&gt;1&lt;/C&gt;&lt;D xsi:type="xsd:string"&gt;Swedish Krona per U.S. Dollar&lt;/D&gt;&lt;/FQL&gt;&lt;FQL&gt;&lt;Q&gt;ENZL^FMA_DIV_YLD(NTMA,-10AY,0,AM,"PORTAGG","MEANR")&lt;/Q&gt;&lt;R&gt;121&lt;/R&gt;&lt;C&gt;1&lt;/C&gt;&lt;D xsi:type="xsd:double"&gt;4.06375053120662&lt;/D&gt;&lt;D xsi:type="xsd:double"&gt;4.14358509547302&lt;/D&gt;&lt;D xsi:type="xsd:double"&gt;4.07263910918055&lt;/D&gt;&lt;D xsi:type="xsd:double"&gt;4.19889697221484&lt;/D&gt;&lt;D xsi:type="xsd:double"&gt;4.45512597291076&lt;/D&gt;&lt;D xsi:type="xsd:double"&gt;4.54644544624672&lt;/D&gt;&lt;D xsi:type="xsd:double"&gt;4.56760556350107&lt;/D&gt;&lt;D xsi:type="xsd:double"&gt;4.69349871788738&lt;/D&gt;&lt;D xsi:type="xsd:double"&gt;4.42445149392904&lt;/D&gt;&lt;D xsi:type="xsd:double"&gt;4.47531369672272&lt;/D&gt;&lt;D xsi:type="xsd:double"&gt;4.3711090532384&lt;/D&gt;&lt;D xsi:type="xsd:double"&gt;4.27316629263775&lt;/D&gt;&lt;D xsi:type="xsd:double"&gt;4.28238922483162&lt;/D&gt;&lt;D xsi:type="xsd:double"&gt;4.40552611269672&lt;/D&gt;&lt;D xsi:type="xsd:double"&gt;4.49369303960104&lt;/D&gt;&lt;D xsi:type="xsd:double"&gt;4.46107606351032&lt;/D&gt;&lt;D xsi:type="xsd:double"&gt;4.68764375154502&lt;/D&gt;&lt;D xsi:type="xsd:double"&gt;4.74860424324366&lt;/D&gt;&lt;D xsi:type="xsd:double"&gt;5.13082706985205&lt;/D&gt;&lt;D xsi:type="xsd:double"&gt;5.16755297099007&lt;/D&gt;&lt;D xsi:type="xsd:double"&gt;4.91325377011427&lt;/D&gt;&lt;D xsi:type="xsd:double"&gt;4.86941947815168&lt;/D&gt;&lt;D xsi:type="xsd:double"&gt;4.90274738177521&lt;/D&gt;&lt;D xsi:type="xsd:double"&gt;5.05120432421511&lt;/D&gt;&lt;D xsi:type="xsd:double"&gt;4.6520547087956&lt;/D&gt;&lt;D xsi:type="xsd:double"&gt;4.55198789727488&lt;/D&gt;&lt;D xsi:type="xsd:double"&gt;4.48155712038826&lt;/D&gt;&lt;D xsi:type="xsd:double"&gt;4.46080362040872&lt;/D&gt;&lt;D xsi:type="xsd:double"&gt;4.27859399146328&lt;/D&gt;&lt;D xsi:type="xsd:double"&gt;4.13615234542724&lt;/D&gt;&lt;D xsi:type="xsd:double"&gt;4.32673894096196&lt;/D&gt;&lt;D xsi:type="xsd:double"&gt;4.46298594097167&lt;/D&gt;&lt;D xsi:type="xsd:double"&gt;4.71656924783321&lt;/D&gt;&lt;D xsi:type="xsd:double"&gt;4.68448417279636&lt;/D&gt;&lt;D xsi:type="xsd:double"&gt;4.53771713130711&lt;/D&gt;&lt;D xsi:type="xsd:double"&gt;4.47810526942711&lt;/D&gt;&lt;D xsi:type="xsd:double"&gt;4.56899727846211&lt;/D&gt;&lt;D xsi:type="xsd:double"&gt;4.56539463799295&lt;/D&gt;&lt;D xsi:type="xsd:double"&gt;4.44974736439804&lt;/D&gt;&lt;D xsi:type="xsd:double"&gt;4.44994050370359&lt;/D&gt;&lt;D xsi:type="xsd:double"&gt;4.40942006807583&lt;/D&gt;&lt;D xsi:type="xsd:double"&gt;4.39406076260025&lt;/D&gt;&lt;D xsi:type="xsd:double"&gt;4.41237182192094&lt;/D&gt;&lt;D xsi:type="xsd:double"&gt;4.36155552520008&lt;/D&gt;&lt;D xsi:type="xsd:double"&gt;4.43763349508875&lt;/D&gt;&lt;D xsi:type="xsd:double"&gt;4.24932612443831&lt;/D&gt;&lt;D xsi:type="xsd:double"&gt;4.30555839122596&lt;/D&gt;&lt;D xsi:type="xsd:double"&gt;4.43080224759363&lt;/D&gt;&lt;D xsi:type="xsd:double"&gt;4.21696175838443&lt;/D&gt;&lt;D xsi:type="xsd:double"&gt;4.27616846295696&lt;/D&gt;&lt;D xsi:type="xsd:double"&gt;4.14593731078134&lt;/D&gt;&lt;D xsi:type="xsd:double"&gt;4.01479371762132&lt;/D&gt;&lt;D xsi:type="xsd:double"&gt;4.0358404436902&lt;/D&gt;&lt;D xsi:type="xsd:double"&gt;4.07848556396839&lt;/D&gt;&lt;D xsi:type="xsd:double"&gt;3.96374792435541&lt;/D&gt;&lt;D xsi:type="xsd:double"&gt;4.23112928737054&lt;/D&gt;&lt;D xsi:type="xsd:double"&gt;4.22281843903283&lt;/D&gt;&lt;D xsi:type="xsd:double"&gt;4.20415110316754&lt;/D&gt;&lt;D xsi:type="xsd:double"&gt;4.1018559627937&lt;/D&gt;&lt;D xsi:type="xsd:double"&gt;3.99705434434144&lt;/D&gt;&lt;D xsi:type="xsd:double"&gt;3.90165386266887&lt;/D&gt;&lt;D xsi:type="xsd:double"&gt;3.79097998423093&lt;/D&gt;&lt;D xsi:type="xsd:double"&gt;3.69868574080212&lt;/D&gt;&lt;D xsi:type="xsd:double"&gt;3.65844987222765&lt;/D&gt;&lt;D xsi:type="xsd:double"&gt;3.44144533023379&lt;/D&gt;&lt;D xsi:type="xsd:double"&gt;3.41393243595162&lt;/D&gt;&lt;D xsi:type="xsd:double"&gt;3.35165354600795&lt;/D&gt;&lt;D xsi:type="xsd:double"&gt;3.29567622308476&lt;/D&gt;&lt;D xsi:type="xsd:double"&gt;3.35159395150445&lt;/D&gt;&lt;D xsi:type="xsd:double"&gt;3.25209090957933&lt;/D&gt;&lt;D xsi:type="xsd:double"&gt;3.14310810582093&lt;/D&gt;&lt;D xsi:type="xsd:double"&gt;3.06518410950339&lt;/D&gt;&lt;D xsi:type="xsd:double"&gt;3.65272794114442&lt;/D&gt;&lt;D xsi:type="xsd:double"&gt;2.91389420965514&lt;/D&gt;&lt;D xsi:type="xsd:double"&gt;2.60149679155851&lt;/D&gt;&lt;D xsi:type="xsd:double"&gt;2.6142356262672&lt;/D&gt;&lt;D xsi:type="xsd:double"&gt;2.46334918443224&lt;/D&gt;&lt;D xsi:type="xsd:double"&gt;2.44947472715712&lt;/D&gt;&lt;D xsi:type="xsd:double"&gt;2.41790195082729&lt;/D&gt;&lt;D xsi:type="xsd:double"&gt;2.32101574754835&lt;/D&gt;&lt;D xsi:type="xsd:double"&gt;2.35636821420605&lt;/D&gt;&lt;D xsi:type="xsd:double"&gt;2.400557014347&lt;/D&gt;&lt;D xsi:type="xsd:double"&gt;2.42028074263449&lt;/D&gt;&lt;D xsi:type="xsd:double"&gt;2.56823549901218&lt;/D&gt;&lt;D xsi:type="xsd:double"&gt;2.57817915413614&lt;/D&gt;&lt;D xsi:type="xsd:double"&gt;2.54418037749035&lt;/D&gt;&lt;D xsi:type="xsd:double"&gt;2.678298643876&lt;/D&gt;&lt;D xsi:type="xsd:double"&gt;2.68655840068574&lt;/D&gt;&lt;D xsi:type="xsd:double"&gt;2.60603012798061&lt;/D&gt;&lt;D xsi:type="xsd:double"&gt;2.6658135152186&lt;/D&gt;&lt;D xsi:type="xsd:double"&gt;2.60781427242459&lt;/D&gt;&lt;D xsi:type="xsd:double"&gt;2.66160578156158&lt;/D&gt;&lt;D xsi:type="xsd:double"&gt;2.71152542435697&lt;/D&gt;&lt;D xsi:type="xsd:double"&gt;2.76116409235785&lt;/D&gt;&lt;D xsi:type="xsd:double"&gt;2.84161436516067&lt;/D&gt;&lt;D xsi:type="xsd:double"&gt;3.01470674250919&lt;/D&gt;&lt;D xsi:type="xsd:double"&gt;3.09717258597322&lt;/D&gt;&lt;D xsi:type="xsd:double"&gt;3.14102107944302&lt;/D&gt;&lt;D xsi:type="xsd:double"&gt;3.22762495671221&lt;/D&gt;&lt;D xsi:type="xsd:double"&gt;3.43504806869215&lt;/D&gt;&lt;D xsi:type="xsd:double"&gt;3.2874146221247&lt;/D&gt;&lt;D xsi:type="xsd:double"&gt;3.2048321336856&lt;/D&gt;&lt;D xsi:type="xsd:double"&gt;3.22034710905346&lt;/D&gt;&lt;D xsi:type="xsd:double"&gt;3.48236940927434&lt;/D&gt;&lt;D xsi:type="xsd:double"&gt;3.4143865298493&lt;/D&gt;&lt;D xsi:type="xsd:double"&gt;3.42580735718499&lt;/D&gt;&lt;D xsi:type="xsd:double"&gt;3.39250912530448&lt;/D&gt;&lt;D xsi:type="xsd:double"&gt;3.30879798497976&lt;/D&gt;&lt;D xsi:type="xsd:double"&gt;3.5386990675273&lt;/D&gt;&lt;D xsi:type="xsd:double"&gt;3.42011364937346&lt;/D&gt;&lt;D xsi:type="xsd:double"&gt;3.48642904628921&lt;/D&gt;&lt;D xsi:type="xsd:double"&gt;3.48498948154801&lt;/D&gt;&lt;D xsi:type="xsd:double"&gt;3.40357821711688&lt;/D&gt;&lt;D xsi:type="xsd:double"&gt;3.4505662272225&lt;/D&gt;&lt;D xsi:type="xsd:double"&gt;3.43580148717881&lt;/D&gt;&lt;D xsi:type="xsd:double"&gt;3.4487987563606&lt;/D&gt;&lt;D xsi:type="xsd:double"&gt;3.45415241187494&lt;/D&gt;&lt;D xsi:type="xsd:double"&gt;3.00258023045272&lt;/D&gt;&lt;D xsi:type="xsd:double"&gt;2.97030149297866&lt;/D&gt;&lt;D xsi:type="xsd:double"&gt;2.932942263227&lt;/D&gt;&lt;D xsi:type="xsd:double"&gt;2.77009413210009&lt;/D&gt;&lt;/FQL&gt;&lt;FQL&gt;&lt;Q&gt;DDR3512M-FDS^FG_PRICE_CHANGE(0,-6AM)&lt;/Q&gt;&lt;R&gt;1&lt;/R&gt;&lt;C&gt;1&lt;/C&gt;&lt;D xsi:type="xsd:double"&gt;-0.39237407545607&lt;/D&gt;&lt;/FQL&gt;&lt;FQL&gt;&lt;Q&gt;PLATI-FDS^FG_PRICE_CHANGE(0,-6AM)&lt;/Q&gt;&lt;R&gt;1&lt;/R&gt;&lt;C&gt;1&lt;/C&gt;&lt;D xsi:type="xsd:double"&gt;3.1868131868132&lt;/D&gt;&lt;/FQL&gt;&lt;FQL&gt;&lt;Q&gt;COPP-FDS^FG_PRICE_CHANGE(0,-6AM)&lt;/Q&gt;&lt;R&gt;1&lt;/R&gt;&lt;C&gt;1&lt;/C&gt;&lt;D xsi:type="xsd:double"&gt;6.72835426305354&lt;/D&gt;&lt;/FQL&gt;&lt;FQL&gt;&lt;Q&gt;VGK^PERCENT_CHANGE(FMA_EPS(+1,0,,,,"PORTAGG","MEAN"),FMA_EPS(+1,-1AM,,,,"PORTAGG","MEAN"))&lt;/Q&gt;&lt;R&gt;1&lt;/R&gt;&lt;C&gt;1&lt;/C&gt;&lt;D xsi:type="xsd:double"&gt;0&lt;/D&gt;&lt;/FQL&gt;&lt;FQL&gt;&lt;Q&gt;EWN^FMA_RBICS_REV_CURRENT(30, LOC, "PORTAGG")&lt;/Q&gt;&lt;R&gt;1&lt;/R&gt;&lt;C&gt;1&lt;/C&gt;&lt;D xsi:type="xsd:double"&gt;24.7200394051192&lt;/D&gt;&lt;/FQL&gt;&lt;FQL&gt;&lt;Q&gt;REFCATARG-FDS^FG_YIELD(NOW,,,0)&lt;/Q&gt;&lt;R&gt;1&lt;/R&gt;&lt;C&gt;1&lt;/C&gt;&lt;D xsi:type="xsd:double"&gt;5&lt;/D&gt;&lt;/FQL&gt;&lt;FQL&gt;&lt;Q&gt;EWL^FMA_PE(NTMA,0,,,"PORTAGG","MEANR")&lt;/Q&gt;&lt;R&gt;1&lt;/R&gt;&lt;C&gt;1&lt;/C&gt;&lt;D xsi:type="xsd:double"&gt;17.864966132392&lt;/D&gt;&lt;/FQL&gt;&lt;FQL&gt;&lt;Q&gt;EWC^FMA_PE(NTMA,0,,,"PORTAGG","MEANR")&lt;/Q&gt;&lt;R&gt;1&lt;/R&gt;&lt;C&gt;1&lt;/C&gt;&lt;D xsi:type="xsd:double"&gt;14.603137299534&lt;/D&gt;&lt;/FQL&gt;&lt;FQL&gt;&lt;Q&gt;EWQ^P_PRICE(0)/P_PRICE_LOW_PR(0,,,USD,,,"PRICE","INTRA","52W")-1&lt;/Q&gt;&lt;R&gt;1&lt;/R&gt;&lt;C&gt;1&lt;/C&gt;&lt;D xsi:type="xsd:double"&gt;0.23262036&lt;/D&gt;&lt;/FQL&gt;&lt;FQL&gt;&lt;Q&gt;EWG^FG_TOTAL_RETURNC(0,-3AM)&lt;/Q&gt;&lt;R&gt;1&lt;/R&gt;&lt;C&gt;1&lt;/C&gt;&lt;D xsi:type="xsd:double"&gt;5.313146&lt;/D&gt;&lt;/FQL&gt;&lt;FQL&gt;&lt;Q&gt;EWG^PERCENT_CHANGE(FMA_EPS(+1,0,,,,"PORTAGG","MEAN"),FMA_EPS(+1,-1AM,,,,"PORTAGG","MEAN"))&lt;/Q&gt;&lt;R&gt;1&lt;/R&gt;&lt;C&gt;1&lt;/C&gt;&lt;D xsi:type="xsd:double"&gt;0.831233870066993&lt;/D&gt;&lt;/FQL&gt;&lt;FQL&gt;&lt;Q&gt;EWI^FMA_COS_DOWN("EPS","1M",+1,0,,,"PORTAGG","MEANR")&lt;/Q&gt;&lt;R&gt;1&lt;/R&gt;&lt;C&gt;1&lt;/C&gt;&lt;D xsi:type="xsd:double"&gt;10&lt;/D&gt;&lt;/FQL&gt;&lt;FQL&gt;&lt;Q&gt;TRYCA10Y-FDS^PCTCHG(FG_YIELD(0,,,,"YTM"),FG_YIELD(-3AM,,,,"YTM"))&lt;/Q&gt;&lt;R&gt;1&lt;/R&gt;&lt;C&gt;1&lt;/C&gt;&lt;D xsi:type="xsd:double"&gt;11.151453&lt;/D&gt;&lt;/FQL&gt;&lt;FQL&gt;&lt;Q&gt;VWO^FMA_EVAL_EBIT(LTMA,NOW,NOW,M,"PORTAGG","MEANR")&lt;/Q&gt;&lt;R&gt;1&lt;/R&gt;&lt;C&gt;1&lt;/C&gt;&lt;D xsi:type="xsd:double"&gt;13.9128044987212&lt;/D&gt;&lt;/FQL&gt;&lt;FQL&gt;&lt;Q&gt;USO^FG_TOTAL_RETURNC(0,-1AM)&lt;/Q&gt;&lt;R&gt;1&lt;/R&gt;&lt;C&gt;1&lt;/C&gt;&lt;D xsi:type="xsd:double"&gt;6.6387177&lt;/D&gt;&lt;/FQL&gt;&lt;FQL&gt;&lt;Q&gt;EWA^P_PRICE_RETURNS_PR('52W',2,-10AY,0,AM)&lt;/Q&gt;&lt;R&gt;121&lt;/R&gt;&lt;C&gt;1&lt;/C&gt;&lt;D xsi:type="xsd:double"&gt;-4.83191&lt;/D&gt;&lt;D xsi:type="xsd:double"&gt;0.6913543&lt;/D&gt;&lt;D xsi:type="xsd:double"&gt;3.212297&lt;/D&gt;&lt;D xsi:type="xsd:double"&gt;15.75054&lt;/D&gt;&lt;D xsi:type="xsd:double"&gt;19.749296&lt;/D&gt;&lt;D xsi:type="xsd:double"&gt;14.721584&lt;/D&gt;&lt;D xsi:type="xsd:double"&gt;7.3985577&lt;/D&gt;&lt;D xsi:type="xsd:double"&gt;-5.7391524&lt;/D&gt;&lt;D xsi:type="xsd:double"&gt;-0.45861006&lt;/D&gt;&lt;D xsi:type="xsd:double"&gt;-1.6705453&lt;/D&gt;&lt;D xsi:type="xsd:double"&gt;-3.8308203&lt;/D&gt;&lt;D xsi:type="xsd:double"&gt;-0.5066395&lt;/D&gt;&lt;D xsi:type="xsd:double"&gt;-4.6622157&lt;/D&gt;&lt;D xsi:type="xsd:double"&gt;-7.018179&lt;/D&gt;&lt;D xsi:type="xsd:double"&gt;-7.001919&lt;/D&gt;&lt;D xsi:type="xsd:double"&gt;-13.217646&lt;/D&gt;&lt;D xsi:type="xsd:double"&gt;-16.929287&lt;/D&gt;&lt;D xsi:type="xsd:double"&gt;-21.133047&lt;/D&gt;&lt;D xsi:type="xsd:double"&gt;-24.73719&lt;/D&gt;&lt;D xsi:type="xsd:double"&gt;-13.365561&lt;/D&gt;&lt;D xsi:type="xsd:double"&gt;-22.713423&lt;/D&gt;&lt;D xsi:type="xsd:double"&gt;-13.895458&lt;/D&gt;&lt;D xsi:type="xsd:double"&gt;-17.606157&lt;/D&gt;&lt;D xsi:type="xsd:double"&gt;-21.604145&lt;/D&gt;&lt;D xsi:type="xsd:double"&gt;-9.351957&lt;/D&gt;&lt;D xsi:type="xsd:double"&gt;-10.952067&lt;/D&gt;&lt;D xsi:type="xsd:double"&gt;-13.232649&lt;/D&gt;&lt;D xsi:type="xsd:double"&gt;-8.315253&lt;/D&gt;&lt;D xsi:type="xsd:double"&gt;1.7619848&lt;/D&gt;&lt;D xsi:type="xsd:double"&gt;9.00532&lt;/D&gt;&lt;D xsi:type="xsd:double"&gt;9.903526&lt;/D&gt;&lt;D xsi:type="xsd:double"&gt;12.044466&lt;/D&gt;&lt;D xsi:type="xsd:double"&gt;17.892933&lt;/D&gt;&lt;D xsi:type="xsd:double"&gt;20.492327&lt;/D&gt;&lt;D xsi:type="xsd:double"&gt;32.669342&lt;/D&gt;&lt;D xsi:type="xsd:double"&gt;35.110367&lt;/D&gt;&lt;D xsi:type="xsd:double"&gt;17.259275&lt;/D&gt;&lt;D xsi:type="xsd:double"&gt;19.837261&lt;/D&gt;&lt;D xsi:type="xsd:double"&gt;15.082312&lt;/D&gt;&lt;D xsi:type="xsd:double"&gt;21.320868&lt;/D&gt;&lt;D xsi:type="xsd:double"&gt;14.218748&lt;/D&gt;&lt;D xsi:type="xsd:double"&gt;12.376213&lt;/D&gt;&lt;D xsi:type="xsd:double"&gt;23.985302&lt;/D&gt;&lt;D xsi:type="xsd:double"&gt;16.556608&lt;/D&gt;&lt;D xsi:type="xsd:double"&gt;16.562008&lt;/D&gt;&lt;D xsi:type="xsd:double"&gt;15.916109&lt;/D&gt;&lt;D xsi:type="xsd:double"&gt;15.17694&lt;/D&gt;&lt;D xsi:type="xsd:double"&gt;9.574545&lt;/D&gt;&lt;D xsi:type="xsd:double"&gt;10.101056&lt;/D&gt;&lt;D xsi:type="xsd:double"&gt;4.481721&lt;/D&gt;&lt;D xsi:type="xsd:double"&gt;10.251808&lt;/D&gt;&lt;D xsi:type="xsd:double"&gt;5.84569&lt;/D&gt;&lt;D xsi:type="xsd:double"&gt;8.902634&lt;/D&gt;&lt;D xsi:type="xsd:double"&gt;4.934001&lt;/D&gt;&lt;D xsi:type="xsd:double"&gt;-0.5818367&lt;/D&gt;&lt;D xsi:type="xsd:double"&gt;-4.950815&lt;/D&gt;&lt;D xsi:type="xsd:double"&gt;-4.5337915&lt;/D&gt;&lt;D xsi:type="xsd:double"&gt;-9.411228&lt;/D&gt;&lt;D xsi:type="xsd:double"&gt;-9.94584&lt;/D&gt;&lt;D xsi:type="xsd:double"&gt;-4.4680653&lt;/D&gt;&lt;D xsi:type="xsd:double"&gt;-2.0853758&lt;/D&gt;&lt;D xsi:type="xsd:double"&gt;3.430438&lt;/D&gt;&lt;D xsi:type="xsd:double"&gt;-1.7388761&lt;/D&gt;&lt;D xsi:type="xsd:double"&gt;4.6655416&lt;/D&gt;&lt;D xsi:type="xsd:double"&gt;4.593265&lt;/D&gt;&lt;D xsi:type="xsd:double"&gt;-0.3948152&lt;/D&gt;&lt;D xsi:type="xsd:double"&gt;9.224892&lt;/D&gt;&lt;D xsi:type="xsd:double"&gt;13.032722&lt;/D&gt;&lt;D xsi:type="xsd:double"&gt;15.258861&lt;/D&gt;&lt;D xsi:type="xsd:double"&gt;18.871355&lt;/D&gt;&lt;D xsi:type="xsd:double"&gt;19.80133&lt;/D&gt;&lt;D xsi:type="xsd:double"&gt;15.619791&lt;/D&gt;&lt;D xsi:type="xsd:double"&gt;-16.131145&lt;/D&gt;&lt;D xsi:type="xsd:double"&gt;-18.390633&lt;/D&gt;&lt;D xsi:type="xsd:double"&gt;-19.084728&lt;/D&gt;&lt;D xsi:type="xsd:double"&gt;-10.586506&lt;/D&gt;&lt;D xsi:type="xsd:double"&gt;-10.08569&lt;/D&gt;&lt;D xsi:type="xsd:double"&gt;0.9591341&lt;/D&gt;&lt;D xsi:type="xsd:double"&gt;-6.720501&lt;/D&gt;&lt;D xsi:type="xsd:double"&gt;-2.0507276&lt;/D&gt;&lt;D xsi:type="xsd:double"&gt;1.5436172&lt;/D&gt;&lt;D xsi:type="xsd:double"&gt;7.81312&lt;/D&gt;&lt;D xsi:type="xsd:double"&gt;9.41099&lt;/D&gt;&lt;D xsi:type="xsd:double"&gt;11.241198&lt;/D&gt;&lt;D xsi:type="xsd:double"&gt;70.16665&lt;/D&gt;&lt;D xsi:type="xsd:double"&gt;53.75434&lt;/D&gt;&lt;D xsi:type="xsd:double"&gt;64.17113&lt;/D&gt;&lt;D xsi:type="xsd:double"&gt;46.19696&lt;/D&gt;&lt;D xsi:type="xsd:double"&gt;35.523296&lt;/D&gt;&lt;D xsi:type="xsd:double"&gt;32.34364&lt;/D&gt;&lt;D xsi:type="xsd:double"&gt;29.515314&lt;/D&gt;&lt;D xsi:type="xsd:double"&gt;28.137636&lt;/D&gt;&lt;D xsi:type="xsd:double"&gt;21.668983&lt;/D&gt;&lt;D xsi:type="xsd:double"&gt;6.7330003&lt;/D&gt;&lt;D xsi:type="xsd:double"&gt;4.3678045&lt;/D&gt;&lt;D xsi:type="xsd:double"&gt;-0.84913373&lt;/D&gt;&lt;D xsi:type="xsd:double"&gt;0.65808296&lt;/D&gt;&lt;D xsi:type="xsd:double"&gt;7.700968&lt;/D&gt;&lt;D xsi:type="xsd:double"&gt;-5.399847&lt;/D&gt;&lt;D xsi:type="xsd:double"&gt;-15.987825&lt;/D&gt;&lt;D xsi:type="xsd:double"&gt;-15.079779&lt;/D&gt;&lt;D xsi:type="xsd:double"&gt;-5.8802547&lt;/D&gt;&lt;D xsi:type="xsd:double"&gt;-10.333717&lt;/D&gt;&lt;D xsi:type="xsd:double"&gt;-19.549889&lt;/D&gt;&lt;D xsi:type="xsd:double"&gt;-7.576519&lt;/D&gt;&lt;D xsi:type="xsd:double"&gt;0.9910822&lt;/D&gt;&lt;D xsi:type="xsd:double"&gt;1.4760256&lt;/D&gt;&lt;D xsi:type="xsd:double"&gt;8.346176&lt;/D&gt;&lt;D xsi:type="xsd:double"&gt;-2.0959198&lt;/D&gt;&lt;D xsi:type="xsd:double"&gt;-6.5218153&lt;/D&gt;&lt;D xsi:type="xsd:double"&gt;5.568075&lt;/D&gt;&lt;D xsi:type="xsd:double"&gt;11.459184&lt;/D&gt;&lt;D xsi:type="xsd:double"&gt;17.049812&lt;/D&gt;&lt;D xsi:type="xsd:double"&gt;-1.1675119&lt;/D&gt;&lt;D xsi:type="xsd:double"&gt;7.394588&lt;/D&gt;&lt;D xsi:type="xsd:double"&gt;9.315276&lt;/D&gt;&lt;D xsi:type="xsd:double"&gt;2.2666454&lt;/D&gt;&lt;D xsi:type="xsd:double"&gt;6.091368&lt;/D&gt;&lt;D xsi:type="xsd:double"&gt;3.4658074&lt;/D&gt;&lt;D xsi:type="xsd:double"&gt;-0.52256584&lt;/D&gt;&lt;D xsi:type="xsd:double"&gt;11.874485&lt;/D&gt;&lt;/FQL&gt;&lt;FQL&gt;&lt;Q&gt;EWJ^FG_PRICE_MAVG(0,,,,60)&lt;/Q&gt;&lt;R&gt;1&lt;/R&gt;&lt;C&gt;1&lt;/C&gt;&lt;D xsi:type="xsd:double"&gt;66.565834&lt;/D&gt;&lt;/FQL&gt;&lt;FQL&gt;&lt;Q&gt;QQQ^FMA_EVAL_EBITDA(NTMA,0,,,"PORTAGG","MEANR")&lt;/Q&gt;&lt;R&gt;1&lt;/R&gt;&lt;C&gt;1&lt;/C&gt;&lt;D xsi:type="xsd:double"&gt;16.198970401368&lt;/D&gt;&lt;/FQL&gt;&lt;FQL&gt;&lt;Q&gt;EWU^FMA_PE(NTMA,-10AY,0,AM,"PORTAGG","MEANR")&lt;/Q&gt;&lt;R&gt;121&lt;/R&gt;&lt;C&gt;1&lt;/C&gt;&lt;D xsi:type="xsd:double"&gt;12.8094128426658&lt;/D&gt;&lt;D xsi:type="xsd:double"&gt;13.1236916384541&lt;/D&gt;&lt;D xsi:type="xsd:double"&gt;13.713299054712&lt;/D&gt;&lt;D xsi:type="xsd:double"&gt;13.6281941834329&lt;/D&gt;&lt;D xsi:type="xsd:double"&gt;13.5661579004881&lt;/D&gt;&lt;D xsi:type="xsd:double"&gt;13.3500949446344&lt;/D&gt;&lt;D xsi:type="xsd:double"&gt;13.37645788891&lt;/D&gt;&lt;D xsi:type="xsd:double"&gt;12.5708449764282&lt;/D&gt;&lt;D xsi:type="xsd:double"&gt;13.359123205152&lt;/D&gt;&lt;D xsi:type="xsd:double"&gt;13.2067531288074&lt;/D&gt;&lt;D xsi:type="xsd:double"&gt;13.7542066050141&lt;/D&gt;&lt;D xsi:type="xsd:double"&gt;15.5036702680426&lt;/D&gt;&lt;D xsi:type="xsd:double"&gt;15.161945669856&lt;/D&gt;&lt;D xsi:type="xsd:double"&gt;16.0890787792596&lt;/D&gt;&lt;D xsi:type="xsd:double"&gt;16.1760496069832&lt;/D&gt;&lt;D xsi:type="xsd:double"&gt;15.5874338361336&lt;/D&gt;&lt;D xsi:type="xsd:double"&gt;15.4455374976615&lt;/D&gt;&lt;D xsi:type="xsd:double"&gt;15.1121240671255&lt;/D&gt;&lt;D xsi:type="xsd:double"&gt;14.2534957024335&lt;/D&gt;&lt;D xsi:type="xsd:double"&gt;15.0207809377812&lt;/D&gt;&lt;D xsi:type="xsd:double"&gt;14.8289045462216&lt;/D&gt;&lt;D xsi:type="xsd:double"&gt;14.3605389664224&lt;/D&gt;&lt;D xsi:type="xsd:double"&gt;14.93075836642&lt;/D&gt;&lt;D xsi:type="xsd:double"&gt;14.8392059698641&lt;/D&gt;&lt;D xsi:type="xsd:double"&gt;16.078415597947&lt;/D&gt;&lt;D xsi:type="xsd:double"&gt;16.4833176412143&lt;/D&gt;&lt;D xsi:type="xsd:double"&gt;15.6788972623022&lt;/D&gt;&lt;D xsi:type="xsd:double"&gt;14.8677035443715&lt;/D&gt;&lt;D xsi:type="xsd:double"&gt;16.1002631696371&lt;/D&gt;&lt;D xsi:type="xsd:double"&gt;16.325565105227&lt;/D&gt;&lt;D xsi:type="xsd:double"&gt;15.420110055814&lt;/D&gt;&lt;D xsi:type="xsd:double"&gt;15.2921689664295&lt;/D&gt;&lt;D xsi:type="xsd:double"&gt;14.3439661978857&lt;/D&gt;&lt;D xsi:type="xsd:double"&gt;14.3856189823646&lt;/D&gt;&lt;D xsi:type="xsd:double"&gt;14.4966975516942&lt;/D&gt;&lt;D xsi:type="xsd:double"&gt;14.4989512383697&lt;/D&gt;&lt;D xsi:type="xsd:double"&gt;14.3565377546192&lt;/D&gt;&lt;D xsi:type="xsd:double"&gt;14.4367506231128&lt;/D&gt;&lt;D xsi:type="xsd:double"&gt;14.6808018038584&lt;/D&gt;&lt;D xsi:type="xsd:double"&gt;14.620227345943&lt;/D&gt;&lt;D xsi:type="xsd:double"&gt;14.6428872665172&lt;/D&gt;&lt;D xsi:type="xsd:double"&gt;14.5040549755039&lt;/D&gt;&lt;D xsi:type="xsd:double"&gt;14.4868016022435&lt;/D&gt;&lt;D xsi:type="xsd:double"&gt;14.6816732470311&lt;/D&gt;&lt;D xsi:type="xsd:double"&gt;14.2615459581956&lt;/D&gt;&lt;D xsi:type="xsd:double"&gt;14.3764424691263&lt;/D&gt;&lt;D xsi:type="xsd:double"&gt;14.8397820257274&lt;/D&gt;&lt;D xsi:type="xsd:double"&gt;13.6098162613864&lt;/D&gt;&lt;D xsi:type="xsd:double"&gt;13.3879265014449&lt;/D&gt;&lt;D xsi:type="xsd:double"&gt;13.5914747108807&lt;/D&gt;&lt;D xsi:type="xsd:double"&gt;13.9734106777137&lt;/D&gt;&lt;D xsi:type="xsd:double"&gt;13.6387798638818&lt;/D&gt;&lt;D xsi:type="xsd:double"&gt;13.2353429998222&lt;/D&gt;&lt;D xsi:type="xsd:double"&gt;12.9189292227416&lt;/D&gt;&lt;D xsi:type="xsd:double"&gt;12.4504938608424&lt;/D&gt;&lt;D xsi:type="xsd:double"&gt;11.8366036319624&lt;/D&gt;&lt;D xsi:type="xsd:double"&gt;11.8540072279089&lt;/D&gt;&lt;D xsi:type="xsd:double"&gt;11.5319316797168&lt;/D&gt;&lt;D xsi:type="xsd:double"&gt;11.7996067411997&lt;/D&gt;&lt;D xsi:type="xsd:double"&gt;12.3903638719596&lt;/D&gt;&lt;D xsi:type="xsd:double"&gt;12.5222547998781&lt;/D&gt;&lt;D xsi:type="xsd:double"&gt;12.7885761071576&lt;/D&gt;&lt;D xsi:type="xsd:double"&gt;12.2643892410007&lt;/D&gt;&lt;D xsi:type="xsd:double"&gt;12.3915818139243&lt;/D&gt;&lt;D xsi:type="xsd:double"&gt;12.6404035441747&lt;/D&gt;&lt;D xsi:type="xsd:double"&gt;11.8470561087376&lt;/D&gt;&lt;D xsi:type="xsd:double"&gt;12.4316986781114&lt;/D&gt;&lt;D xsi:type="xsd:double"&gt;12.3315274567834&lt;/D&gt;&lt;D xsi:type="xsd:double"&gt;12.7707002198374&lt;/D&gt;&lt;D xsi:type="xsd:double"&gt;13.1988558943915&lt;/D&gt;&lt;D xsi:type="xsd:double"&gt;13.5072746067087&lt;/D&gt;&lt;D xsi:type="xsd:double"&gt;13.3233627555106&lt;/D&gt;&lt;D xsi:type="xsd:double"&gt;10.1413136316744&lt;/D&gt;&lt;D xsi:type="xsd:double"&gt;13.270487881962&lt;/D&gt;&lt;D xsi:type="xsd:double"&gt;14.6515506998183&lt;/D&gt;&lt;D xsi:type="xsd:double"&gt;15.9019814241868&lt;/D&gt;&lt;D xsi:type="xsd:double"&gt;15.7040573082371&lt;/D&gt;&lt;D xsi:type="xsd:double"&gt;15.6042544111649&lt;/D&gt;&lt;D xsi:type="xsd:double"&gt;15.0031110161923&lt;/D&gt;&lt;D xsi:type="xsd:double"&gt;14.2920268368778&lt;/D&gt;&lt;D xsi:type="xsd:double"&gt;14.6973204863521&lt;/D&gt;&lt;D xsi:type="xsd:double"&gt;14.7224253469094&lt;/D&gt;&lt;D xsi:type="xsd:double"&gt;14.6998882876281&lt;/D&gt;&lt;D xsi:type="xsd:double"&gt;14.0836388717378&lt;/D&gt;&lt;D xsi:type="xsd:double"&gt;14.0751557156387&lt;/D&gt;&lt;D xsi:type="xsd:double"&gt;13.4641004341127&lt;/D&gt;&lt;D xsi:type="xsd:double"&gt;13.2932794847499&lt;/D&gt;&lt;D xsi:type="xsd:double"&gt;13.2532900583808&lt;/D&gt;&lt;D xsi:type="xsd:double"&gt;12.567939373601&lt;/D&gt;&lt;D xsi:type="xsd:double"&gt;12.4290976310856&lt;/D&gt;&lt;D xsi:type="xsd:double"&gt;11.9941834988998&lt;/D&gt;&lt;D xsi:type="xsd:double"&gt;12.2352906010743&lt;/D&gt;&lt;D xsi:type="xsd:double"&gt;12.1230139577136&lt;/D&gt;&lt;D xsi:type="xsd:double"&gt;11.831814038255&lt;/D&gt;&lt;D xsi:type="xsd:double"&gt;12.4176897629866&lt;/D&gt;&lt;D xsi:type="xsd:double"&gt;12.1429274370545&lt;/D&gt;&lt;D xsi:type="xsd:double"&gt;11.3221115399295&lt;/D&gt;&lt;D xsi:type="xsd:double"&gt;11.2003150824142&lt;/D&gt;&lt;D xsi:type="xsd:double"&gt;10.2130343033088&lt;/D&gt;&lt;D xsi:type="xsd:double"&gt;9.68177604608478&lt;/D&gt;&lt;D xsi:type="xsd:double"&gt;9.24125970251041&lt;/D&gt;&lt;D xsi:type="xsd:double"&gt;9.81826624787166&lt;/D&gt;&lt;D xsi:type="xsd:double"&gt;9.22783543829011&lt;/D&gt;&lt;D xsi:type="xsd:double"&gt;8.59433108518041&lt;/D&gt;&lt;D xsi:type="xsd:double"&gt;9.47628991959927&lt;/D&gt;&lt;D xsi:type="xsd:double"&gt;9.99695918519277&lt;/D&gt;&lt;D xsi:type="xsd:double"&gt;10.4369494192175&lt;/D&gt;&lt;D xsi:type="xsd:double"&gt;10.6696357980188&lt;/D&gt;&lt;D xsi:type="xsd:double"&gt;10.190751444197&lt;/D&gt;&lt;D xsi:type="xsd:double"&gt;10.7947377482536&lt;/D&gt;&lt;D xsi:type="xsd:double"&gt;10.4959482114771&lt;/D&gt;&lt;D xsi:type="xsd:double"&gt;10.3994498776333&lt;/D&gt;&lt;D xsi:type="xsd:double"&gt;10.4487608328781&lt;/D&gt;&lt;D xsi:type="xsd:double"&gt;10.4632074740082&lt;/D&gt;&lt;D xsi:type="xsd:double"&gt;10.5728658205783&lt;/D&gt;&lt;D xsi:type="xsd:double"&gt;10.3448752921969&lt;/D&gt;&lt;D xsi:type="xsd:double"&gt;10.299833409688&lt;/D&gt;&lt;D xsi:type="xsd:double"&gt;10.841326522784&lt;/D&gt;&lt;D xsi:type="xsd:double"&gt;10.9927384530653&lt;/D&gt;&lt;D xsi:type="xsd:double"&gt;10.9702694649956&lt;/D&gt;&lt;D xsi:type="xsd:double"&gt;11.3487384521514&lt;/D&gt;&lt;/FQL&gt;&lt;F</t>
        </r>
      </text>
    </comment>
    <comment ref="A13" authorId="0" shapeId="0" xr:uid="{C8FF3014-051A-407B-9767-11C47110AC21}">
      <text>
        <r>
          <rPr>
            <b/>
            <sz val="9"/>
            <color indexed="81"/>
            <rFont val="Tahoma"/>
            <charset val="1"/>
          </rPr>
          <t>QL&gt;&lt;Q&gt;USDCHF^FG_PRICE_CHANGE(0,-1AM)&lt;/Q&gt;&lt;R&gt;1&lt;/R&gt;&lt;C&gt;1&lt;/C&gt;&lt;D xsi:type="xsd:double"&gt;-0.32718778&lt;/D&gt;&lt;/FQL&gt;&lt;FQL&gt;&lt;Q&gt;EWA^FMA_PE(LTM,0,,,"PORTAGG","MEANR")&lt;/Q&gt;&lt;R&gt;1&lt;/R&gt;&lt;C&gt;1&lt;/C&gt;&lt;D xsi:type="xsd:double"&gt;18.154877098096&lt;/D&gt;&lt;/FQL&gt;&lt;FQL&gt;&lt;Q&gt;W-FDS^FG_PRICE_CHANGE(0,-6AM)&lt;/Q&gt;&lt;R&gt;1&lt;/R&gt;&lt;C&gt;1&lt;/C&gt;&lt;D xsi:type="xsd:double"&gt;-8.45814977973568&lt;/D&gt;&lt;/FQL&gt;&lt;FQL&gt;&lt;Q&gt;VGK^FMA_EVAL_EBITDA(NTMA,0,,,"PORTAGG","MEANR")&lt;/Q&gt;&lt;R&gt;1&lt;/R&gt;&lt;C&gt;1&lt;/C&gt;&lt;D xsi:type="xsd:double"&gt;8.77211211193518&lt;/D&gt;&lt;/FQL&gt;&lt;FQL&gt;&lt;Q&gt;USDEUR^FG_PRICE_CHANGE(0,-1AM)&lt;/Q&gt;&lt;R&gt;1&lt;/R&gt;&lt;C&gt;1&lt;/C&gt;&lt;D xsi:type="xsd:double"&gt;-1.5338004&lt;/D&gt;&lt;/FQL&gt;&lt;FQL&gt;&lt;Q&gt;USDGBP^FG_PRICE_CHANGE(0,-6AM)&lt;/Q&gt;&lt;R&gt;1&lt;/R&gt;&lt;C&gt;1&lt;/C&gt;&lt;D xsi:type="xsd:double"&gt;-2.5963843&lt;/D&gt;&lt;/FQL&gt;&lt;FQL&gt;&lt;Q&gt;USDAUD^FG_PRICE_CHANGE(0,-1AM)&lt;/Q&gt;&lt;R&gt;1&lt;/R&gt;&lt;C&gt;1&lt;/C&gt;&lt;D xsi:type="xsd:double"&gt;-1.5034139&lt;/D&gt;&lt;/FQL&gt;&lt;FQL&gt;&lt;Q&gt;EWN^PERCENT_CHANGE(FMA_EPS(+1,0,,,,"PORTAGG","MEAN"),FMA_EPS(+1,-3AM,,,,"PORTAGG","MEAN"))&lt;/Q&gt;&lt;R&gt;1&lt;/R&gt;&lt;C&gt;1&lt;/C&gt;&lt;D xsi:type="xsd:double"&gt;-0.614313575674031&lt;/D&gt;&lt;/FQL&gt;&lt;FQL&gt;&lt;Q&gt;TRYEU10Y-FDS^FG_YIELD(-10AY,0,Y,,"YTM")&lt;/Q&gt;&lt;R&gt;10&lt;/R&gt;&lt;C&gt;1&lt;/C&gt;&lt;D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xsi:type="xsd:double"&gt;2.004&lt;/D&gt;&lt;/FQL&gt;&lt;FQL&gt;&lt;Q&gt;CAGDPY@JP^EE_ACTUAL_ANNUAL(MED,0)&lt;/Q&gt;&lt;R&gt;1&lt;/R&gt;&lt;C&gt;1&lt;/C&gt;&lt;D xsi:type="xsd:double"&gt;3.55112124522863&lt;/D&gt;&lt;/FQL&gt;&lt;FQL&gt;&lt;Q&gt;EWJ^P_PRICE_RETURNS_PR('52W',2,-10AY,0,AM)&lt;/Q&gt;&lt;R&gt;121&lt;/R&gt;&lt;C&gt;1&lt;/C&gt;&lt;D xsi:type="xsd:double"&gt;5.9658766&lt;/D&gt;&lt;D xsi:type="xsd:double"&gt;-2.484554&lt;/D&gt;&lt;D xsi:type="xsd:double"&gt;-5.161488&lt;/D&gt;&lt;D xsi:type="xsd:double"&gt;6.762016&lt;/D&gt;&lt;D xsi:type="xsd:double"&gt;3.3100128&lt;/D&gt;&lt;D xsi:type="xsd:double"&gt;5.305898&lt;/D&gt;&lt;D xsi:type="xsd:double"&gt;3.6258698&lt;/D&gt;&lt;D xsi:type="xsd:double"&gt;-6.7976894&lt;/D&gt;&lt;D xsi:type="xsd:double"&gt;-0.8460164&lt;/D&gt;&lt;D xsi:type="xsd:double"&gt;-3.0926704&lt;/D&gt;&lt;D xsi:type="xsd:double"&gt;-5.576408&lt;/D&gt;&lt;D xsi:type="xsd:double"&gt;5.707228&lt;/D&gt;&lt;D xsi:type="xsd:double"&gt;13.154518&lt;/D&gt;&lt;D xsi:type="xsd:double"&gt;19.636272&lt;/D&gt;&lt;D xsi:type="xsd:double"&gt;17.811012&lt;/D&gt;&lt;D xsi:type="xsd:double"&gt;11.516476&lt;/D&gt;&lt;D xsi:type="xsd:double"&gt;8.042121&lt;/D&gt;&lt;D xsi:type="xsd:double"&gt;9.30208&lt;/D&gt;&lt;D xsi:type="xsd:double"&gt;0.4099846&lt;/D&gt;&lt;D xsi:type="xsd:double"&gt;9.007036&lt;/D&gt;&lt;D xsi:type="xsd:double"&gt;6.0777545&lt;/D&gt;&lt;D xsi:type="xsd:double"&gt;7.8594327&lt;/D&gt;&lt;D xsi:type="xsd:double"&gt;4.3204546&lt;/D&gt;&lt;D xsi:type="xsd:double"&gt;-10.613335&lt;/D&gt;&lt;D xsi:type="xsd:double"&gt;-6.064492&lt;/D&gt;&lt;D xsi:type="xsd:double"&gt;-6.9425344&lt;/D&gt;&lt;D xsi:type="xsd:double"&gt;-10.280305&lt;/D&gt;&lt;D xsi:type="xsd:double"&gt;-11.02776&lt;/D&gt;&lt;D xsi:type="xsd:double"&gt;-6.258309&lt;/D&gt;&lt;D xsi:type="xsd:double"&gt;-2.353239&lt;/D&gt;&lt;D xsi:type="xsd:double"&gt;5.168736&lt;/D&gt;&lt;D xsi:type="xsd:double"&gt;5.7254553&lt;/D&gt;&lt;D xsi:type="xsd:double"&gt;1.8561125&lt;/D&gt;&lt;D xsi:type="xsd:double"&gt;5.8832407&lt;/D&gt;&lt;D xsi:type="xsd:double"&gt;14.206481&lt;/D&gt;&lt;D xsi:type="xsd:double"&gt;25.412464&lt;/D&gt;&lt;D xsi:type="xsd:double"&gt;12.80731&lt;/D&gt;&lt;D xsi:type="xsd:double"&gt;8.9735985&lt;/D&gt;&lt;D xsi:type="xsd:double"&gt;14.210153&lt;/D&gt;&lt;D xsi:type="xsd:double"&gt;22.052992&lt;/D&gt;&lt;D xsi:type="xsd:double"&gt;14.53135&lt;/D&gt;&lt;D xsi:type="xsd:double"&gt;12.457169&lt;/D&gt;&lt;D xsi:type="xsd:double"&gt;15.759397&lt;/D&gt;&lt;D xsi:type="xsd:double"&gt;18.369055&lt;/D&gt;&lt;D xsi:type="xsd:double"&gt;20.213032&lt;/D&gt;&lt;D xsi:type="xsd:double"&gt;20.574368&lt;/D&gt;&lt;D xsi:type="xsd:double"&gt;27.14405&lt;/D&gt;&lt;D xsi:type="xsd:double"&gt;19.461323&lt;/D&gt;&lt;D xsi:type="xsd:double"&gt;20.300938&lt;/D&gt;&lt;D xsi:type="xsd:double"&gt;20.577288&lt;/D&gt;&lt;D xsi:type="xsd:double"&gt;19.214237&lt;/D&gt;&lt;D xsi:type="xsd:double"&gt;12.671125&lt;/D&gt;&lt;D xsi:type="xsd:double"&gt;9.1579075&lt;/D&gt;&lt;D xsi:type="xsd:double"&gt;6.897366&lt;/D&gt;&lt;D xsi:type="xsd:double"&gt;6.9029093&lt;/D&gt;&lt;D xsi:type="xsd:double"&gt;1.5479326&lt;/D&gt;&lt;D xsi:type="xsd:double"&gt;-5.772477&lt;/D&gt;&lt;D xsi:type="xsd:double"&gt;-10.251564&lt;/D&gt;&lt;D xsi:type="xsd:double"&gt;-15.736092&lt;/D&gt;&lt;D xsi:type="xsd:double"&gt;-9.503365&lt;/D&gt;&lt;D xsi:type="xsd:double"&gt;-10.371226&lt;/D&gt;&lt;D xsi:type="xsd:double"&gt;-7.153267&lt;/D&gt;&lt;D xsi:type="xsd:double"&gt;-11.670584&lt;/D&gt;&lt;D xsi:type="xsd:double"&gt;-9.5564&lt;/D&gt;&lt;D xsi:type="xsd:double"&gt;-1.7686605&lt;/D&gt;&lt;D xsi:type="xsd:double"&gt;-7.2221994&lt;/D&gt;&lt;D xsi:type="xsd:double"&gt;0.6288886&lt;/D&gt;&lt;D xsi:type="xsd:double"&gt;1.9953012&lt;/D&gt;&lt;D xsi:type="xsd:double"&gt;11.234581&lt;/D&gt;&lt;D xsi:type="xsd:double"&gt;15.282213&lt;/D&gt;&lt;D xsi:type="xsd:double"&gt;16.12773&lt;/D&gt;&lt;D xsi:type="xsd:double"&gt;10.931468&lt;/D&gt;&lt;D xsi:type="xsd:double"&gt;-12.9453&lt;/D&gt;&lt;D xsi:type="xsd:double"&gt;-5.25589&lt;/D&gt;&lt;D xsi:type="xsd:double"&gt;-1.6471922&lt;/D&gt;&lt;D xsi:type="xsd:double"&gt;5.7610273&lt;/D&gt;&lt;D xsi:type="xsd:double"&gt;3.5725832&lt;/D&gt;&lt;D xsi:type="xsd:double"&gt;12.6935005&lt;/D&gt;&lt;D xsi:type="xsd:double"&gt;5.765271&lt;/D&gt;&lt;D xsi:type="xsd:double"&gt;6.6954136&lt;/D&gt;&lt;D xsi:type="xsd:double"&gt;8.2862015&lt;/D&gt;&lt;D xsi:type="xsd:double"&gt;11.132646&lt;/D&gt;&lt;D xsi:type="xsd:double"&gt;18.164242&lt;/D&gt;&lt;D xsi:type="xsd:double"&gt;21.875525&lt;/D&gt;&lt;D xsi:type="xsd:double"&gt;55.725502&lt;/D&gt;&lt;D xsi:type="xsd:double"&gt;37.761436&lt;/D&gt;&lt;D xsi:type="xsd:double"&gt;31.36754&lt;/D&gt;&lt;D xsi:type="xsd:double"&gt;25.03661&lt;/D&gt;&lt;D xsi:type="xsd:double"&gt;24.286758&lt;/D&gt;&lt;D xsi:type="xsd:double"&gt;19.970226&lt;/D&gt;&lt;D xsi:type="xsd:double"&gt;25.87502&lt;/D&gt;&lt;D xsi:type="xsd:double"&gt;16.08057&lt;/D&gt;&lt;D xsi:type="xsd:double"&gt;13.411784&lt;/D&gt;&lt;D xsi:type="xsd:double"&gt;3.465283&lt;/D&gt;&lt;D xsi:type="xsd:double"&gt;-1.855427&lt;/D&gt;&lt;D xsi:type="xsd:double"&gt;-8.756208&lt;/D&gt;&lt;D xsi:type="xsd:double"&gt;-13.208127&lt;/D&gt;&lt;D xsi:type="xsd:double"&gt;-14.292216&lt;/D&gt;&lt;D xsi:type="xsd:double"&gt;-12.859374&lt;/D&gt;&lt;D xsi:type="xsd:double"&gt;-21.395905&lt;/D&gt;&lt;D xsi:type="xsd:double"&gt;-22.297049&lt;/D&gt;&lt;D xsi:type="xsd:double"&gt;-14.7266445&lt;/D&gt;&lt;D xsi:type="xsd:double"&gt;-27.400864&lt;/D&gt;&lt;D xsi:type="xsd:double"&gt;-27.424162&lt;/D&gt;&lt;D xsi:type="xsd:double"&gt;-20.88086&lt;/D&gt;&lt;D xsi:type="xsd:double"&gt;-15.369004&lt;/D&gt;&lt;D xsi:type="xsd:double"&gt;-14.64448&lt;/D&gt;&lt;D xsi:type="xsd:double"&gt;-8.544111&lt;/D&gt;&lt;D xsi:type="xsd:double"&gt;-3.1823635&lt;/D&gt;&lt;D xsi:type="xsd:double"&gt;1.2720466&lt;/D&gt;&lt;D xsi:type="xsd:double"&gt;10.409665&lt;/D&gt;&lt;D xsi:type="xsd:double"&gt;21.726286&lt;/D&gt;&lt;D xsi:type="xsd:double"&gt;20.667278&lt;/D&gt;&lt;D xsi:type="xsd:double"&gt;7.6372027&lt;/D&gt;&lt;D xsi:type="xsd:double"&gt;22.751404&lt;/D&gt;&lt;D xsi:type="xsd:double"&gt;22.298098&lt;/D&gt;&lt;D xsi:type="xsd:double"&gt;14.805555&lt;/D&gt;&lt;D xsi:type="xsd:double"&gt;14.8556595&lt;/D&gt;&lt;D xsi:type="xsd:double"&gt;20.010471&lt;/D&gt;&lt;D xsi:type="xsd:double"&gt;18.380678&lt;/D&gt;&lt;D xsi:type="xsd:double"&gt;25.762844&lt;/D&gt;&lt;/FQL&gt;&lt;FQL&gt;&lt;Q&gt;EWL^FG_PRICE_MAVG(0,,,,30)&lt;/Q&gt;&lt;R&gt;1&lt;/R&gt;&lt;C&gt;1&lt;/C&gt;&lt;D xsi:type="xsd:double"&gt;47.233665&lt;/D&gt;&lt;/FQL&gt;&lt;FQL&gt;&lt;Q&gt;VGK^FMA_PCT_ABOVE_MAVG(200,0,,,,"PORTAGG")&lt;/Q&gt;&lt;R&gt;1&lt;/R&gt;&lt;C&gt;1&lt;/C&gt;&lt;D xsi:type="xsd:double"&gt;61.2421383647799&lt;/D&gt;&lt;/FQL&gt;&lt;FQL&gt;&lt;Q&gt;TRYCH10Y-FDS^FG_YIELD_NAME&lt;/Q&gt;&lt;R&gt;1&lt;/R&gt;&lt;C&gt;1&lt;/C&gt;&lt;D xsi:type="xsd:string"&gt;Treasury - Switzerland Benchmark Bond 10Y&lt;/D&gt;&lt;/FQL&gt;&lt;FQL&gt;&lt;Q&gt;REFCATARG-FDS^PROPER_NAME(0,,,"SECURITY","NAME")&lt;/Q&gt;&lt;R&gt;1&lt;/R&gt;&lt;C&gt;1&lt;/C&gt;&lt;D xsi:type="xsd:string"&gt;Canada Target Rate&lt;/D&gt;&lt;/FQL&gt;&lt;FQL&gt;&lt;Q&gt;EWL^FMA_PE(LTM,0,,,"PORTAGG","MEANR")&lt;/Q&gt;&lt;R&gt;1&lt;/R&gt;&lt;C&gt;1&lt;/C&gt;&lt;D xsi:type="xsd:double"&gt;15.4273492760295&lt;/D&gt;&lt;/FQL&gt;&lt;FQL&gt;&lt;Q&gt;EWA^FMA_EVAL_EBIT(LTMA,NOW,NOW,M,"PORTAGG","MEANR")&lt;/Q&gt;&lt;R&gt;1&lt;/R&gt;&lt;C&gt;1&lt;/C&gt;&lt;D xsi:type="xsd:double"&gt;12.4410790169921&lt;/D&gt;&lt;/FQL&gt;&lt;FQL&gt;&lt;Q&gt;DBA^P_PRICE(0)/P_PRICE_HIGH_PR(0,,,USD,,,"PRICE","INTRA","52W")&lt;/Q&gt;&lt;R&gt;1&lt;/R&gt;&lt;C&gt;1&lt;/C&gt;&lt;D xsi:type="xsd:double"&gt;0.9920516&lt;/D&gt;&lt;/FQL&gt;&lt;FQL&gt;&lt;Q&gt;SPY^FG_TOTAL_RETURNC(0,-1AM)&lt;/Q&gt;&lt;R&gt;1&lt;/R&gt;&lt;C&gt;1&lt;/C&gt;&lt;D xsi:type="xsd:double"&gt;3.285396&lt;/D&gt;&lt;/FQL&gt;&lt;FQL&gt;&lt;Q&gt;TRYCA10Y-FDS^PCTCHG(FG_YIELD(0,,,,"YTM"),FG_YIELD(-1AM,,,,"YTM"))&lt;/Q&gt;&lt;R&gt;1&lt;/R&gt;&lt;C&gt;1&lt;/C&gt;&lt;D xsi:type="xsd:double"&gt;-0.8868271&lt;/D&gt;&lt;/FQL&gt;&lt;FQL&gt;&lt;Q&gt;TRYCH10Y-FDS^FG_YIELD(0,,,,"YTM")&lt;/Q&gt;&lt;R&gt;1&lt;/R&gt;&lt;C&gt;1&lt;/C&gt;&lt;D xsi:type="xsd:double"&gt;0.756&lt;/D&gt;&lt;/FQL&gt;&lt;FQL&gt;&lt;Q&gt;VWO^FMA_EVAL_EBITDA(NTMA,0,,,"PORTAGG","MEANR")&lt;/Q&gt;&lt;R&gt;1&lt;/R&gt;&lt;C&gt;1&lt;/C&gt;&lt;D xsi:type="xsd:double"&gt;8.19587233016681&lt;/D&gt;&lt;/FQL&gt;&lt;FQL&gt;&lt;Q&gt;EWD^FMA_EVAL_EBITDA(NTMA,0,,,"PORTAGG","MEANR")&lt;/Q&gt;&lt;R&gt;1&lt;/R&gt;&lt;C&gt;1&lt;/C&gt;&lt;D xsi:type="xsd:double"&gt;11.3500557467493&lt;/D&gt;&lt;/FQL&gt;&lt;FQL&gt;&lt;Q&gt;SPY^JULIAN(FMA_DIV_YLD(NTMA,NOW,NOW,M,"PORTAGG","MEANR").DATES)&lt;/Q&gt;&lt;R&gt;1&lt;/R&gt;&lt;C&gt;1&lt;/C&gt;&lt;D xsi:type="xsd:long"&gt;45351&lt;/D&gt;&lt;/FQL&gt;&lt;FQL&gt;&lt;Q&gt;EWA^FMA_EVAL_EBITDA(NTMA,0,,,"PORTAGG","MEANR")&lt;/Q&gt;&lt;R&gt;1&lt;/R&gt;&lt;C&gt;1&lt;/C&gt;&lt;D xsi:type="xsd:double"&gt;8.59360553077511&lt;/D&gt;&lt;/FQL&gt;&lt;FQL&gt;&lt;Q&gt;QQQ^FMA_EVAL_EBIT(LTMA,NOW,NOW,M,"PORTAGG","MEANR")&lt;/Q&gt;&lt;R&gt;1&lt;/R&gt;&lt;C&gt;1&lt;/C&gt;&lt;D xsi:type="xsd:double"&gt;25.0107440098467&lt;/D&gt;&lt;/FQL&gt;&lt;FQL&gt;&lt;Q&gt;EWG^FMA_ROE(NTMA,-20AY,NOW,FY,"PORTAGG","MEANR")&lt;/Q&gt;&lt;R&gt;20&lt;/R&gt;&lt;C&gt;1&lt;/C&gt;&lt;D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xsi:type="xsd:double"&gt;9.7140774239929&lt;/D&gt;&lt;D xsi:type="xsd:double"&gt;12.1999545354885&lt;/D&gt;&lt;D xsi:type="xsd:double"&gt;11.8188093455252&lt;/D&gt;&lt;D xsi:type="xsd:double"&gt;11.9408562756701&lt;/D&gt;&lt;/FQL&gt;&lt;FQL&gt;&lt;Q&gt;URTH^P_PRICE(0)/P_PRICE_LOW_PR(0,,,USD,,,"PRICE","INTRA","52W")-1&lt;/Q&gt;&lt;R&gt;1&lt;/R&gt;&lt;C&gt;1&lt;/C&gt;&lt;D xsi:type="xsd:double"&gt;0.3006941&lt;/D&gt;&lt;/FQL&gt;&lt;FQL&gt;&lt;Q&gt;EWQ^PERCENT_CHANGE(FMA_EPS(+1,0,,,,"PORTAGG","MEAN"),FMA_EPS(+1,-1AM,,,,"PORTAGG","MEAN"))&lt;/Q&gt;&lt;R&gt;1&lt;/R&gt;&lt;C&gt;1&lt;/C&gt;&lt;D xsi:type="xsd:double"&gt;0.745724528485754&lt;/D&gt;&lt;/FQL&gt;&lt;FQL&gt;&lt;Q&gt;EWA^JULIAN(FMA_DIV_YLD(NTMA,NOW,NOW,M,"PORTAGG","MEANR").DATES)&lt;/Q&gt;&lt;R&gt;1&lt;/R&gt;&lt;C&gt;1&lt;/C&gt;&lt;D xsi:type="xsd:long"&gt;45351&lt;/D&gt;&lt;/FQL&gt;&lt;FQL&gt;&lt;Q&gt;W-FDS^FG_PRICE_CHANGE(0,-1AY)&lt;/Q&gt;&lt;R&gt;1&lt;/R&gt;&lt;C&gt;1&lt;/C&gt;&lt;D xsi:type="xsd:double"&gt;-24.326292789512&lt;/D&gt;&lt;/FQL&gt;&lt;FQL&gt;&lt;Q&gt;EWC^FG_PRICE(0)&lt;/Q&gt;&lt;R&gt;1&lt;/R&gt;&lt;C&gt;1&lt;/C&gt;&lt;D xsi:type="xsd:double"&gt;37.77&lt;/D&gt;&lt;/FQL&gt;&lt;FQL&gt;&lt;Q&gt;TRYNL10Y-FDS^PCTCHG(FG_YIELD(0,,,,"YTM"),FG_YIELD(-1AM,,,,"YTM"))&lt;/Q&gt;&lt;R&gt;1&lt;/R&gt;&lt;C&gt;1&lt;/C&gt;&lt;D xsi:type="xsd:double"&gt;0.52083105&lt;/D&gt;&lt;/FQL&gt;&lt;FQL&gt;&lt;Q&gt;ENZL^FMA_EVAL_EBITDA(NTMA,0,,,"PORTAGG","MEANR")&lt;/Q&gt;&lt;R&gt;1&lt;/R&gt;&lt;C&gt;1&lt;/C&gt;&lt;D xsi:type="xsd:double"&gt;12.2941556786659&lt;/D&gt;&lt;/FQL&gt;&lt;FQL&gt;&lt;Q&gt;CC_AU^FG_COMPANY_NAME&lt;/Q&gt;&lt;R&gt;1&lt;/R&gt;&lt;C&gt;1&lt;/C&gt;&lt;D xsi:type="xsd:string"&gt;Australia&lt;/D&gt;&lt;/FQL&gt;&lt;FQL&gt;&lt;Q&gt;EWA^FG_PRICE_MAVG(0,,,,200)&lt;/Q&gt;&lt;R&gt;1&lt;/R&gt;&lt;C&gt;1&lt;/C&gt;&lt;D xsi:type="xsd:double"&gt;22.6465&lt;/D&gt;&lt;/FQL&gt;&lt;FQL&gt;&lt;Q&gt;USDANG^STD(FG_PRICE_CHANGE(0,-1AY,AM))&lt;/Q&gt;&lt;R&gt;1&lt;/R&gt;&lt;C&gt;1&lt;/C&gt;&lt;D xsi:type="xsd:double"&gt;0&lt;/D&gt;&lt;/FQL&gt;&lt;FQL&gt;&lt;Q&gt;DDR3512M-FDS^FG_PRICE_CHANGE(0,-1AM)&lt;/Q&gt;&lt;R&gt;1&lt;/R&gt;&lt;C&gt;1&lt;/C&gt;&lt;D xsi:type="xsd:double"&gt;-0.836157475346266&lt;/D&gt;&lt;/FQL&gt;&lt;FQL&gt;&lt;Q&gt;PLATI-FDS^FG_PRICE_CHANGE(0,-1AM)&lt;/Q&gt;&lt;R&gt;1&lt;/R&gt;&lt;C&gt;1&lt;/C&gt;&lt;D xsi:type="xsd:double"&gt;5.26905829596414&lt;/D&gt;&lt;/FQL&gt;&lt;FQL&gt;&lt;Q&gt;COPP-FDS^FG_PRICE_CHANGE(0,-1AM)&lt;/Q&gt;&lt;R&gt;1&lt;/R&gt;&lt;C&gt;1&lt;/C&gt;&lt;D xsi:type="xsd:double"&gt;9.0933657613836&lt;/D&gt;&lt;/FQL&gt;&lt;FQL&gt;&lt;Q&gt;EWC^P_PRICE(0)/P_PRICE_LOW_PR(0,,,USD,,,"PRICE","INTRA","52W")-1&lt;/Q&gt;&lt;R&gt;1&lt;/R&gt;&lt;C&gt;1&lt;/C&gt;&lt;D xsi:type="xsd:double"&gt;0.2024833&lt;/D&gt;&lt;/FQL&gt;&lt;FQL&gt;&lt;Q&gt;EWI^FMA_COS_UP("EPS","1M",+1,0,,,"PORTAGG","MEANR")&lt;/Q&gt;&lt;R&gt;1&lt;/R&gt;&lt;C&gt;1&lt;/C&gt;&lt;D xsi:type="xsd:double"&gt;12&lt;/D&gt;&lt;/FQL&gt;&lt;FQL&gt;&lt;Q&gt;EWG^FMA_COS_UP("EPS","1M",+1,0,,,"PORTAGG","MEANR")&lt;/Q&gt;&lt;R&gt;1&lt;/R&gt;&lt;C&gt;1&lt;/C&gt;&lt;D xsi:type="xsd:double"&gt;22&lt;/D&gt;&lt;/FQL&gt;&lt;FQL&gt;&lt;Q&gt;SPY^FMA_RBICS_REV_CURRENT(30, LOC, "PORTAGG")&lt;/Q&gt;&lt;R&gt;1&lt;/R&gt;&lt;C&gt;1&lt;/C&gt;&lt;D xsi:type="xsd:double"&gt;12.5169610337794&lt;/D&gt;&lt;/FQL&gt;&lt;FQL&gt;&lt;Q&gt;QQQ^FMA_PE(LTM,0,,,"PORTAGG","MEANR")&lt;/Q&gt;&lt;R&gt;1&lt;/R&gt;&lt;C&gt;1&lt;/C&gt;&lt;D xsi:type="xsd:double"&gt;34.3807189118538&lt;/D&gt;&lt;/FQL&gt;&lt;FQL&gt;&lt;Q&gt;TRYFR10Y-FDS^PCTCHG(FG_YIELD(0,,,,"YTM"),FG_YIELD(-3AM,,,,"YTM"))&lt;/Q&gt;&lt;R&gt;1&lt;/R&gt;&lt;C&gt;1&lt;/C&gt;&lt;D xsi:type="xsd:double"&gt;7.4604354&lt;/D&gt;&lt;/FQL&gt;&lt;FQL&gt;&lt;Q&gt;EWJ^FMA_ROE(NTMA,-20AY,NOW,FY,"PORTAGG","MEANR")&lt;/Q&gt;&lt;R&gt;20&lt;/R&gt;&lt;C&gt;1&lt;/C&gt;&lt;D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xsi:type="xsd:double"&gt;8.35596284306888&lt;/D&gt;&lt;D xsi:type="xsd:double"&gt;7.43859940178973&lt;/D&gt;&lt;D xsi:type="xsd:double"&gt;9.2207657607753&lt;/D&gt;&lt;D xsi:type="xsd:double"&gt;9.22544562724396&lt;/D&gt;&lt;D xsi:type="xsd:double"&gt;9.29901050449311&lt;/D&gt;&lt;/FQL&gt;&lt;FQL&gt;&lt;Q&gt;TIPSCL10Y-FDS^FG_YIELD(-10AY,0,Y,,"YTM")&lt;/Q&gt;&lt;R&gt;10&lt;/R&gt;&lt;C&gt;1&lt;/C&gt;&lt;D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xsi:type="xsd:double"&gt;5.3314&lt;/D&gt;&lt;/FQL&gt;&lt;FQL&gt;&lt;Q&gt;CAGDPY@DE^EE_ACTUAL_ANNUAL(MED,+1)&lt;/Q&gt;&lt;R&gt;1&lt;/R&gt;&lt;C&gt;1&lt;/C&gt;&lt;D xsi:type="xsd:double"&gt;6.55&lt;/D&gt;&lt;/FQL&gt;&lt;FQL&gt;&lt;Q&gt;USDAUD^FG_PRICE(0)&lt;/Q&gt;&lt;R&gt;1&lt;/R&gt;&lt;C&gt;1&lt;/C&gt;&lt;D xsi:type="xsd:double"&gt;1.5186028&lt;/D&gt;&lt;/FQL&gt;&lt;FQL&gt;&lt;Q&gt;EWG^P_PRICE_RETURNS_PR('52W',2,-10AY,0,AM)&lt;/Q&gt;&lt;R&gt;121&lt;/R&gt;&lt;C&gt;1&lt;/C&gt;&lt;D xsi:type="xsd:double"&gt;19.458818&lt;/D&gt;&lt;D xsi:type="xsd:double"&gt;25.245739&lt;/D&gt;&lt;D xsi:type="xsd:double"&gt;22.743452&lt;/D&gt;&lt;D xsi:type="xsd:double"&gt;21.930468&lt;/D&gt;&lt;D xsi:type="xsd:double"&gt;23.010302&lt;/D&gt;&lt;D xsi:type="xsd:double"&gt;9.277094&lt;/D&gt;&lt;D xsi:type="xsd:double"&gt;9.56502&lt;/D&gt;&lt;D xsi:type="xsd:double"&gt;-7.0053697&lt;/D&gt;&lt;D xsi:type="xsd:double"&gt;-6.7468405&lt;/D&gt;&lt;D xsi:type="xsd:double"&gt;-4.9626646&lt;/D&gt;&lt;D xsi:type="xsd:double"&gt;-11.671925&lt;/D&gt;&lt;D xsi:type="xsd:double"&gt;-5.3738475&lt;/D&gt;&lt;D xsi:type="xsd:double"&gt;0.50235987&lt;/D&gt;&lt;D xsi:type="xsd:double"&gt;1.085329&lt;/D&gt;&lt;D xsi:type="xsd:double"&gt;-1.4983058&lt;/D&gt;&lt;D xsi:type="xsd:double"&gt;-6.6173973&lt;/D&gt;&lt;D xsi:type="xsd:double"&gt;-4.85363&lt;/D&gt;&lt;D xsi:type="xsd:double"&gt;-0.67080855&lt;/D&gt;&lt;D xsi:type="xsd:double"&gt;-7.433385&lt;/D&gt;&lt;D xsi:type="xsd:double"&gt;2.4433136&lt;/D&gt;&lt;D xsi:type="xsd:double"&gt;-1.4425993&lt;/D&gt;&lt;D xsi:type="xsd:double"&gt;-5.2211285&lt;/D&gt;&lt;D xsi:type="xsd:double"&gt;-7.9125223&lt;/D&gt;&lt;D xsi:type="xsd:double"&gt;-19.447815&lt;/D&gt;&lt;D xsi:type="xsd:double"&gt;-12.031418&lt;/D&gt;&lt;D xsi:type="xsd:double"&gt;-13.472939&lt;/D&gt;&lt;D xsi:type="xsd:double"&gt;-13.027632&lt;/D&gt;&lt;D xsi:type="xsd:double"&gt;-14.779139&lt;/D&gt;&lt;D xsi:type="xsd:double"&gt;-11.93434&lt;/D&gt;&lt;D xsi:type="xsd:double"&gt;-3.6765754&lt;/D&gt;&lt;D xsi:type="xsd:double"&gt;0.6418228&lt;/D&gt;&lt;D xsi:type="xsd:double"&gt;1.3290048&lt;/D&gt;&lt;D xsi:type="xsd:double"&gt;-0.75499415&lt;/D&gt;&lt;D xsi:type="xsd:double"&gt;3.5039902&lt;/D&gt;&lt;D xsi:type="xsd:double"&gt;14.591969&lt;/D&gt;&lt;D xsi:type="xsd:double"&gt;21.610905&lt;/D&gt;&lt;D xsi:type="xsd:double"&gt;13.304388&lt;/D&gt;&lt;D xsi:type="xsd:double"&gt;12.05883&lt;/D&gt;&lt;D xsi:type="xsd:double"&gt;22.19001&lt;/D&gt;&lt;D xsi:type="xsd:double"&gt;31.746923&lt;/D&gt;&lt;D xsi:type="xsd:double"&gt;27.693785&lt;/D&gt;&lt;D xsi:type="xsd:double"&gt;18.222761&lt;/D&gt;&lt;D xsi:type="xsd:double"&gt;25.853289&lt;/D&gt;&lt;D xsi:type="xsd:double"&gt;30.620373&lt;/D&gt;&lt;D xsi:type="xsd:double"&gt;32.73082&lt;/D&gt;&lt;D xsi:type="xsd:double"&gt;28.90873&lt;/D&gt;&lt;D xsi:type="xsd:double"&gt;30.681301&lt;/D&gt;&lt;D xsi:type="xsd:double"&gt;23.658895&lt;/D&gt;&lt;D xsi:type="xsd:double"&gt;19.196236&lt;/D&gt;&lt;D xsi:type="xsd:double"&gt;19.414436&lt;/D&gt;&lt;D xsi:type="xsd:double"&gt;10.738623&lt;/D&gt;&lt;D xsi:type="xsd:double"&gt;5.9095383&lt;/D&gt;&lt;D xsi:type="xsd:double"&gt;1.8087506&lt;/D&gt;&lt;D xsi:type="xsd:double"&gt;-1.0703325&lt;/D&gt;&lt;D xsi:type="xsd:double"&gt;-4.525411&lt;/D&gt;&lt;D xsi:type="xsd:double"&gt;-12.615431&lt;/D&gt;&lt;D xsi:type="xsd:double"&gt;-14.98617&lt;/D&gt;&lt;D xsi:type="xsd:double"&gt;-20.14672&lt;/D&gt;&lt;D xsi:type="xsd:double"&gt;-22.60304&lt;/D&gt;&lt;D xsi:type="xsd:double"&gt;-19.333202&lt;/D&gt;&lt;D xsi:type="xsd:double"&gt;-14.041079&lt;/D&gt;&lt;D xsi:type="xsd:double"&gt;-11.886102&lt;/D&gt;&lt;D xsi:type="xsd:double"&gt;-14.051092&lt;/D&gt;&lt;D xsi:type="xsd:double"&gt;-12.983852&lt;/D&gt;&lt;D xsi:type="xsd:double"&gt;-7.0489287&lt;/D&gt;&lt;D xsi:type="xsd:double"&gt;-11.802644&lt;/D&gt;&lt;D xsi:type="xsd:double"&gt;-4.9950542&lt;/D&gt;&lt;D xsi:type="xsd:double"&gt;0.49843788&lt;/D&gt;&lt;D xsi:type="xsd:double"&gt;8.859837&lt;/D&gt;&lt;D xsi:type="xsd:double"&gt;16.439486&lt;/D&gt;&lt;D xsi:type="xsd:double"&gt;17.474234&lt;/D&gt;&lt;D xsi:type="xsd:double"&gt;15.82396&lt;/D&gt;&lt;D xsi:type="xsd:double"&gt;-20.199198&lt;/D&gt;&lt;D xsi:type="xsd:double"&gt;-15.280771&lt;/D&gt;&lt;D xsi:type="xsd:double"&gt;-16.645712&lt;/D&gt;&lt;D xsi:type="xsd:double"&gt;-1.2363374&lt;/D&gt;&lt;D xsi:type="xsd:double"&gt;3.7490368&lt;/D&gt;&lt;D xsi:type="xsd:double"&gt;17.903221&lt;/D&gt;&lt;D xsi:type="xsd:double"&gt;11.474049&lt;/D&gt;&lt;D xsi:type="xsd:double"&gt;10.430157&lt;/D&gt;&lt;D xsi:type="xsd:double"&gt;4.7165155&lt;/D&gt;&lt;D xsi:type="xsd:double"&gt;6.8385124&lt;/D&gt;&lt;D xsi:type="xsd:double"&gt;11.68282&lt;/D&gt;&lt;D xsi:type="xsd:double"&gt;13.512063&lt;/D&gt;&lt;D xsi:type="xsd:double"&gt;67.862785&lt;/D&gt;&lt;D xsi:type="xsd:double"&gt;52.0888&lt;/D&gt;&lt;D xsi:type="xsd:double"&gt;60.853447&lt;/D&gt;&lt;D xsi:type="xsd:double"&gt;38.42876&lt;/D&gt;&lt;D xsi:type="xsd:double"&gt;27.082956&lt;/D&gt;&lt;D xsi:type="xsd:double"&gt;22.04318&lt;/D&gt;&lt;D xsi:type="xsd:double"&gt;17.672491&lt;/D&gt;&lt;D xsi:type="xsd:double"&gt;15.008569&lt;/D&gt;&lt;D xsi:type="xsd:double"&gt;19.15406&lt;/D&gt;&lt;D xsi:type="xsd:double"&gt;6.9164753&lt;/D&gt;&lt;D xsi:type="xsd:double"&gt;5.068624&lt;/D&gt;&lt;D xsi:type="xsd:double"&gt;-2.775669&lt;/D&gt;&lt;D xsi:type="xsd:double"&gt;-15.161395&lt;/D&gt;&lt;D xsi:type="xsd:double"&gt;-19.425518&lt;/D&gt;&lt;D xsi:type="xsd:double"&gt;-23.877764&lt;/D&gt;&lt;D xsi:type="xsd:double"&gt;-30.755074&lt;/D&gt;&lt;D xsi:type="xsd:double"&gt;-36.26119&lt;/D&gt;&lt;D xsi:type="xsd:double"&gt;-28.266483&lt;/D&gt;&lt;D xsi:type="xsd:double"&gt;-33.855648&lt;/D&gt;&lt;D xsi:type="xsd:double"&gt;-37.36657&lt;/D&gt;&lt;D xsi:type="xsd:double"&gt;-24.85475&lt;/D&gt;&lt;D xsi:type="xsd:double"&gt;-17.262941&lt;/D&gt;&lt;D xsi:type="xsd:double"&gt;-14.040482&lt;/D&gt;&lt;D xsi:type="xsd:double"&gt;-7.1100354&lt;/D&gt;&lt;D xsi:type="xsd:double"&gt;3.089106&lt;/D&gt;&lt;D xsi:type="xsd:double"&gt;10.604024&lt;/D&gt;&lt;D xsi:type="xsd:double"&gt;18.534052&lt;/D&gt;&lt;D xsi:type="xsd:double"&gt;23.544132&lt;/D&gt;&lt;D xsi:type="xsd:double"&gt;39.898228&lt;/D&gt;&lt;D xsi:type="xsd:double"&gt;19.429134&lt;/D&gt;&lt;D xsi:type="xsd:double"&gt;26.961304&lt;/D&gt;&lt;D xsi:type="xsd:double"&gt;29.70029&lt;/D&gt;&lt;D xsi:type="xsd:double"&gt;14.08&lt;/D&gt;&lt;D xsi:type="xsd:double"&gt;18.349815&lt;/D&gt;&lt;D xsi:type="xsd:double"&gt;8.116377&lt;/D&gt;&lt;D xsi:type="xsd:double"&gt;6.5135717&lt;/D&gt;&lt;D xsi:type="xsd:double"&gt;16.643642&lt;/D&gt;&lt;/FQL&gt;&lt;FQL&gt;&lt;Q&gt;EWL^FG_PRICE(0)&lt;/Q&gt;&lt;R&gt;1&lt;/R&gt;&lt;C&gt;1&lt;/C&gt;&lt;D xsi:type="xsd:double"&gt;48.34&lt;/D&gt;&lt;/FQL&gt;&lt;FQL&gt;&lt;Q&gt;EWC^PERCENT_CHANGE(FMA_EPS(+1,0,,,,"PORTAGG","MEAN"),FMA_EPS(+1,-3AM,,,,"PORTAGG","MEAN"))&lt;/Q&gt;&lt;R&gt;1&lt;/R&gt;&lt;C&gt;1&lt;/C&gt;&lt;D xsi:type="xsd:double"&gt;-5.44870893491748&lt;/D&gt;&lt;/FQL&gt;&lt;FQL&gt;&lt;Q&gt;REFAUCASH-FDS^(SUBARRAY(NOT_NA(NO_REPEAT_F(FG_YIELD(NOW,-10AY,D))),0,1)-SUBARRAY(NOT_NA(NO_REPEAT_F(FG_YIELD(NOW,-10AY,D))),1,1))*100&lt;/Q&gt;&lt;R&gt;1&lt;/R&gt;&lt;C&gt;1&lt;/C&gt;&lt;D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xsi:type="xsd:double"&gt;25&lt;/D&gt;&lt;/FQL&gt;&lt;FQL&gt;&lt;Q&gt;EWL^JULIAN(FMA_DIV_YLD(NTMA,NOW,NOW,M,"PORTAGG","MEANR").DATES)&lt;/Q&gt;&lt;R&gt;1&lt;/R&gt;&lt;C&gt;1&lt;/C&gt;&lt;D xsi:type="xsd:long"&gt;45351&lt;/D&gt;&lt;/FQL&gt;&lt;FQL&gt;&lt;Q&gt;EWA^FG_FCF_YIELD_NTM(0)&lt;/Q&gt;&lt;R&gt;1&lt;/R&gt;&lt;C&gt;1&lt;/C&gt;&lt;D xsi:type="xsd:double"&gt;4.77682258240379&lt;/D&gt;&lt;/FQL&gt;&lt;FQL&gt;&lt;Q&gt;DBA^FG_TOTAL_RETURNC(0,-6AM)&lt;/Q&gt;&lt;R&gt;1&lt;/R&gt;&lt;C&gt;1&lt;/C&gt;&lt;D xsi:type="xsd:double"&gt;8.712446&lt;/D&gt;&lt;/FQL&gt;&lt;FQL&gt;&lt;Q&gt;EWD^SIZE(FG_CONSTITUENTS)&lt;/Q&gt;&lt;R&gt;1&lt;/R&gt;&lt;C&gt;1&lt;/C&gt;&lt;D xsi:type="xsd:long"&gt;44&lt;/D&gt;&lt;/FQL&gt;&lt;FQL&gt;&lt;Q&gt;EWA^SIZE(FG_CONSTITUENTS)&lt;/Q&gt;&lt;R&gt;1&lt;/R&gt;&lt;C&gt;1&lt;/C&gt;&lt;D xsi:type="xsd:long"&gt;59&lt;/D&gt;&lt;/FQL&gt;&lt;FQL&gt;&lt;Q&gt;QQQ^FMA_RBICS_REV_CURRENT(30, LOC, "PORTAGG")&lt;/Q&gt;&lt;R&gt;1&lt;/R&gt;&lt;C&gt;1&lt;/C&gt;&lt;D xsi:type="xsd:double"&gt;0.861039068445163&lt;/D&gt;&lt;/FQL&gt;&lt;FQL&gt;&lt;Q&gt;TRYAU10Y-FDS^PCTCHG(FG_YIELD(0,,,,"YTM"),FG_YIELD(-3AM,,,,"YTM"))&lt;/Q&gt;&lt;R&gt;1&lt;/R&gt;&lt;C&gt;1&lt;/C&gt;&lt;D xsi:type="xsd:double"&gt;-1.8872507&lt;/D&gt;&lt;/FQL&gt;&lt;FQL&gt;&lt;Q&gt;VWO^FG_FCF_YIELD_NTM(0)&lt;/Q&gt;&lt;R&gt;1&lt;/R&gt;&lt;C&gt;1&lt;/C&gt;&lt;D xsi:type="xsd:double"&gt;5.7548610791036&lt;/D&gt;&lt;/FQL&gt;&lt;FQL&gt;&lt;Q&gt;EWD^FG_FCF_YIELD_NTM(0)&lt;/Q&gt;&lt;R&gt;1&lt;/R&gt;&lt;C&gt;1&lt;/C&gt;&lt;D xsi:type="xsd:double"&gt;5.09331880810327&lt;/D&gt;&lt;/FQL&gt;&lt;FQL&gt;&lt;Q&gt;EWA^FMA_DIV_YLD(NTMA,NOW,NOW,M,"PORTAGG","MEANR")&lt;/Q&gt;&lt;R&gt;1&lt;/R&gt;&lt;C&gt;1&lt;/C&gt;&lt;D xsi:type="xsd:double"&gt;3.98464281144306&lt;/D&gt;&lt;/FQL&gt;&lt;FQL&gt;&lt;Q&gt;TIOS-FDS^FG_PRICE_CHANGE(0,-1AY)&lt;/Q&gt;&lt;R&gt;1&lt;/R&gt;&lt;C&gt;1&lt;/C&gt;&lt;D xsi:type="xsd:double"&gt;-14.6877883728084&lt;/D&gt;&lt;/FQL&gt;&lt;FQL&gt;&lt;Q&gt;EWD^FMA_DIV_YLD(NTMA,NOW,NOW,M,"PORTAGG","MEANR")&lt;/Q&gt;&lt;R&gt;1&lt;/R&gt;&lt;C&gt;1&lt;/C&gt;&lt;D xsi:type="xsd:double"&gt;3.29605026326781&lt;/D&gt;&lt;/FQL&gt;&lt;FQL&gt;&lt;Q&gt;EWG^FMA_RBICS_REV_CURRENT(30, LOC, "PORTAGG")&lt;/Q&gt;&lt;R&gt;1&lt;/R&gt;&lt;C&gt;1&lt;/C&gt;&lt;D xsi:type="xsd:double"&gt;22.665656730962&lt;/D&gt;&lt;/FQL&gt;&lt;FQL&gt;&lt;Q&gt;TRYTR7Y-FDS^FG_YIELD(-10AY,0,Y,,"YTM")&lt;/Q&gt;&lt;R&gt;10&lt;/R&gt;&lt;C&gt;1&lt;/C&gt;&lt;D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xsi:type="xsd:double"&gt;21.984322&lt;/D&gt;&lt;/FQL&gt;&lt;FQL&gt;&lt;Q&gt;EWA^FMA_COS_UP("EPS","1M",+1,0,,,"PORTAGG","MEANR")&lt;/Q&gt;&lt;R&gt;1&lt;/R&gt;&lt;C&gt;1&lt;/C&gt;&lt;D xsi:type="xsd:double"&gt;31&lt;/D&gt;&lt;/FQL&gt;&lt;FQL&gt;&lt;Q&gt;EWJ^FG_FCF_YIELD_NTM(0)&lt;/Q&gt;&lt;R&gt;1&lt;/R&gt;&lt;C&gt;1&lt;/C&gt;&lt;D xsi:type="xsd:double"&gt;4.13329570683056&lt;/D&gt;&lt;/FQL&gt;&lt;FQL&gt;&lt;Q&gt;TRYNZ10Y-FDS^PCTCHG(FG_YIELD(0,,,,"YTM"),FG_YIELD(-1AM,,,,"YTM"))&lt;/Q&gt;&lt;R&gt;1&lt;/R&gt;&lt;C&gt;1&lt;/C&gt;&lt;D xsi:type="xsd:double"&gt;-5.756607&lt;/D&gt;&lt;/FQL&gt;&lt;FQL&gt;&lt;Q&gt;EWJ^FMA_PE(LTM,0,,,"PORTAGG","MEANR")&lt;/Q&gt;&lt;R&gt;1&lt;/R&gt;&lt;C&gt;1&lt;/C&gt;&lt;D xsi:type="xsd:double"&gt;15.8434993734173&lt;/D&gt;&lt;/FQL&gt;&lt;FQL&gt;&lt;Q&gt;PASP-FDS^FG_PRICE_CHANGE(0,-1AY)&lt;/Q&gt;&lt;R&gt;1&lt;/R&gt;&lt;C&gt;1&lt;/C&gt;&lt;D xsi:type="xsd:double"&gt;-28.655737704918&lt;/D&gt;&lt;/FQL&gt;&lt;FQL&gt;&lt;Q&gt;QQQ^FG_TOTAL_RETURNC(0,-3AM)&lt;/Q&gt;&lt;R&gt;1&lt;/R&gt;&lt;C&gt;1&lt;/C&gt;&lt;D xsi:type="xsd:double"&gt;9.135747&lt;/D&gt;&lt;/FQL&gt;&lt;FQL&gt;&lt;Q&gt;EWN^FMA_PE(LTM,0,,,"PORTAGG","MEANR")&lt;/Q&gt;&lt;R&gt;1&lt;/R&gt;&lt;C&gt;1&lt;/C&gt;&lt;D xsi:type="xsd:double"&gt;23.9982323522887&lt;/D&gt;&lt;/FQL&gt;&lt;FQL&gt;&lt;Q&gt;REFFFUND-FDS^PROPER_NAME(0,,,"SECURITY","NAME")&lt;/Q&gt;&lt;R&gt;1&lt;/R&gt;&lt;C&gt;1&lt;/C&gt;&lt;D xsi:type="xsd:string"&gt;US Federal Funds Target Rate&lt;/D&gt;&lt;/FQL&gt;&lt;FQL&gt;&lt;Q&gt;TRYSE10Y-FDS^FG_YIELD(0,,,,"YTM")&lt;/Q&gt;&lt;R&gt;1&lt;/R&gt;&lt;C&gt;1&lt;/C&gt;&lt;D xsi:type="xsd:double"&gt;2.369&lt;/D&gt;&lt;/FQL&gt;&lt;FQL&gt;&lt;Q&gt;TRYFR10Y-FDS^FG_YIELD(-10AY,0,Y,,"YTM")&lt;/Q&gt;&lt;R&gt;10&lt;/R&gt;&lt;C&gt;1&lt;/C&gt;&lt;D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xsi:type="xsd:double"&gt;2.534&lt;/D&gt;&lt;/FQL&gt;&lt;FQL&gt;&lt;Q&gt;USDANG^FG_PRICE_CHANGE(0,-6AM)&lt;/Q&gt;&lt;R&gt;1&lt;/R&gt;&lt;C&gt;1&lt;/C&gt;&lt;D xsi:type="xsd:double"&gt;0&lt;/D&gt;&lt;/FQL&gt;&lt;FQL&gt;&lt;Q&gt;EWD^FMA_PE(NTMA,-10AY,0,AM,"PORTAGG","MEANR")&lt;/Q&gt;&lt;R&gt;121&lt;/R&gt;&lt;C&gt;1&lt;/C&gt;&lt;D xsi:type="xsd:double"&gt;15.4859609843661&lt;/D&gt;&lt;D xsi:type="xsd:double"&gt;15.5334737460445&lt;/D&gt;&lt;D xsi:type="xsd:double"&gt;15.8329206506506&lt;/D&gt;&lt;D xsi:type="xsd:double"&gt;15.7145761225623&lt;/D&gt;&lt;D xsi:type="xsd:double"&gt;15.4957310667381&lt;/D&gt;&lt;D xsi:type="xsd:double"&gt;15.0646834242554&lt;/D&gt;&lt;D xsi:type="xsd:double"&gt;14.0724987313292&lt;/D&gt;&lt;D xsi:type="xsd:double"&gt;13.5860518461596&lt;/D&gt;&lt;D xsi:type="xsd:double"&gt;15.281563447189&lt;/D&gt;&lt;D xsi:type="xsd:double"&gt;15.2689985606935&lt;/D&gt;&lt;D xsi:type="xsd:double"&gt;15.2749074083469&lt;/D&gt;&lt;D xsi:type="xsd:double"&gt;16.760723561582&lt;/D&gt;&lt;D xsi:type="xsd:double"&gt;17.0897756019165&lt;/D&gt;&lt;D xsi:type="xsd:double"&gt;17.1248470160243&lt;/D&gt;&lt;D xsi:type="xsd:double"&gt;15.8832830317034&lt;/D&gt;&lt;D xsi:type="xsd:double"&gt;15.923576783166&lt;/D&gt;&lt;D xsi:type="xsd:double"&gt;16.1296365044575&lt;/D&gt;&lt;D xsi:type="xsd:double"&gt;15.8671863887204&lt;/D&gt;&lt;D xsi:type="xsd:double"&gt;14.5822671901477&lt;/D&gt;&lt;D xsi:type="xsd:double"&gt;14.6836315025476&lt;/D&gt;&lt;D xsi:type="xsd:double"&gt;15.0614441361468&lt;/D&gt;&lt;D xsi:type="xsd:double"&gt;14.3277518874504&lt;/D&gt;&lt;D xsi:type="xsd:double"&gt;13.992231394766&lt;/D&gt;&lt;D xsi:type="xsd:double"&gt;14.1745717619362&lt;/D&gt;&lt;D xsi:type="xsd:double"&gt;15.6830035546817&lt;/D&gt;&lt;D xsi:type="xsd:double"&gt;15.3160405277529&lt;/D&gt;&lt;D xsi:type="xsd:double"&gt;14.5829935872032&lt;/D&gt;&lt;D xsi:type="xsd:double"&gt;13.9797513409157&lt;/D&gt;&lt;D xsi:type="xsd:double"&gt;14.9789450487753&lt;/D&gt;&lt;D xsi:type="xsd:double"&gt;15.535038698419&lt;/D&gt;&lt;D xsi:type="xsd:double"&gt;15.3434843717434&lt;/D&gt;&lt;D xsi:type="xsd:double"&gt;16.0690224409378&lt;/D&gt;&lt;D xsi:type="xsd:double"&gt;15.8645731941949&lt;/D&gt;&lt;D xsi:type="xsd:double"&gt;16.6584263820785&lt;/D&gt;&lt;D xsi:type="xsd:double"&gt;16.5547418345694&lt;/D&gt;&lt;D xsi:type="xsd:double"&gt;16.8101041890237&lt;/D&gt;&lt;D xsi:type="xsd:double"&gt;16.8214830554441&lt;/D&gt;&lt;D xsi:type="xsd:double"&gt;16.8858483378652&lt;/D&gt;&lt;D xsi:type="xsd:double"&gt;17.1026099700259&lt;/D&gt;&lt;D xsi:type="xsd:double"&gt;16.7726028432162&lt;/D&gt;&lt;D xsi:type="xsd:double"&gt;16.8567057163582&lt;/D&gt;&lt;D xsi:type="xsd:double"&gt;15.9120313545957&lt;/D&gt;&lt;D xsi:type="xsd:double"&gt;16.2460826678063&lt;/D&gt;&lt;D xsi:type="xsd:double"&gt;16.8249473271525&lt;/D&gt;&lt;D xsi:type="xsd:double"&gt;16.801572260911&lt;/D&gt;&lt;D xsi:type="xsd:double"&gt;16.3967869761644&lt;/D&gt;&lt;D xsi:type="xsd:double"&gt;16.6348710617046&lt;/D&gt;&lt;D xsi:type="xsd:double"&gt;15.9091510443792&lt;/D&gt;&lt;D xsi:type="xsd:double"&gt;16.3254548331999&lt;/D&gt;&lt;D xsi:type="xsd:double"&gt;15.5811461935551&lt;/D&gt;&lt;D xsi:type="xsd:double"&gt;15.977063032069&lt;/D&gt;&lt;D xsi:type="xsd:double"&gt;15.5623215979562&lt;/D&gt;&lt;D xsi:type="xsd:double"&gt;15.3754366442772&lt;/D&gt;&lt;D xsi:type="xsd:double"&gt;15.4563773890869&lt;/D&gt;&lt;D xsi:type="xsd:double"&gt;15.6168419148551&lt;/D&gt;&lt;D xsi:type="xsd:double"&gt;14.5692607356763&lt;/D&gt;&lt;D xsi:type="xsd:double"&gt;14.1056411955672&lt;/D&gt;&lt;D xsi:type="xsd:double"&gt;13.8125056883614&lt;/D&gt;&lt;D xsi:type="xsd:double"&gt;13.3550268730991&lt;/D&gt;&lt;D xsi:type="xsd:double"&gt;14.7302757490678&lt;/D&gt;&lt;D xsi:type="xsd:double"&gt;14.9361116078345&lt;/D&gt;&lt;D xsi:type="xsd:double"&gt;15.2689007622812&lt;/D&gt;&lt;D xsi:type="xsd:double"&gt;14.8729954304732&lt;/D&gt;&lt;D xsi:type="xsd:double"&gt;14.7336645684705&lt;/D&gt;&lt;D xsi:type="xsd:double"&gt;15.0939480954188&lt;/D&gt;&lt;D xsi:type="xsd:double"&gt;13.3353067982559&lt;/D&gt;&lt;D xsi:type="xsd:double"&gt;14.787942593871&lt;/D&gt;&lt;D xsi:type="xsd:double"&gt;15.0362317955093&lt;/D&gt;&lt;D xsi:type="xsd:double"&gt;15.8392884825685&lt;/D&gt;&lt;D xsi:type="xsd:double"&gt;15.9924475233851&lt;/D&gt;&lt;D xsi:type="xsd:double"&gt;16.3641272576887&lt;/D&gt;&lt;D xsi:type="xsd:double"&gt;17.0111020919986&lt;/D&gt;&lt;D xsi:type="xsd:double"&gt;12.2641123876178&lt;/D&gt;&lt;D xsi:type="xsd:double"&gt;16.1083356572099&lt;/D&gt;&lt;D xsi:type="xsd:double"&gt;16.7485941284441&lt;/D&gt;&lt;D xsi:type="xsd:double"&gt;18.4115966033011&lt;/D&gt;&lt;D xsi:type="xsd:double"&gt;19.865351799719&lt;/D&gt;&lt;D xsi:type="xsd:double"&gt;18.561006187694&lt;/D&gt;&lt;D xsi:type="xsd:double"&gt;18.2538698104217&lt;/D&gt;&lt;D xsi:type="xsd:double"&gt;18.2118650325064&lt;/D&gt;&lt;D xsi:type="xsd:double"&gt;17.053862982535&lt;/D&gt;&lt;D xsi:type="xsd:double"&gt;17.2212196551735&lt;/D&gt;&lt;D xsi:type="xsd:double"&gt;18.9038058777406&lt;/D&gt;&lt;D xsi:type="xsd:double"&gt;18.8113422544853&lt;/D&gt;&lt;D xsi:type="xsd:double"&gt;20.1086559208725&lt;/D&gt;&lt;D xsi:type="xsd:double"&gt;20.3363002665746&lt;/D&gt;&lt;D xsi:type="xsd:double"&gt;18.1224437995582&lt;/D&gt;&lt;D xsi:type="xsd:double"&gt;18.7323687603945&lt;/D&gt;&lt;D xsi:type="xsd:double"&gt;18.8141376069945&lt;/D&gt;&lt;D xsi:type="xsd:double"&gt;18.7333711958295&lt;/D&gt;&lt;D xsi:type="xsd:double"&gt;18.5354494116637&lt;/D&gt;&lt;D xsi:type="xsd:double"&gt;18.2534373399211&lt;/D&gt;&lt;D xsi:type="xsd:double"&gt;18.9637387996831&lt;/D&gt;&lt;D xsi:type="xsd:double"&gt;18.9960500058108&lt;/D&gt;&lt;D xsi:type="xsd:double"&gt;17.5085780614217&lt;/D&gt;&lt;D xsi:type="xsd:double"&gt;16.0351343476467&lt;/D&gt;&lt;D xsi:type="xsd:double"&gt;14.9677061594542&lt;/D&gt;&lt;D xsi:type="xsd:double"&gt;15.0156689294086&lt;/D&gt;&lt;D xsi:type="xsd:double"&gt;15.9344201086223&lt;/D&gt;&lt;D xsi:type="xsd:double"&gt;14.6326825856305&lt;/D&gt;&lt;D xsi:type="xsd:double"&gt;14.351516978737&lt;/D&gt;&lt;D xsi:type="xsd:double"&gt;15.100841715598&lt;/D&gt;&lt;D xsi:type="xsd:double"&gt;13.9253244288994&lt;/D&gt;&lt;D xsi:type="xsd:double"&gt;13.1502188076369&lt;/D&gt;&lt;D xsi:type="xsd:double"&gt;13.165885122554&lt;/D&gt;&lt;D xsi:type="xsd:double"&gt;13.4009408657467&lt;/D&gt;&lt;D xsi:type="xsd:double"&gt;13.6589371762959&lt;/D&gt;&lt;D xsi:type="xsd:double"&gt;14.1308297731787&lt;/D&gt;&lt;D xsi:type="xsd:double"&gt;13.7069618345307&lt;/D&gt;&lt;D xsi:type="xsd:double"&gt;13.9201950823294&lt;/D&gt;&lt;D xsi:type="xsd:double"&gt;13.480798581471&lt;/D&gt;&lt;D xsi:type="xsd:double"&gt;13.8110727078974&lt;/D&gt;&lt;D xsi:type="xsd:double"&gt;13.3865921611817&lt;/D&gt;&lt;D xsi:type="xsd:double"&gt;13.0986675828346&lt;/D&gt;&lt;D xsi:type="xsd:double"&gt;13.0373964167786&lt;/D&gt;&lt;D xsi:type="xsd:double"&gt;13.0898076390889&lt;/D&gt;&lt;D xsi:type="xsd:double"&gt;13.1821658464189&lt;/D&gt;&lt;D xsi:type="xsd:double"&gt;15.472509981103&lt;/D&gt;&lt;D xsi:type="xsd:double"&gt;15.4258960455709&lt;/D&gt;&lt;D xsi:type="xsd:double"&gt;15.7034714197701&lt;/D&gt;&lt;D xsi:type="xsd:double"&gt;16.6778575461911&lt;/D&gt;&lt;/FQL&gt;&lt;FQL&gt;&lt;Q&gt;DDR3512M-FDS^FG_PRICE_MAVG(0,,,,30)&lt;/Q&gt;&lt;R&gt;1&lt;/R&gt;&lt;C&gt;1&lt;/C&gt;&lt;D xsi:type="xsd:double"&gt;0.96949035&lt;/D&gt;&lt;/FQL&gt;&lt;FQL&gt;&lt;Q&gt;PLATI-FDS^FG_PRICE_MAVG(0,,,,30)&lt;/Q&gt;&lt;R&gt;1&lt;/R&gt;&lt;C&gt;1&lt;/C&gt;&lt;D xsi:type="xsd:double"&gt;903.8&lt;/D&gt;&lt;/FQL&gt;&lt;FQL&gt;&lt;Q&gt;COPP-FDS^FG_PRICE_MAVG(0,,,,30)&lt;/Q&gt;&lt;R&gt;1&lt;/R&gt;&lt;C&gt;1&lt;/C&gt;&lt;D xsi:type="xsd:double"&gt;3.8365166&lt;/D&gt;&lt;/FQL&gt;&lt;FQL&gt;&lt;Q&gt;EWI^FG_PRICE_MAVG(0,,,,60)&lt;/Q&gt;&lt;R&gt;1&lt;/R&gt;&lt;C&gt;1&lt;/C&gt;&lt;D xsi:type="xsd:double"&gt;34.398834&lt;/D&gt;&lt;/FQL&gt;&lt;FQL&gt;&lt;Q&gt;EWA^P_PRICE(0)/P_PRICE_LOW_PR(0,,,USD,,,"PRICE","INTRA","52W")-1&lt;/Q&gt;&lt;R&gt;1&lt;/R&gt;&lt;C&gt;1&lt;/C&gt;&lt;D xsi:type="xsd:double"&gt;0.1788857&lt;/D&gt;&lt;/FQL&gt;&lt;FQL&gt;&lt;Q&gt;EWI^PERCENT_CHANGE(FMA_EPS(+1,0,,,,"PORTAGG","MEAN"),FMA_EPS(+1,-1AM,,,,"PORTAGG","MEAN"))&lt;/Q&gt;&lt;R&gt;1&lt;/R&gt;&lt;C&gt;1&lt;/C&gt;&lt;D xsi:type="xsd:double"&gt;2.967869588941&lt;/D&gt;&lt;/FQL&gt;&lt;FQL&gt;&lt;Q&gt;QQQ^FG_FCF_YIELD_NTM(0)&lt;/Q&gt;&lt;R&gt;1&lt;/R&gt;&lt;C&gt;1&lt;/C&gt;&lt;D xsi:type="xsd:double"&gt;3.67564084403822&lt;/D&gt;&lt;/FQL&gt;&lt;FQL&gt;&lt;Q&gt;EWI^FMA_PE(LTMA,-10AY,0,AM,"PORTAGG","MEANR")&lt;/Q&gt;&lt;R&gt;121&lt;/R&gt;&lt;C&gt;1&lt;/C&gt;&lt;D xsi:type="xsd:double"&gt;17.2998468069536&lt;/D&gt;&lt;D xsi:type="xsd:double"&gt;17.1471153094492&lt;/D&gt;&lt;D xsi:type="xsd:double"&gt;17.033040749809&lt;/D&gt;&lt;D xsi:type="xsd:double"&gt;17.3614483231483&lt;/D&gt;&lt;D xsi:type="xsd:double"&gt;17.0719491901742&lt;/D&gt;&lt;D xsi:type="xsd:double"&gt;16.6968510276496&lt;/D&gt;&lt;D xsi:type="xsd:double"&gt;17.9588402743147&lt;/D&gt;&lt;D xsi:type="xsd:double"&gt;16.6094237358794&lt;/D&gt;&lt;D xsi:type="xsd:double"&gt;17.3547134700843&lt;/D&gt;&lt;D xsi:type="xsd:double"&gt;17.8569320977873&lt;/D&gt;&lt;D xsi:type="xsd:double"&gt;18.6909182517967&lt;/D&gt;&lt;D xsi:type="xsd:double"&gt;42.4697962851809&lt;/D&gt;&lt;D xsi:type="xsd:double"&gt;44.0588153560876&lt;/D&gt;&lt;D xsi:type="xsd:double"&gt;41.2379462361496&lt;/D&gt;&lt;D xsi:type="xsd:double"&gt;38.4710003651199&lt;/D&gt;&lt;D xsi:type="xsd:double"&gt;35.4727126625504&lt;/D&gt;&lt;D xsi:type="xsd:double"&gt;32.504390676019&lt;/D&gt;&lt;D xsi:type="xsd:double"&gt;30.0105377451578&lt;/D&gt;&lt;D xsi:type="xsd:double"&gt;26.4444860202802&lt;/D&gt;&lt;D xsi:type="xsd:double"&gt;24.1215346891586&lt;/D&gt;&lt;D xsi:type="xsd:double"&gt;22.1415681880193&lt;/D&gt;&lt;D xsi:type="xsd:double"&gt;18.6689438894201&lt;/D&gt;&lt;D xsi:type="xsd:double"&gt;16.6611027772634&lt;/D&gt;&lt;D xsi:type="xsd:double"&gt;14.7026285261242&lt;/D&gt;&lt;D xsi:type="xsd:double"&gt;15.4793736053695&lt;/D&gt;&lt;D xsi:type="xsd:double"&gt;15.2980072100068&lt;/D&gt;&lt;D xsi:type="xsd:double"&gt;15.4172564617177&lt;/D&gt;&lt;D xsi:type="xsd:double"&gt;14.4743753018774&lt;/D&gt;&lt;D xsi:type="xsd:double"&gt;14.7110824250917&lt;/D&gt;&lt;D xsi:type="xsd:double"&gt;15.1614797734865&lt;/D&gt;&lt;D xsi:type="xsd:double"&gt;14.7110845187121&lt;/D&gt;&lt;D xsi:type="xsd:double"&gt;14.6991916510975&lt;/D&gt;&lt;D xsi:type="xsd:double"&gt;14.3904937744332&lt;/D&gt;&lt;D xsi:type="xsd:double"&gt;15.9312488181021&lt;/D&gt;&lt;D xsi:type="xsd:double"&gt;27.708500491864&lt;/D&gt;&lt;D xsi:type="xsd:double"&gt;20.9803652407177&lt;/D&gt;&lt;D xsi:type="xsd:double"&gt;82.727662057644&lt;/D&gt;&lt;D xsi:type="xsd:double"&gt;75.6114101750278&lt;/D&gt;&lt;D xsi:type="xsd:double"&gt;69.1389552954863&lt;/D&gt;&lt;D xsi:type="xsd:double"&gt;61.2537662608207&lt;/D&gt;&lt;D xsi:type="xsd:double"&gt;54.444072239836&lt;/D&gt;&lt;D xsi:type="xsd:double"&gt;47.1104492734024&lt;/D&gt;&lt;D xsi:type="xsd:double"&gt;39.9598759709708&lt;/D&gt;&lt;D xsi:type="xsd:double"&gt;33.4113498425122&lt;/D&gt;&lt;D xsi:type="xsd:double"&gt;25.9663152895581&lt;/D&gt;&lt;D xsi:type="xsd:double"&gt;19.2172520220102&lt;/D&gt;&lt;D xsi:type="xsd:double"&gt;15.9424340507552&lt;/D&gt;&lt;D xsi:type="xsd:double"&gt;14.4001758429265&lt;/D&gt;&lt;D xsi:type="xsd:double"&gt;14.1586450926554&lt;/D&gt;&lt;D xsi:type="xsd:double"&gt;14.1213183550001&lt;/D&gt;&lt;D xsi:type="xsd:double"&gt;14.1111451012586&lt;/D&gt;&lt;D xsi:type="xsd:double"&gt;13.5971068374941&lt;/D&gt;&lt;D xsi:type="xsd:double"&gt;13.2622659063843&lt;/D&gt;&lt;D xsi:type="xsd:double"&gt;12.8029770236342&lt;/D&gt;&lt;D xsi:type="xsd:double"&gt;12.4967912078804&lt;/D&gt;&lt;D xsi:type="xsd:double"&gt;11.640564339924&lt;/D&gt;&lt;D xsi:type="xsd:double"&gt;11.3387241336895&lt;/D&gt;&lt;D xsi:type="xsd:double"&gt;10.8737477659887&lt;/D&gt;&lt;D xsi:type="xsd:double"&gt;10.8568182399437&lt;/D&gt;&lt;D xsi:type="xsd:double"&gt;11.0025643096315&lt;/D&gt;&lt;D xsi:type="xsd:double"&gt;11.2833402984599&lt;/D&gt;&lt;D xsi:type="xsd:double"&gt;11.3506178726661&lt;/D&gt;&lt;D xsi:type="xsd:double"&gt;11.1395659287923&lt;/D&gt;&lt;D xsi:type="xsd:double"&gt;11.0099248923613&lt;/D&gt;&lt;D xsi:type="xsd:double"&gt;11.3631178857439&lt;/D&gt;&lt;D xsi:type="xsd:double"&gt;10.7046680475714&lt;/D&gt;&lt;D xsi:type="xsd:double"&gt;11.3828438390413&lt;/D&gt;&lt;D xsi:type="xsd:double"&gt;11.385888221913&lt;/D&gt;&lt;D xsi:type="xsd:double"&gt;11.9657119288171&lt;/D&gt;&lt;D xsi:type="xsd:double"&gt;11.9679603417242&lt;/D&gt;&lt;D xsi:type="xsd:double"&gt;12.2650915338206&lt;/D&gt;&lt;D xsi:type="xsd:double"&gt;12.7386842575481&lt;/D&gt;&lt;D xsi:type="xsd:double"&gt;10.8037466285777&lt;/D&gt;&lt;D xsi:type="xsd:double"&gt;11.5387245693672&lt;/D&gt;&lt;D xsi:type="xsd:double"&gt;13.3931027730263&lt;/D&gt;&lt;D xsi:type="xsd:double"&gt;15.4533738878511&lt;/D&gt;&lt;D xsi:type="xsd:double"&gt;17.0142612874686&lt;/D&gt;&lt;D xsi:type="xsd:double"&gt;17.7453990965437&lt;/D&gt;&lt;D xsi:type="xsd:double"&gt;18.2548682027982&lt;/D&gt;&lt;D xsi:type="xsd:double"&gt;19.0791122281735&lt;/D&gt;&lt;D xsi:type="xsd:double"&gt;20.5296220030302&lt;/D&gt;&lt;D xsi:type="xsd:double"&gt;22.5071568875935&lt;/D&gt;&lt;D xsi:type="xsd:double"&gt;23.7108600719631&lt;/D&gt;&lt;D xsi:type="xsd:double"&gt;20.6366449810922&lt;/D&gt;&lt;D xsi:type="xsd:double"&gt;20.1309793845693&lt;/D&gt;&lt;D xsi:type="xsd:double"&gt;19.5163463469352&lt;/D&gt;&lt;D xsi:type="xsd:double"&gt;18.7722002440644&lt;/D&gt;&lt;D xsi:type="xsd:double"&gt;18.475823761134&lt;/D&gt;&lt;D xsi:type="xsd:double"&gt;17.6398496975162&lt;/D&gt;&lt;D xsi:type="xsd:double"&gt;16.4158750835144&lt;/D&gt;&lt;D xsi:type="xsd:double"&gt;15.1545138342344&lt;/D&gt;&lt;D xsi:type="xsd:double"&gt;14.4448678784946&lt;/D&gt;&lt;D xsi:type="xsd:double"&gt;13.9049102710615&lt;/D&gt;&lt;D xsi:type="xsd:double"&gt;12.1534415759408&lt;/D&gt;&lt;D xsi:type="xsd:double"&gt;12.1257750040661&lt;/D&gt;&lt;D xsi:type="xsd:double"&gt;11.5302218027701&lt;/D&gt;&lt;D xsi:type="xsd:double"&gt;10.5255377319648&lt;/D&gt;&lt;D xsi:type="xsd:double"&gt;10.5267190562693&lt;/D&gt;&lt;D xsi:type="xsd:double"&gt;10.2592860068825&lt;/D&gt;&lt;D xsi:type="xsd:double"&gt;9.54592570141996&lt;/D&gt;&lt;D xsi:type="xsd:double"&gt;9.00573489374345&lt;/D&gt;&lt;D xsi:type="xsd:double"&gt;8.7859305006206&lt;/D&gt;&lt;D xsi:type="xsd:double"&gt;8.52159295759241&lt;/D&gt;&lt;D xsi:type="xsd:double"&gt;7.91567887441972&lt;/D&gt;&lt;D xsi:type="xsd:double"&gt;8.46523310057494&lt;/D&gt;&lt;D xsi:type="xsd:double"&gt;7.7678597914969&lt;/D&gt;&lt;D xsi:type="xsd:double"&gt;8.03862081581855&lt;/D&gt;&lt;D xsi:type="xsd:double"&gt;8.29287000691191&lt;/D&gt;&lt;D xsi:type="xsd:double"&gt;8.26659815999253&lt;/D&gt;&lt;D xsi:type="xsd:double"&gt;8.39975398234716&lt;/D&gt;&lt;D xsi:type="xsd:double"&gt;8.3</t>
        </r>
      </text>
    </comment>
    <comment ref="A14" authorId="0" shapeId="0" xr:uid="{22A1D324-E9EF-4825-951B-114710A35D9B}">
      <text>
        <r>
          <rPr>
            <b/>
            <sz val="9"/>
            <color indexed="81"/>
            <rFont val="Tahoma"/>
            <charset val="1"/>
          </rPr>
          <t>060522317684&lt;/D&gt;&lt;D xsi:type="xsd:double"&gt;8.53959958252828&lt;/D&gt;&lt;D xsi:type="xsd:double"&gt;8.65788935503742&lt;/D&gt;&lt;D xsi:type="xsd:double"&gt;8.24103984105657&lt;/D&gt;&lt;D xsi:type="xsd:double"&gt;8.42565046722771&lt;/D&gt;&lt;D xsi:type="xsd:double"&gt;8.21276892759185&lt;/D&gt;&lt;D xsi:type="xsd:double"&gt;8.28639303165747&lt;/D&gt;&lt;D xsi:type="xsd:double"&gt;8.81496553597487&lt;/D&gt;&lt;D xsi:type="xsd:double"&gt;8.98713104725073&lt;/D&gt;&lt;D xsi:type="xsd:double"&gt;9.1339435313065&lt;/D&gt;&lt;D xsi:type="xsd:double"&gt;9.41539836377251&lt;/D&gt;&lt;/FQL&gt;&lt;FQL&gt;&lt;Q&gt;EWN^FG_TOTAL_RETURNC(-10AY,0,AM)&lt;/Q&gt;&lt;R&gt;121&lt;/R&gt;&lt;C&gt;1&lt;/C&gt;&lt;D xsi:type="xsd:double"&gt;-2.4609387&lt;/D&gt;&lt;D xsi:type="xsd:double"&gt;1.8021703&lt;/D&gt;&lt;D xsi:type="xsd:double"&gt;0.9441376&lt;/D&gt;&lt;D xsi:type="xsd:double"&gt;1.4809132&lt;/D&gt;&lt;D xsi:type="xsd:double"&gt;-2.5031745&lt;/D&gt;&lt;D xsi:type="xsd:double"&gt;-4.2117953&lt;/D&gt;&lt;D xsi:type="xsd:double"&gt;3.1406999&lt;/D&gt;&lt;D xsi:type="xsd:double"&gt;-7.7953696&lt;/D&gt;&lt;D xsi:type="xsd:double"&gt;5.7243586&lt;/D&gt;&lt;D xsi:type="xsd:double"&gt;-0.54144263&lt;/D&gt;&lt;D xsi:type="xsd:double"&gt;-1.8008947&lt;/D&gt;&lt;D xsi:type="xsd:double"&gt;6.589639&lt;/D&gt;&lt;D xsi:type="xsd:double"&gt;0.5620241&lt;/D&gt;&lt;D xsi:type="xsd:double"&gt;4.1117787&lt;/D&gt;&lt;D xsi:type="xsd:double"&gt;3.9110422&lt;/D&gt;&lt;D xsi:type="xsd:double"&gt;-2.7306259&lt;/D&gt;&lt;D xsi:type="xsd:double"&gt;1.7153025&lt;/D&gt;&lt;D xsi:type="xsd:double"&gt;-2.754718&lt;/D&gt;&lt;D xsi:type="xsd:double"&gt;-7.2953105&lt;/D&gt;&lt;D xsi:type="xsd:double"&gt;2.009213&lt;/D&gt;&lt;D xsi:type="xsd:double"&gt;-0.5744815&lt;/D&gt;&lt;D xsi:type="xsd:double"&gt;-2.8477013&lt;/D&gt;&lt;D xsi:type="xsd:double"&gt;-2.847129&lt;/D&gt;&lt;D xsi:type="xsd:double"&gt;-4.4434667&lt;/D&gt;&lt;D xsi:type="xsd:double"&gt;11.556172&lt;/D&gt;&lt;D xsi:type="xsd:double"&gt;2.0635605&lt;/D&gt;&lt;D xsi:type="xsd:double"&gt;-2.8710008&lt;/D&gt;&lt;D xsi:type="xsd:double"&gt;-2.914244&lt;/D&gt;&lt;D xsi:type="xsd:double"&gt;2.6204348&lt;/D&gt;&lt;D xsi:type="xsd:double"&gt;4.323864&lt;/D&gt;&lt;D xsi:type="xsd:double"&gt;-1.0971189&lt;/D&gt;&lt;D xsi:type="xsd:double"&gt;-0.16434193&lt;/D&gt;&lt;D xsi:type="xsd:double"&gt;-2.7983487&lt;/D&gt;&lt;D xsi:type="xsd:double"&gt;1.5241265&lt;/D&gt;&lt;D xsi:type="xsd:double"&gt;3.9496064&lt;/D&gt;&lt;D xsi:type="xsd:double"&gt;2.133274&lt;/D&gt;&lt;D xsi:type="xsd:double"&gt;5.19197&lt;/D&gt;&lt;D xsi:type="xsd:double"&gt;1.0968208&lt;/D&gt;&lt;D xsi:type="xsd:double"&gt;8.380091&lt;/D&gt;&lt;D xsi:type="xsd:double"&gt;1.725924&lt;/D&gt;&lt;D xsi:type="xsd:double"&gt;2.3594975&lt;/D&gt;&lt;D xsi:type="xsd:double"&gt;2.5503397&lt;/D&gt;&lt;D xsi:type="xsd:double"&gt;2.1596909&lt;/D&gt;&lt;D xsi:type="xsd:double"&gt;2.1140337&lt;/D&gt;&lt;D xsi:type="xsd:double"&gt;-1.8820524&lt;/D&gt;&lt;D xsi:type="xsd:double"&gt;0.76726675&lt;/D&gt;&lt;D xsi:type="xsd:double"&gt;4.7774553&lt;/D&gt;&lt;D xsi:type="xsd:double"&gt;-2.6187599&lt;/D&gt;&lt;D xsi:type="xsd:double"&gt;1.0944366&lt;/D&gt;&lt;D xsi:type="xsd:double"&gt;1.144445&lt;/D&gt;&lt;D xsi:type="xsd:double"&gt;-1.2232482&lt;/D&gt;&lt;D xsi:type="xsd:double"&gt;-1.1764705&lt;/D&gt;&lt;D xsi:type="xsd:double"&gt;-1.0162175&lt;/D&gt;&lt;D xsi:type="xsd:double"&gt;-1.576066&lt;/D&gt;&lt;D xsi:type="xsd:double"&gt;-1.2745142&lt;/D&gt;&lt;D xsi:type="xsd:double"&gt;-6.190002&lt;/D&gt;&lt;D xsi:type="xsd:double"&gt;0.9174347&lt;/D&gt;&lt;D xsi:type="xsd:double"&gt;-4.7902107&lt;/D&gt;&lt;D xsi:type="xsd:double"&gt;-0.77305436&lt;/D&gt;&lt;D xsi:type="xsd:double"&gt;7.9583526&lt;/D&gt;&lt;D xsi:type="xsd:double"&gt;2.5146365&lt;/D&gt;&lt;D xsi:type="xsd:double"&gt;4.267478&lt;/D&gt;&lt;D xsi:type="xsd:double"&gt;-1.9013882&lt;/D&gt;&lt;D xsi:type="xsd:double"&gt;0.5256295&lt;/D&gt;&lt;D xsi:type="xsd:double"&gt;3.666377&lt;/D&gt;&lt;D xsi:type="xsd:double"&gt;-4.812664&lt;/D&gt;&lt;D xsi:type="xsd:double"&gt;8.517134&lt;/D&gt;&lt;D xsi:type="xsd:double"&gt;-0.90681314&lt;/D&gt;&lt;D xsi:type="xsd:double"&gt;2.8400064&lt;/D&gt;&lt;D xsi:type="xsd:double"&gt;2.9763818&lt;/D&gt;&lt;D xsi:type="xsd:double"&gt;1.7272949&lt;/D&gt;&lt;D xsi:type="xsd:double"&gt;1.6470671&lt;/D&gt;&lt;D xsi:type="xsd:double"&gt;-25.318289&lt;/D&gt;&lt;D xsi:type="xsd:double"&gt;7.5164676&lt;/D&gt;&lt;D xsi:type="xsd:double"&gt;1.2612581&lt;/D&gt;&lt;D xsi:type="xsd:double"&gt;12.91815&lt;/D&gt;&lt;D xsi:type="xsd:double"&gt;9.002459&lt;/D&gt;&lt;D xsi:type="xsd:double"&gt;2.2396803&lt;/D&gt;&lt;D xsi:type="xsd:double"&gt;0.82502365&lt;/D&gt;&lt;D xsi:type="xsd:double"&gt;3.498876&lt;/D&gt;&lt;D xsi:type="xsd:double"&gt;4.7982454&lt;/D&gt;&lt;D xsi:type="xsd:double"&gt;4.0330887&lt;/D&gt;&lt;D xsi:type="xsd:double"&gt;9.0567&lt;/D&gt;&lt;D xsi:type="xsd:double"&gt;5.751097&lt;/D&gt;&lt;D xsi:type="xsd:double"&gt;-2.4363756&lt;/D&gt;&lt;D xsi:type="xsd:double"&gt;6.5551877&lt;/D&gt;&lt;D xsi:type="xsd:double"&gt;0.9206891&lt;/D&gt;&lt;D xsi:type="xsd:double"&gt;3.8764358&lt;/D&gt;&lt;D xsi:type="xsd:double"&gt;-1.7279506&lt;/D&gt;&lt;D xsi:type="xsd:double"&gt;4.7638535&lt;/D&gt;&lt;D xsi:type="xsd:double"&gt;4.0202975&lt;/D&gt;&lt;D xsi:type="xsd:double"&gt;-4.6529055&lt;/D&gt;&lt;D xsi:type="xsd:double"&gt;4.3093204&lt;/D&gt;&lt;D xsi:type="xsd:double"&gt;-9.170753&lt;/D&gt;&lt;D xsi:type="xsd:double"&gt;2.8767943&lt;/D&gt;&lt;D xsi:type="xsd:double"&gt;-9.280645&lt;/D&gt;&lt;D xsi:type="xsd:double"&gt;-13.0667925&lt;/D&gt;&lt;D xsi:type="xsd:double"&gt;3.4172654&lt;/D&gt;&lt;D xsi:type="xsd:double"&gt;-7.627326&lt;/D&gt;&lt;D xsi:type="xsd:double"&gt;-6.2931356&lt;/D&gt;&lt;D xsi:type="xsd:double"&gt;-2.1808684&lt;/D&gt;&lt;D xsi:type="xsd:double"&gt;14.328182&lt;/D&gt;&lt;D xsi:type="xsd:double"&gt;-11.154449&lt;/D&gt;&lt;D xsi:type="xsd:double"&gt;-12.613398&lt;/D&gt;&lt;D xsi:type="xsd:double"&gt;25.619555&lt;/D&gt;&lt;D xsi:type="xsd:double"&gt;5.8385015&lt;/D&gt;&lt;D xsi:type="xsd:double"&gt;6.3236594&lt;/D&gt;&lt;D xsi:type="xsd:double"&gt;1.1680484&lt;/D&gt;&lt;D xsi:type="xsd:double"&gt;-4.8539042&lt;/D&gt;&lt;D xsi:type="xsd:double"&gt;5.27488&lt;/D&gt;&lt;D xsi:type="xsd:double"&gt;-1.8348575&lt;/D&gt;&lt;D xsi:type="xsd:double"&gt;4.294765&lt;/D&gt;&lt;D xsi:type="xsd:double"&gt;4.809475&lt;/D&gt;&lt;D xsi:type="xsd:double"&gt;-5.054307&lt;/D&gt;&lt;D xsi:type="xsd:double"&gt;-7.21457&lt;/D&gt;&lt;D xsi:type="xsd:double"&gt;-5.5611553&lt;/D&gt;&lt;D xsi:type="xsd:double"&gt;10.76473&lt;/D&gt;&lt;D xsi:type="xsd:double"&gt;8.058691&lt;/D&gt;&lt;D xsi:type="xsd:double"&gt;-2.2511125&lt;/D&gt;&lt;D xsi:type="xsd:double"&gt;6.9986224&lt;/D&gt;&lt;D xsi:type="xsd:double"&gt;3.8816214&lt;/D&gt;&lt;/FQL&gt;&lt;FQL&gt;&lt;Q&gt;EWA^FMA_PE(NTMA,-10AY,0,AM,"PORTAGG","MEANR")&lt;/Q&gt;&lt;R&gt;121&lt;/R&gt;&lt;C&gt;1&lt;/C&gt;&lt;D xsi:type="xsd:double"&gt;13.8783776584335&lt;/D&gt;&lt;D xsi:type="xsd:double"&gt;14.1784152336942&lt;/D&gt;&lt;D xsi:type="xsd:double"&gt;14.3422464134717&lt;/D&gt;&lt;D xsi:type="xsd:double"&gt;14.2249325725567&lt;/D&gt;&lt;D xsi:type="xsd:double"&gt;14.6932840484448&lt;/D&gt;&lt;D xsi:type="xsd:double"&gt;14.7141695383276&lt;/D&gt;&lt;D xsi:type="xsd:double"&gt;14.5786822689824&lt;/D&gt;&lt;D xsi:type="xsd:double"&gt;13.6961915199582&lt;/D&gt;&lt;D xsi:type="xsd:double"&gt;14.3732068651079&lt;/D&gt;&lt;D xsi:type="xsd:double"&gt;13.8352476645141&lt;/D&gt;&lt;D xsi:type="xsd:double"&gt;14.5229798465177&lt;/D&gt;&lt;D xsi:type="xsd:double"&gt;16.0754891492834&lt;/D&gt;&lt;D xsi:type="xsd:double"&gt;15.8692904621087&lt;/D&gt;&lt;D xsi:type="xsd:double"&gt;16.5515927353659&lt;/D&gt;&lt;D xsi:type="xsd:double"&gt;16.0740554836614&lt;/D&gt;&lt;D xsi:type="xsd:double"&gt;15.2840573795958&lt;/D&gt;&lt;D xsi:type="xsd:double"&gt;15.3674258456164&lt;/D&gt;&lt;D xsi:type="xsd:double"&gt;14.9346261878317&lt;/D&gt;&lt;D xsi:type="xsd:double"&gt;14.398937952319&lt;/D&gt;&lt;D xsi:type="xsd:double"&gt;14.8855133209142&lt;/D&gt;&lt;D xsi:type="xsd:double"&gt;14.5676168893394&lt;/D&gt;&lt;D xsi:type="xsd:double"&gt;14.4829974007406&lt;/D&gt;&lt;D xsi:type="xsd:double"&gt;14.6563636610585&lt;/D&gt;&lt;D xsi:type="xsd:double"&gt;14.5938031739194&lt;/D&gt;&lt;D xsi:type="xsd:double"&gt;16.1515291175237&lt;/D&gt;&lt;D xsi:type="xsd:double"&gt;15.8441441098309&lt;/D&gt;&lt;D xsi:type="xsd:double"&gt;16.3934742125734&lt;/D&gt;&lt;D xsi:type="xsd:double"&gt;15.8868285292133&lt;/D&gt;&lt;D xsi:type="xsd:double"&gt;16.3422184194731&lt;/D&gt;&lt;D xsi:type="xsd:double"&gt;16.8040362042355&lt;/D&gt;&lt;D xsi:type="xsd:double"&gt;15.6752714664446&lt;/D&gt;&lt;D xsi:type="xsd:double"&gt;16.1307986646665&lt;/D&gt;&lt;D xsi:type="xsd:double"&gt;15.8392904934639&lt;/D&gt;&lt;D xsi:type="xsd:double"&gt;15.9043597193398&lt;/D&gt;&lt;D xsi:type="xsd:double"&gt;15.9297274751967&lt;/D&gt;&lt;D xsi:type="xsd:double"&gt;15.8842815245508&lt;/D&gt;&lt;D xsi:type="xsd:double"&gt;15.6991439383007&lt;/D&gt;&lt;D xsi:type="xsd:double"&gt;15.9096511088234&lt;/D&gt;&lt;D xsi:type="xsd:double"&gt;15.6329438891962&lt;/D&gt;&lt;D xsi:type="xsd:double"&gt;15.6446304208064&lt;/D&gt;&lt;D xsi:type="xsd:double"&gt;15.6614152347496&lt;/D&gt;&lt;D xsi:type="xsd:double"&gt;15.6406578220502&lt;/D&gt;&lt;D xsi:type="xsd:double"&gt;15.6448450483976&lt;/D&gt;&lt;D xsi:type="xsd:double"&gt;15.6684220501209&lt;/D&gt;&lt;D xsi:type="xsd:double"&gt;15.9176576301754&lt;/D&gt;&lt;D xsi:type="xsd:double"&gt;15.8945194636834&lt;/D&gt;&lt;D xsi:type="xsd:double"&gt;15.9867360248566&lt;/D&gt;&lt;D xsi:type="xsd:double"&gt;15.139298765016&lt;/D&gt;&lt;D xsi:type="xsd:double"&gt;15.3271158227329&lt;/D&gt;&lt;D xsi:type="xsd:double"&gt;14.927285916368&lt;/D&gt;&lt;D xsi:type="xsd:double"&gt;15.564919726547&lt;/D&gt;&lt;D xsi:type="xsd:double"&gt;14.9808490187898&lt;/D&gt;&lt;D xsi:type="xsd:double"&gt;15.5897173357398&lt;/D&gt;&lt;D xsi:type="xsd:double"&gt;15.6167609850563&lt;/D&gt;&lt;D xsi:type="xsd:double"&gt;15.1847408396588&lt;/D&gt;&lt;D xsi:type="xsd:double"&gt;14.4148796462855&lt;/D&gt;&lt;D xsi:type="xsd:double"&gt;14.142536810626&lt;/D&gt;&lt;D xsi:type="xsd:double"&gt;13.8695968703289&lt;/D&gt;&lt;D xsi:type="xsd:double"&gt;14.4141464541547&lt;/D&gt;&lt;D xsi:type="xsd:double"&gt;15.0520380778578&lt;/D&gt;&lt;D xsi:type="xsd:double"&gt;15.2162406649418&lt;/D&gt;&lt;D xsi:type="xsd:double"&gt;15.3265918464317&lt;/D&gt;&lt;D xsi:type="xsd:double"&gt;15.1672134907424&lt;/D&gt;&lt;D xsi:type="xsd:double"&gt;15.9141492288457&lt;/D&gt;&lt;D xsi:type="xsd:double"&gt;16.129652036632&lt;/D&gt;&lt;D xsi:type="xsd:double"&gt;15.9855893025495&lt;/D&gt;&lt;D xsi:type="xsd:double"&gt;16.5538849823196&lt;/D&gt;&lt;D xsi:type="xsd:double"&gt;16.5629984487899&lt;/D&gt;&lt;D xsi:type="xsd:double"&gt;17.077291750115&lt;/D&gt;&lt;D xsi:type="xsd:double"&gt;17.2003385655731&lt;/D&gt;&lt;D xsi:type="xsd:double"&gt;17.7651493187279&lt;/D&gt;&lt;D xsi:type="xsd:double"&gt;18.2951000082654&lt;/D&gt;&lt;D xsi:type="xsd:double"&gt;14.3139277873065&lt;/D&gt;&lt;D xsi:type="xsd:double"&gt;16.3630766103157&lt;/D&gt;&lt;D xsi:type="xsd:double"&gt;16.9762912821713&lt;/D&gt;&lt;D xsi:type="xsd:double"&gt;18.895941818929&lt;/D&gt;&lt;D xsi:type="xsd:double"&gt;18.88623022013&lt;/D&gt;&lt;D xsi:type="xsd:double"&gt;19.645024713894&lt;/D&gt;&lt;D xsi:type="xsd:double"&gt;18.5863351021652&lt;/D&gt;&lt;D xsi:type="xsd:double"&gt;18.8876035277517&lt;/D&gt;&lt;D xsi:type="xsd:double"&gt;19.0276964392018&lt;/D&gt;&lt;D xsi:type="xsd:double"&gt;19.2863450826627&lt;/D&gt;&lt;D xsi:type="xsd:double"&gt;19.2890662022587&lt;/D&gt;&lt;D xsi:type="xsd:double"&gt;19.0516314575525&lt;/D&gt;&lt;D xsi:type="xsd:double"&gt;18.058742089099&lt;/D&gt;&lt;D xsi:type="xsd:double"&gt;18.0999691075076&lt;/D&gt;&lt;D xsi:type="xsd:double"&gt;17.7291999383558&lt;/D&gt;&lt;D xsi:type="xsd:double"&gt;18.1746956254779&lt;/D&gt;&lt;D xsi:type="xsd:double"&gt;17.0743657012154&lt;/D&gt;&lt;D xsi:type="xsd:double"&gt;17.3014483183187&lt;/D&gt;&lt;D xsi:type="xsd:double"&gt;17.0688107137838&lt;/D&gt;&lt;D xsi:type="xsd:double"&gt;17.227110306505&lt;/D&gt;&lt;D xsi:type="xsd:double"&gt;17.5305935160992&lt;/D&gt;&lt;D xsi:type="xsd:double"&gt;17.2102294762991&lt;/D&gt;&lt;D xsi:type="xsd:double"&gt;17.4562645368735&lt;/D&gt;&lt;D xsi:type="xsd:double"&gt;16.0205619195595&lt;/D&gt;&lt;D xsi:type="xsd:double"&gt;15.5929520732693&lt;/D&gt;&lt;D xsi:type="xsd:double"&gt;15.6660050718392&lt;/D&gt;&lt;D xsi:type="xsd:double"&gt;14.1023480797516&lt;/D&gt;&lt;D xsi:type="xsd:double"&gt;12.8705844931812&lt;/D&gt;&lt;D xsi:type="xsd:double"&gt;12.8411457152246&lt;/D&gt;&lt;D xsi:type="xsd:double"&gt;14.1165804759574&lt;/D&gt;&lt;D xsi:type="xsd:double"&gt;13.414293967139&lt;/D&gt;&lt;D xsi:type="xsd:double"&gt;12.991404230077&lt;/D&gt;&lt;D xsi:type="xsd:double"&gt;14.2900494390518&lt;/D&gt;&lt;D xsi:type="xsd:double"&gt;14.4728164917777&lt;/D&gt;&lt;D xsi:type="xsd:double"&gt;14.5858706406704&lt;/D&gt;&lt;D xsi:type="xsd:double"&gt;14.9222581165772&lt;/D&gt;&lt;D xsi:type="xsd:double"&gt;13.904172433206&lt;/D&gt;&lt;D xsi:type="xsd:double"&gt;14.7295083666579&lt;/D&gt;&lt;D xsi:type="xsd:double"&gt;14.5721761784515&lt;/D&gt;&lt;D xsi:type="xsd:double"&gt;14.8135837268913&lt;/D&gt;&lt;D xsi:type="xsd:double"&gt;15.3985550165621&lt;/D&gt;&lt;D xsi:type="xsd:double"&gt;15.2477735973643&lt;/D&gt;&lt;D xsi:type="xsd:double"&gt;15.27329282727&lt;/D&gt;&lt;D xsi:type="xsd:double"&gt;14.698931050412&lt;/D&gt;&lt;D xsi:type="xsd:double"&gt;14.9222755353436&lt;/D&gt;&lt;D xsi:type="xsd:double"&gt;15.8506957990049&lt;/D&gt;&lt;D xsi:type="xsd:double"&gt;16.1770275845882&lt;/D&gt;&lt;D xsi:type="xsd:double"&gt;16.1975237342975&lt;/D&gt;&lt;D xsi:type="xsd:double"&gt;16.6193384530605&lt;/D&gt;&lt;/FQL&gt;&lt;FQL&gt;&lt;Q&gt;QQQ^P_PRICE(0)/P_PRICE_LOW_PR(0,,,USD,,,"PRICE","INTRA","52W")-1&lt;/Q&gt;&lt;R&gt;1&lt;/R&gt;&lt;C&gt;1&lt;/C&gt;&lt;D xsi:type="xsd:double"&gt;0.49754477&lt;/D&gt;&lt;/FQL&gt;&lt;FQL&gt;&lt;Q&gt;EWN^SIZE(FG_CONSTITUENTS)&lt;/Q&gt;&lt;R&gt;1&lt;/R&gt;&lt;C&gt;1&lt;/C&gt;&lt;D xsi:type="xsd:long"&gt;54&lt;/D&gt;&lt;/FQL&gt;&lt;FQL&gt;&lt;Q&gt;TRYSE10Y-FDS^PCTCHG(FG_YIELD(0,,,,"YTM"),FG_YIELD(-1AM,,,,"YTM"))&lt;/Q&gt;&lt;R&gt;1&lt;/R&gt;&lt;C&gt;1&lt;/C&gt;&lt;D xsi:type="xsd:double"&gt;-1.985937&lt;/D&gt;&lt;/FQL&gt;&lt;FQL&gt;&lt;Q&gt;QQQ^P_PRICE(0)/P_PRICE_HIGH_PR(0,,,USD,,,"PRICE","INTRA","52W")&lt;/Q&gt;&lt;R&gt;1&lt;/R&gt;&lt;C&gt;1&lt;/C&gt;&lt;D xsi:type="xsd:double"&gt;0.9788249&lt;/D&gt;&lt;/FQL&gt;&lt;FQL&gt;&lt;Q&gt;VWO^FG_TOTAL_RETURNC(0,-1AM)&lt;/Q&gt;&lt;R&gt;1&lt;/R&gt;&lt;C&gt;1&lt;/C&gt;&lt;D xsi:type="xsd:double"&gt;2.7559042&lt;/D&gt;&lt;/FQL&gt;&lt;FQL&gt;&lt;Q&gt;ENZL^FMA_ROE(NTMA,-20AY,NOW,FY,"PORTAGG","MEANR")&lt;/Q&gt;&lt;R&gt;20&lt;/R&gt;&lt;C&gt;1&lt;/C&gt;&lt;D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xsi:type="xsd:double"&gt;6.44400181202056&lt;/D&gt;&lt;D xsi:type="xsd:double"&gt;7.7689690341127&lt;/D&gt;&lt;D xsi:type="xsd:double"&gt;6.57910753918315&lt;/D&gt;&lt;/FQL&gt;&lt;FQL&gt;&lt;Q&gt;CC_JP^FG_COMPANY_NAME&lt;/Q&gt;&lt;R&gt;1&lt;/R&gt;&lt;C&gt;1&lt;/C&gt;&lt;D xsi:type="xsd:string"&gt;Japan&lt;/D&gt;&lt;/FQL&gt;&lt;FQL&gt;&lt;Q&gt;USDNZD^FG_PRICE_CHANGE(0,-6AM)&lt;/Q&gt;&lt;R&gt;1&lt;/R&gt;&lt;C&gt;1&lt;/C&gt;&lt;D xsi:type="xsd:double"&gt;-3.48202&lt;/D&gt;&lt;/FQL&gt;&lt;FQL&gt;&lt;Q&gt;PASP-FDS^MAX(FG_PRICE(0,-5AY))&lt;/Q&gt;&lt;R&gt;1&lt;/R&gt;&lt;C&gt;1&lt;/C&gt;&lt;D xsi:type="xsd:double"&gt;3158.12&lt;/D&gt;&lt;/FQL&gt;&lt;FQL&gt;&lt;Q&gt;EWD^FG_ROE(0)&lt;/Q&gt;&lt;R&gt;1&lt;/R&gt;&lt;C&gt;1&lt;/C&gt;&lt;D xsi:type="xsd:double"&gt;15.6494498509853&lt;/D&gt;&lt;/FQL&gt;&lt;FQL&gt;&lt;Q&gt;USDNZD^FG_PRICE(0)&lt;/Q&gt;&lt;R&gt;1&lt;/R&gt;&lt;C&gt;1&lt;/C&gt;&lt;D xsi:type="xsd:double"&gt;1.6309223&lt;/D&gt;&lt;/FQL&gt;&lt;FQL&gt;&lt;Q&gt;EWL^FG_TOTAL_RETURNC(-10AY,0,AM)&lt;/Q&gt;&lt;R&gt;121&lt;/R&gt;&lt;C&gt;1&lt;/C&gt;&lt;D xsi:type="xsd:double"&gt;-0.83407164&lt;/D&gt;&lt;D xsi:type="xsd:double"&gt;2.7035117&lt;/D&gt;&lt;D xsi:type="xsd:double"&gt;2.7200937&lt;/D&gt;&lt;D xsi:type="xsd:double"&gt;-0.56948066&lt;/D&gt;&lt;D xsi:type="xsd:double"&gt;0.14498234&lt;/D&gt;&lt;D xsi:type="xsd:double"&gt;-2.9106438&lt;/D&gt;&lt;D xsi:type="xsd:double"&gt;0.33142567&lt;/D&gt;&lt;D xsi:type="xsd:double"&gt;-8.108103&lt;/D&gt;&lt;D xsi:type="xsd:double"&gt;6.601298&lt;/D&gt;&lt;D xsi:type="xsd:double"&gt;-1.7473936&lt;/D&gt;&lt;D xsi:type="xsd:double"&gt;-0.9984374&lt;/D&gt;&lt;D xsi:type="xsd:double"&gt;3.4352303&lt;/D&gt;&lt;D xsi:type="xsd:double"&gt;-1.0664165&lt;/D&gt;&lt;D xsi:type="xsd:double"&gt;6.1287284&lt;/D&gt;&lt;D xsi:type="xsd:double"&gt;4.8462033&lt;/D&gt;&lt;D xsi:type="xsd:double"&gt;-3.4597278&lt;/D&gt;&lt;D xsi:type="xsd:double"&gt;0.97938776&lt;/D&gt;&lt;D xsi:type="xsd:double"&gt;-2.5290787&lt;/D&gt;&lt;D xsi:type="xsd:double"&gt;-6.203395&lt;/D&gt;&lt;D xsi:type="xsd:double"&gt;1.017487&lt;/D&gt;&lt;D xsi:type="xsd:double"&gt;-3.6512434&lt;/D&gt;&lt;D xsi:type="xsd:double"&gt;-0.45737028&lt;/D&gt;&lt;D xsi:type="xsd:double"&gt;-3.0193627&lt;/D&gt;&lt;D xsi:type="xsd:double"&gt;-4.6700478&lt;/D&gt;&lt;D xsi:type="xsd:double"&gt;5.076325&lt;/D&gt;&lt;D xsi:type="xsd:double"&gt;3.2094598&lt;/D&gt;&lt;D xsi:type="xsd:double"&gt;-1.931262&lt;/D&gt;&lt;D xsi:type="xsd:double"&gt;-1.8024027&lt;/D&gt;&lt;D xsi:type="xsd:double"&gt;4.511595&lt;/D&gt;&lt;D xsi:type="xsd:double"&gt;2.6043415&lt;/D&gt;&lt;D xsi:type="xsd:double"&gt;-1.3342023&lt;/D&gt;&lt;D xsi:type="xsd:double"&gt;-1.9788921&lt;/D&gt;&lt;D xsi:type="xsd:double"&gt;-2.792734&lt;/D&gt;&lt;D xsi:type="xsd:double"&gt;0.48459768&lt;/D&gt;&lt;D xsi:type="xsd:double"&gt;5.1982164&lt;/D&gt;&lt;D xsi:type="xsd:double"&gt;0.58977604&lt;/D&gt;&lt;D xsi:type="xsd:double"&gt;2.7361512&lt;/D&gt;&lt;D xsi:type="xsd:double"&gt;1.3950467&lt;/D&gt;&lt;D xsi:type="xsd:double"&gt;6.941843&lt;/D&gt;&lt;D xsi:type="xsd:double"&gt;0.78947544&lt;/D&gt;&lt;D xsi:type="xsd:double"&gt;2.375126&lt;/D&gt;&lt;D xsi:type="xsd:double"&gt;-1.0130227&lt;/D&gt;&lt;D xsi:type="xsd:double"&gt;1.637423&lt;/D&gt;&lt;D xsi:type="xsd:double"&gt;1.8699646&lt;/D&gt;&lt;D xsi:type="xsd:double"&gt;-3.3888757&lt;/D&gt;&lt;D xsi:type="xsd:double"&gt;2.3384929&lt;/D&gt;&lt;D xsi:type="xsd:double"&gt;4.3416142&lt;/D&gt;&lt;D xsi:type="xsd:double"&gt;-2.2447288&lt;/D&gt;&lt;D xsi:type="xsd:double"&gt;-2.1562576&lt;/D&gt;&lt;D xsi:type="xsd:double"&gt;-1.4882684&lt;/D&gt;&lt;D xsi:type="xsd:double"&gt;0.29053688&lt;/D&gt;&lt;D xsi:type="xsd:double"&gt;-2.1147132&lt;/D&gt;&lt;D xsi:type="xsd:double"&gt;0.9907961&lt;/D&gt;&lt;D xsi:type="xsd:double"&gt;2.4631977&lt;/D&gt;&lt;D xsi:type="xsd:double"&gt;2.0815015&lt;/D&gt;&lt;D xsi:type="xsd:double"&gt;-6.6628337&lt;/D&gt;&lt;D xsi:type="xsd:double"&gt;0.5230665&lt;/D&gt;&lt;D xsi:type="xsd:double"&gt;-2.203846&lt;/D&gt;&lt;D xsi:type="xsd:double"&gt;2.4100184&lt;/D&gt;&lt;D xsi:type="xsd:double"&gt;2.4144173&lt;/D&gt;&lt;D xsi:type="xsd:double"&gt;4.6851754&lt;/D&gt;&lt;D xsi:type="xsd:double"&gt;1.5108347&lt;/D&gt;&lt;D xsi:type="xsd:double"&gt;-0.67397356&lt;/D&gt;&lt;D xsi:type="xsd:double"&gt;5.428338&lt;/D&gt;&lt;D xsi:type="xsd:double"&gt;1.1518359&lt;/D&gt;&lt;D xsi:type="xsd:double"&gt;-0.89285374&lt;/D&gt;&lt;D xsi:type="xsd:double"&gt;3.2760024&lt;/D&gt;&lt;D xsi:type="xsd:double"&gt;-1.5331805&lt;/D&gt;&lt;D xsi:type="xsd:double"&gt;3.5704732&lt;/D&gt;&lt;D xsi:type="xsd:double"&gt;2.2291303&lt;/D&gt;&lt;D xsi:type="xsd:double"&gt;3.4989834&lt;/D&gt;&lt;D xsi:type="xsd:double"&gt;2.6457667&lt;/D&gt;&lt;D xsi:type="xsd:double"&gt;-17.92363&lt;/D&gt;&lt;D xsi:type="xsd:double"&gt;6.746149&lt;/D&gt;&lt;D xsi:type="xsd:double"&gt;-0.62652826&lt;/D&gt;&lt;D xsi:type="xsd:double"&gt;5.8388233&lt;/D&gt;&lt;D xsi:type="xsd:double"&gt;6.5217733&lt;/D&gt;&lt;D xsi:type="xsd:double"&gt;2.5450945&lt;/D&gt;&lt;D xsi:type="xsd:double"&gt;2.2409678&lt;/D&gt;&lt;D xsi:type="xsd:double"&gt;-1.6026378&lt;/D&gt;&lt;D xsi:type="xsd:double"&gt;2.5628686&lt;/D&gt;&lt;D xsi:type="xsd:double"&gt;1.1504412&lt;/D&gt;&lt;D xsi:type="xsd:double"&gt;4.7355056&lt;/D&gt;&lt;D xsi:type="xsd:double"&gt;0.044107437&lt;/D&gt;&lt;D xsi:type="xsd:double"&gt;-3.1084657&lt;/D&gt;&lt;D xsi:type="xsd:double"&gt;4.345846&lt;/D&gt;&lt;D xsi:type="xsd:double"&gt;2.9001236&lt;/D&gt;&lt;D xsi:type="xsd:double"&gt;7.3262453&lt;/D&gt;&lt;D xsi:type="xsd:double"&gt;-0.46249628&lt;/D&gt;&lt;D xsi:type="xsd:double"&gt;3.111112&lt;/D&gt;&lt;D xsi:type="xsd:double"&gt;-3.0368328&lt;/D&gt;&lt;D xsi:type="xsd:double"&gt;-2.1620572&lt;/D&gt;&lt;D xsi:type="xsd:double"&gt;5.472946&lt;/D&gt;&lt;D xsi:type="xsd:double"&gt;-1.292342&lt;/D&gt;&lt;D xsi:type="xsd:double"&gt;1.3291001&lt;/D&gt;&lt;D xsi:type="xsd:double"&gt;-5.6186438&lt;/D&gt;&lt;D xsi:type="xsd:double"&gt;-4.9159884&lt;/D&gt;&lt;D xsi:type="xsd:double"&gt;7.438922&lt;/D&gt;&lt;D xsi:type="xsd:double"&gt;-11.025381&lt;/D&gt;&lt;D xsi:type="xsd:double"&gt;-8.485103&lt;/D&gt;&lt;D xsi:type="xsd:double"&gt;3.2315493&lt;/D&gt;&lt;D xsi:type="xsd:double"&gt;8.454525&lt;/D&gt;&lt;D xsi:type="xsd:double"&gt;-7.3181868&lt;/D&gt;&lt;D xsi:type="xsd:double"&gt;-9.146637&lt;/D&gt;&lt;D xsi:type="xsd:double"&gt;14.655876&lt;/D&gt;&lt;D xsi:type="xsd:double"&gt;2.3540497&lt;/D&gt;&lt;D xsi:type="xsd:double"&gt;2.5758982&lt;/D&gt;&lt;D xsi:type="xsd:double"&gt;0.8744478&lt;/D&gt;&lt;D xsi:type="xsd:double"&gt;-3.089583&lt;/D&gt;&lt;D xsi:type="xsd:double"&gt;8.325696&lt;/D&gt;&lt;D xsi:type="xsd:double"&gt;2.3713708&lt;/D&gt;&lt;D xsi:type="xsd:double"&gt;-2.9360294&lt;/D&gt;&lt;D xsi:type="xsd:double"&gt;3.1154633&lt;/D&gt;&lt;D xsi:type="xsd:double"&gt;-1.922679&lt;/D&gt;&lt;D xsi:type="xsd:double"&gt;-2.175784&lt;/D&gt;&lt;D xsi:type="xsd:double"&gt;-2.9949367&lt;/D&gt;&lt;D xsi:type="xsd:double"&gt;0.43133497&lt;/D&gt;&lt;D xsi:type="xsd:double"&gt;6.645572&lt;/D&gt;&lt;D xsi:type="xsd:double"&gt;1.4836788&lt;/D&gt;&lt;D xsi:type="xsd:double"&gt;-3.3208013&lt;/D&gt;&lt;D xsi:type="xsd:double"&gt;4.4286013&lt;/D&gt;&lt;/FQL&gt;&lt;FQL&gt;&lt;Q&gt;ENZL^FMA_PE(NTMA,-10AY,0,AM,"PORTAGG","MEANR")&lt;/Q&gt;&lt;R&gt;121&lt;/R&gt;&lt;C&gt;1&lt;/C&gt;&lt;D xsi:type="xsd:double"&gt;17.2771506406914&lt;/D&gt;&lt;D xsi:type="xsd:double"&gt;17.0578243710188&lt;/D&gt;&lt;D xsi:type="xsd:double"&gt;17.5495166246959&lt;/D&gt;&lt;D xsi:type="xsd:double"&gt;17.2542515033684&lt;/D&gt;&lt;D xsi:type="xsd:double"&gt;17.1897645343198&lt;/D&gt;&lt;D xsi:type="xsd:double"&gt;16.9809123234634&lt;/D&gt;&lt;D xsi:type="xsd:double"&gt;17.1659816472428&lt;/D&gt;&lt;D xsi:type="xsd:double"&gt;16.7443382065427&lt;/D&gt;&lt;D xsi:type="xsd:double"&gt;18.0887700874356&lt;/D&gt;&lt;D xsi:type="xsd:double"&gt;18.0288878184422&lt;/D&gt;&lt;D xsi:type="xsd:double"&gt;18.6591989606893&lt;/D&gt;&lt;D xsi:type="xsd:double"&gt;19.1156929591577&lt;/D&gt;&lt;D xsi:type="xsd:double"&gt;19.1081788411142&lt;/D&gt;&lt;D xsi:type="xsd:double"&gt;18.5140518300675&lt;/D&gt;&lt;D xsi:type="xsd:double"&gt;18.0861748718748&lt;/D&gt;&lt;D xsi:type="xsd:double"&gt;18.2507511166599&lt;/D&gt;&lt;D xsi:type="xsd:double"&gt;17.8701366071252&lt;/D&gt;&lt;D xsi:type="xsd:double"&gt;17.6332274882663&lt;/D&gt;&lt;D xsi:type="xsd:double"&gt;17.4721717056966&lt;/D&gt;&lt;D xsi:type="xsd:double"&gt;17.2984276113907&lt;/D&gt;&lt;D xsi:type="xsd:double"&gt;17.8848303692998&lt;/D&gt;&lt;D xsi:type="xsd:double"&gt;17.8421356451617&lt;/D&gt;&lt;D xsi:type="xsd:double"&gt;17.6071601154008&lt;/D&gt;&lt;D xsi:type="xsd:double"&gt;16.7380149465432&lt;/D&gt;&lt;D xsi:type="xsd:double"&gt;18.29991380659&lt;/D&gt;&lt;D xsi:type="xsd:double"&gt;18.815813793073&lt;/D&gt;&lt;D xsi:type="xsd:double"&gt;19.2524747814934&lt;/D&gt;&lt;D xsi:type="xsd:double"&gt;18.8741534195072&lt;/D&gt;&lt;D xsi:type="xsd:double"&gt;19.5281882906886&lt;/D&gt;&lt;D xsi:type="xsd:double"&gt;20.3174118407016&lt;/D&gt;&lt;D xsi:type="xsd:double"&gt;20.1246328464127&lt;/D&gt;&lt;D xsi:type="xsd:double"&gt;19.5570707349898&lt;/D&gt;&lt;D xsi:type="xsd:double"&gt;18.3996924568525&lt;/D&gt;&lt;D xsi:type="xsd:double"&gt;18.2471189316438&lt;/D&gt;&lt;D xsi:type="xsd:double"&gt;18.8846328835275&lt;/D&gt;&lt;D xsi:type="xsd:double"&gt;19.2720582202467&lt;/D&gt;&lt;D xsi:type="xsd:double"&gt;18.8995550847643&lt;/D&gt;&lt;D xsi:type="xsd:double"&gt;19.1344785577349&lt;/D&gt;&lt;D xsi:type="xsd:double"&gt;19.6615443414974&lt;/D&gt;&lt;D xsi:type="xsd:double"&gt;19.4168830185662&lt;/D&gt;&lt;D xsi:type="xsd:double"&gt;19.5406576428484&lt;/D&gt;&lt;D xsi:type="xsd:double"&gt;19.9398188407045&lt;/D&gt;&lt;D xsi:type="xsd:double"&gt;19.7793181578072&lt;/D&gt;&lt;D xsi:type="xsd:double"&gt;20.051564504366&lt;/D&gt;&lt;D xsi:type="xsd:double"&gt;20.1209587723258&lt;/D&gt;&lt;D xsi:type="xsd:double"&gt;20.7681250161014&lt;/D&gt;&lt;D xsi:type="xsd:double"&gt;20.4087889258835&lt;/D&gt;&lt;D xsi:type="xsd:double"&gt;20.1028483065628&lt;/D&gt;&lt;D xsi:type="xsd:double"&gt;20.5464109489985&lt;/D&gt;&lt;D xsi:type="xsd:double"&gt;20.1302282453117&lt;/D&gt;&lt;D xsi:type="xsd:double"&gt;20.6186969026984&lt;/D&gt;&lt;D xsi:type="xsd:double"&gt;21.3065570207491&lt;/D&gt;&lt;D xsi:type="xsd:double"&gt;21.2359422087086&lt;/D&gt;&lt;D xsi:type="xsd:double"&gt;21.1936909929493&lt;/D&gt;&lt;D xsi:type="xsd:double"&gt;21.6314765735712&lt;/D&gt;&lt;D xsi:type="xsd:double"&gt;20.3722606214412&lt;/D&gt;&lt;D xsi:type="xsd:double"&gt;20.1574388397656&lt;/D&gt;&lt;D xsi:type="xsd:double"&gt;19.8036342433682&lt;/D&gt;&lt;D xsi:type="xsd:double"&gt;20.3589693285626&lt;/D&gt;&lt;D xsi:type="xsd:double"&gt;21.1628779060702&lt;/D&gt;&lt;D xsi:type="xsd:double"&gt;21.5439257807526&lt;/D&gt;&lt;D xsi:type="xsd:double"&gt;22.1372194626763&lt;/D&gt;&lt;D xsi:type="xsd:double"&gt;22.8041702512816&lt;/D&gt;&lt;D xsi:type="xsd:double"&gt;23.0706827575816&lt;/D&gt;&lt;D xsi:type="xsd:double"&gt;24.3683662054496&lt;/D&gt;&lt;D xsi:type="xsd:double"&gt;24.5436261597245&lt;/D&gt;&lt;D xsi:type="xsd:double"&gt;25.9268190306857&lt;/D&gt;&lt;D xsi:type="xsd:double"&gt;25.5129498376478&lt;/D&gt;&lt;D xsi:type="xsd:double"&gt;24.6181007318182&lt;/D&gt;&lt;D xsi:type="xsd:double"&gt;25.5440818691918&lt;/D&gt;&lt;D xsi:type="xsd:double"&gt;25.9037065039439&lt;/D&gt;&lt;D xsi:type="xsd:double"&gt;26.9623565295904&lt;/D&gt;&lt;D xsi:type="xsd:double"&gt;22.45583983255&lt;/D&gt;&lt;D xsi:type="xsd:double"&gt;27.0623721578459&lt;/D&gt;&lt;D xsi:type="xsd:double"&gt;30.5552939285861&lt;/D&gt;&lt;D xsi:type="xsd:double"&gt;29.9774854899252&lt;/D&gt;&lt;D xsi:type="xsd:double"&gt;31.8804916510857&lt;/D&gt;&lt;D xsi:type="xsd:double"&gt;31.6471773114076&lt;/D&gt;&lt;D xsi:type="xsd:double"&gt;32.1661150580068&lt;/D&gt;&lt;D xsi:type="xsd:double"&gt;33.4318975852584&lt;/D&gt;&lt;D xsi:type="xsd:double"&gt;33.1558479683695&lt;/D&gt;&lt;D xsi:type="xsd:double"&gt;32.861040444458&lt;/D&gt;&lt;D xsi:type="xsd:double"&gt;33.9282147043774&lt;/D&gt;&lt;D xsi:type="xsd:double"&gt;31.9788038876862&lt;/D&gt;&lt;D xsi:type="xsd:double"&gt;32.2025418379061&lt;/D&gt;&lt;D xsi:type="xsd:double"&gt;32.7433870777201&lt;/D&gt;&lt;D xsi:type="xsd:double"&gt;32.2486049547337&lt;/D&gt;&lt;D xsi:type="xsd:double"&gt;33.0560905414566&lt;/D&gt;&lt;D xsi:type="xsd:double"&gt;34.3692545242105&lt;/D&gt;&lt;D xsi:type="xsd:double"&gt;33.8784792315548&lt;/D&gt;&lt;D xsi:type="xsd:double"&gt;34.6736414346931&lt;/D&gt;&lt;D xsi:type="xsd:double"&gt;33.7676799734132&lt;/D&gt;&lt;D xsi:type="xsd:double"&gt;33.0293827518222&lt;/D&gt;&lt;D xsi:type="xsd:double"&gt;32.6327481656717&lt;/D&gt;&lt;D xsi:type="xsd:double"&gt;31.1557608205407&lt;/D&gt;&lt;D xsi:type="xsd:double"&gt;29.6341057553077&lt;/D&gt;&lt;D xsi:type="xsd:double"&gt;28.5348033035737&lt;/D&gt;&lt;D xsi:type="xsd:double"&gt;28.2102626122451&lt;/D&gt;&lt;D xsi:type="xsd:double"&gt;27.4362369243776&lt;/D&gt;&lt;D xsi:type="xsd:double"&gt;24.9980422121657&lt;/D&gt;&lt;D xsi:type="xsd:double"&gt;26.2357546129255&lt;/D&gt;&lt;D xsi:type="xsd:double"&gt;26.4242316214815&lt;/D&gt;&lt;D xsi:type="xsd:double"&gt;26.615449323845&lt;/D&gt;&lt;D xsi:type="xsd:double"&gt;23.3419069846685&lt;/D&gt;&lt;D xsi:type="xsd:double"&gt;23.291448409474&lt;/D&gt;&lt;D xsi:type="xsd:double"&gt;23.2161986108943&lt;/D&gt;&lt;D xsi:type="xsd:double"&gt;23.5995512556761&lt;/D&gt;&lt;D xsi:type="xsd:double"&gt;24.2256493290096&lt;/D&gt;&lt;D xsi:type="xsd:double"&gt;22.6170859690298&lt;/D&gt;&lt;D xsi:type="xsd:double"&gt;23.2708380093378&lt;/D&gt;&lt;D xsi:type="xsd:double"&gt;23.5461593745766&lt;/D&gt;&lt;D xsi:type="xsd:double"&gt;20.6215407331322&lt;/D&gt;&lt;D xsi:type="xsd:double"&gt;21.1091961032779&lt;/D&gt;&lt;D xsi:type="xsd:double"&gt;20.4337229649018&lt;/D&gt;&lt;D xsi:type="xsd:double"&gt;20.2106385363227&lt;/D&gt;&lt;D xsi:type="xsd:double"&gt;19.8057004111295&lt;/D&gt;&lt;D xsi:type="xsd:double"&gt;20.2841089658044&lt;/D&gt;&lt;D xsi:type="xsd:double"&gt;22.7044413593217&lt;/D&gt;&lt;D xsi:type="xsd:double"&gt;22.9520355266951&lt;/D&gt;&lt;D xsi:type="xsd:double"&gt;21.8466122238257&lt;/D&gt;&lt;D xsi:type="xsd:double"&gt;24.6397578647683&lt;/D&gt;&lt;/FQL&gt;&lt;FQL&gt;&lt;Q&gt;EWN^FG_PRICE(0)&lt;/Q&gt;&lt;R&gt;1&lt;/R&gt;&lt;C&gt;1&lt;/C&gt;&lt;D xsi:type="xsd:double"&gt;48.44&lt;/D&gt;&lt;/FQL&gt;&lt;FQL&gt;&lt;Q&gt;ENZL^FMA_COS_DOWN("EPS","1M",+1,0,,,"PORTAGG","MEANR")&lt;/Q&gt;&lt;R&gt;1&lt;/R&gt;&lt;C&gt;1&lt;/C&gt;&lt;D xsi:type="xsd:double"&gt;8&lt;/D&gt;&lt;/FQL&gt;&lt;FQL&gt;&lt;Q&gt;TRYNL10Y-FDS^PCTCHG(FG_YIELD(0,,,,"YTM"),FG_YIELD(-3AM,,,,"YTM"))&lt;/Q&gt;&lt;R&gt;1&lt;/R&gt;&lt;C&gt;1&lt;/C&gt;&lt;D xsi:type="xsd:double"&gt;10.647011&lt;/D&gt;&lt;/FQL&gt;&lt;FQL&gt;&lt;Q&gt;EWG^FMA_EVAL_EBIT(LTMA,NOW,NOW,M,"PORTAGG","MEANR")&lt;/Q&gt;&lt;R&gt;1&lt;/R&gt;&lt;C&gt;1&lt;/C&gt;&lt;D xsi:type="xsd:double"&gt;13.3351542055219&lt;/D&gt;&lt;/FQL&gt;&lt;FQL&gt;&lt;Q&gt;DUMMY^ECON_DATE(45337,,, 'MM/YYYY')&lt;/Q&gt;&lt;R&gt;1&lt;/R&gt;&lt;C&gt;1&lt;/C&gt;&lt;D xsi:type="xsd:string"&gt;02/2024&lt;/D&gt;&lt;/FQL&gt;&lt;FQL&gt;&lt;Q&gt;EWA^JULIAN(FMA_ROE(NTMA,-20AY,NOW,FY,"PORTAGG","MEANR").DATES)&lt;/Q&gt;&lt;R&gt;20&lt;/R&gt;&lt;C&gt;1&lt;/C&gt;&lt;D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xsi:type="xsd:long"&gt;45289&lt;/D&gt;&lt;/FQL&gt;&lt;FQL&gt;&lt;Q&gt;CC_DE^FG_COMPANY_NAME&lt;/Q&gt;&lt;R&gt;1&lt;/R&gt;&lt;C&gt;1&lt;/C&gt;&lt;D xsi:type="xsd:string"&gt;Germany&lt;/D&gt;&lt;/FQL&gt;&lt;FQL&gt;&lt;Q&gt;USDJPY^STD(FG_PRICE_CHANGE(0,-1AY,AM))&lt;/Q&gt;&lt;R&gt;1&lt;/R&gt;&lt;C&gt;1&lt;/C&gt;&lt;D xsi:type="xsd:double"&gt;2.79545156528907&lt;/D&gt;&lt;/FQL&gt;&lt;FQL&gt;&lt;Q&gt;VWO^P_PRICE(0)/P_PRICE_LOW_PR(0,,,USD,,,"PRICE","INTRA","52W")-1&lt;/Q&gt;&lt;R&gt;1&lt;/R&gt;&lt;C&gt;1&lt;/C&gt;&lt;D xsi:type="xsd:double"&gt;0.11493778&lt;/D&gt;&lt;/FQL&gt;&lt;FQL&gt;&lt;Q&gt;EWQ^FMA_PCT_ABOVE_MAVG(200,0,,,,"PORTAGG")&lt;/Q&gt;&lt;R&gt;1&lt;/R&gt;&lt;C&gt;1&lt;/C&gt;&lt;D xsi:type="xsd:double"&gt;74.6031746031746&lt;/D&gt;&lt;/FQL&gt;&lt;FQL&gt;&lt;Q&gt;ENZL^FMA_PCT_ABOVE_MAVG(200,0,,,,"PORTAGG")&lt;/Q&gt;&lt;R&gt;1&lt;/R&gt;&lt;C&gt;1&lt;/C&gt;&lt;D xsi:type="xsd:double"&gt;50&lt;/D&gt;&lt;/FQL&gt;&lt;FQL&gt;&lt;Q&gt;EWN^FMA_COS_UP("EPS","1M",+1,0,,,"PORTAGG","MEANR")&lt;/Q&gt;&lt;R&gt;1&lt;/R&gt;&lt;C&gt;1&lt;/C&gt;&lt;D xsi:type="xsd:double"&gt;18&lt;/D&gt;&lt;/FQL&gt;&lt;FQL&gt;&lt;Q&gt;EWN^FG_ROE(0)&lt;/Q&gt;&lt;R&gt;1&lt;/R&gt;&lt;C&gt;1&lt;/C&gt;&lt;D xsi:type="xsd:double"&gt;9.2902870773493&lt;/D&gt;&lt;/FQL&gt;&lt;FQL&gt;&lt;Q&gt;TRYNZ10Y-FDS^FG_YIELD(0,,,,"YTM")&lt;/Q&gt;&lt;R&gt;1&lt;/R&gt;&lt;C&gt;1&lt;/C&gt;&lt;D xsi:type="xsd:double"&gt;4.6511&lt;/D&gt;&lt;/FQL&gt;&lt;FQL&gt;&lt;Q&gt;VWO^JULIAN(FMA_DIV_YLD(NTMA,NOW,NOW,M,"PORTAGG","MEANR").DATES)&lt;/Q&gt;&lt;R&gt;1&lt;/R&gt;&lt;C&gt;1&lt;/C&gt;&lt;D xsi:type="xsd:long"&gt;45322&lt;/D&gt;&lt;/FQL&gt;&lt;FQL&gt;&lt;Q&gt;EWN^FMA_PE(NTMA,0,,,"PORTAGG","MEANR")&lt;/Q&gt;&lt;R&gt;1&lt;/R&gt;&lt;C&gt;1&lt;/C&gt;&lt;D xsi:type="xsd:double"&gt;16.1467016282411&lt;/D&gt;&lt;/FQL&gt;&lt;FQL&gt;&lt;Q&gt;QQQ^FMA_PE(NTMA,0,,,"PORTAGG","MEANR")&lt;/Q&gt;&lt;R&gt;1&lt;/R&gt;&lt;C&gt;1&lt;/C&gt;&lt;D xsi:type="xsd:double"&gt;25.9922661972384&lt;/D&gt;&lt;/FQL&gt;&lt;FQL&gt;&lt;Q&gt;EWG^FMA_EVAL_EBITDA(NTMA,0,,,"PORTAGG","MEANR")&lt;/Q&gt;&lt;R&gt;1&lt;/R&gt;&lt;C&gt;1&lt;/C&gt;&lt;D xsi:type="xsd:double"&gt;8.43712740757478&lt;/D&gt;&lt;/FQL&gt;&lt;FQL&gt;&lt;Q&gt;ENZL^FMA_EVAL_EBIT(LTMA,NOW,NOW,M,"PORTAGG","MEANR")&lt;/Q&gt;&lt;R&gt;1&lt;/R&gt;&lt;C&gt;1&lt;/C&gt;&lt;D xsi:type="xsd:double"&gt;20.3404028987719&lt;/D&gt;&lt;/FQL&gt;&lt;FQL&gt;&lt;Q&gt;EWQ^FMA_EPS(NTMA,-20AY,0,CY,,"PORTAGG","MEANR")&lt;/Q&gt;&lt;R&gt;20&lt;/R&gt;&lt;C&gt;1&lt;/C&gt;&lt;D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xsi:type="xsd:double"&gt;1.85113612011142&lt;/D&gt;&lt;D xsi:type="xsd:double"&gt;2.46081798651847&lt;/D&gt;&lt;D xsi:type="xsd:double"&gt;2.80265475944353&lt;/D&gt;&lt;D xsi:type="xsd:double"&gt;2.92072613428035&lt;/D&gt;&lt;/FQL&gt;&lt;FQL&gt;&lt;Q&gt;EWQ^FG_PRICE_MAVG(0,,,,200)&lt;/Q&gt;&lt;R&gt;1&lt;/R&gt;&lt;C&gt;1&lt;/C&gt;&lt;D xsi:type="xsd:double"&gt;37.688725&lt;/D&gt;&lt;/FQL&gt;&lt;FQL&gt;&lt;Q&gt;FXI^PERCENT_CHANGE(FMA_EPS(+1,0,,,,"PORTAGG","MEAN"),FMA_EPS(+1,-3AM,,,,"PORTAGG","MEAN"))&lt;/Q&gt;&lt;R&gt;1&lt;/R&gt;&lt;C&gt;1&lt;/C&gt;&lt;D xsi:type="xsd:double"&gt;-8.21059556049903&lt;/D&gt;&lt;/FQL&gt;&lt;FQL&gt;&lt;Q&gt;USDJPY^FG_PRICE_CHANGE(0,-6AM)&lt;/Q&gt;&lt;R&gt;1&lt;/R&gt;&lt;C&gt;1&lt;/C&gt;&lt;D xsi:type="xsd:double"&gt;0.71703196&lt;/D&gt;&lt;/FQL&gt;&lt;FQL&gt;&lt;Q&gt;VGK^P_PRICE(0)/P_PRICE_LOW_PR(0,,,USD,,,"PRICE","INTRA","52W")-1&lt;/Q&gt;&lt;R&gt;1&lt;/R&gt;&lt;C&gt;1&lt;/C&gt;&lt;D xsi:type="xsd:double"&gt;0.21903384&lt;/D&gt;&lt;/FQL&gt;&lt;FQL&gt;&lt;Q&gt;PASP-FDS^FG_PRICE_CHANGE(0,-6AM)&lt;/Q&gt;&lt;R&gt;1&lt;/R&gt;&lt;C&gt;1&lt;/C&gt;&lt;D xsi:type="xsd:double"&gt;-14.3307086614173&lt;/D&gt;&lt;/FQL&gt;&lt;FQL&gt;&lt;Q&gt;QQQ^FG_TOTAL_RETURNC(0,-1AM)&lt;/Q&gt;&lt;R&gt;1&lt;/R&gt;&lt;C&gt;1&lt;/C&gt;&lt;D xsi:type="xsd:double"&gt;1.3665199&lt;/D&gt;&lt;/FQL&gt;&lt;FQL&gt;&lt;Q&gt;TRYZA10Y-FDS^JULIAN(FG_YIELD(-10AY,0,CY,,"YTM").DATES)&lt;/Q&gt;&lt;R&gt;10&lt;/R&gt;&lt;C&gt;1&lt;/C&gt;&lt;D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xsi:type="xsd:long"&gt;45289&lt;/D&gt;&lt;/FQL&gt;&lt;FQL&gt;&lt;Q&gt;USDEUR^FG_PRICE_CHANGE(0,-3AM)&lt;/Q&gt;&lt;R&gt;1&lt;/R&gt;&lt;C&gt;1&lt;/C&gt;&lt;D xsi:type="xsd:double"&gt;0.978148&lt;/D&gt;&lt;/FQL&gt;&lt;FQL&gt;&lt;Q&gt;EWC^FG_TOTAL_RETURNC(-10AY,0,AM)&lt;/Q&gt;&lt;R&gt;121&lt;/R&gt;&lt;C&gt;1&lt;/C&gt;&lt;D xsi:type="xsd:double"&gt;0.24087429&lt;/D&gt;&lt;D xsi:type="xsd:double"&gt;1.7850995&lt;/D&gt;&lt;D xsi:type="xsd:double"&gt;3.575039&lt;/D&gt;&lt;D xsi:type="xsd:double"&gt;2.637577&lt;/D&gt;&lt;D xsi:type="xsd:double"&gt;2.9790998&lt;/D&gt;&lt;D xsi:type="xsd:double"&gt;-0.5897045&lt;/D&gt;&lt;D xsi:type="xsd:double"&gt;0.4683137&lt;/D&gt;&lt;D xsi:type="xsd:double"&gt;-11.280304&lt;/D&gt;&lt;D xsi:type="xsd:double"&gt;6.199646&lt;/D&gt;&lt;D xsi:type="xsd:double"&gt;-9.630609&lt;/D&gt;&lt;D xsi:type="xsd:double"&gt;-0.4320979&lt;/D&gt;&lt;D xsi:type="xsd:double"&gt;4.347825&lt;/D&gt;&lt;D xsi:type="xsd:double"&gt;-5.413109&lt;/D&gt;&lt;D xsi:type="xsd:double"&gt;7.1912646&lt;/D&gt;&lt;D xsi:type="xsd:double"&gt;1.3347387&lt;/D&gt;&lt;D xsi:type="xsd:double"&gt;-4.4714093&lt;/D&gt;&lt;D xsi:type="xsd:double"&gt;-3.9834678&lt;/D&gt;&lt;D xsi:type="xsd:double"&gt;-4.1888833&lt;/D&gt;&lt;D xsi:type="xsd:double"&gt;-7.5914145&lt;/D&gt;&lt;D xsi:type="xsd:double"&gt;6.580651&lt;/D&gt;&lt;D xsi:type="xsd:double"&gt;-8.87813&lt;/D&gt;&lt;D xsi:type="xsd:double"&gt;-5.0930023&lt;/D&gt;&lt;D xsi:type="xsd:double"&gt;-7.1553764&lt;/D&gt;&lt;D xsi:type="xsd:double"&gt;3.973508&lt;/D&gt;&lt;D xsi:type="xsd:double"&gt;14.012742&lt;/D&gt;&lt;D xsi:type="xsd:double"&gt;4.5122385&lt;/D&gt;&lt;D xsi:type="xsd:double"&gt;-0.7401347&lt;/D&gt;&lt;D xsi:type="xsd:double"&gt;1.8226981&lt;/D&gt;&lt;D xsi:type="xsd:double"&gt;4.197657&lt;/D&gt;&lt;D xsi:type="xsd:double"&gt;1.2593508&lt;/D&gt;&lt;D xsi:type="xsd:double"&gt;-3.8087845&lt;/D&gt;&lt;D xsi:type="xsd:double"&gt;2.707076&lt;/D&gt;&lt;D xsi:type="xsd:double"&gt;-2.0849764&lt;/D&gt;&lt;D xsi:type="xsd:double"&gt;6.789875&lt;/D&gt;&lt;D xsi:type="xsd:double"&gt;3.0890703&lt;/D&gt;&lt;D xsi:type="xsd:double"&gt;2.3590207&lt;/D&gt;&lt;D xsi:type="xsd:double"&gt;-5.2214622&lt;/D&gt;&lt;D xsi:type="xsd:double"&gt;1.4057755&lt;/D&gt;&lt;D xsi:type="xsd:double"&gt;-2.173096&lt;/D&gt;&lt;D xsi:type="xsd:double"&gt;1.1872768&lt;/D&gt;&lt;D xsi:type="xsd:double"&gt;5.137074&lt;/D&gt;&lt;D xsi:type="xsd:double"&gt;-0.907439&lt;/D&gt;&lt;D xsi:type="xsd:double"&gt;4.7619104&lt;/D&gt;&lt;D xsi:type="xsd:double"&gt;2.3076892&lt;/D&gt;&lt;D xsi:type="xsd:double"&gt;-0.85440874&lt;/D&gt;&lt;D xsi:type="xsd:double"&gt;0.62047243&lt;/D&gt;&lt;D xsi:type="xsd:double"&gt;4.4728637&lt;/D&gt;&lt;D xsi:type="xsd:double"&gt;-6.276989&lt;/D&gt;&lt;D xsi:type="xsd:double"&gt;-1.2756884&lt;/D&gt;&lt;D xsi:type="xsd:double"&gt;0.32304525&lt;/D&gt;&lt;D xsi:type="xsd:double"&gt;4.400718&lt;/D&gt;&lt;D xsi:type="xsd:double"&gt;-0.71967244&lt;/D&gt;&lt;D xsi:type="xsd:double"&gt;1.1418939&lt;/D&gt;&lt;D xsi:type="xsd:double"&gt;-0.30959845&lt;/D&gt;&lt;D xsi:type="xsd:double"&gt;-2.2084177&lt;/D&gt;&lt;D xsi:type="xsd:double"&gt;-3.7755787&lt;/D&gt;&lt;D xsi:type="xsd:double"&gt;-2.6035964&lt;/D&gt;&lt;D xsi:type="xsd:double"&gt;-4.4804153&lt;/D&gt;&lt;D xsi:type="xsd:double"&gt;3.4778118&lt;/D&gt;&lt;D xsi:type="xsd:double"&gt;4.7637463&lt;/D&gt;&lt;D xsi:type="xsd:double"&gt;2.5138617&lt;/D&gt;&lt;D xsi:type="xsd:double"&gt;2.740717&lt;/D&gt;&lt;D xsi:type="xsd:double"&gt;-2.2112966&lt;/D&gt;&lt;D xsi:type="xsd:double"&gt;0.5743027&lt;/D&gt;&lt;D xsi:type="xsd:double"&gt;4.4018745&lt;/D&gt;&lt;D xsi:type="xsd:double"&gt;-5.41566&lt;/D&gt;&lt;D xsi:type="xsd:double"&gt;5.178702&lt;/D&gt;&lt;D xsi:type="xsd:double"&gt;-1.3176203&lt;/D&gt;&lt;D xsi:type="xsd:double"&gt;3.8299322&lt;/D&gt;&lt;D xsi:type="xsd:double"&gt;0.43994188&lt;/D&gt;&lt;D xsi:type="xsd:double"&gt;3.0761123&lt;/D&gt;&lt;D xsi:type="xsd:double"&gt;1.3911843&lt;/D&gt;&lt;D xsi:type="xsd:double"&gt;-26.49461&lt;/D&gt;&lt;D xsi:type="xsd:double"&gt;4.0888906&lt;/D&gt;&lt;D xsi:type="xsd:double"&gt;0.98206997&lt;/D&gt;&lt;D xsi:type="xsd:double"&gt;8.583509&lt;/D&gt;&lt;D xsi:type="xsd:double"&gt;4.3105125&lt;/D&gt;&lt;D xsi:type="xsd:double"&gt;6.5610886&lt;/D&gt;&lt;D xsi:type="xsd:double"&gt;-0.42462945&lt;/D&gt;&lt;D xsi:type="xsd:double"&gt;0.746274&lt;/D&gt;&lt;D xsi:type="xsd:double"&gt;1.5520334&lt;/D&gt;&lt;D xsi:type="xsd:double"&gt;8.285332&lt;/D&gt;&lt;D xsi:type="xsd:double"&gt;4.4819713&lt;/D&gt;&lt;D xsi:type="xsd:double"&gt;2.2070289&lt;/D&gt;&lt;D xsi:type="xsd:double"&gt;4.866171&lt;/D&gt;&lt;D xsi:type="xsd:double"&gt;1.7401457&lt;/D&gt;&lt;D xsi:type="xsd:double"&gt;5.017102&lt;/D&gt;&lt;D xsi:type="xsd:double"&gt;3.7563562&lt;/D&gt;&lt;D xsi:type="xsd:double"&gt;-2.81654&lt;/D&gt;&lt;D xsi:type="xsd:double"&gt;2.139759&lt;/D&gt;&lt;D xsi:type="xsd:double"&gt;-1.6971588&lt;/D&gt;&lt;D xsi:type="xsd:double"&gt;4.4240594&lt;/D&gt;&lt;D xsi:type="xsd:double"&gt;3.3324718&lt;/D&gt;&lt;D xsi:type="xsd:double"&gt;-6.9610834&lt;/D&gt;&lt;D xsi:type="xsd:double"&gt;6.5051675&lt;/D&gt;&lt;D xsi:type="xsd:double"&gt;-1.5844703&lt;/D&gt;&lt;D xsi:type="xsd:double"&gt;-1.5320718&lt;/D&gt;&lt;D xsi:type="xsd:double"&gt;4.641354&lt;/D&gt;&lt;D xsi:type="xsd:double"&gt;-9.526205&lt;/D&gt;&lt;D xsi:type="xsd:double"&gt;-2.958852&lt;/D&gt;&lt;D xsi:type="xsd:double"&gt;-7.316375&lt;/D&gt;&lt;D xsi:type="xsd:double"&gt;13.073325&lt;/D&gt;&lt;D xsi:type="xsd:double"&gt;-4.966897&lt;/D&gt;&lt;D xsi:type="xsd:double"&gt;-11.527294&lt;/D&gt;&lt;D xsi:type="xsd:double"&gt;13.455856&lt;/D&gt;&lt;D xsi:type="xsd:double"&gt;-1.5070438&lt;/D&gt;&lt;D xsi:type="xsd:double"&gt;3.7246704&lt;/D&gt;&lt;D xsi:type="xsd:double"&gt;2.470541&lt;/D&gt;&lt;D xsi:type="xsd:double"&gt;-7.345104&lt;/D&gt;&lt;D xsi:type="xsd:double"&gt;7.2617292&lt;/D&gt;&lt;D xsi:type="xsd:double"&gt;-1.83357&lt;/D&gt;&lt;D xsi:type="xsd:double"&gt;-0.1478672&lt;/D&gt;&lt;D xsi:type="xsd:double"&gt;2.4418592&lt;/D&gt;&lt;D xsi:type="xsd:double"&gt;-1.3904691&lt;/D&gt;&lt;D xsi:type="xsd:double"&gt;1.410079&lt;/D&gt;&lt;D xsi:type="xsd:double"&gt;-5.8456364&lt;/D&gt;&lt;D xsi:type="xsd:double"&gt;3.0741453&lt;/D&gt;&lt;D xsi:type="xsd:double"&gt;6.081867&lt;/D&gt;&lt;D xsi:type="xsd:double"&gt;1.4463425&lt;/D&gt;&lt;D xsi:type="xsd:double"&gt;-1.0740936&lt;/D&gt;&lt;D xsi:type="xsd:double"&gt;5.150342&lt;/D&gt;&lt;/FQL&gt;&lt;FQL&gt;&lt;Q&gt;EWD^FMA_PE(LTMA,-10AY,0,AM,"PORTAGG","MEANR")&lt;/Q&gt;&lt;R&gt;121&lt;/R&gt;&lt;C&gt;1&lt;/C&gt;&lt;D xsi:type="xsd:double"&gt;15.184770376008&lt;/D&gt;&lt;D xsi:type="xsd:double"&gt;15.3270679134267&lt;/D&gt;&lt;D xsi:type="xsd:double"&gt;15.5938172217</t>
        </r>
      </text>
    </comment>
    <comment ref="A15" authorId="0" shapeId="0" xr:uid="{4B3A745E-D621-437C-91F3-A622A859E653}">
      <text>
        <r>
          <rPr>
            <b/>
            <sz val="9"/>
            <color indexed="81"/>
            <rFont val="Tahoma"/>
            <charset val="1"/>
          </rPr>
          <t>093&lt;/D&gt;&lt;D xsi:type="xsd:double"&gt;15.7408257747952&lt;/D&gt;&lt;D xsi:type="xsd:double"&gt;15.8500540947329&lt;/D&gt;&lt;D xsi:type="xsd:double"&gt;15.8477256845054&lt;/D&gt;&lt;D xsi:type="xsd:double"&gt;15.5418822235997&lt;/D&gt;&lt;D xsi:type="xsd:double"&gt;15.3008214094365&lt;/D&gt;&lt;D xsi:type="xsd:double"&gt;16.6901899666018&lt;/D&gt;&lt;D xsi:type="xsd:double"&gt;17.0741162601201&lt;/D&gt;&lt;D xsi:type="xsd:double"&gt;17.1885682126309&lt;/D&gt;&lt;D xsi:type="xsd:double"&gt;19.8055481475861&lt;/D&gt;&lt;D xsi:type="xsd:double"&gt;20.1337936825262&lt;/D&gt;&lt;D xsi:type="xsd:double"&gt;19.8771004050674&lt;/D&gt;&lt;D xsi:type="xsd:double"&gt;19.1424123377776&lt;/D&gt;&lt;D xsi:type="xsd:double"&gt;18.9313195328227&lt;/D&gt;&lt;D xsi:type="xsd:double"&gt;18.7302697058978&lt;/D&gt;&lt;D xsi:type="xsd:double"&gt;18.3313752336614&lt;/D&gt;&lt;D xsi:type="xsd:double"&gt;17.0749537690165&lt;/D&gt;&lt;D xsi:type="xsd:double"&gt;16.6600430347944&lt;/D&gt;&lt;D xsi:type="xsd:double"&gt;16.5792087847535&lt;/D&gt;&lt;D xsi:type="xsd:double"&gt;15.6852777176944&lt;/D&gt;&lt;D xsi:type="xsd:double"&gt;14.7486130325016&lt;/D&gt;&lt;D xsi:type="xsd:double"&gt;14.3012901753472&lt;/D&gt;&lt;D xsi:type="xsd:double"&gt;15.6878204834836&lt;/D&gt;&lt;D xsi:type="xsd:double"&gt;15.6501085109363&lt;/D&gt;&lt;D xsi:type="xsd:double"&gt;15.4022254971138&lt;/D&gt;&lt;D xsi:type="xsd:double"&gt;15.122061062098&lt;/D&gt;&lt;D xsi:type="xsd:double"&gt;15.5984268404877&lt;/D&gt;&lt;D xsi:type="xsd:double"&gt;16.0431876198889&lt;/D&gt;&lt;D xsi:type="xsd:double"&gt;15.9989304750274&lt;/D&gt;&lt;D xsi:type="xsd:double"&gt;16.991402583098&lt;/D&gt;&lt;D xsi:type="xsd:double"&gt;16.9777697819266&lt;/D&gt;&lt;D xsi:type="xsd:double"&gt;18.1762506677358&lt;/D&gt;&lt;D xsi:type="xsd:double"&gt;18.2725905117401&lt;/D&gt;&lt;D xsi:type="xsd:double"&gt;17.4841888543193&lt;/D&gt;&lt;D xsi:type="xsd:double"&gt;17.5101531499013&lt;/D&gt;&lt;D xsi:type="xsd:double"&gt;17.5466888677906&lt;/D&gt;&lt;D xsi:type="xsd:double"&gt;17.669918177105&lt;/D&gt;&lt;D xsi:type="xsd:double"&gt;17.5946777674321&lt;/D&gt;&lt;D xsi:type="xsd:double"&gt;17.754015336923&lt;/D&gt;&lt;D xsi:type="xsd:double"&gt;16.9436802152357&lt;/D&gt;&lt;D xsi:type="xsd:double"&gt;17.1731807684907&lt;/D&gt;&lt;D xsi:type="xsd:double"&gt;17.5798358947982&lt;/D&gt;&lt;D xsi:type="xsd:double"&gt;18.1391727293527&lt;/D&gt;&lt;D xsi:type="xsd:double"&gt;18.0490875261591&lt;/D&gt;&lt;D xsi:type="xsd:double"&gt;18.241840340287&lt;/D&gt;&lt;D xsi:type="xsd:double"&gt;16.4878497248746&lt;/D&gt;&lt;D xsi:type="xsd:double"&gt;16.9663006184837&lt;/D&gt;&lt;D xsi:type="xsd:double"&gt;16.7353320689096&lt;/D&gt;&lt;D xsi:type="xsd:double"&gt;16.8170074726522&lt;/D&gt;&lt;D xsi:type="xsd:double"&gt;16.5877369666011&lt;/D&gt;&lt;D xsi:type="xsd:double"&gt;16.4665786105997&lt;/D&gt;&lt;D xsi:type="xsd:double"&gt;16.5186007446071&lt;/D&gt;&lt;D xsi:type="xsd:double"&gt;16.6834820016777&lt;/D&gt;&lt;D xsi:type="xsd:double"&gt;15.6954705019185&lt;/D&gt;&lt;D xsi:type="xsd:double"&gt;14.923714595186&lt;/D&gt;&lt;D xsi:type="xsd:double"&gt;14.3820283354306&lt;/D&gt;&lt;D xsi:type="xsd:double"&gt;14.8461732454417&lt;/D&gt;&lt;D xsi:type="xsd:double"&gt;18.2069536813843&lt;/D&gt;&lt;D xsi:type="xsd:double"&gt;18.0450667388008&lt;/D&gt;&lt;D xsi:type="xsd:double"&gt;17.8625118791501&lt;/D&gt;&lt;D xsi:type="xsd:double"&gt;17.479564269383&lt;/D&gt;&lt;D xsi:type="xsd:double"&gt;17.1315859495263&lt;/D&gt;&lt;D xsi:type="xsd:double"&gt;17.0875739330612&lt;/D&gt;&lt;D xsi:type="xsd:double"&gt;15.6926817549755&lt;/D&gt;&lt;D xsi:type="xsd:double"&gt;16.4187051448082&lt;/D&gt;&lt;D xsi:type="xsd:double"&gt;16.4037268116997&lt;/D&gt;&lt;D xsi:type="xsd:double"&gt;16.2101899975735&lt;/D&gt;&lt;D xsi:type="xsd:double"&gt;16.0953354665065&lt;/D&gt;&lt;D xsi:type="xsd:double"&gt;16.6519472309674&lt;/D&gt;&lt;D xsi:type="xsd:double"&gt;14.4317921552556&lt;/D&gt;&lt;D xsi:type="xsd:double"&gt;12.4281110622048&lt;/D&gt;&lt;D xsi:type="xsd:double"&gt;13.8433541517536&lt;/D&gt;&lt;D xsi:type="xsd:double"&gt;14.6297706902507&lt;/D&gt;&lt;D xsi:type="xsd:double"&gt;16.0991061048418&lt;/D&gt;&lt;D xsi:type="xsd:double"&gt;18.0665564363698&lt;/D&gt;&lt;D xsi:type="xsd:double"&gt;17.5427076289668&lt;/D&gt;&lt;D xsi:type="xsd:double"&gt;17.7139628746122&lt;/D&gt;&lt;D xsi:type="xsd:double"&gt;18.3380824889459&lt;/D&gt;&lt;D xsi:type="xsd:double"&gt;16.3484045930929&lt;/D&gt;&lt;D xsi:type="xsd:double"&gt;17.1291734459399&lt;/D&gt;&lt;D xsi:type="xsd:double"&gt;18.7265898812346&lt;/D&gt;&lt;D xsi:type="xsd:double"&gt;17.5824013459771&lt;/D&gt;&lt;D xsi:type="xsd:double"&gt;17.9164240982048&lt;/D&gt;&lt;D xsi:type="xsd:double"&gt;18.3396249787764&lt;/D&gt;&lt;D xsi:type="xsd:double"&gt;17.5609113318618&lt;/D&gt;&lt;D xsi:type="xsd:double"&gt;17.9334929306702&lt;/D&gt;&lt;D xsi:type="xsd:double"&gt;17.852195405455&lt;/D&gt;&lt;D xsi:type="xsd:double"&gt;17.6588162579362&lt;/D&gt;&lt;D xsi:type="xsd:double"&gt;17.4873735441904&lt;/D&gt;&lt;D xsi:type="xsd:double"&gt;17.3121253797576&lt;/D&gt;&lt;D xsi:type="xsd:double"&gt;16.9247204735053&lt;/D&gt;&lt;D xsi:type="xsd:double"&gt;16.5759959104827&lt;/D&gt;&lt;D xsi:type="xsd:double"&gt;15.8856713893919&lt;/D&gt;&lt;D xsi:type="xsd:double"&gt;12.0886617396929&lt;/D&gt;&lt;D xsi:type="xsd:double"&gt;11.8010664905612&lt;/D&gt;&lt;D xsi:type="xsd:double"&gt;12.2045469376066&lt;/D&gt;&lt;D xsi:type="xsd:double"&gt;13.2915983149638&lt;/D&gt;&lt;D xsi:type="xsd:double"&gt;13.2594679542858&lt;/D&gt;&lt;D xsi:type="xsd:double"&gt;13.7001123430631&lt;/D&gt;&lt;D xsi:type="xsd:double"&gt;14.8741791137374&lt;/D&gt;&lt;D xsi:type="xsd:double"&gt;14.7462326132331&lt;/D&gt;&lt;D xsi:type="xsd:double"&gt;14.6486944584191&lt;/D&gt;&lt;D xsi:type="xsd:double"&gt;14.2526157484651&lt;/D&gt;&lt;D xsi:type="xsd:double"&gt;15.9965076699937&lt;/D&gt;&lt;D xsi:type="xsd:double"&gt;16.6364782745661&lt;/D&gt;&lt;D xsi:type="xsd:double"&gt;26.1562918405241&lt;/D&gt;&lt;D xsi:type="xsd:double"&gt;25.069257277038&lt;/D&gt;&lt;D xsi:type="xsd:double"&gt;23.9416970177601&lt;/D&gt;&lt;D xsi:type="xsd:double"&gt;22.7751047976557&lt;/D&gt;&lt;D xsi:type="xsd:double"&gt;21.6195878706381&lt;/D&gt;&lt;D xsi:type="xsd:double"&gt;20.2655012547523&lt;/D&gt;&lt;D xsi:type="xsd:double"&gt;18.8285948881586&lt;/D&gt;&lt;D xsi:type="xsd:double"&gt;17.4497543666718&lt;/D&gt;&lt;D xsi:type="xsd:double"&gt;16.3391711650688&lt;/D&gt;&lt;D xsi:type="xsd:double"&gt;15.8093495707822&lt;/D&gt;&lt;D xsi:type="xsd:double"&gt;18.0549547787146&lt;/D&gt;&lt;D xsi:type="xsd:double"&gt;17.419041050662&lt;/D&gt;&lt;D xsi:type="xsd:double"&gt;15.2922923209656&lt;/D&gt;&lt;D xsi:type="xsd:double"&gt;16.0389060439799&lt;/D&gt;&lt;/FQL&gt;&lt;FQL&gt;&lt;Q&gt;EWQ^FG_PRICE_MAVG(0,,,,30)&lt;/Q&gt;&lt;R&gt;1&lt;/R&gt;&lt;C&gt;1&lt;/C&gt;&lt;D xsi:type="xsd:double"&gt;39.808334&lt;/D&gt;&lt;/FQL&gt;&lt;FQL&gt;&lt;Q&gt;EWI^P_PRICE(0)/P_PRICE_LOW_PR(0,,,USD,,,"PRICE","INTRA","52W")-1&lt;/Q&gt;&lt;R&gt;1&lt;/R&gt;&lt;C&gt;1&lt;/C&gt;&lt;D xsi:type="xsd:double"&gt;0.32842267&lt;/D&gt;&lt;/FQL&gt;&lt;FQL&gt;&lt;Q&gt;EWU^P_PRICE(0)/P_PRICE_LOW_PR(0,,,USD,,,"PRICE","INTRA","52W")-1&lt;/Q&gt;&lt;R&gt;1&lt;/R&gt;&lt;C&gt;1&lt;/C&gt;&lt;D xsi:type="xsd:double"&gt;0.116666675&lt;/D&gt;&lt;/FQL&gt;&lt;FQL&gt;&lt;Q&gt;SPY^FMA_COS_DOWN("EPS","1M",+1,0,,,"PORTAGG","MEANR")&lt;/Q&gt;&lt;R&gt;1&lt;/R&gt;&lt;C&gt;1&lt;/C&gt;&lt;D xsi:type="xsd:double"&gt;184&lt;/D&gt;&lt;/FQL&gt;&lt;FQL&gt;&lt;Q&gt;TRYNL10Y-FDS^FG_YIELD(0,,,,"YTM")&lt;/Q&gt;&lt;R&gt;1&lt;/R&gt;&lt;C&gt;1&lt;/C&gt;&lt;D xsi:type="xsd:double"&gt;2.702&lt;/D&gt;&lt;/FQL&gt;&lt;FQL&gt;&lt;Q&gt;CC_IT^IMF_IFS_RCPI_Q(0)&lt;/Q&gt;&lt;R&gt;1&lt;/R&gt;&lt;C&gt;1&lt;/C&gt;&lt;D xsi:type="xsd:double"&gt;0.98369783&lt;/D&gt;&lt;/FQL&gt;&lt;FQL&gt;&lt;Q&gt;EWN^JULIAN(FMA_DIV_YLD(NTMA,NOW,NOW,M,"PORTAGG","MEANR").DATES)&lt;/Q&gt;&lt;R&gt;1&lt;/R&gt;&lt;C&gt;1&lt;/C&gt;&lt;D xsi:type="xsd:long"&gt;45351&lt;/D&gt;&lt;/FQL&gt;&lt;FQL&gt;&lt;Q&gt;QQQ^JULIAN(FMA_DIV_YLD(NTMA,NOW,NOW,M,"PORTAGG","MEANR").DATES)&lt;/Q&gt;&lt;R&gt;1&lt;/R&gt;&lt;C&gt;1&lt;/C&gt;&lt;D xsi:type="xsd:long"&gt;45351&lt;/D&gt;&lt;/FQL&gt;&lt;FQL&gt;&lt;Q&gt;EWG^FMA_DIV_YLD(NTMA,NOW,NOW,M,"PORTAGG","MEANR")&lt;/Q&gt;&lt;R&gt;1&lt;/R&gt;&lt;C&gt;1&lt;/C&gt;&lt;D xsi:type="xsd:double"&gt;3.4334059471687&lt;/D&gt;&lt;/FQL&gt;&lt;FQL&gt;&lt;Q&gt;ENZL^FG_FCF_YIELD_NTM(0)&lt;/Q&gt;&lt;R&gt;1&lt;/R&gt;&lt;C&gt;1&lt;/C&gt;&lt;D xsi:type="xsd:double"&gt;0.072978049970611&lt;/D&gt;&lt;/FQL&gt;&lt;FQL&gt;&lt;Q&gt;TRYQA10Y-FDS^FG_YIELD(-10AY,0,Y,,"YTM")&lt;/Q&gt;&lt;R&gt;10&lt;/R&gt;&lt;C&gt;1&lt;/C&gt;&lt;D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xsi:type="xsd:string"&gt;@NA&lt;/D&gt;&lt;/FQL&gt;&lt;FQL&gt;&lt;Q&gt;CC_NZ^FG_COMPANY_NAME&lt;/Q&gt;&lt;R&gt;1&lt;/R&gt;&lt;C&gt;1&lt;/C&gt;&lt;D xsi:type="xsd:string"&gt;New Zealand&lt;/D&gt;&lt;/FQL&gt;&lt;FQL&gt;&lt;Q&gt;QQQ^FG_ROE(0)&lt;/Q&gt;&lt;R&gt;1&lt;/R&gt;&lt;C&gt;1&lt;/C&gt;&lt;D xsi:type="xsd:double"&gt;22.2581618730228&lt;/D&gt;&lt;/FQL&gt;&lt;FQL&gt;&lt;Q&gt;REFCHMPR-FDS^(SUBARRAY(NOT_NA(NO_REPEAT_F(FG_YIELD(NOW,-10AY,D))),0,1)-SUBARRAY(NOT_NA(NO_REPEAT_F(FG_YIELD(NOW,-10AY,D))),1,1))*100&lt;/Q&gt;&lt;R&gt;1&lt;/R&gt;&lt;C&gt;1&lt;/C&gt;&lt;D xsi:type="xsd:double"&gt;25&lt;/D&gt;&lt;/FQL&gt;&lt;FQL&gt;&lt;Q&gt;TRYFR10Y-FDS^PCTCHG(FG_YIELD(0,,,,"YTM"),FG_YIELD(-1AM,,,,"YTM"))&lt;/Q&gt;&lt;R&gt;1&lt;/R&gt;&lt;C&gt;1&lt;/C&gt;&lt;D xsi:type="xsd:double"&gt;0.28129032&lt;/D&gt;&lt;/FQL&gt;&lt;FQL&gt;&lt;Q&gt;VGK^FG_PE_NTM(0,,,90,0)&lt;/Q&gt;&lt;R&gt;1&lt;/R&gt;&lt;C&gt;1&lt;/C&gt;&lt;D xsi:type="xsd:double"&gt;12.9298765143591&lt;/D&gt;&lt;/FQL&gt;&lt;FQL&gt;&lt;Q&gt;EWU^FMA_EVAL_EBIT(LTMA,NOW,NOW,M,"PORTAGG","MEANR")&lt;/Q&gt;&lt;R&gt;1&lt;/R&gt;&lt;C&gt;1&lt;/C&gt;&lt;D xsi:type="xsd:double"&gt;10.4266754156135&lt;/D&gt;&lt;/FQL&gt;&lt;FQL&gt;&lt;Q&gt;PASP-FDS^FG_PRICE_CHANGE(0,-1AM)&lt;/Q&gt;&lt;R&gt;1&lt;/R&gt;&lt;C&gt;1&lt;/C&gt;&lt;D xsi:type="xsd:double"&gt;19.5604395604396&lt;/D&gt;&lt;/FQL&gt;&lt;FQL&gt;&lt;Q&gt;UUP^FG_TOTAL_RETURNC(0,-6AM)&lt;/Q&gt;&lt;R&gt;1&lt;/R&gt;&lt;C&gt;1&lt;/C&gt;&lt;D xsi:type="xsd:double"&gt;1.0002613&lt;/D&gt;&lt;/FQL&gt;&lt;FQL&gt;&lt;Q&gt;TRYFR10Y-FDS^FG_YIELD(0,,,,"YTM")&lt;/Q&gt;&lt;R&gt;1&lt;/R&gt;&lt;C&gt;1&lt;/C&gt;&lt;D xsi:type="xsd:double"&gt;2.852&lt;/D&gt;&lt;/FQL&gt;&lt;FQL&gt;&lt;Q&gt;EWI^FMA_EVAL_EBITDA(NTMA,0,,,"PORTAGG","MEANR")&lt;/Q&gt;&lt;R&gt;1&lt;/R&gt;&lt;C&gt;1&lt;/C&gt;&lt;D xsi:type="xsd:double"&gt;7.40901701174845&lt;/D&gt;&lt;/FQL&gt;&lt;FQL&gt;&lt;Q&gt;EWA^FG_PRICE_MAVG(0,,,,30)&lt;/Q&gt;&lt;R&gt;1&lt;/R&gt;&lt;C&gt;1&lt;/C&gt;&lt;D xsi:type="xsd:double"&gt;23.89&lt;/D&gt;&lt;/FQL&gt;&lt;FQL&gt;&lt;Q&gt;UUP^FG_TOTAL_RETURNC(0,-3AM)&lt;/Q&gt;&lt;R&gt;1&lt;/R&gt;&lt;C&gt;1&lt;/C&gt;&lt;D xsi:type="xsd:double"&gt;2.8874636&lt;/D&gt;&lt;/FQL&gt;&lt;FQL&gt;&lt;Q&gt;EWG^FMA_PE(NTMA,0,,,"PORTAGG","MEANR")&lt;/Q&gt;&lt;R&gt;1&lt;/R&gt;&lt;C&gt;1&lt;/C&gt;&lt;D xsi:type="xsd:double"&gt;12.1825679319545&lt;/D&gt;&lt;/FQL&gt;&lt;FQL&gt;&lt;Q&gt;CAGDPY@IT^EE_ACTUAL_ANNUAL(MED,0)&lt;/Q&gt;&lt;R&gt;1&lt;/R&gt;&lt;C&gt;1&lt;/C&gt;&lt;D xsi:type="xsd:double"&gt;0.154744313434199&lt;/D&gt;&lt;/FQL&gt;&lt;FQL&gt;&lt;Q&gt;EWI^P_PRICE(0)/P_PRICE_HIGH_PR(0,,,USD,,,"PRICE","INTRA","52W")&lt;/Q&gt;&lt;R&gt;1&lt;/R&gt;&lt;C&gt;1&lt;/C&gt;&lt;D xsi:type="xsd:double"&gt;0.989561&lt;/D&gt;&lt;/FQL&gt;&lt;FQL&gt;&lt;Q&gt;CC_NL^IMF_IFS_RCPI_Q(0)&lt;/Q&gt;&lt;R&gt;1&lt;/R&gt;&lt;C&gt;1&lt;/C&gt;&lt;D xsi:type="xsd:double"&gt;0.80520856&lt;/D&gt;&lt;/FQL&gt;&lt;FQL&gt;&lt;Q&gt;EWL^FMA_EPS(NTMA,-20AY,0,CY,,"PORTAGG","MEANR")&lt;/Q&gt;&lt;R&gt;20&lt;/R&gt;&lt;C&gt;1&lt;/C&gt;&lt;D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xsi:type="xsd:double"&gt;2.36864078670768&lt;/D&gt;&lt;D xsi:type="xsd:double"&gt;2.66234515884581&lt;/D&gt;&lt;D xsi:type="xsd:double"&gt;2.58388720632297&lt;/D&gt;&lt;D xsi:type="xsd:double"&gt;2.86433002646061&lt;/D&gt;&lt;/FQL&gt;&lt;FQL&gt;&lt;Q&gt;EWU^FMA_PE(LTM,0,,,"PORTAGG","MEANR")&lt;/Q&gt;&lt;R&gt;1&lt;/R&gt;&lt;C&gt;1&lt;/C&gt;&lt;D xsi:type="xsd:double"&gt;11.3529187081857&lt;/D&gt;&lt;/FQL&gt;&lt;FQL&gt;&lt;Q&gt;EWA^FG_PRICE(0)&lt;/Q&gt;&lt;R&gt;1&lt;/R&gt;&lt;C&gt;1&lt;/C&gt;&lt;D xsi:type="xsd:double"&gt;24.12&lt;/D&gt;&lt;/FQL&gt;&lt;FQL&gt;&lt;Q&gt;EWQ^FMA_EVAL_EBIT(LTMA,NOW,NOW,M,"PORTAGG","MEANR")&lt;/Q&gt;&lt;R&gt;1&lt;/R&gt;&lt;C&gt;1&lt;/C&gt;&lt;D xsi:type="xsd:double"&gt;13.2382485478405&lt;/D&gt;&lt;/FQL&gt;&lt;FQL&gt;&lt;Q&gt;ENZL^FMA_PE(NTMA,0,,,"PORTAGG","MEANR")&lt;/Q&gt;&lt;R&gt;1&lt;/R&gt;&lt;C&gt;1&lt;/C&gt;&lt;D xsi:type="xsd:double"&gt;24.6397578647683&lt;/D&gt;&lt;/FQL&gt;&lt;FQL&gt;&lt;Q&gt;EWI^FG_TOTAL_RETURNC(0,-6AM)&lt;/Q&gt;&lt;R&gt;1&lt;/R&gt;&lt;C&gt;1&lt;/C&gt;&lt;D xsi:type="xsd:double"&gt;18.170511&lt;/D&gt;&lt;/FQL&gt;&lt;FQL&gt;&lt;Q&gt;USDITL^STD(FG_PRICE_CHANGE(0,-1AY,AM))&lt;/Q&gt;&lt;R&gt;1&lt;/R&gt;&lt;C&gt;1&lt;/C&gt;&lt;D xsi:type="xsd:double"&gt;2.16792030179705&lt;/D&gt;&lt;/FQL&gt;&lt;FQL&gt;&lt;Q&gt;EWL^P_PRICE(0)/P_PRICE_LOW_PR(0,,,USD,,,"PRICE","INTRA","52W")-1&lt;/Q&gt;&lt;R&gt;1&lt;/R&gt;&lt;C&gt;1&lt;/C&gt;&lt;D xsi:type="xsd:double"&gt;0.16341758&lt;/D&gt;&lt;/FQL&gt;&lt;FQL&gt;&lt;Q&gt;EWU^SIZE(FG_CONSTITUENTS)&lt;/Q&gt;&lt;R&gt;1&lt;/R&gt;&lt;C&gt;1&lt;/C&gt;&lt;D xsi:type="xsd:long"&gt;85&lt;/D&gt;&lt;/FQL&gt;&lt;FQL&gt;&lt;Q&gt;EWQ^FG_PRICE(0)&lt;/Q&gt;&lt;R&gt;1&lt;/R&gt;&lt;C&gt;1&lt;/C&gt;&lt;D xsi:type="xsd:double"&gt;41.49&lt;/D&gt;&lt;/FQL&gt;&lt;FQL&gt;&lt;Q&gt;CC_SE^IMF_IFS_RCPI_Q(0)&lt;/Q&gt;&lt;R&gt;1&lt;/R&gt;&lt;C&gt;1&lt;/C&gt;&lt;D xsi:type="xsd:double"&gt;5.550837&lt;/D&gt;&lt;/FQL&gt;&lt;FQL&gt;&lt;Q&gt;PASP-FDS^FG_PRICE_MAVG(0,,,,30)&lt;/Q&gt;&lt;R&gt;1&lt;/R&gt;&lt;C&gt;1&lt;/C&gt;&lt;D xsi:type="xsd:double"&gt;973.4667&lt;/D&gt;&lt;/FQL&gt;&lt;FQL&gt;&lt;Q&gt;W-FDS^FG_PRICE_MAVG(0,,,,30)&lt;/Q&gt;&lt;R&gt;1&lt;/R&gt;&lt;C&gt;1&lt;/C&gt;&lt;D xsi:type="xsd:double"&gt;5.693&lt;/D&gt;&lt;/FQL&gt;&lt;FQL&gt;&lt;Q&gt;VGK^JULIAN(FMA_DIV_YLD(NTMA,NOW,NOW,M,"PORTAGG","MEANR").DATES)&lt;/Q&gt;&lt;R&gt;1&lt;/R&gt;&lt;C&gt;1&lt;/C&gt;&lt;D xsi:type="xsd:long"&gt;45322&lt;/D&gt;&lt;/FQL&gt;&lt;FQL&gt;&lt;Q&gt;QQQ^PERCENT_CHANGE(FMA_EPS(+1,0,,,,"PORTAGG","MEAN"),FMA_EPS(+1,-3AM,,,,"PORTAGG","MEAN"))&lt;/Q&gt;&lt;R&gt;1&lt;/R&gt;&lt;C&gt;1&lt;/C&gt;&lt;D xsi:type="xsd:double"&gt;0.109076020745593&lt;/D&gt;&lt;/FQL&gt;&lt;FQL&gt;&lt;Q&gt;REFJPTON-FDS^FG_YIELD(NOW,,,0)&lt;/Q&gt;&lt;R&gt;1&lt;/R&gt;&lt;C&gt;1&lt;/C&gt;&lt;D xsi:type="xsd:double"&gt;-0.1&lt;/D&gt;&lt;/FQL&gt;&lt;FQL&gt;&lt;Q&gt;EWQ^FMA_PE(LTMA,-10AY,0,AM,"PORTAGG","MEANR")&lt;/Q&gt;&lt;R&gt;121&lt;/R&gt;&lt;C&gt;1&lt;/C&gt;&lt;D xsi:type="xsd:double"&gt;15.872988237749&lt;/D&gt;&lt;D xsi:type="xsd:double"&gt;15.7980492929861&lt;/D&gt;&lt;D xsi:type="xsd:double"&gt;15.8154892752729&lt;/D&gt;&lt;D xsi:type="xsd:double"&gt;15.8668394492878&lt;/D&gt;&lt;D xsi:type="xsd:double"&gt;15.5077856297387&lt;/D&gt;&lt;D xsi:type="xsd:double"&gt;15.1415986341995&lt;/D&gt;&lt;D xsi:type="xsd:double"&gt;15.5301553522875&lt;/D&gt;&lt;D xsi:type="xsd:double"&gt;14.5622888544605&lt;/D&gt;&lt;D xsi:type="xsd:double"&gt;14.87478269779&lt;/D&gt;&lt;D xsi:type="xsd:double"&gt;14.6271358430067&lt;/D&gt;&lt;D xsi:type="xsd:double"&gt;14.8901336413186&lt;/D&gt;&lt;D xsi:type="xsd:double"&gt;16.7149799557503&lt;/D&gt;&lt;D xsi:type="xsd:double"&gt;17.5575236900491&lt;/D&gt;&lt;D xsi:type="xsd:double"&gt;17.7030690520192&lt;/D&gt;&lt;D xsi:type="xsd:double"&gt;17.4605430542407&lt;/D&gt;&lt;D xsi:type="xsd:double"&gt;17.2157728087021&lt;/D&gt;&lt;D xsi:type="xsd:double"&gt;17.2708838669874&lt;/D&gt;&lt;D xsi:type="xsd:double"&gt;16.8660987859848&lt;/D&gt;&lt;D xsi:type="xsd:double"&gt;15.7539753983224&lt;/D&gt;&lt;D xsi:type="xsd:double"&gt;15.8258375906453&lt;/D&gt;&lt;D xsi:type="xsd:double"&gt;16.1027094154616&lt;/D&gt;&lt;D xsi:type="xsd:double"&gt;15.028017448157&lt;/D&gt;&lt;D xsi:type="xsd:double"&gt;14.3303812717532&lt;/D&gt;&lt;D xsi:type="xsd:double"&gt;13.963219371119&lt;/D&gt;&lt;D xsi:type="xsd:double"&gt;15.2272816912789&lt;/D&gt;&lt;D xsi:type="xsd:double"&gt;15.2513868520915&lt;/D&gt;&lt;D xsi:type="xsd:double"&gt;15.061149734187&lt;/D&gt;&lt;D xsi:type="xsd:double"&gt;14.6797278459268&lt;/D&gt;&lt;D xsi:type="xsd:double"&gt;15.0211844379781&lt;/D&gt;&lt;D xsi:type="xsd:double"&gt;15.0967390108048&lt;/D&gt;&lt;D xsi:type="xsd:double"&gt;14.7622881925951&lt;/D&gt;&lt;D xsi:type="xsd:double"&gt;14.9304309377164&lt;/D&gt;&lt;D xsi:type="xsd:double"&gt;14.7976105002018&lt;/D&gt;&lt;D xsi:type="xsd:double"&gt;15.5029433051798&lt;/D&gt;&lt;D xsi:type="xsd:double"&gt;15.9757532534259&lt;/D&gt;&lt;D xsi:type="xsd:double"&gt;15.6162812929348&lt;/D&gt;&lt;D xsi:type="xsd:double"&gt;15.5919998588316&lt;/D&gt;&lt;D xsi:type="xsd:double"&gt;15.6146239154482&lt;/D&gt;&lt;D xsi:type="xsd:double"&gt;15.8646644684196&lt;/D&gt;&lt;D xsi:type="xsd:double"&gt;15.6860696350243&lt;/D&gt;&lt;D xsi:type="xsd:double"&gt;15.735855693338&lt;/D&gt;&lt;D xsi:type="xsd:double"&gt;15.5007560942905&lt;/D&gt;&lt;D xsi:type="xsd:double"&gt;15.7316387836843&lt;/D&gt;&lt;D xsi:type="xsd:double"&gt;16.0495563317293&lt;/D&gt;&lt;D xsi:type="xsd:double"&gt;15.8298837112663&lt;/D&gt;&lt;D xsi:type="xsd:double"&gt;16.078993861657&lt;/D&gt;&lt;D xsi:type="xsd:double"&gt;16.5394323685896&lt;/D&gt;&lt;D xsi:type="xsd:double"&gt;15.6577295939721&lt;/D&gt;&lt;D xsi:type="xsd:double"&gt;15.5569009274917&lt;/D&gt;&lt;D xsi:type="xsd:double"&gt;15.5200405675091&lt;/D&gt;&lt;D xsi:type="xsd:double"&gt;15.6056953036897&lt;/D&gt;&lt;D xsi:type="xsd:double"&gt;15.4403692634454&lt;/D&gt;&lt;D xsi:type="xsd:double"&gt;15.2903902974495&lt;/D&gt;&lt;D xsi:type="xsd:double"&gt;15.0559379791479&lt;/D&gt;&lt;D xsi:type="xsd:double"&gt;14.9025032781051&lt;/D&gt;&lt;D xsi:type="xsd:double"&gt;14.224698213194&lt;/D&gt;&lt;D xsi:type="xsd:double"&gt;14.0503194532554&lt;/D&gt;&lt;D xsi:type="xsd:double"&gt;13.3503723782391&lt;/D&gt;&lt;D xsi:type="xsd:double"&gt;13.0619824134114&lt;/D&gt;&lt;D xsi:type="xsd:double"&gt;13.9436379786398&lt;/D&gt;&lt;D xsi:type="xsd:double"&gt;14.5815584038817&lt;/D&gt;&lt;D xsi:type="xsd:double"&gt;14.6353468837481&lt;/D&gt;&lt;D xsi:type="xsd:double"&gt;14.48332493108&lt;/D&gt;&lt;D xsi:type="xsd:double"&gt;14.4685640887196&lt;/D&gt;&lt;D xsi:type="xsd:double"&gt;14.7922855422054&lt;/D&gt;&lt;D xsi:type="xsd:double"&gt;14.3811748184901&lt;/D&gt;&lt;D xsi:type="xsd:double"&gt;15.1215960425264&lt;/D&gt;&lt;D xsi:type="xsd:double"&gt;15.2138867155725&lt;/D&gt;&lt;D xsi:type="xsd:double"&gt;15.9908638200694&lt;/D&gt;&lt;D xsi:type="xsd:double"&gt;16.2256100093864&lt;/D&gt;&lt;D xsi:type="xsd:double"&gt;16.6478368813393&lt;/D&gt;&lt;D xsi:type="xsd:double"&gt;16.7237669091791&lt;/D&gt;&lt;D xsi:type="xsd:double"&gt;14.1193430769386&lt;/D&gt;&lt;D xsi:type="xsd:double"&gt;15.0650111919847&lt;/D&gt;&lt;D xsi:type="xsd:double"&gt;15.8683958452267&lt;/D&gt;&lt;D xsi:type="xsd:double"&gt;17.6365807951292&lt;/D&gt;&lt;D xsi:type="xsd:double"&gt;19.6227507182309&lt;/D&gt;&lt;D xsi:type="xsd:double"&gt;22.0031354869926&lt;/D&gt;&lt;D xsi:type="xsd:double"&gt;23.4013532463252&lt;/D&gt;&lt;D xsi:type="xsd:double"&gt;24.1729498708902&lt;/D&gt;&lt;D xsi:type="xsd:double"&gt;26.7590689990115&lt;/D&gt;&lt;D xsi:type="xsd:double"&gt;28.0946912631407&lt;/D&gt;&lt;D xsi:type="xsd:double"&gt;29.1691301648132&lt;/D&gt;&lt;D xsi:type="xsd:double"&gt;27.3900500748337&lt;/D&gt;&lt;D xsi:type="xsd:double"&gt;26.8347760432949&lt;/D&gt;&lt;D xsi:type="xsd:double"&gt;25.9512342923287&lt;/D&gt;&lt;D xsi:type="xsd:double"&gt;25.02892771213&lt;/D&gt;&lt;D xsi:type="xsd:double"&gt;24.3810436317041&lt;/D&gt;&lt;D xsi:type="xsd:double"&gt;23.128286140482&lt;/D&gt;&lt;D xsi:type="xsd:double"&gt;21.9955294920769&lt;/D&gt;&lt;D xsi:type="xsd:double"&gt;20.541086173175&lt;/D&gt;&lt;D xsi:type="xsd:double"&gt;19.2570604226887&lt;/D&gt;&lt;D xsi:type="xsd:double"&gt;18.6450927033782&lt;/D&gt;&lt;D xsi:type="xsd:double"&gt;17.1468715894762&lt;/D&gt;&lt;D xsi:type="xsd:double"&gt;16.9769968040804&lt;/D&gt;&lt;D xsi:type="xsd:double"&gt;15.7420388833582&lt;/D&gt;&lt;D xsi:type="xsd:double"&gt;15.2839440281011&lt;/D&gt;&lt;D xsi:type="xsd:double"&gt;15.0698735136985&lt;/D&gt;&lt;D xsi:type="xsd:double"&gt;14.5061708662957&lt;/D&gt;&lt;D xsi:type="xsd:double"&gt;13.7743605248538&lt;/D&gt;&lt;D xsi:type="xsd:double"&gt;13.2000386892082&lt;/D&gt;&lt;D xsi:type="xsd:double"&gt;13.2472633223118&lt;/D&gt;&lt;D xsi:type="xsd:double"&gt;12.4479262841425&lt;/D&gt;&lt;D xsi:type="xsd:double"&gt;11.5013563609984&lt;/D&gt;&lt;D xsi:type="xsd:double"&gt;12.2012123374459&lt;/D&gt;&lt;D xsi:type="xsd:double"&gt;12.1156346283448&lt;/D&gt;&lt;D xsi:type="xsd:double"&gt;12.6038310649102&lt;/D&gt;&lt;D xsi:type="xsd:double"&gt;12.7997708536412&lt;/D&gt;&lt;D xsi:type="xsd:double"&gt;12.8930887285013&lt;/D&gt;&lt;D xsi:type="xsd:double"&gt;13.1398616433473&lt;/D&gt;&lt;D xsi:type="xsd:double"&gt;13.1467648938547&lt;/D&gt;&lt;D xsi:type="xsd:double"&gt;13.2208529597609&lt;/D&gt;&lt;D xsi:type="xsd:double"&gt;13.3422165215827&lt;/D&gt;&lt;D xsi:type="xsd:double"&gt;13.3307202941547&lt;/D&gt;&lt;D xsi:type="xsd:double"&gt;13.2486876109327&lt;/D&gt;&lt;D xsi:type="xsd:double"&gt;12.7492866225933&lt;/D&gt;&lt;D xsi:type="xsd:double"&gt;13.1565084111098&lt;/D&gt;&lt;D xsi:type="xsd:double"&gt;14.0473298988703&lt;/D&gt;&lt;D xsi:type="xsd:double"&gt;14.0611224026548&lt;/D&gt;&lt;D xsi:type="xsd:double"&gt;14.7246745260363&lt;/D&gt;&lt;D xsi:type="xsd:double"&gt;15.5313112802579&lt;/D&gt;&lt;/FQL&gt;&lt;FQL&gt;&lt;Q&gt;EWQ^FMA_EVAL_EBITDA(NTMA,0,,,"PORTAGG","MEANR")&lt;/Q&gt;&lt;R&gt;1&lt;/R&gt;&lt;C&gt;1&lt;/C&gt;&lt;D xsi:type="xsd:double"&gt;9.41685137894581&lt;/D&gt;&lt;/FQL&gt;&lt;FQL&gt;&lt;Q&gt;EWU^FMA_DIV_YLD(NTMA,NOW,NOW,M,"PORTAGG","MEANR")&lt;/Q&gt;&lt;R&gt;1&lt;/R&gt;&lt;C&gt;1&lt;/C&gt;&lt;D xsi:type="xsd:double"&gt;4.20652070417503&lt;/D&gt;&lt;/FQL&gt;&lt;FQL&gt;&lt;Q&gt;QQQ^FMA_COS_UP("EPS","1M",+1,0,,,"PORTAGG","MEANR")&lt;/Q&gt;&lt;R&gt;1&lt;/R&gt;&lt;C&gt;1&lt;/C&gt;&lt;D xsi:type="xsd:double"&gt;33&lt;/D&gt;&lt;/FQL&gt;&lt;FQL&gt;&lt;Q&gt;EWG^FMA_PE(LTM,0,,,"PORTAGG","MEANR")&lt;/Q&gt;&lt;R&gt;1&lt;/R&gt;&lt;C&gt;1&lt;/C&gt;&lt;D xsi:type="xsd:double"&gt;14.930854329378&lt;/D&gt;&lt;/FQL&gt;&lt;FQL&gt;&lt;Q&gt;ENZL^FMA_DIV_YLD(NTMA,NOW,NOW,M,"PORTAGG","MEANR")&lt;/Q&gt;&lt;R&gt;1&lt;/R&gt;&lt;C&gt;1&lt;/C&gt;&lt;D xsi:type="xsd:double"&gt;2.89713443638977&lt;/D&gt;&lt;/FQL&gt;&lt;FQL&gt;&lt;Q&gt;EWL^FG_ROE(0)&lt;/Q&gt;&lt;R&gt;1&lt;/R&gt;&lt;C&gt;1&lt;/C&gt;&lt;D xsi:type="xsd:double"&gt;24.148855222352&lt;/D&gt;&lt;/FQL&gt;&lt;FQL&gt;&lt;Q&gt;DUMMY^ECON_DATE(45366,45199,'Q', 'MM/YYYY')&lt;/Q&gt;&lt;R&gt;2&lt;/R&gt;&lt;C&gt;1&lt;/C&gt;&lt;D xsi:type="xsd:string"&gt;12/2023&lt;/D&gt;&lt;D xsi:type="xsd:string"&gt;09/2023&lt;/D&gt;&lt;/FQL&gt;&lt;FQL&gt;&lt;Q&gt;DUMMY^ECON_EXPR_DATA('FDS_ECON[PMIDMMANHE]',45366,45199,Q)&lt;/Q&gt;&lt;R&gt;2&lt;/R&gt;&lt;C&gt;1&lt;/C&gt;&lt;D xsi:type="xsd:double"&gt;47.378044&lt;/D&gt;&lt;D xsi:type="xsd:double"&gt;47.086407&lt;/D&gt;&lt;/FQL&gt;&lt;FQL&gt;&lt;Q&gt;DUMMY^ECON_EXPR_DATA('FDS_ECON[NTCPMIMFGSA@EME]',45366,45199,Q)&lt;/Q&gt;&lt;R&gt;2&lt;/R&gt;&lt;C&gt;1&lt;/C&gt;&lt;D xsi:type="xsd:double"&gt;50.64065&lt;/D&gt;&lt;D xsi:type="xsd:double"&gt;50.814144&lt;/D&gt;&lt;/FQL&gt;&lt;FQL&gt;&lt;Q&gt;DUMMY^ECON_EXPR_DATA('FDS_ECON[NTCPMIMFGSA@NZ]',45366,45199,Q)&lt;/Q&gt;&lt;R&gt;2&lt;/R&gt;&lt;C&gt;1&lt;/C&gt;&lt;D xsi:type="xsd:double"&gt;44.351116&lt;/D&gt;&lt;D xsi:type="xsd:double"&gt;45.880733&lt;/D&gt;&lt;/FQL&gt;&lt;FQL&gt;&lt;Q&gt;DUMMY^ECON_EXPR_DATA('FDS_ECON[NTCPMIMFGSA@AU]',45366,45199,Q)&lt;/Q&gt;&lt;R&gt;2&lt;/R&gt;&lt;C&gt;1&lt;/C&gt;&lt;D xsi:type="xsd:double"&gt;47.862293&lt;/D&gt;&lt;D xsi:type="xsd:double"&gt;49.327065&lt;/D&gt;&lt;/FQL&gt;&lt;FQL&gt;&lt;Q&gt;DUMMY^ECON_EXPR_DATA('FDS_ECON[NTCPMIMFGSA@CA]',45366,45199,Q)&lt;/Q&gt;&lt;R&gt;2&lt;/R&gt;&lt;C&gt;1&lt;/C&gt;&lt;D xsi:type="xsd:double"&gt;47.255585&lt;/D&gt;&lt;D xsi:type="xsd:double"&gt;48.335907&lt;/D&gt;&lt;/FQL&gt;&lt;FQL&gt;&lt;Q&gt;DUMMY^ECON_EXPR_DATA('FDS_ECON[NTCPMIMFGSA@DE]',45366,45199,Q)&lt;/Q&gt;&lt;R&gt;2&lt;/R&gt;&lt;C&gt;1&lt;/C&gt;&lt;D xsi:type="xsd:double"&gt;42.238945&lt;/D&gt;&lt;D xsi:type="xsd:double"&gt;39.155674&lt;/D&gt;&lt;/FQL&gt;&lt;FQL&gt;&lt;Q&gt;DUMMY^ECON_EXPR_DATA('FDS_ECON[NTCPMIMFGSA@JP]',45366,45199,Q)&lt;/Q&gt;&lt;R&gt;2&lt;/R&gt;&lt;C&gt;1&lt;/C&gt;&lt;D xsi:type="xsd:double"&gt;48.31877&lt;/D&gt;&lt;D xsi:type="xsd:double"&gt;49.252666&lt;/D&gt;&lt;/FQL&gt;&lt;FQL&gt;&lt;Q&gt;DUMMY^ECON_EXPR_DATA('FDS_ECON[NTCPMIMFGSA@CH]',45366,45199,Q)&lt;/Q&gt;&lt;R&gt;2&lt;/R&gt;&lt;C&gt;1&lt;/C&gt;&lt;D xsi:type="xsd:double"&gt;41.921543&lt;/D&gt;&lt;D xsi:type="xsd:double"&gt;41.102364&lt;/D&gt;&lt;/FQL&gt;&lt;FQL&gt;&lt;Q&gt;DUMMY^ECON_EXPR_DATA('FDS_ECON[NTCPMIMFGSA@GB]',45366,45199,Q)&lt;/Q&gt;&lt;R&gt;2&lt;/R&gt;&lt;C&gt;1&lt;/C&gt;&lt;D xsi:type="xsd:double"&gt;46.0587&lt;/D&gt;&lt;D xsi:type="xsd:double"&gt;44.209953&lt;/D&gt;&lt;/FQL&gt;&lt;FQL&gt;&lt;Q&gt;DUMMY^ECON_EXPR_DATA('FDS_ECON[NTCPMIMFGMESA@US]',45366,45199,Q)&lt;/Q&gt;&lt;R&gt;2&lt;/R&gt;&lt;C&gt;1&lt;/C&gt;&lt;D xsi:type="xsd:double"&gt;49.098827&lt;/D&gt;&lt;D xsi:type="xsd:double"&gt;48.91491&lt;/D&gt;&lt;/FQL&gt;&lt;FQL&gt;&lt;Q&gt;DUMMY^ECON_EXPR_DATA('FDS_ECON[NTCPMIMFGSA@FR]',45366,45199,Q)&lt;/Q&gt;&lt;R&gt;2&lt;/R&gt;&lt;C&gt;1&lt;/C&gt;&lt;D xsi:type="xsd:double"&gt;42.573967&lt;/D&gt;&lt;D xsi:type="xsd:double"&gt;45.09797&lt;/D&gt;&lt;/FQL&gt;&lt;FQL&gt;&lt;Q&gt;DUMMY^ECON_EXPR_DATA('FDS_ECON[NTCPMIMFGSA@NL]',45366,45199,Q)&lt;/Q&gt;&lt;R&gt;2&lt;/R&gt;&lt;C&gt;1&lt;/C&gt;&lt;D xsi:type="xsd:double"&gt;44.495136&lt;/D&gt;&lt;D xsi:type="xsd:double"&gt;44.945713&lt;/D&gt;&lt;/FQL&gt;&lt;FQL&gt;&lt;Q&gt;DUMMY^ECON_EXPR_DATA('FDS_ECON[]',45366,45199,Q)&lt;/Q&gt;&lt;R&gt;0&lt;/R&gt;&lt;C&gt;0&lt;/C&gt;&lt;/FQL&gt;&lt;FQL&gt;&lt;Q&gt;DUMMY^ECON_EXPR_DATA('FDS_ECON[NTCPMIMFGSA@IT]',45366,45199,Q)&lt;/Q&gt;&lt;R&gt;2&lt;/R&gt;&lt;C&gt;1&lt;/C&gt;&lt;D xsi:type="xsd:double"&gt;44.859455&lt;/D&gt;&lt;D xsi:type="xsd:double"&gt;45.562866&lt;/D&gt;&lt;/FQL&gt;&lt;FQL&gt;&lt;Q&gt;DUMMY^ECON_EXPR_DATA('FDS_ECON[NTCPMIMFGSA@NZ]',02/2024,,Q)&lt;/Q&gt;&lt;R&gt;1&lt;/R&gt;&lt;C&gt;1&lt;/C&gt;&lt;D xsi:type="xsd:double"&gt;44.351116&lt;/D&gt;&lt;/FQL&gt;&lt;FQL&gt;&lt;Q&gt;DUMMY^ECON_EXPR_DATA('FDS_ECON[NTCPMIMFGSA@NZ]',11/2023,,Q)&lt;/Q&gt;&lt;R&gt;1&lt;/R&gt;&lt;C&gt;1&lt;/C&gt;&lt;D xsi:type="xsd:double"&gt;45.880733&lt;/D&gt;&lt;/FQL&gt;&lt;FQL&gt;&lt;Q&gt;DUMMY^ECON_EXPR_DATA('FDS_ECON[NTCPMIMFGSA@AU]',02/2024,,Q)&lt;/Q&gt;&lt;R&gt;1&lt;/R&gt;&lt;C&gt;1&lt;/C&gt;&lt;D xsi:type="xsd:double"&gt;47.862293&lt;/D&gt;&lt;/FQL&gt;&lt;FQL&gt;&lt;Q&gt;DUMMY^ECON_EXPR_DATA('FDS_ECON[NTCPMIMFGSA@AU]',11/2023,,Q)&lt;/Q&gt;&lt;R&gt;1&lt;/R&gt;&lt;C&gt;1&lt;/C&gt;&lt;D xsi:type="xsd:double"&gt;49.327065&lt;/D&gt;&lt;/FQL&gt;&lt;FQL&gt;&lt;Q&gt;DUMMY^ECON_EXPR_DATA('FDS_ECON[NTCPMIMFGSA@CA]',02/2024,,Q)&lt;/Q&gt;&lt;R&gt;1&lt;/R&gt;&lt;C&gt;1&lt;/C&gt;&lt;D xsi:type="xsd:double"&gt;47.255585&lt;/D&gt;&lt;/FQL&gt;&lt;FQL&gt;&lt;Q&gt;DUMMY^ECON_EXPR_DATA('FDS_ECON[NTCPMIMFGSA@CA]',11/2023,,Q)&lt;/Q&gt;&lt;R&gt;1&lt;/R&gt;&lt;C&gt;1&lt;/C&gt;&lt;D xsi:type="xsd:double"&gt;48.335907&lt;/D&gt;&lt;/FQL&gt;&lt;FQL&gt;&lt;Q&gt;DUMMY^ECON_EXPR_DATA('FDS_ECON[NTCPMIMFGSA@DE]',02/2024,,Q)&lt;/Q&gt;&lt;R&gt;1&lt;/R&gt;&lt;C&gt;1&lt;/C&gt;&lt;D xsi:type="xsd:double"&gt;42.238945&lt;/D&gt;&lt;/FQL&gt;&lt;FQL&gt;&lt;Q&gt;DUMMY^ECON_EXPR_DATA('FDS_ECON[NTCPMIMFGSA@DE]',11/2023,,Q)&lt;/Q&gt;&lt;R&gt;1&lt;/R&gt;&lt;C&gt;1&lt;/C&gt;&lt;D xsi:type="xsd:double"&gt;39.155674&lt;/D&gt;&lt;/FQL&gt;&lt;FQL&gt;&lt;Q&gt;DUMMY^ECON_EXPR_DATA('FDS_ECON[NTCPMIMFGSA@JP]',02/2024,,Q)&lt;/Q&gt;&lt;R&gt;1&lt;/R&gt;&lt;C&gt;1&lt;/C&gt;&lt;D xsi:type="xsd:double"&gt;48.31877&lt;/D&gt;&lt;/FQL&gt;&lt;FQL&gt;&lt;Q&gt;DUMMY^ECON_EXPR_DATA('FDS_ECON[NTCPMIMFGSA@JP]',11/2023,,Q)&lt;/Q&gt;&lt;R&gt;1&lt;/R&gt;&lt;C&gt;1&lt;/C&gt;&lt;D xsi:type="xsd:double"&gt;49.252666&lt;/D&gt;&lt;/FQL&gt;&lt;FQL&gt;&lt;Q&gt;DUMMY^ECON_EXPR_DATA('FDS_ECON[NTCPMIMFGSA@CH]',02/2024,,Q)&lt;/Q&gt;&lt;R&gt;1&lt;/R&gt;&lt;C&gt;1&lt;/C&gt;&lt;D xsi:type="xsd:double"&gt;41.921543&lt;/D&gt;&lt;/FQL&gt;&lt;FQL&gt;&lt;Q&gt;DUMMY^ECON_EXPR_DATA('FDS_ECON[NTCPMIMFGSA@CH]',11/2023,,Q)&lt;/Q&gt;&lt;R&gt;1&lt;/R&gt;&lt;C&gt;1&lt;/C&gt;&lt;D xsi:type="xsd:double"&gt;41.102364&lt;/D&gt;&lt;/FQL&gt;&lt;FQL&gt;&lt;Q&gt;DUMMY^ECON_EXPR_DATA('FDS_ECON[NTCPMIMFGSA@GB]',02/2024,,Q)&lt;/Q&gt;&lt;R&gt;1&lt;/R&gt;&lt;C&gt;1&lt;/C&gt;&lt;D xsi:type="xsd:double"&gt;46.0587&lt;/D&gt;&lt;/FQL&gt;&lt;FQL&gt;&lt;Q&gt;DUMMY^ECON_EXPR_DATA('FDS_ECON[NTCPMIMFGSA@GB]',11/2023,,Q)&lt;/Q&gt;&lt;R&gt;1&lt;/R&gt;&lt;C&gt;1&lt;/C&gt;&lt;D xsi:type="xsd:double"&gt;44.209953&lt;/D&gt;&lt;/FQL&gt;&lt;FQL&gt;&lt;Q&gt;DUMMY^ECON_EXPR_DATA('FDS_ECON[NTCPMIMFGMESA@US]',02/2024,,Q)&lt;/Q&gt;&lt;R&gt;1&lt;/R&gt;&lt;C&gt;1&lt;/C&gt;&lt;D xsi:type="xsd:double"&gt;49.098827&lt;/D&gt;&lt;/FQL&gt;&lt;FQL&gt;&lt;Q&gt;DUMMY^ECON_EXPR_DATA('FDS_ECON[NTCPMIMFGMESA@US]',11/2023,,Q)&lt;/Q&gt;&lt;R&gt;1&lt;/R&gt;&lt;C&gt;1&lt;/C&gt;&lt;D xsi:type="xsd:double"&gt;48.91491&lt;/D&gt;&lt;/FQL&gt;&lt;FQL&gt;&lt;Q&gt;DUMMY^ECON_EXPR_DATA('FDS_ECON[NTCPMIMFGSA@FR]',02/2024,,Q)&lt;/Q&gt;&lt;R&gt;1&lt;/R&gt;&lt;C&gt;1&lt;/C&gt;&lt;D xsi:type="xsd:double"&gt;42.573967&lt;/D&gt;&lt;/FQL&gt;&lt;FQL&gt;&lt;Q&gt;DUMMY^ECON_EXPR_DATA('FDS_ECON[NTCPMIMFGSA@FR]',11/2023,,Q)&lt;/Q&gt;&lt;R&gt;1&lt;/R&gt;&lt;C&gt;1&lt;/C&gt;&lt;D xsi:type="xsd:double"&gt;45.09797&lt;/D&gt;&lt;/FQL&gt;&lt;FQL&gt;&lt;Q&gt;DUMMY^ECON_EXPR_DATA('FDS_ECON[NTCPMIMFGSA@NL]',02/2024,,Q)&lt;/Q&gt;&lt;R&gt;1&lt;/R&gt;&lt;C&gt;1&lt;/C&gt;&lt;D xsi:type="xsd:double"&gt;44.495136&lt;/D&gt;&lt;/FQL&gt;&lt;FQL&gt;&lt;Q&gt;DUMMY^ECON_EXPR_DATA('FDS_ECON[NTCPMIMFGSA@NL]',11/2023,,Q)&lt;/Q&gt;&lt;R&gt;1&lt;/R&gt;&lt;C&gt;1&lt;/C&gt;&lt;D xsi:type="xsd:double"&gt;44.945713&lt;/D&gt;&lt;/FQL&gt;&lt;FQL&gt;&lt;Q&gt;DUMMY^ECON_EXPR_DATA('FDS_ECON[]',02/2024,,Q)&lt;/Q&gt;&lt;R&gt;0&lt;/R&gt;&lt;C&gt;0&lt;/C&gt;&lt;/FQL&gt;&lt;FQL&gt;&lt;Q&gt;DUMMY^ECON_EXPR_DATA('FDS_ECON[]',11/2023,,Q)&lt;/Q&gt;&lt;R&gt;0&lt;/R&gt;&lt;C&gt;0&lt;/C&gt;&lt;/FQL&gt;&lt;FQL&gt;&lt;Q&gt;DUMMY^ECON_EXPR_DATA('FDS_ECON[NTCPMIMFGSA@IT]',02/2024,,Q)&lt;/Q&gt;&lt;R&gt;1&lt;/R&gt;&lt;C&gt;1&lt;/C&gt;&lt;D xsi:type="xsd:double"&gt;44.859455&lt;/D&gt;&lt;/FQL&gt;&lt;FQL&gt;&lt;Q&gt;DUMMY^ECON_EXPR_DATA('FDS_ECON[NTCPMIMFGSA@IT]',11/2023,,Q)&lt;/Q&gt;&lt;R&gt;1&lt;/R&gt;&lt;C&gt;1&lt;/C&gt;&lt;D xsi:type="xsd:double"&gt;45.562866&lt;/D&gt;&lt;/FQL&gt;&lt;FQL&gt;&lt;Q&gt;DUMMY^ECON_EXPR_DATA('FDS_ECON[PMIDMMANHE]',02/2024,,Q)&lt;/Q&gt;&lt;R&gt;1&lt;/R&gt;&lt;C&gt;1&lt;/C&gt;&lt;D xsi:type="xsd:double"&gt;47.378044&lt;/D&gt;&lt;/FQL&gt;&lt;FQL&gt;&lt;Q&gt;DUMMY^ECON_EXPR_DATA('FDS_ECON[PMIDMMANHE]',11/2023,,Q)&lt;/Q&gt;&lt;R&gt;1&lt;/R&gt;&lt;C&gt;1&lt;/C&gt;&lt;D xsi:type="xsd:double"&gt;47.086407&lt;/D&gt;&lt;/FQL&gt;&lt;FQL&gt;&lt;Q&gt;DUMMY^ECON_EXPR_DATA('FDS_ECON[NTCPMIMFGSA@EME]',02/2024,,Q)&lt;/Q&gt;&lt;R&gt;1&lt;/R&gt;&lt;C&gt;1&lt;/C&gt;&lt;D xsi:type="xsd:double"&gt;50.64065&lt;/D&gt;&lt;/FQL&gt;&lt;FQL&gt;&lt;Q&gt;DUMMY^ECON_EXPR_DATA('FDS_ECON[NTCPMIMFGSA@EME]',11/2023,,Q)&lt;/Q&gt;&lt;R&gt;1&lt;/R&gt;&lt;C&gt;1&lt;/C&gt;&lt;D xsi:type="xsd:double"&gt;50.814144&lt;/D&gt;&lt;/FQL&gt;&lt;/Schema&gt;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<sst xmlns="http://schemas.openxmlformats.org/spreadsheetml/2006/main" count="2166" uniqueCount="915">
  <si>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</si>
  <si>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</si>
  <si>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</si>
  <si>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</si>
  <si>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</si>
  <si>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</si>
  <si>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</si>
  <si>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</si>
  <si>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</si>
  <si>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</si>
  <si>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</si>
  <si>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</si>
  <si>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</si>
  <si>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</si>
  <si>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</si>
  <si>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</si>
  <si>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</si>
  <si>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</si>
  <si>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</si>
  <si>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</si>
  <si>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</si>
  <si>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</si>
  <si>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</si>
  <si>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</si>
  <si>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</si>
  <si>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</si>
  <si>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</si>
  <si>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</si>
  <si>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</si>
  <si>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</si>
  <si>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</si>
  <si>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</si>
  <si>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</si>
  <si>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</si>
  <si>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</si>
  <si>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</si>
  <si>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</si>
  <si>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</si>
  <si>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</si>
  <si>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</si>
  <si>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</si>
  <si>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</si>
  <si>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</si>
  <si>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</si>
  <si>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</si>
  <si>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</si>
  <si>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</si>
  <si>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</si>
  <si>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</si>
  <si>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</si>
  <si>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</si>
  <si>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</si>
  <si>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</si>
  <si>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</si>
  <si>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</si>
  <si>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</si>
  <si>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</si>
  <si>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</si>
  <si>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</si>
  <si>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 month percentile</t>
  </si>
  <si>
    <t>12 month percentile</t>
  </si>
  <si>
    <t>Value</t>
  </si>
  <si>
    <t>Price</t>
  </si>
  <si>
    <t>Upgardes</t>
  </si>
  <si>
    <t>1 month%</t>
  </si>
  <si>
    <t>3 month%</t>
  </si>
  <si>
    <t>Risk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</si>
  <si>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</si>
  <si>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</si>
  <si>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</si>
  <si>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</si>
  <si>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</si>
  <si>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</si>
  <si>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</si>
  <si>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</si>
  <si>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</si>
  <si>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</si>
  <si>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</si>
  <si>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</si>
  <si>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</si>
  <si>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</si>
  <si>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</si>
  <si>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</si>
  <si>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</si>
  <si>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% of  model</t>
  </si>
  <si>
    <t>weights</t>
  </si>
  <si>
    <t>weight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</si>
  <si>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</si>
  <si>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</si>
  <si>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</si>
  <si>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</si>
  <si>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</si>
  <si>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</si>
  <si>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</si>
  <si>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</si>
  <si>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</si>
  <si>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</si>
  <si>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</si>
  <si>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</si>
  <si>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</si>
  <si>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</si>
  <si>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</si>
  <si>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</si>
  <si>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</si>
  <si>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</si>
  <si>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</si>
  <si>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</si>
  <si>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</si>
  <si>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</si>
  <si>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</si>
  <si>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</si>
  <si>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</si>
  <si>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</si>
  <si>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</si>
  <si>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</si>
  <si>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</si>
  <si>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</si>
  <si>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</si>
  <si>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</si>
  <si>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</si>
  <si>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</si>
  <si>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</si>
  <si>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</si>
  <si>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</si>
  <si>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</si>
  <si>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</si>
  <si>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</si>
  <si>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</si>
  <si>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</si>
  <si>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</si>
  <si>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</si>
  <si>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</si>
  <si>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</si>
  <si>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</si>
  <si>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</si>
  <si>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</si>
  <si>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</si>
  <si>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</si>
  <si>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</si>
  <si>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</si>
  <si>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</si>
  <si>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</si>
  <si>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</si>
  <si>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</si>
  <si>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</si>
  <si>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</si>
  <si>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</si>
  <si>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</si>
  <si>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</si>
  <si>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</si>
  <si>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</si>
  <si>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</si>
  <si>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</si>
  <si>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</si>
  <si>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</si>
  <si>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</si>
  <si>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</si>
  <si>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</si>
  <si>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</si>
  <si>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</si>
  <si>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</si>
  <si>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</si>
  <si>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</si>
  <si>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</si>
  <si>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</si>
  <si>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</si>
  <si>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</si>
  <si>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</si>
  <si>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</si>
  <si>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</si>
  <si>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</si>
  <si>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</si>
  <si>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</si>
  <si>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</si>
  <si>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</si>
  <si>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</si>
  <si>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</si>
  <si>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</si>
  <si>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</si>
  <si>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</si>
  <si>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</si>
  <si>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</si>
  <si>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</si>
  <si>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</si>
  <si>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</si>
  <si>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</si>
  <si>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</si>
  <si>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</si>
  <si>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</si>
  <si>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</si>
  <si>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</si>
  <si>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</si>
  <si>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</si>
  <si>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</si>
  <si>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</si>
  <si>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</si>
  <si>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</si>
  <si>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</si>
  <si>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</si>
  <si>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</si>
  <si>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</si>
  <si>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</si>
  <si>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</si>
  <si>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</si>
  <si>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</si>
  <si>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</si>
  <si>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</si>
  <si>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</si>
  <si>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</si>
  <si>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</si>
  <si>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</si>
  <si>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</si>
  <si>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</si>
  <si>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</si>
  <si>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</si>
  <si>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</si>
  <si>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</si>
  <si>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</si>
  <si>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</si>
  <si>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</si>
  <si>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</si>
  <si>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</si>
  <si>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</si>
  <si>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</si>
  <si>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</si>
  <si>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</si>
  <si>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</si>
  <si>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</si>
  <si>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</si>
  <si>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</si>
  <si>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</si>
  <si>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</si>
  <si>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</si>
  <si>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</si>
  <si>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</si>
  <si>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</si>
  <si>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</si>
  <si>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</si>
  <si>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</si>
  <si>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</si>
  <si>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</si>
  <si>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</si>
  <si>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</si>
  <si>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</si>
  <si>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</si>
  <si>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</si>
  <si>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</si>
  <si>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</si>
  <si>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</si>
  <si>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</si>
  <si>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</si>
  <si>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</si>
  <si>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</si>
  <si>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</si>
  <si>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</si>
  <si>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</si>
  <si>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</si>
  <si>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</si>
  <si>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</si>
  <si>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</si>
  <si>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</si>
  <si>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</si>
  <si>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</si>
  <si>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</si>
  <si>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</si>
  <si>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</si>
  <si>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</si>
  <si>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</si>
  <si>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</si>
  <si>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</si>
  <si>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</si>
  <si>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</si>
  <si>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</si>
  <si>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</si>
  <si>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</si>
  <si>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</si>
  <si>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</si>
  <si>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</si>
  <si>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</si>
  <si>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</si>
  <si>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</si>
  <si>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</si>
  <si>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</si>
  <si>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</si>
  <si>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</si>
  <si>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</si>
  <si>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</si>
  <si>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</si>
  <si>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</si>
  <si>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</si>
  <si>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</si>
  <si>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</si>
  <si>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</si>
  <si>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</si>
  <si>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</si>
  <si>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</si>
  <si>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</si>
  <si>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</si>
  <si>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</si>
  <si>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</si>
  <si>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</si>
  <si>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</si>
  <si>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</si>
  <si>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</si>
  <si>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</si>
  <si>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</si>
  <si>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</si>
  <si>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</si>
  <si>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</si>
  <si>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</si>
  <si>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</si>
  <si>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</si>
  <si>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</si>
  <si>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</si>
  <si>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</si>
  <si>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</si>
  <si>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</si>
  <si>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</si>
  <si>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</si>
  <si>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</si>
  <si>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</si>
  <si>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</si>
  <si>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</si>
  <si>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</si>
  <si>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</si>
  <si>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</si>
  <si>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</si>
  <si>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</si>
  <si>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</si>
  <si>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</si>
  <si>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</si>
  <si>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</si>
  <si>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</si>
  <si>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</si>
  <si>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</si>
  <si>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</si>
  <si>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</si>
  <si>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</si>
  <si>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</si>
  <si>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</si>
  <si>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</si>
  <si>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</si>
  <si>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</si>
  <si>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</si>
  <si>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</si>
  <si>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</si>
  <si>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</si>
  <si>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</si>
  <si>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</si>
  <si>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</si>
  <si>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</si>
  <si>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</si>
  <si>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</si>
  <si>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</si>
  <si>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</si>
  <si>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</si>
  <si>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</si>
  <si>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</si>
  <si>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</si>
  <si>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</si>
  <si>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</si>
  <si>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</si>
  <si>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</si>
  <si>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</si>
  <si>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</si>
  <si>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</si>
  <si>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</si>
  <si>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</si>
  <si>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</si>
  <si>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</si>
  <si>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</si>
  <si>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</si>
  <si>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</si>
  <si>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</si>
  <si>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</si>
  <si>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</si>
  <si>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</si>
  <si>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</si>
  <si>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</si>
  <si>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</si>
  <si>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</si>
  <si>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</si>
  <si>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</si>
  <si>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</si>
  <si>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</si>
  <si>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</si>
  <si>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</si>
  <si>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</si>
  <si>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</si>
  <si>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</si>
  <si>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</si>
  <si>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</si>
  <si>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</si>
  <si>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</si>
  <si>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</si>
  <si>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</si>
  <si>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</si>
  <si>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</si>
  <si>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</si>
  <si>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</si>
  <si>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</si>
  <si>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</si>
  <si>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</si>
  <si>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</si>
  <si>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</si>
  <si>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</si>
  <si>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</si>
  <si>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</si>
  <si>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</si>
  <si>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</si>
  <si>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</si>
  <si>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</si>
  <si>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</si>
  <si>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</si>
  <si>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</si>
  <si>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</si>
  <si>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</si>
  <si>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</si>
  <si>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</si>
  <si>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</si>
  <si>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</si>
  <si>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</si>
  <si>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</si>
  <si>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</si>
  <si>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</si>
  <si>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</si>
  <si>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</si>
  <si>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</si>
  <si>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</si>
  <si>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</si>
  <si>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</si>
  <si>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</si>
  <si>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</si>
  <si>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</si>
  <si>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</si>
  <si>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</si>
  <si>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</si>
  <si>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</si>
  <si>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</si>
  <si>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</si>
  <si>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</si>
  <si>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</si>
  <si>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</si>
  <si>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</si>
  <si>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</si>
  <si>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</si>
  <si>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</si>
  <si>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</si>
  <si>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</si>
  <si>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</si>
  <si>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</si>
  <si>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</si>
  <si>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</si>
  <si>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</si>
  <si>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</si>
  <si>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</si>
  <si>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</si>
  <si>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</si>
  <si>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</si>
  <si>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</si>
  <si>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</si>
  <si>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</si>
  <si>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</si>
  <si>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</si>
  <si>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</si>
  <si>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</si>
  <si>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</si>
  <si>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</si>
  <si>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</si>
  <si>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</si>
  <si>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</si>
  <si>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</si>
  <si>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</si>
  <si>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</si>
  <si>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</si>
  <si>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</si>
  <si>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</si>
  <si>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</si>
  <si>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</si>
  <si>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</si>
  <si>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</si>
  <si>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</si>
  <si>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</si>
  <si>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</si>
  <si>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</si>
  <si>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</si>
  <si>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</si>
  <si>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</si>
  <si>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</si>
  <si>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</si>
  <si>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</si>
  <si>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</si>
  <si>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</si>
  <si>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</si>
  <si>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</si>
  <si>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</si>
  <si>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</si>
  <si>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</si>
  <si>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</si>
  <si>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</si>
  <si>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</si>
  <si>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</si>
  <si>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</si>
  <si>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</si>
  <si>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</si>
  <si>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</si>
  <si>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</si>
  <si>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</si>
  <si>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</si>
  <si>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</si>
  <si>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</si>
  <si>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</si>
  <si>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</si>
  <si>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</si>
  <si>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</si>
  <si>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</si>
  <si>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</si>
  <si>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</si>
  <si>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</si>
  <si>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</si>
  <si>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</si>
  <si>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</si>
  <si>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</si>
  <si>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</si>
  <si>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Montlky freq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</si>
  <si>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</si>
  <si>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</si>
  <si>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</si>
  <si>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</si>
  <si>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</si>
  <si>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</si>
  <si>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</si>
  <si>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</si>
  <si>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</si>
  <si>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</si>
  <si>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</si>
  <si>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Overall Risk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</si>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</sst>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8"/>
    <xf numFmtId="0" fontId="28" fillId="0" borderId="28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4"/>
    <xf numFmtId="0" fontId="34" fillId="17" borderId="14"/>
    <xf numFmtId="0" fontId="35" fillId="17" borderId="14"/>
    <xf numFmtId="0" fontId="36" fillId="0" borderId="29"/>
    <xf numFmtId="0" fontId="23" fillId="18" borderId="30"/>
    <xf numFmtId="0" fontId="24" fillId="0" borderId="0"/>
    <xf numFmtId="0" fontId="21" fillId="13" borderId="14"/>
    <xf numFmtId="0" fontId="37" fillId="0" borderId="0"/>
    <xf numFmtId="0" fontId="18" fillId="0" borderId="31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1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8" xfId="0" applyFont="1" applyBorder="1"/>
    <xf numFmtId="9" fontId="4" fillId="0" borderId="9" xfId="0" applyNumberFormat="1" applyFont="1" applyBorder="1"/>
    <xf numFmtId="0" fontId="3" fillId="0" borderId="0" xfId="0" applyFont="1"/>
    <xf numFmtId="0" fontId="1" fillId="0" borderId="8" xfId="0" applyFont="1" applyBorder="1"/>
    <xf numFmtId="166" fontId="0" fillId="0" borderId="9" xfId="0" applyNumberFormat="1" applyBorder="1"/>
    <xf numFmtId="9" fontId="0" fillId="0" borderId="9" xfId="0" applyNumberFormat="1" applyBorder="1"/>
    <xf numFmtId="0" fontId="0" fillId="0" borderId="10" xfId="0" applyBorder="1"/>
    <xf numFmtId="167" fontId="4" fillId="0" borderId="9" xfId="0" applyNumberFormat="1" applyFont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9" fontId="0" fillId="0" borderId="10" xfId="0" applyNumberFormat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1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2" xfId="0" applyFont="1" applyBorder="1"/>
    <xf numFmtId="167" fontId="4" fillId="0" borderId="13" xfId="0" applyNumberFormat="1" applyFont="1" applyBorder="1"/>
    <xf numFmtId="0" fontId="0" fillId="0" borderId="12" xfId="0" applyBorder="1"/>
    <xf numFmtId="167" fontId="0" fillId="0" borderId="13" xfId="0" applyNumberFormat="1" applyBorder="1"/>
    <xf numFmtId="0" fontId="0" fillId="0" borderId="13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3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8" xfId="0" applyBorder="1"/>
    <xf numFmtId="0" fontId="0" fillId="0" borderId="22" xfId="0" applyBorder="1"/>
    <xf numFmtId="0" fontId="0" fillId="0" borderId="20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1" xfId="4" applyNumberFormat="1" applyFont="1" applyFill="1" applyBorder="1" applyAlignment="1">
      <alignment horizontal="right" vertical="center"/>
    </xf>
    <xf numFmtId="165" fontId="19" fillId="0" borderId="22" xfId="4" applyNumberFormat="1" applyFont="1" applyBorder="1"/>
    <xf numFmtId="165" fontId="19" fillId="0" borderId="0" xfId="4" applyNumberFormat="1" applyFont="1"/>
    <xf numFmtId="165" fontId="19" fillId="0" borderId="23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3" xfId="4" applyFont="1" applyBorder="1" applyAlignment="1">
      <alignment horizontal="center"/>
    </xf>
    <xf numFmtId="3" fontId="19" fillId="0" borderId="0" xfId="4" applyNumberFormat="1" applyFont="1"/>
    <xf numFmtId="0" fontId="18" fillId="11" borderId="25" xfId="4" applyFont="1" applyFill="1" applyBorder="1" applyAlignment="1">
      <alignment horizontal="center" vertical="center" wrapText="1"/>
    </xf>
    <xf numFmtId="0" fontId="18" fillId="11" borderId="27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2" xfId="4" applyFont="1" applyBorder="1" applyAlignment="1">
      <alignment horizontal="center"/>
    </xf>
    <xf numFmtId="0" fontId="18" fillId="11" borderId="20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1" xfId="4" applyFont="1" applyFill="1" applyBorder="1" applyAlignment="1">
      <alignment horizontal="right" vertical="center"/>
    </xf>
    <xf numFmtId="0" fontId="20" fillId="0" borderId="22" xfId="4" applyFont="1" applyBorder="1" applyAlignment="1">
      <alignment horizontal="center"/>
    </xf>
    <xf numFmtId="0" fontId="19" fillId="0" borderId="22" xfId="4" applyFont="1" applyBorder="1"/>
    <xf numFmtId="1" fontId="18" fillId="11" borderId="20" xfId="4" applyNumberFormat="1" applyFont="1" applyFill="1" applyBorder="1" applyAlignment="1">
      <alignment horizontal="right" vertical="center"/>
    </xf>
    <xf numFmtId="0" fontId="21" fillId="13" borderId="14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22" fillId="0" borderId="4" xfId="5" quotePrefix="1" applyNumberFormat="1" applyBorder="1"/>
    <xf numFmtId="14" fontId="22" fillId="0" borderId="7" xfId="5" quotePrefix="1" applyNumberFormat="1" applyBorder="1"/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7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0" fontId="13" fillId="0" borderId="0" xfId="0" applyNumberFormat="1" applyFont="1"/>
    <xf numFmtId="165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3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9" fontId="0" fillId="0" borderId="13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2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3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3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9" fontId="0" fillId="0" borderId="24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3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4" xfId="0" applyBorder="1"/>
    <xf numFmtId="165" fontId="0" fillId="0" borderId="18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8" xfId="4" applyFont="1" applyBorder="1" applyAlignment="1">
      <alignment horizontal="center" vertical="center"/>
    </xf>
    <xf numFmtId="0" fontId="18" fillId="0" borderId="24" xfId="4" applyFont="1" applyBorder="1" applyAlignment="1">
      <alignment horizontal="center" vertical="center"/>
    </xf>
    <xf numFmtId="0" fontId="18" fillId="0" borderId="19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5"/>
  <sheetViews>
    <sheetView topLeftCell="A19" zoomScale="70" zoomScaleNormal="70" workbookViewId="0">
      <selection activeCell="D55" sqref="D55"/>
    </sheetView>
  </sheetViews>
  <sheetFormatPr defaultRowHeight="14.5" x14ac:dyDescent="0.35"/>
  <cols>
    <col min="3" max="3" width="18.54296875" customWidth="1"/>
    <col min="4" max="4" width="26.90625" customWidth="1"/>
    <col min="5" max="5" width="21" customWidth="1"/>
    <col min="6" max="6" width="18.90625" customWidth="1"/>
    <col min="7" max="7" width="27" customWidth="1"/>
    <col min="8" max="8" width="22.453125" customWidth="1"/>
    <col min="9" max="9" width="19.453125" customWidth="1"/>
    <col min="10" max="10" width="24.36328125" customWidth="1"/>
    <col min="11" max="11" width="16.36328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60" t="s">
        <v>419</v>
      </c>
      <c r="D8" s="60" t="s">
        <v>55</v>
      </c>
    </row>
    <row r="9" spans="3:19" x14ac:dyDescent="0.35">
      <c r="M9" t="s">
        <v>477</v>
      </c>
      <c r="N9" s="75">
        <v>0.06</v>
      </c>
      <c r="S9" s="74"/>
    </row>
    <row r="10" spans="3:19" x14ac:dyDescent="0.35">
      <c r="C10" s="1" t="s">
        <v>420</v>
      </c>
      <c r="D10" t="s">
        <v>62</v>
      </c>
      <c r="E10" s="1" t="s">
        <v>9</v>
      </c>
      <c r="F10" s="1" t="s">
        <v>56</v>
      </c>
      <c r="G10" s="1" t="s">
        <v>57</v>
      </c>
    </row>
    <row r="11" spans="3:19" ht="15" thickBot="1" x14ac:dyDescent="0.4">
      <c r="D11" s="1" t="s">
        <v>85</v>
      </c>
      <c r="E11" s="77">
        <v>0.4</v>
      </c>
      <c r="F11" s="77">
        <v>0.3</v>
      </c>
      <c r="G11" s="77">
        <v>0.3</v>
      </c>
    </row>
    <row r="12" spans="3:19" s="19" customFormat="1" ht="15" thickBot="1" x14ac:dyDescent="0.4">
      <c r="D12" s="20" t="s">
        <v>83</v>
      </c>
      <c r="E12" s="21">
        <f>E11*$E$33</f>
        <v>0.4</v>
      </c>
      <c r="F12" s="21">
        <f t="shared" ref="F12:G12" si="0">F11*$E$33</f>
        <v>0.3</v>
      </c>
      <c r="G12" s="21">
        <f t="shared" si="0"/>
        <v>0.3</v>
      </c>
      <c r="H12" s="18"/>
      <c r="M12" s="69" t="s">
        <v>454</v>
      </c>
      <c r="N12" s="70"/>
      <c r="O12" s="72" t="s">
        <v>476</v>
      </c>
    </row>
    <row r="13" spans="3:19" s="19" customFormat="1" ht="15" thickBot="1" x14ac:dyDescent="0.4">
      <c r="D13" s="22"/>
      <c r="E13" s="18"/>
      <c r="F13" s="18"/>
      <c r="G13" s="18"/>
      <c r="M13" s="63" t="s">
        <v>455</v>
      </c>
      <c r="N13" s="64">
        <f>(1/'Value -2 '!H11)</f>
        <v>4.8577983629187839E-2</v>
      </c>
      <c r="O13" s="64">
        <f>N13*(1+N9)</f>
        <v>5.1492662646939115E-2</v>
      </c>
    </row>
    <row r="14" spans="3:19" ht="15" thickBot="1" x14ac:dyDescent="0.4">
      <c r="C14" s="1" t="s">
        <v>421</v>
      </c>
      <c r="D14" s="23" t="s">
        <v>80</v>
      </c>
      <c r="E14" s="24" t="s">
        <v>64</v>
      </c>
      <c r="F14" s="25" t="s">
        <v>65</v>
      </c>
      <c r="G14" s="25" t="s">
        <v>81</v>
      </c>
      <c r="H14" s="26" t="s">
        <v>79</v>
      </c>
      <c r="M14" s="65" t="s">
        <v>456</v>
      </c>
      <c r="N14" s="66">
        <f>(1/'Value -2 '!G11)</f>
        <v>3.9083920415875384E-2</v>
      </c>
      <c r="O14" s="67"/>
    </row>
    <row r="15" spans="3:19" ht="15" thickBot="1" x14ac:dyDescent="0.4">
      <c r="D15" s="1" t="s">
        <v>85</v>
      </c>
      <c r="E15" s="75">
        <v>0.2</v>
      </c>
      <c r="F15" s="75">
        <v>0.2</v>
      </c>
      <c r="G15" s="75">
        <v>0.3</v>
      </c>
      <c r="H15" s="75">
        <v>0.3</v>
      </c>
      <c r="M15" s="65"/>
      <c r="N15" s="67"/>
      <c r="O15" s="67"/>
    </row>
    <row r="16" spans="3:19" ht="15" thickBot="1" x14ac:dyDescent="0.4">
      <c r="D16" s="20" t="s">
        <v>83</v>
      </c>
      <c r="E16" s="21">
        <f t="shared" ref="E16:F16" si="1">E15*$F$33</f>
        <v>0</v>
      </c>
      <c r="F16" s="21">
        <f t="shared" si="1"/>
        <v>0</v>
      </c>
      <c r="G16" s="21">
        <f>G15*$F$33</f>
        <v>0</v>
      </c>
      <c r="H16" s="21">
        <f>H15*$F$33</f>
        <v>0</v>
      </c>
      <c r="M16" s="65" t="s">
        <v>457</v>
      </c>
      <c r="N16" s="66">
        <f>'LIQIDITY 2'!L11/100</f>
        <v>5.5E-2</v>
      </c>
      <c r="O16" s="73">
        <v>4.4999999999999998E-2</v>
      </c>
    </row>
    <row r="17" spans="3:22" ht="15" thickBot="1" x14ac:dyDescent="0.4">
      <c r="D17" s="22"/>
      <c r="E17" s="18"/>
      <c r="F17" s="18"/>
      <c r="G17" s="18"/>
      <c r="H17" s="18"/>
      <c r="M17" s="65" t="s">
        <v>458</v>
      </c>
      <c r="N17" s="66">
        <f>'LIQIDITY 2'!E10/100</f>
        <v>4.2952000000000004E-2</v>
      </c>
      <c r="O17" s="67"/>
    </row>
    <row r="18" spans="3:22" ht="15" thickBot="1" x14ac:dyDescent="0.4">
      <c r="C18" s="1" t="s">
        <v>422</v>
      </c>
      <c r="D18" s="28" t="s">
        <v>72</v>
      </c>
      <c r="E18" s="32" t="s">
        <v>75</v>
      </c>
      <c r="F18" s="5"/>
      <c r="M18" s="65"/>
      <c r="N18" s="67"/>
      <c r="O18" s="67"/>
    </row>
    <row r="19" spans="3:22" ht="15" thickBot="1" x14ac:dyDescent="0.4">
      <c r="D19" t="s">
        <v>86</v>
      </c>
      <c r="E19" s="75">
        <v>1</v>
      </c>
      <c r="F19" s="5"/>
      <c r="G19" s="5"/>
      <c r="M19" s="65"/>
      <c r="N19" s="67"/>
      <c r="O19" s="67"/>
    </row>
    <row r="20" spans="3:22" ht="15" thickBot="1" x14ac:dyDescent="0.4">
      <c r="D20" s="20" t="s">
        <v>84</v>
      </c>
      <c r="E20" s="27">
        <f>E19*G33</f>
        <v>0</v>
      </c>
      <c r="F20" s="5"/>
      <c r="G20" s="5"/>
      <c r="M20" s="65"/>
      <c r="N20" s="67"/>
      <c r="O20" s="67"/>
    </row>
    <row r="21" spans="3:22" ht="15" thickBot="1" x14ac:dyDescent="0.4">
      <c r="G21" s="5"/>
      <c r="M21" s="65" t="s">
        <v>459</v>
      </c>
      <c r="N21" s="66">
        <f>N13-N16</f>
        <v>-6.4220163708121614E-3</v>
      </c>
      <c r="O21" s="66">
        <f>O13-O16</f>
        <v>6.4926626469391166E-3</v>
      </c>
    </row>
    <row r="22" spans="3:22" ht="15" thickBot="1" x14ac:dyDescent="0.4">
      <c r="C22" s="1" t="s">
        <v>509</v>
      </c>
      <c r="D22" s="15" t="s">
        <v>58</v>
      </c>
      <c r="E22" s="16" t="s">
        <v>507</v>
      </c>
      <c r="F22" s="10" t="s">
        <v>59</v>
      </c>
      <c r="G22" s="11" t="s">
        <v>60</v>
      </c>
      <c r="M22" s="12" t="s">
        <v>460</v>
      </c>
      <c r="N22" s="68">
        <f>N13-N17</f>
        <v>5.6259836291878348E-3</v>
      </c>
      <c r="O22" s="66"/>
    </row>
    <row r="23" spans="3:22" x14ac:dyDescent="0.35">
      <c r="D23" s="65" t="s">
        <v>85</v>
      </c>
      <c r="E23" s="75">
        <v>0</v>
      </c>
      <c r="F23" s="5"/>
      <c r="G23" s="67"/>
      <c r="M23" s="9"/>
      <c r="N23" s="5"/>
      <c r="T23" s="9"/>
    </row>
    <row r="24" spans="3:22" ht="15" thickBot="1" x14ac:dyDescent="0.4">
      <c r="D24" s="12" t="s">
        <v>83</v>
      </c>
      <c r="E24" s="17">
        <f>E23*H33</f>
        <v>0</v>
      </c>
      <c r="F24" s="13"/>
      <c r="G24" s="14"/>
      <c r="Q24" s="5"/>
      <c r="R24" s="62"/>
      <c r="T24" s="9"/>
      <c r="V24" s="9"/>
    </row>
    <row r="25" spans="3:22" ht="15" thickBot="1" x14ac:dyDescent="0.4"/>
    <row r="26" spans="3:22" x14ac:dyDescent="0.35">
      <c r="C26" s="123" t="s">
        <v>772</v>
      </c>
      <c r="D26" s="161" t="s">
        <v>773</v>
      </c>
      <c r="E26" s="10" t="s">
        <v>771</v>
      </c>
      <c r="F26" s="11" t="s">
        <v>774</v>
      </c>
    </row>
    <row r="27" spans="3:22" ht="15" thickBot="1" x14ac:dyDescent="0.4">
      <c r="D27" s="12"/>
      <c r="E27" s="17">
        <v>0.6</v>
      </c>
      <c r="F27" s="162">
        <v>0.4</v>
      </c>
    </row>
    <row r="28" spans="3:22" ht="15" thickBot="1" x14ac:dyDescent="0.4"/>
    <row r="29" spans="3:22" ht="15" thickBot="1" x14ac:dyDescent="0.4">
      <c r="C29" t="s">
        <v>866</v>
      </c>
      <c r="D29" s="23" t="s">
        <v>867</v>
      </c>
      <c r="E29" s="32">
        <v>0.2</v>
      </c>
    </row>
    <row r="31" spans="3:22" ht="15" thickBot="1" x14ac:dyDescent="0.4"/>
    <row r="32" spans="3:22" x14ac:dyDescent="0.35">
      <c r="D32" s="15" t="s">
        <v>76</v>
      </c>
      <c r="E32" s="15" t="s">
        <v>62</v>
      </c>
      <c r="F32" s="16" t="s">
        <v>82</v>
      </c>
      <c r="G32" s="16" t="s">
        <v>72</v>
      </c>
      <c r="H32" s="16" t="s">
        <v>508</v>
      </c>
      <c r="I32" s="130" t="s">
        <v>773</v>
      </c>
      <c r="J32" s="130" t="s">
        <v>867</v>
      </c>
    </row>
    <row r="33" spans="3:12" ht="15" thickBot="1" x14ac:dyDescent="0.4">
      <c r="D33" s="12"/>
      <c r="E33" s="78">
        <v>1</v>
      </c>
      <c r="F33" s="79">
        <v>0</v>
      </c>
      <c r="G33" s="79">
        <v>0</v>
      </c>
      <c r="H33" s="79">
        <v>0</v>
      </c>
      <c r="I33" s="80">
        <v>0</v>
      </c>
      <c r="J33" s="80"/>
    </row>
    <row r="37" spans="3:12" x14ac:dyDescent="0.35">
      <c r="C37" s="60" t="s">
        <v>423</v>
      </c>
      <c r="D37" s="60" t="s">
        <v>61</v>
      </c>
    </row>
    <row r="38" spans="3:12" x14ac:dyDescent="0.35">
      <c r="E38" s="1" t="s">
        <v>414</v>
      </c>
      <c r="F38" t="s">
        <v>415</v>
      </c>
      <c r="G38" s="1" t="s">
        <v>416</v>
      </c>
      <c r="H38" t="s">
        <v>417</v>
      </c>
      <c r="I38" s="1" t="s">
        <v>433</v>
      </c>
      <c r="J38" s="1" t="s">
        <v>529</v>
      </c>
      <c r="K38" s="1" t="s">
        <v>752</v>
      </c>
    </row>
    <row r="39" spans="3:12" x14ac:dyDescent="0.35">
      <c r="E39" s="5">
        <v>0.05</v>
      </c>
      <c r="F39" s="5">
        <v>0.25</v>
      </c>
      <c r="G39" s="5">
        <v>0.25</v>
      </c>
      <c r="H39" s="5">
        <v>0.25</v>
      </c>
      <c r="I39" s="5">
        <v>0.1</v>
      </c>
      <c r="J39" s="5">
        <v>0</v>
      </c>
      <c r="K39" s="5">
        <v>0.1</v>
      </c>
      <c r="L39" s="5">
        <f>SUM(E39:K39)</f>
        <v>1</v>
      </c>
    </row>
    <row r="41" spans="3:12" x14ac:dyDescent="0.35">
      <c r="C41" s="60" t="s">
        <v>402</v>
      </c>
      <c r="D41" s="60" t="s">
        <v>10</v>
      </c>
    </row>
    <row r="42" spans="3:12" x14ac:dyDescent="0.35">
      <c r="C42" t="s">
        <v>424</v>
      </c>
      <c r="D42" t="s">
        <v>418</v>
      </c>
      <c r="E42" s="5">
        <v>0.5</v>
      </c>
    </row>
    <row r="43" spans="3:12" x14ac:dyDescent="0.35">
      <c r="C43" t="s">
        <v>425</v>
      </c>
      <c r="D43" t="s">
        <v>464</v>
      </c>
      <c r="E43" s="5">
        <v>0.25</v>
      </c>
      <c r="F43" s="5"/>
    </row>
    <row r="44" spans="3:12" x14ac:dyDescent="0.35">
      <c r="C44" t="s">
        <v>465</v>
      </c>
      <c r="D44" t="s">
        <v>466</v>
      </c>
      <c r="E44" s="5">
        <v>0.25</v>
      </c>
    </row>
    <row r="46" spans="3:12" x14ac:dyDescent="0.35">
      <c r="D46" s="1"/>
    </row>
    <row r="47" spans="3:12" x14ac:dyDescent="0.35">
      <c r="C47" s="60" t="s">
        <v>426</v>
      </c>
      <c r="D47" s="60" t="s">
        <v>66</v>
      </c>
    </row>
    <row r="48" spans="3:12" x14ac:dyDescent="0.35">
      <c r="E48" t="s">
        <v>399</v>
      </c>
      <c r="F48" t="s">
        <v>400</v>
      </c>
    </row>
    <row r="49" spans="3:8" x14ac:dyDescent="0.35">
      <c r="D49" t="s">
        <v>67</v>
      </c>
      <c r="E49" s="82">
        <v>-0.05</v>
      </c>
      <c r="F49">
        <v>-10</v>
      </c>
    </row>
    <row r="51" spans="3:8" x14ac:dyDescent="0.35">
      <c r="E51" s="1" t="s">
        <v>524</v>
      </c>
      <c r="F51" t="s">
        <v>525</v>
      </c>
      <c r="G51" t="s">
        <v>409</v>
      </c>
    </row>
    <row r="52" spans="3:8" x14ac:dyDescent="0.35">
      <c r="D52" s="1" t="s">
        <v>526</v>
      </c>
      <c r="E52" s="5">
        <v>0.25</v>
      </c>
      <c r="F52" s="5">
        <v>0.25</v>
      </c>
      <c r="G52" s="5">
        <v>0.5</v>
      </c>
    </row>
    <row r="54" spans="3:8" x14ac:dyDescent="0.35">
      <c r="C54" s="60" t="s">
        <v>428</v>
      </c>
      <c r="D54" s="60" t="s">
        <v>497</v>
      </c>
      <c r="F54" s="1">
        <v>1</v>
      </c>
      <c r="G54" s="1">
        <v>3</v>
      </c>
      <c r="H54" s="1">
        <v>6</v>
      </c>
    </row>
    <row r="55" spans="3:8" x14ac:dyDescent="0.35">
      <c r="C55" s="60" t="s">
        <v>429</v>
      </c>
      <c r="D55" t="s">
        <v>482</v>
      </c>
      <c r="E55" s="5">
        <v>0.5</v>
      </c>
      <c r="F55" s="5">
        <v>0.2</v>
      </c>
      <c r="G55" s="5">
        <v>0.4</v>
      </c>
      <c r="H55" s="5">
        <v>0.4</v>
      </c>
    </row>
    <row r="56" spans="3:8" x14ac:dyDescent="0.35">
      <c r="C56" t="s">
        <v>429</v>
      </c>
      <c r="D56" t="s">
        <v>430</v>
      </c>
      <c r="E56" s="5">
        <v>0.3</v>
      </c>
    </row>
    <row r="57" spans="3:8" x14ac:dyDescent="0.35">
      <c r="C57" t="s">
        <v>431</v>
      </c>
      <c r="D57" t="s">
        <v>432</v>
      </c>
      <c r="E57" s="5">
        <v>0.2</v>
      </c>
    </row>
    <row r="59" spans="3:8" x14ac:dyDescent="0.35">
      <c r="C59" s="60" t="s">
        <v>504</v>
      </c>
      <c r="D59" s="60" t="s">
        <v>499</v>
      </c>
    </row>
    <row r="60" spans="3:8" x14ac:dyDescent="0.35">
      <c r="D60" t="s">
        <v>501</v>
      </c>
      <c r="F60" s="5">
        <v>0.25</v>
      </c>
      <c r="G60" t="s">
        <v>532</v>
      </c>
    </row>
    <row r="61" spans="3:8" x14ac:dyDescent="0.35">
      <c r="D61" t="s">
        <v>502</v>
      </c>
      <c r="F61" s="5">
        <v>0.25</v>
      </c>
    </row>
    <row r="62" spans="3:8" x14ac:dyDescent="0.35">
      <c r="D62" t="s">
        <v>503</v>
      </c>
      <c r="F62" s="5">
        <v>0.25</v>
      </c>
    </row>
    <row r="63" spans="3:8" x14ac:dyDescent="0.35">
      <c r="D63" t="s">
        <v>545</v>
      </c>
      <c r="F63" s="5">
        <v>0.25</v>
      </c>
    </row>
    <row r="64" spans="3:8" x14ac:dyDescent="0.35">
      <c r="F64" s="5"/>
    </row>
    <row r="66" spans="3:9" x14ac:dyDescent="0.35">
      <c r="D66" s="1"/>
      <c r="E66" s="1"/>
      <c r="F66" s="1"/>
      <c r="G66" s="1"/>
      <c r="H66" s="1"/>
      <c r="I66" s="1"/>
    </row>
    <row r="67" spans="3:9" x14ac:dyDescent="0.35">
      <c r="D67" s="5"/>
      <c r="E67" s="5"/>
      <c r="F67" s="5"/>
      <c r="G67" s="5"/>
      <c r="H67" s="5"/>
      <c r="I67" s="5"/>
    </row>
    <row r="68" spans="3:9" x14ac:dyDescent="0.35">
      <c r="C68" s="60" t="s">
        <v>498</v>
      </c>
      <c r="D68" s="60" t="s">
        <v>427</v>
      </c>
    </row>
    <row r="70" spans="3:9" x14ac:dyDescent="0.35">
      <c r="C70" s="123" t="s">
        <v>784</v>
      </c>
      <c r="D70" s="6">
        <v>0.3</v>
      </c>
    </row>
    <row r="71" spans="3:9" x14ac:dyDescent="0.35">
      <c r="C71" s="19" t="s">
        <v>551</v>
      </c>
      <c r="D71" s="18">
        <v>0.33329999999999999</v>
      </c>
    </row>
    <row r="72" spans="3:9" x14ac:dyDescent="0.35">
      <c r="C72" s="19" t="s">
        <v>553</v>
      </c>
      <c r="D72" s="18">
        <v>0.33329999999999999</v>
      </c>
    </row>
    <row r="73" spans="3:9" x14ac:dyDescent="0.35">
      <c r="C73" s="19" t="s">
        <v>554</v>
      </c>
      <c r="D73" s="18">
        <v>0.33329999999999999</v>
      </c>
    </row>
    <row r="75" spans="3:9" x14ac:dyDescent="0.35">
      <c r="C75" s="123" t="s">
        <v>552</v>
      </c>
      <c r="D75" s="5">
        <v>0.2</v>
      </c>
    </row>
    <row r="76" spans="3:9" x14ac:dyDescent="0.35">
      <c r="G76" s="1"/>
      <c r="H76" s="1"/>
    </row>
    <row r="77" spans="3:9" x14ac:dyDescent="0.35">
      <c r="C77" s="123" t="s">
        <v>549</v>
      </c>
      <c r="D77" s="5">
        <v>0.4</v>
      </c>
    </row>
    <row r="79" spans="3:9" x14ac:dyDescent="0.35">
      <c r="C79" s="123" t="s">
        <v>555</v>
      </c>
      <c r="D79" s="5">
        <v>0.1</v>
      </c>
    </row>
    <row r="81" spans="3:8" x14ac:dyDescent="0.35">
      <c r="C81" t="s">
        <v>822</v>
      </c>
      <c r="D81" s="5">
        <f>D70+D75+D77+D79</f>
        <v>1</v>
      </c>
      <c r="G81" s="1"/>
      <c r="H81" s="1"/>
    </row>
    <row r="85" spans="3:8" x14ac:dyDescent="0.35">
      <c r="G85" s="1"/>
      <c r="H85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6328125" customWidth="1"/>
    <col min="3" max="3" width="20.6328125" customWidth="1"/>
    <col min="4" max="4" width="12.6328125" customWidth="1"/>
    <col min="5" max="5" width="14.54296875" customWidth="1"/>
    <col min="6" max="6" width="10.54296875" customWidth="1"/>
    <col min="7" max="7" width="12" customWidth="1"/>
    <col min="8" max="8" width="26.90625" bestFit="1" customWidth="1"/>
    <col min="9" max="9" width="20.08984375" customWidth="1"/>
    <col min="12" max="12" width="13.90625" customWidth="1"/>
    <col min="13" max="13" width="14.36328125" customWidth="1"/>
    <col min="14" max="14" width="14.6328125" customWidth="1"/>
    <col min="15" max="15" width="14.453125" customWidth="1"/>
    <col min="16" max="16" width="12" customWidth="1"/>
    <col min="17" max="17" width="15.08984375" customWidth="1"/>
  </cols>
  <sheetData>
    <row r="6" spans="3:9" x14ac:dyDescent="0.35">
      <c r="C6" s="1" t="s">
        <v>893</v>
      </c>
    </row>
    <row r="7" spans="3:9" ht="15" thickBot="1" x14ac:dyDescent="0.4">
      <c r="D7" t="s">
        <v>894</v>
      </c>
      <c r="H7" s="1" t="s">
        <v>909</v>
      </c>
    </row>
    <row r="8" spans="3:9" ht="15" thickBot="1" x14ac:dyDescent="0.4">
      <c r="C8" s="71" t="s">
        <v>6</v>
      </c>
      <c r="D8" s="10">
        <f>'Asset class'!S3</f>
        <v>8</v>
      </c>
      <c r="E8" s="11">
        <f t="shared" ref="E8:E17" si="0">D8</f>
        <v>8</v>
      </c>
    </row>
    <row r="9" spans="3:9" x14ac:dyDescent="0.35">
      <c r="C9" s="65" t="s">
        <v>1</v>
      </c>
      <c r="D9">
        <f>'Asset class'!S4</f>
        <v>1</v>
      </c>
      <c r="E9" s="67">
        <f t="shared" si="0"/>
        <v>1</v>
      </c>
      <c r="H9" s="71" t="s">
        <v>910</v>
      </c>
      <c r="I9" s="182">
        <f>Timing!L22</f>
        <v>0.92307692307692313</v>
      </c>
    </row>
    <row r="10" spans="3:9" x14ac:dyDescent="0.35">
      <c r="C10" s="65" t="s">
        <v>895</v>
      </c>
      <c r="D10">
        <f>'Asset class'!S5</f>
        <v>4</v>
      </c>
      <c r="E10" s="67">
        <f t="shared" si="0"/>
        <v>4</v>
      </c>
      <c r="H10" s="65" t="s">
        <v>911</v>
      </c>
      <c r="I10" s="66">
        <f>Timing!M22</f>
        <v>0.92307692307692313</v>
      </c>
    </row>
    <row r="11" spans="3:9" ht="15" thickBot="1" x14ac:dyDescent="0.4">
      <c r="C11" s="65" t="s">
        <v>896</v>
      </c>
      <c r="D11">
        <f>'Asset class'!S6</f>
        <v>9</v>
      </c>
      <c r="E11" s="67">
        <f t="shared" si="0"/>
        <v>9</v>
      </c>
      <c r="H11" s="12" t="s">
        <v>912</v>
      </c>
      <c r="I11" s="68">
        <f>Timing!N22</f>
        <v>0.92307692307692313</v>
      </c>
    </row>
    <row r="12" spans="3:9" x14ac:dyDescent="0.35">
      <c r="C12" s="65" t="s">
        <v>51</v>
      </c>
      <c r="D12">
        <f>'Asset class'!S7</f>
        <v>3</v>
      </c>
      <c r="E12" s="67">
        <f t="shared" si="0"/>
        <v>3</v>
      </c>
    </row>
    <row r="13" spans="3:9" x14ac:dyDescent="0.35">
      <c r="C13" s="65" t="s">
        <v>897</v>
      </c>
      <c r="D13">
        <f>'Asset class'!S8</f>
        <v>2</v>
      </c>
      <c r="E13" s="67">
        <f t="shared" si="0"/>
        <v>2</v>
      </c>
    </row>
    <row r="14" spans="3:9" ht="15" thickBot="1" x14ac:dyDescent="0.4">
      <c r="C14" s="12" t="s">
        <v>461</v>
      </c>
      <c r="D14">
        <f>'Asset class'!S9</f>
        <v>7</v>
      </c>
      <c r="E14" s="14">
        <f t="shared" si="0"/>
        <v>7</v>
      </c>
    </row>
    <row r="15" spans="3:9" ht="15" thickBot="1" x14ac:dyDescent="0.4">
      <c r="C15" s="155" t="s">
        <v>898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89" t="s">
        <v>542</v>
      </c>
      <c r="D16">
        <f>'Asset class'!S11</f>
        <v>5</v>
      </c>
      <c r="E16" s="14">
        <f t="shared" si="0"/>
        <v>5</v>
      </c>
    </row>
    <row r="17" spans="2:15" ht="15" thickBot="1" x14ac:dyDescent="0.4">
      <c r="C17" s="159" t="s">
        <v>46</v>
      </c>
      <c r="D17">
        <f>'Asset class'!S12</f>
        <v>6</v>
      </c>
      <c r="E17" s="14">
        <f t="shared" si="0"/>
        <v>6</v>
      </c>
    </row>
    <row r="20" spans="2:15" x14ac:dyDescent="0.35">
      <c r="C20" s="1" t="s">
        <v>899</v>
      </c>
    </row>
    <row r="22" spans="2:15" ht="15" thickBot="1" x14ac:dyDescent="0.4">
      <c r="C22" s="1" t="s">
        <v>900</v>
      </c>
      <c r="D22" s="1"/>
      <c r="E22" s="1" t="s">
        <v>901</v>
      </c>
    </row>
    <row r="23" spans="2:15" x14ac:dyDescent="0.35">
      <c r="B23" s="71" t="s">
        <v>1</v>
      </c>
      <c r="C23" s="181">
        <f>'Momnetum ranking'!H22</f>
        <v>0.35912698412698413</v>
      </c>
      <c r="D23" s="181"/>
      <c r="E23" s="182">
        <f>'Momnetum ranking'!I22</f>
        <v>0.36507936507936506</v>
      </c>
    </row>
    <row r="24" spans="2:15" x14ac:dyDescent="0.35">
      <c r="B24" s="65" t="s">
        <v>51</v>
      </c>
      <c r="C24" s="9">
        <f>'Momnetum ranking'!H10</f>
        <v>0.3235294117647059</v>
      </c>
      <c r="D24" s="9"/>
      <c r="E24" s="66">
        <f>'Momnetum ranking'!I10</f>
        <v>0.39215686274509803</v>
      </c>
    </row>
    <row r="25" spans="2:15" x14ac:dyDescent="0.35">
      <c r="B25" s="65" t="s">
        <v>902</v>
      </c>
      <c r="C25" s="9">
        <f>'Momnetum ranking'!H23</f>
        <v>0.35294117647058826</v>
      </c>
      <c r="D25" s="9"/>
      <c r="E25" s="66">
        <f>'Momnetum ranking'!I23</f>
        <v>0.37254901960784315</v>
      </c>
    </row>
    <row r="26" spans="2:15" x14ac:dyDescent="0.35">
      <c r="B26" s="65" t="s">
        <v>46</v>
      </c>
      <c r="C26" s="9">
        <f>'Momnetum ranking'!H21</f>
        <v>0.52511415525114158</v>
      </c>
      <c r="D26" s="9"/>
      <c r="E26" s="66">
        <f>'Momnetum ranking'!I21</f>
        <v>0.41552511415525112</v>
      </c>
    </row>
    <row r="27" spans="2:15" ht="15" thickBot="1" x14ac:dyDescent="0.4">
      <c r="B27" s="12" t="s">
        <v>542</v>
      </c>
      <c r="C27" s="183">
        <f>'Momnetum ranking'!H18</f>
        <v>0.30751355538342368</v>
      </c>
      <c r="D27" s="183"/>
      <c r="E27" s="68">
        <f>'Momnetum ranking'!I18</f>
        <v>0.49264136328427577</v>
      </c>
    </row>
    <row r="28" spans="2:15" x14ac:dyDescent="0.35">
      <c r="B28" s="71" t="s">
        <v>6</v>
      </c>
      <c r="C28" s="181">
        <f>'Momnetum ranking'!H19</f>
        <v>0.16271113961941416</v>
      </c>
      <c r="D28" s="181"/>
      <c r="E28" s="182">
        <f>'Momnetum ranking'!I19</f>
        <v>0.27624545648920246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84" t="s">
        <v>903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65"/>
      <c r="E33" t="s">
        <v>79</v>
      </c>
      <c r="F33" t="s">
        <v>72</v>
      </c>
      <c r="G33" s="81" t="s">
        <v>906</v>
      </c>
      <c r="H33" t="s">
        <v>4</v>
      </c>
      <c r="K33" t="s">
        <v>79</v>
      </c>
      <c r="L33" t="s">
        <v>72</v>
      </c>
      <c r="M33" s="81" t="s">
        <v>904</v>
      </c>
      <c r="N33" t="s">
        <v>4</v>
      </c>
      <c r="O33" s="185" t="s">
        <v>398</v>
      </c>
    </row>
    <row r="34" spans="3:15" x14ac:dyDescent="0.35">
      <c r="C34" s="65"/>
      <c r="O34" s="67"/>
    </row>
    <row r="35" spans="3:15" x14ac:dyDescent="0.35">
      <c r="C35" s="65" t="s">
        <v>231</v>
      </c>
      <c r="E35" s="9">
        <f>'Momnetum ranking'!J18</f>
        <v>-0.18512780790085209</v>
      </c>
      <c r="F35" s="5">
        <f>'Momnetum ranking'!K18</f>
        <v>0.61242138364779897</v>
      </c>
      <c r="G35" s="9">
        <f>'Momnetum ranking'!Q18</f>
        <v>0.99026270000000005</v>
      </c>
      <c r="H35" s="3">
        <f>'Momnetum ranking'!O18</f>
        <v>5.3207279999999999</v>
      </c>
      <c r="K35">
        <f>_xlfn.RANK.EQ(E35,$E$35:$E$39)</f>
        <v>5</v>
      </c>
      <c r="L35">
        <f>_xlfn.RANK.EQ(F35,$F$35:$F$39)</f>
        <v>4</v>
      </c>
      <c r="M35">
        <f>_xlfn.RANK.EQ(G35,$G$35:$G$39)</f>
        <v>3</v>
      </c>
      <c r="N35">
        <f>_xlfn.RANK.EQ(H35,$H$35:$H$39)</f>
        <v>4</v>
      </c>
      <c r="O35" s="67">
        <f>MEDIAN(K35:N35)</f>
        <v>4</v>
      </c>
    </row>
    <row r="36" spans="3:15" x14ac:dyDescent="0.35">
      <c r="C36" s="65" t="s">
        <v>755</v>
      </c>
      <c r="E36" s="9">
        <f>'Momnetum ranking'!J19</f>
        <v>-0.11353431686978829</v>
      </c>
      <c r="F36" s="5">
        <f>'Momnetum ranking'!K19</f>
        <v>0.32695269526952697</v>
      </c>
      <c r="G36" s="9">
        <f>'Momnetum ranking'!Q19</f>
        <v>0.96890949999999998</v>
      </c>
      <c r="H36" s="3">
        <f>'Momnetum ranking'!O19</f>
        <v>3.2642484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5</v>
      </c>
      <c r="O36" s="67">
        <f t="shared" ref="O36:O39" si="5">MEDIAN(K36:N36)</f>
        <v>4.5</v>
      </c>
    </row>
    <row r="37" spans="3:15" x14ac:dyDescent="0.35">
      <c r="C37" s="65" t="s">
        <v>787</v>
      </c>
      <c r="E37" s="9">
        <f>'Momnetum ranking'!J20</f>
        <v>-2.6584867075664653E-2</v>
      </c>
      <c r="F37" s="5">
        <f>'Momnetum ranking'!K20</f>
        <v>0.71448087431694007</v>
      </c>
      <c r="G37" s="9">
        <f>'Momnetum ranking'!Q20</f>
        <v>0.99157435000000005</v>
      </c>
      <c r="H37" s="3">
        <f>'Momnetum ranking'!O20</f>
        <v>8.4825520000000001</v>
      </c>
      <c r="K37">
        <f t="shared" si="1"/>
        <v>3</v>
      </c>
      <c r="L37">
        <f t="shared" si="2"/>
        <v>2</v>
      </c>
      <c r="M37">
        <f t="shared" si="3"/>
        <v>2</v>
      </c>
      <c r="N37">
        <f t="shared" si="4"/>
        <v>3</v>
      </c>
      <c r="O37" s="67">
        <f t="shared" si="5"/>
        <v>2.5</v>
      </c>
    </row>
    <row r="38" spans="3:15" x14ac:dyDescent="0.35">
      <c r="C38" s="65" t="s">
        <v>823</v>
      </c>
      <c r="E38" s="9">
        <f>'Momnetum ranking'!J21</f>
        <v>0.10958904109589046</v>
      </c>
      <c r="F38" s="5">
        <f>'Momnetum ranking'!K21</f>
        <v>0.66666666666666696</v>
      </c>
      <c r="G38" s="9">
        <f>'Momnetum ranking'!Q21</f>
        <v>0.96244160000000001</v>
      </c>
      <c r="H38" s="3">
        <f>'Momnetum ranking'!O21</f>
        <v>9.9080200000000005</v>
      </c>
      <c r="K38">
        <f t="shared" si="1"/>
        <v>1</v>
      </c>
      <c r="L38">
        <f t="shared" si="2"/>
        <v>3</v>
      </c>
      <c r="M38">
        <f t="shared" si="3"/>
        <v>5</v>
      </c>
      <c r="N38">
        <f t="shared" si="4"/>
        <v>1</v>
      </c>
      <c r="O38" s="67">
        <f t="shared" si="5"/>
        <v>2</v>
      </c>
    </row>
    <row r="39" spans="3:15" ht="15" thickBot="1" x14ac:dyDescent="0.4">
      <c r="C39" s="12" t="s">
        <v>123</v>
      </c>
      <c r="D39" s="13"/>
      <c r="E39" s="183">
        <f>'Momnetum ranking'!J22</f>
        <v>-5.9523809523809312E-3</v>
      </c>
      <c r="F39" s="17">
        <f>'Momnetum ranking'!K22</f>
        <v>0.75745526838966204</v>
      </c>
      <c r="G39" s="183">
        <f>'Momnetum ranking'!Q22</f>
        <v>0.99368979999999996</v>
      </c>
      <c r="H39" s="186">
        <f>'Momnetum ranking'!O22</f>
        <v>9.5403310000000001</v>
      </c>
      <c r="I39" s="13"/>
      <c r="J39" s="13"/>
      <c r="K39" s="13">
        <f t="shared" si="1"/>
        <v>2</v>
      </c>
      <c r="L39" s="13">
        <f t="shared" si="2"/>
        <v>1</v>
      </c>
      <c r="M39" s="13">
        <f t="shared" si="3"/>
        <v>1</v>
      </c>
      <c r="N39" s="13">
        <f t="shared" si="4"/>
        <v>2</v>
      </c>
      <c r="O39" s="14">
        <f t="shared" si="5"/>
        <v>1.5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36328125" customWidth="1"/>
    <col min="3" max="3" width="20.90625" customWidth="1"/>
    <col min="4" max="4" width="0.36328125" customWidth="1"/>
    <col min="5" max="5" width="18" customWidth="1"/>
    <col min="6" max="6" width="13.453125" customWidth="1"/>
    <col min="7" max="7" width="15.36328125" customWidth="1"/>
    <col min="8" max="8" width="16.36328125" customWidth="1"/>
    <col min="9" max="9" width="7.36328125" customWidth="1"/>
    <col min="10" max="10" width="6.54296875" customWidth="1"/>
    <col min="11" max="11" width="18.90625" customWidth="1"/>
    <col min="12" max="12" width="13.36328125" customWidth="1"/>
    <col min="13" max="13" width="13" customWidth="1"/>
    <col min="14" max="14" width="13.453125" customWidth="1"/>
    <col min="15" max="15" width="5" customWidth="1"/>
    <col min="16" max="16" width="9.6328125" customWidth="1"/>
  </cols>
  <sheetData>
    <row r="1" spans="1:19" ht="15" thickBot="1" x14ac:dyDescent="0.4">
      <c r="C1" t="s">
        <v>0</v>
      </c>
      <c r="E1" t="s">
        <v>905</v>
      </c>
      <c r="F1" t="s">
        <v>4</v>
      </c>
      <c r="G1" t="s">
        <v>5</v>
      </c>
      <c r="H1" t="s">
        <v>9</v>
      </c>
      <c r="K1" t="s">
        <v>906</v>
      </c>
      <c r="L1" t="s">
        <v>4</v>
      </c>
      <c r="M1" t="s">
        <v>73</v>
      </c>
      <c r="N1" t="s">
        <v>74</v>
      </c>
      <c r="P1" s="1" t="s">
        <v>87</v>
      </c>
      <c r="Q1" t="s">
        <v>88</v>
      </c>
      <c r="S1" t="s">
        <v>907</v>
      </c>
    </row>
    <row r="2" spans="1:19" s="30" customFormat="1" ht="15" thickBot="1" x14ac:dyDescent="0.4">
      <c r="A2" s="29"/>
      <c r="K2" s="187">
        <v>0.33</v>
      </c>
      <c r="L2" s="187">
        <v>0.33</v>
      </c>
      <c r="M2" s="187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2.7559041999999998</v>
      </c>
      <c r="F3" s="3" cm="1">
        <f t="array" ref="F3">_xll.FDS(C3,"FG_TOTAL_RETURNC(0,-3AM)")</f>
        <v>3.2642484</v>
      </c>
      <c r="G3" s="3" cm="1">
        <f t="array" ref="G3">_xll.FDS(C3,"FG_TOTAL_RETURNC(0,-6AM)")</f>
        <v>5.5372357000000001</v>
      </c>
      <c r="H3" s="9" cm="1">
        <f t="array" ref="H3">_xll.FDS(C3,"P_PRICE(0)/P_PRICE_HIGH_PR(0,,,USD,,,""PRICE"",""INTRA"",""52W"")")</f>
        <v>0.96890949999999998</v>
      </c>
      <c r="K3" s="4">
        <f>_xlfn.RANK.EQ(H3,H$3:H$12)</f>
        <v>6</v>
      </c>
      <c r="L3" s="4">
        <f>_xlfn.RANK.EQ(F3,F$3:F$12)</f>
        <v>8</v>
      </c>
      <c r="M3" s="4">
        <f>_xlfn.RANK.EQ(G3,G$3:G$12)</f>
        <v>7</v>
      </c>
      <c r="N3" s="4"/>
      <c r="P3" s="3">
        <f t="shared" ref="P3:P12" si="0">SUMPRODUCT($K$2:$M$2,K3:M3)</f>
        <v>6.93</v>
      </c>
      <c r="Q3">
        <f t="shared" ref="Q3:Q12" si="1">COUNTIF(K3:N3,"&gt;70")</f>
        <v>0</v>
      </c>
      <c r="S3" s="3">
        <f>11-_xlfn.RANK.EQ(P3,$P$3:$P$12)</f>
        <v>8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3.285396</v>
      </c>
      <c r="F4" s="3" cm="1">
        <f t="array" ref="F4">_xll.FDS(C4,"FG_TOTAL_RETURNC(0,-3AM)")</f>
        <v>9.5403310000000001</v>
      </c>
      <c r="G4" s="3" cm="1">
        <f t="array" ref="G4">_xll.FDS(C4,"FG_TOTAL_RETURNC(0,-6AM)")</f>
        <v>15.216184</v>
      </c>
      <c r="H4" s="9" cm="1">
        <f t="array" ref="H4">_xll.FDS(C4,"P_PRICE(0)/P_PRICE_HIGH_PR(0,,,USD,,,""PRICE"",""INTRA"",""52W"")")</f>
        <v>0.99368979999999996</v>
      </c>
      <c r="I4" s="188"/>
      <c r="K4" s="4">
        <f t="shared" ref="K4:K12" si="3">_xlfn.RANK.EQ(H4,H$3:H$12)</f>
        <v>1</v>
      </c>
      <c r="L4" s="4">
        <f t="shared" ref="L4:M12" si="4">_xlfn.RANK.EQ(F4,F$3:F$12)</f>
        <v>4</v>
      </c>
      <c r="M4" s="4">
        <f t="shared" si="4"/>
        <v>2</v>
      </c>
      <c r="N4" s="4"/>
      <c r="P4" s="3">
        <f t="shared" si="0"/>
        <v>2.31</v>
      </c>
      <c r="Q4">
        <f t="shared" si="1"/>
        <v>0</v>
      </c>
      <c r="S4" s="3">
        <f t="shared" ref="S4:S12" si="5">11-_xlfn.RANK.EQ(P4,$P$3:$P$12)</f>
        <v>1</v>
      </c>
    </row>
    <row r="5" spans="1:19" x14ac:dyDescent="0.35">
      <c r="A5" t="s">
        <v>895</v>
      </c>
      <c r="C5" t="str">
        <f t="shared" si="2"/>
        <v>GLD</v>
      </c>
      <c r="E5" s="3" cm="1">
        <f t="array" ref="E5">_xll.FDS(C5,"FG_TOTAL_RETURNC(0,-1AM)")</f>
        <v>8.6378939999999993</v>
      </c>
      <c r="F5" s="3" cm="1">
        <f t="array" ref="F5">_xll.FDS(C5,"FG_TOTAL_RETURNC(0,-3AM)")</f>
        <v>6.1569450000000003</v>
      </c>
      <c r="G5" s="3" cm="1">
        <f t="array" ref="G5">_xll.FDS(C5,"FG_TOTAL_RETURNC(0,-6AM)")</f>
        <v>13.083482</v>
      </c>
      <c r="H5" s="9" cm="1">
        <f t="array" ref="H5">_xll.FDS(C5,"P_PRICE(0)/P_PRICE_HIGH_PR(0,,,USD,,,""PRICE"",""INTRA"",""52W"")")</f>
        <v>0.98548939999999996</v>
      </c>
      <c r="I5" s="188"/>
      <c r="K5" s="4">
        <f t="shared" si="3"/>
        <v>4</v>
      </c>
      <c r="L5" s="4">
        <f t="shared" si="4"/>
        <v>6</v>
      </c>
      <c r="M5" s="4">
        <f t="shared" si="4"/>
        <v>3</v>
      </c>
      <c r="N5" s="4"/>
      <c r="P5" s="3">
        <f t="shared" si="0"/>
        <v>4.29</v>
      </c>
      <c r="Q5">
        <f t="shared" si="1"/>
        <v>0</v>
      </c>
      <c r="S5" s="3">
        <f t="shared" si="5"/>
        <v>4</v>
      </c>
    </row>
    <row r="6" spans="1:19" x14ac:dyDescent="0.35">
      <c r="A6" t="s">
        <v>896</v>
      </c>
      <c r="C6" t="str">
        <f t="shared" si="2"/>
        <v>UUP</v>
      </c>
      <c r="E6" s="3" cm="1">
        <f t="array" ref="E6">_xll.FDS(C6,"FG_TOTAL_RETURNC(0,-1AM)")</f>
        <v>-0.85136294000000001</v>
      </c>
      <c r="F6" s="3" cm="1">
        <f t="array" ref="F6">_xll.FDS(C6,"FG_TOTAL_RETURNC(0,-3AM)")</f>
        <v>2.8874635999999998</v>
      </c>
      <c r="G6" s="3" cm="1">
        <f t="array" ref="G6">_xll.FDS(C6,"FG_TOTAL_RETURNC(0,-6AM)")</f>
        <v>1.0002613</v>
      </c>
      <c r="H6" s="9" cm="1">
        <f t="array" ref="H6">_xll.FDS(C6,"P_PRICE(0)/P_PRICE_HIGH_PR(0,,,USD,,,""PRICE"",""INTRA"",""52W"")")</f>
        <v>0.92657053</v>
      </c>
      <c r="I6" s="188"/>
      <c r="K6" s="4">
        <f t="shared" si="3"/>
        <v>8</v>
      </c>
      <c r="L6" s="4">
        <f t="shared" si="4"/>
        <v>9</v>
      </c>
      <c r="M6" s="4">
        <f t="shared" si="4"/>
        <v>9</v>
      </c>
      <c r="N6" s="4"/>
      <c r="P6" s="3">
        <f t="shared" si="0"/>
        <v>8.58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1.3665198999999999</v>
      </c>
      <c r="F7" s="3" cm="1">
        <f t="array" ref="F7">_xll.FDS(C7,"FG_TOTAL_RETURNC(0,-3AM)")</f>
        <v>9.1357470000000003</v>
      </c>
      <c r="G7" s="3" cm="1">
        <f t="array" ref="G7">_xll.FDS(C7,"FG_TOTAL_RETURNC(0,-6AM)")</f>
        <v>16.860294</v>
      </c>
      <c r="H7" s="9" cm="1">
        <f t="array" ref="H7">_xll.FDS(C7,"P_PRICE(0)/P_PRICE_HIGH_PR(0,,,USD,,,""PRICE"",""INTRA"",""52W"")")</f>
        <v>0.9788249</v>
      </c>
      <c r="I7" s="1"/>
      <c r="K7" s="4">
        <f t="shared" si="3"/>
        <v>5</v>
      </c>
      <c r="L7" s="4">
        <f t="shared" si="4"/>
        <v>5</v>
      </c>
      <c r="M7" s="4">
        <f t="shared" si="4"/>
        <v>1</v>
      </c>
      <c r="N7" s="4"/>
      <c r="P7" s="3">
        <f t="shared" si="0"/>
        <v>3.6300000000000003</v>
      </c>
      <c r="Q7">
        <f t="shared" si="1"/>
        <v>0</v>
      </c>
      <c r="S7" s="3">
        <f t="shared" si="5"/>
        <v>3</v>
      </c>
    </row>
    <row r="8" spans="1:19" x14ac:dyDescent="0.35">
      <c r="A8" t="s">
        <v>897</v>
      </c>
      <c r="C8" t="str">
        <f t="shared" si="2"/>
        <v>DBA</v>
      </c>
      <c r="E8" s="3" cm="1">
        <f t="array" ref="E8">_xll.FDS(C8,"FG_TOTAL_RETURNC(0,-1AM)")</f>
        <v>5.4819583999999999</v>
      </c>
      <c r="F8" s="3" cm="1">
        <f t="array" ref="F8">_xll.FDS(C8,"FG_TOTAL_RETURNC(0,-3AM)")</f>
        <v>10.251295000000001</v>
      </c>
      <c r="G8" s="3" cm="1">
        <f t="array" ref="G8">_xll.FDS(C8,"FG_TOTAL_RETURNC(0,-6AM)")</f>
        <v>8.7124459999999999</v>
      </c>
      <c r="H8" s="9" cm="1">
        <f t="array" ref="H8">_xll.FDS(C8,"P_PRICE(0)/P_PRICE_HIGH_PR(0,,,USD,,,""PRICE"",""INTRA"",""52W"")")</f>
        <v>0.99205160000000003</v>
      </c>
      <c r="I8" s="1"/>
      <c r="K8" s="4">
        <f t="shared" si="3"/>
        <v>2</v>
      </c>
      <c r="L8" s="4">
        <f t="shared" si="4"/>
        <v>2</v>
      </c>
      <c r="M8" s="4">
        <f t="shared" si="4"/>
        <v>6</v>
      </c>
      <c r="N8" s="4"/>
      <c r="P8" s="3">
        <f t="shared" si="0"/>
        <v>3.3</v>
      </c>
      <c r="Q8">
        <f t="shared" si="1"/>
        <v>0</v>
      </c>
      <c r="S8" s="3">
        <f t="shared" si="5"/>
        <v>2</v>
      </c>
    </row>
    <row r="9" spans="1:19" x14ac:dyDescent="0.35">
      <c r="A9" t="s">
        <v>908</v>
      </c>
      <c r="C9" t="str">
        <f t="shared" si="2"/>
        <v>USO</v>
      </c>
      <c r="E9" s="3" cm="1">
        <f t="array" ref="E9">_xll.FDS(C9,"FG_TOTAL_RETURNC(0,-1AM)")</f>
        <v>6.6387176999999999</v>
      </c>
      <c r="F9" s="3" cm="1">
        <f t="array" ref="F9">_xll.FDS(C9,"FG_TOTAL_RETURNC(0,-3AM)")</f>
        <v>13.60929</v>
      </c>
      <c r="G9" s="3" cm="1">
        <f t="array" ref="G9">_xll.FDS(C9,"FG_TOTAL_RETURNC(0,-6AM)")</f>
        <v>-5.9418144000000002</v>
      </c>
      <c r="H9" s="9" cm="1">
        <f t="array" ref="H9">_xll.FDS(C9,"P_PRICE(0)/P_PRICE_HIGH_PR(0,,,USD,,,""PRICE"",""INTRA"",""52W"")")</f>
        <v>0.91607636000000003</v>
      </c>
      <c r="I9" s="1"/>
      <c r="K9" s="4">
        <f t="shared" si="3"/>
        <v>9</v>
      </c>
      <c r="L9" s="4">
        <f t="shared" si="4"/>
        <v>1</v>
      </c>
      <c r="M9" s="4">
        <f t="shared" si="4"/>
        <v>10</v>
      </c>
      <c r="N9" s="4"/>
      <c r="P9" s="3">
        <f t="shared" si="0"/>
        <v>6.6000000000000005</v>
      </c>
      <c r="Q9">
        <f t="shared" si="1"/>
        <v>0</v>
      </c>
      <c r="S9" s="3">
        <f t="shared" si="5"/>
        <v>7</v>
      </c>
    </row>
    <row r="10" spans="1:19" x14ac:dyDescent="0.35">
      <c r="A10" t="s">
        <v>898</v>
      </c>
      <c r="C10" t="str">
        <f t="shared" si="2"/>
        <v>TLT</v>
      </c>
      <c r="E10" s="3" cm="1">
        <f t="array" ref="E10">_xll.FDS(C10,"FG_TOTAL_RETURNC(0,-1AM)")</f>
        <v>0.47461987</v>
      </c>
      <c r="F10" s="3" cm="1">
        <f t="array" ref="F10">_xll.FDS(C10,"FG_TOTAL_RETURNC(0,-3AM)")</f>
        <v>-5.5382195000000003</v>
      </c>
      <c r="G10" s="3" cm="1">
        <f t="array" ref="G10">_xll.FDS(C10,"FG_TOTAL_RETURNC(0,-6AM)")</f>
        <v>1.3159632999999999</v>
      </c>
      <c r="H10" s="9" cm="1">
        <f t="array" ref="H10">_xll.FDS(C10,"P_PRICE(0)/P_PRICE_HIGH_PR(0,,,USD,,,""PRICE"",""INTRA"",""52W"")")</f>
        <v>0.85395425999999997</v>
      </c>
      <c r="K10" s="4">
        <f t="shared" si="3"/>
        <v>10</v>
      </c>
      <c r="L10" s="4">
        <f t="shared" si="4"/>
        <v>10</v>
      </c>
      <c r="M10" s="4">
        <f t="shared" si="4"/>
        <v>8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542</v>
      </c>
      <c r="C11" t="str">
        <f t="shared" si="2"/>
        <v>VGK</v>
      </c>
      <c r="E11" s="3" cm="1">
        <f t="array" ref="E11">_xll.FDS(C11,"FG_TOTAL_RETURNC(0,-1AM)")</f>
        <v>5.6342483000000003</v>
      </c>
      <c r="F11" s="3" cm="1">
        <f t="array" ref="F11">_xll.FDS(C11,"FG_TOTAL_RETURNC(0,-3AM)")</f>
        <v>5.3207279999999999</v>
      </c>
      <c r="G11" s="3" cm="1">
        <f t="array" ref="G11">_xll.FDS(C11,"FG_TOTAL_RETURNC(0,-6AM)")</f>
        <v>12.643373499999999</v>
      </c>
      <c r="H11" s="9" cm="1">
        <f t="array" ref="H11">_xll.FDS(C11,"P_PRICE(0)/P_PRICE_HIGH_PR(0,,,USD,,,""PRICE"",""INTRA"",""52W"")")</f>
        <v>0.99026270000000005</v>
      </c>
      <c r="K11" s="4">
        <f t="shared" si="3"/>
        <v>3</v>
      </c>
      <c r="L11" s="4">
        <f t="shared" si="4"/>
        <v>7</v>
      </c>
      <c r="M11" s="4">
        <f t="shared" si="4"/>
        <v>4</v>
      </c>
      <c r="P11" s="3">
        <f t="shared" si="0"/>
        <v>4.62</v>
      </c>
      <c r="Q11">
        <f t="shared" si="1"/>
        <v>0</v>
      </c>
      <c r="S11" s="3">
        <f t="shared" si="5"/>
        <v>5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3.0746221999999999</v>
      </c>
      <c r="F12" s="3" cm="1">
        <f t="array" ref="F12">_xll.FDS(C12,"FG_TOTAL_RETURNC(0,-3AM)")</f>
        <v>9.9080200000000005</v>
      </c>
      <c r="G12" s="3" cm="1">
        <f t="array" ref="G12">_xll.FDS(C12,"FG_TOTAL_RETURNC(0,-6AM)")</f>
        <v>10.567403000000001</v>
      </c>
      <c r="H12" s="9" cm="1">
        <f t="array" ref="H12">_xll.FDS(C12,"P_PRICE(0)/P_PRICE_HIGH_PR(0,,,USD,,,""PRICE"",""INTRA"",""52W"")")</f>
        <v>0.96244160000000001</v>
      </c>
      <c r="K12" s="4">
        <f t="shared" si="3"/>
        <v>7</v>
      </c>
      <c r="L12" s="4">
        <f t="shared" si="4"/>
        <v>3</v>
      </c>
      <c r="M12" s="4">
        <f t="shared" si="4"/>
        <v>5</v>
      </c>
      <c r="P12" s="3">
        <f t="shared" si="0"/>
        <v>4.95</v>
      </c>
      <c r="Q12">
        <f t="shared" si="1"/>
        <v>0</v>
      </c>
      <c r="S12" s="3">
        <f t="shared" si="5"/>
        <v>6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opLeftCell="C1" zoomScale="85" zoomScaleNormal="85" workbookViewId="0">
      <selection activeCell="J31" sqref="J31"/>
    </sheetView>
  </sheetViews>
  <sheetFormatPr defaultRowHeight="14.5" x14ac:dyDescent="0.35"/>
  <cols>
    <col min="2" max="2" width="13.453125" customWidth="1"/>
    <col min="3" max="3" width="34.36328125" customWidth="1"/>
    <col min="4" max="4" width="12.36328125" bestFit="1" customWidth="1"/>
    <col min="5" max="6" width="12.36328125" customWidth="1"/>
    <col min="7" max="7" width="15" hidden="1" customWidth="1"/>
    <col min="8" max="8" width="15" customWidth="1"/>
    <col min="9" max="9" width="15.36328125" bestFit="1" customWidth="1"/>
    <col min="10" max="10" width="11" customWidth="1"/>
    <col min="11" max="11" width="11.36328125" bestFit="1" customWidth="1"/>
    <col min="12" max="12" width="16.36328125" bestFit="1" customWidth="1"/>
    <col min="13" max="13" width="18.08984375" customWidth="1"/>
    <col min="14" max="14" width="17.08984375" customWidth="1"/>
  </cols>
  <sheetData>
    <row r="2" spans="2:16" ht="18.75" customHeight="1" x14ac:dyDescent="0.35">
      <c r="D2" s="134">
        <f>Assumption!D71*Assumption!$D$70</f>
        <v>9.9989999999999996E-2</v>
      </c>
      <c r="E2" s="134">
        <f>Assumption!D72*Assumption!$D$70</f>
        <v>9.9989999999999996E-2</v>
      </c>
      <c r="F2" s="134">
        <f>Assumption!D73*Assumption!$D$70</f>
        <v>9.9989999999999996E-2</v>
      </c>
      <c r="G2" s="134"/>
      <c r="H2" s="134"/>
      <c r="I2" s="134">
        <f>Assumption!D75</f>
        <v>0.2</v>
      </c>
      <c r="J2" s="134">
        <f>Assumption!D77</f>
        <v>0.4</v>
      </c>
      <c r="K2" s="123"/>
      <c r="L2" s="134">
        <f>Assumption!D79</f>
        <v>0.1</v>
      </c>
      <c r="P2" s="59">
        <f>SUM(D2:N2)</f>
        <v>0.99996999999999991</v>
      </c>
    </row>
    <row r="4" spans="2:16" ht="60.75" customHeight="1" x14ac:dyDescent="0.35">
      <c r="B4" s="201" t="s">
        <v>550</v>
      </c>
      <c r="C4" s="202"/>
      <c r="D4" s="206" t="s">
        <v>784</v>
      </c>
      <c r="E4" s="207"/>
      <c r="F4" s="208"/>
      <c r="G4" s="209" t="s">
        <v>819</v>
      </c>
      <c r="H4" s="209" t="s">
        <v>819</v>
      </c>
      <c r="I4" s="199" t="s">
        <v>552</v>
      </c>
      <c r="J4" s="205" t="s">
        <v>549</v>
      </c>
      <c r="K4" s="205"/>
      <c r="L4" s="199" t="s">
        <v>555</v>
      </c>
      <c r="M4" s="199" t="s">
        <v>556</v>
      </c>
      <c r="N4" s="199" t="s">
        <v>743</v>
      </c>
    </row>
    <row r="5" spans="2:16" x14ac:dyDescent="0.35">
      <c r="B5" s="203"/>
      <c r="C5" s="204"/>
      <c r="D5" s="129" t="s">
        <v>551</v>
      </c>
      <c r="E5" s="129" t="s">
        <v>553</v>
      </c>
      <c r="F5" s="129" t="s">
        <v>554</v>
      </c>
      <c r="G5" s="210"/>
      <c r="H5" s="210"/>
      <c r="I5" s="200"/>
      <c r="J5" s="163" t="s">
        <v>559</v>
      </c>
      <c r="K5" s="163" t="s">
        <v>557</v>
      </c>
      <c r="L5" s="200"/>
      <c r="M5" s="200"/>
      <c r="N5" s="200"/>
    </row>
    <row r="6" spans="2:16" x14ac:dyDescent="0.35">
      <c r="B6" s="86" t="s">
        <v>42</v>
      </c>
      <c r="C6" s="177" t="str" cm="1">
        <f t="array" ref="C6">_xll.FDS(B6,"FG_COMPANY_NAME")</f>
        <v>iShares MSCI Switzerland ETF</v>
      </c>
      <c r="D6" s="164">
        <f>VLOOKUP(B6,'Value -2 '!$D$3:$AC$15,26,FALSE)</f>
        <v>78.5</v>
      </c>
      <c r="E6" s="131">
        <f>VLOOKUP(B6,'Quality - 2'!$B$2:$S$14,18,FALSE)</f>
        <v>78.5</v>
      </c>
      <c r="F6" s="164">
        <f>VLOOKUP(B6,Risk!$B$4:$R$16,17,FALSE)</f>
        <v>92.800000000000011</v>
      </c>
      <c r="G6" s="190">
        <f t="shared" ref="G6:G18" si="0">(D6*$D$2 +E6*$E$2 +F6*$F$2)/($D$2+$E$2+$F$2)</f>
        <v>83.26666666666668</v>
      </c>
      <c r="H6" s="135" cm="1">
        <f t="array" ref="H6">_xlfn.PERCENTRANK.EXC(_xlfn._xlws.FILTER($G$6:G$18, ISNUMBER($G$6:G$18)),G6)*100</f>
        <v>92.800000000000011</v>
      </c>
      <c r="I6" s="164">
        <f>VLOOKUP(B6,'LIQIDITY 2'!$A$3:$X$15,24,FALSE)</f>
        <v>50</v>
      </c>
      <c r="J6" s="131">
        <f>VLOOKUP(B6,'Momnetum ranking'!$A$3:$AH$15,34,FALSE)</f>
        <v>28.499999999999996</v>
      </c>
      <c r="K6" s="174">
        <f>VLOOKUP(B6,'Momnetum ranking'!$A$3:$H$15,8,FALSE)</f>
        <v>0.28260869565217389</v>
      </c>
      <c r="L6" s="131">
        <f>VLOOKUP(B6,'Currency- 2'!$A$3:$U$15,21,FALSE)</f>
        <v>42.8</v>
      </c>
      <c r="M6" s="173">
        <f t="shared" ref="M6:M18" si="1">D6*$D$2 + E6*$E$2 + F6*$F$2 + I6*$I$2 + J6*$J$2 + L6*$L$2</f>
        <v>50.657502000000001</v>
      </c>
      <c r="N6" s="131" cm="1">
        <f t="array" ref="N6">_xlfn.PERCENTRANK.EXC(_xlfn._xlws.FILTER($M$6:M$18, ISNUMBER($M$6:M$18)),M6)*100</f>
        <v>64.2</v>
      </c>
    </row>
    <row r="7" spans="2:16" x14ac:dyDescent="0.35">
      <c r="B7" s="87" t="s">
        <v>46</v>
      </c>
      <c r="C7" s="178" t="str" cm="1">
        <f t="array" ref="C7">_xll.FDS(B7,"FG_COMPANY_NAME")</f>
        <v>iShares MSCI Japan ETF</v>
      </c>
      <c r="D7" s="170">
        <f>VLOOKUP(B7,'Value -2 '!$D$3:$AC$15,26,FALSE)</f>
        <v>57.099999999999994</v>
      </c>
      <c r="E7" s="132">
        <f>VLOOKUP(B7,'Quality - 2'!$B$2:$S$14,18,FALSE)</f>
        <v>57.099999999999994</v>
      </c>
      <c r="F7" s="170">
        <f>VLOOKUP(B7,Risk!$B$4:$R$16,17,FALSE)</f>
        <v>28.499999999999996</v>
      </c>
      <c r="G7" s="191">
        <f t="shared" si="0"/>
        <v>47.56666666666667</v>
      </c>
      <c r="H7" s="136" cm="1">
        <f t="array" ref="H7">_xlfn.PERCENTRANK.EXC(_xlfn._xlws.FILTER($G$6:G$18, ISNUMBER($G$6:G$18)),G7)*100</f>
        <v>57.099999999999994</v>
      </c>
      <c r="I7" s="170">
        <f>VLOOKUP(B7,'LIQIDITY 2'!$A$3:$X$15,24,FALSE)</f>
        <v>78.5</v>
      </c>
      <c r="J7" s="132">
        <f>VLOOKUP(B7,'Momnetum ranking'!$A$3:$AH$15,34,FALSE)</f>
        <v>42.8</v>
      </c>
      <c r="K7" s="172">
        <f>VLOOKUP(B7,'Momnetum ranking'!$A$3:$H$15,8,FALSE)</f>
        <v>0.52511415525114158</v>
      </c>
      <c r="L7" s="132">
        <f>VLOOKUP(B7,'Currency- 2'!$A$3:$U$15,21,FALSE)</f>
        <v>7.1</v>
      </c>
      <c r="M7" s="171">
        <f t="shared" si="1"/>
        <v>47.798572999999998</v>
      </c>
      <c r="N7" s="132" cm="1">
        <f t="array" ref="N7">_xlfn.PERCENTRANK.EXC(_xlfn._xlws.FILTER($M$6:M$18, ISNUMBER($M$6:M$18)),M7)*100</f>
        <v>42.8</v>
      </c>
    </row>
    <row r="8" spans="2:16" x14ac:dyDescent="0.35">
      <c r="B8" s="87" t="s">
        <v>51</v>
      </c>
      <c r="C8" s="178" t="str" cm="1">
        <f t="array" ref="C8">_xll.FDS(B8,"FG_COMPANY_NAME")</f>
        <v>Invesco QQQ Trust Series I</v>
      </c>
      <c r="D8" s="170">
        <f>VLOOKUP(B8,'Value -2 '!$D$3:$AC$15,26,FALSE)</f>
        <v>14.2</v>
      </c>
      <c r="E8" s="132">
        <f>VLOOKUP(B8,'Quality - 2'!$B$2:$S$14,18,FALSE)</f>
        <v>85.7</v>
      </c>
      <c r="F8" s="170">
        <f>VLOOKUP(B8,Risk!$B$4:$R$16,17,FALSE)</f>
        <v>21.4</v>
      </c>
      <c r="G8" s="191">
        <f t="shared" si="0"/>
        <v>40.433333333333337</v>
      </c>
      <c r="H8" s="136" cm="1">
        <f t="array" ref="H8">_xlfn.PERCENTRANK.EXC(_xlfn._xlws.FILTER($G$6:G$18, ISNUMBER($G$6:G$18)),G8)*100</f>
        <v>35.699999999999996</v>
      </c>
      <c r="I8" s="170">
        <f>VLOOKUP(B8,'LIQIDITY 2'!$A$3:$X$15,24,FALSE)</f>
        <v>7.1</v>
      </c>
      <c r="J8" s="132">
        <f>VLOOKUP(B8,'Momnetum ranking'!$A$3:$AH$15,34,FALSE)</f>
        <v>71.399999999999991</v>
      </c>
      <c r="K8" s="172">
        <f>VLOOKUP(B8,'Momnetum ranking'!$A$3:$H$15,8,FALSE)</f>
        <v>0.3235294117647059</v>
      </c>
      <c r="L8" s="132">
        <f>VLOOKUP(B8,'Currency- 2'!$A$3:$U$15,21,FALSE)</f>
        <v>64.2</v>
      </c>
      <c r="M8" s="171">
        <f t="shared" si="1"/>
        <v>48.528787000000001</v>
      </c>
      <c r="N8" s="132" cm="1">
        <f t="array" ref="N8">_xlfn.PERCENTRANK.EXC(_xlfn._xlws.FILTER($M$6:M$18, ISNUMBER($M$6:M$18)),M8)*100</f>
        <v>57.099999999999994</v>
      </c>
    </row>
    <row r="9" spans="2:16" x14ac:dyDescent="0.35">
      <c r="B9" s="87" t="s">
        <v>1</v>
      </c>
      <c r="C9" s="178" t="str" cm="1">
        <f t="array" ref="C9">_xll.FDS(B9,"FG_COMPANY_NAME")</f>
        <v>SPDR S&amp;P 500 ETF Trust</v>
      </c>
      <c r="D9" s="170">
        <f>VLOOKUP(B9,'Value -2 '!$D$3:$AC$15,26,FALSE)</f>
        <v>21.4</v>
      </c>
      <c r="E9" s="132">
        <f>VLOOKUP(B9,'Quality - 2'!$B$2:$S$14,18,FALSE)</f>
        <v>92.800000000000011</v>
      </c>
      <c r="F9" s="170">
        <f>VLOOKUP(B9,Risk!$B$4:$R$16,17,FALSE)</f>
        <v>57.099999999999994</v>
      </c>
      <c r="G9" s="191">
        <f t="shared" si="0"/>
        <v>57.100000000000009</v>
      </c>
      <c r="H9" s="136" cm="1">
        <f t="array" ref="H9">_xlfn.PERCENTRANK.EXC(_xlfn._xlws.FILTER($G$6:G$18, ISNUMBER($G$6:G$18)),G9)*100</f>
        <v>71.399999999999991</v>
      </c>
      <c r="I9" s="170">
        <f>VLOOKUP(B9,'LIQIDITY 2'!$A$3:$X$15,24,FALSE)</f>
        <v>7.1</v>
      </c>
      <c r="J9" s="132">
        <f>VLOOKUP(B9,'Momnetum ranking'!$A$3:$AH$15,34,FALSE)</f>
        <v>92.800000000000011</v>
      </c>
      <c r="K9" s="172">
        <f>VLOOKUP(B9,'Momnetum ranking'!$A$3:$H$15,8,FALSE)</f>
        <v>0.35912698412698413</v>
      </c>
      <c r="L9" s="132">
        <f>VLOOKUP(B9,'Currency- 2'!$A$3:$U$15,21,FALSE)</f>
        <v>64.2</v>
      </c>
      <c r="M9" s="171">
        <f t="shared" si="1"/>
        <v>62.088287000000008</v>
      </c>
      <c r="N9" s="132" cm="1">
        <f t="array" ref="N9">_xlfn.PERCENTRANK.EXC(_xlfn._xlws.FILTER($M$6:M$18, ISNUMBER($M$6:M$18)),M9)*100</f>
        <v>85.7</v>
      </c>
    </row>
    <row r="10" spans="2:16" x14ac:dyDescent="0.35">
      <c r="B10" s="87" t="s">
        <v>11</v>
      </c>
      <c r="C10" s="178" t="str" cm="1">
        <f t="array" ref="C10">_xll.FDS(B10,"FG_COMPANY_NAME")</f>
        <v>iShares MSCI Germany ETF</v>
      </c>
      <c r="D10" s="170">
        <f>VLOOKUP(B10,'Value -2 '!$D$3:$AC$15,26,FALSE)</f>
        <v>71.399999999999991</v>
      </c>
      <c r="E10" s="132">
        <f>VLOOKUP(B10,'Quality - 2'!$B$2:$S$14,18,FALSE)</f>
        <v>42.8</v>
      </c>
      <c r="F10" s="170">
        <f>VLOOKUP(B10,Risk!$B$4:$R$16,17,FALSE)</f>
        <v>35.699999999999996</v>
      </c>
      <c r="G10" s="191">
        <f t="shared" si="0"/>
        <v>49.966666666666669</v>
      </c>
      <c r="H10" s="136" cm="1">
        <f t="array" ref="H10">_xlfn.PERCENTRANK.EXC(_xlfn._xlws.FILTER($G$6:G$18, ISNUMBER($G$6:G$18)),G10)*100</f>
        <v>64.2</v>
      </c>
      <c r="I10" s="170">
        <f>VLOOKUP(B10,'LIQIDITY 2'!$A$3:$X$15,24,FALSE)</f>
        <v>7.1</v>
      </c>
      <c r="J10" s="132">
        <f>VLOOKUP(B10,'Momnetum ranking'!$A$3:$AH$15,34,FALSE)</f>
        <v>57.099999999999994</v>
      </c>
      <c r="K10" s="172">
        <f>VLOOKUP(B10,'Momnetum ranking'!$A$3:$H$15,8,FALSE)</f>
        <v>0.38596491228070173</v>
      </c>
      <c r="L10" s="132">
        <f>VLOOKUP(B10,'Currency- 2'!$A$3:$U$15,21,FALSE)</f>
        <v>85.7</v>
      </c>
      <c r="M10" s="171">
        <f t="shared" si="1"/>
        <v>47.818500999999998</v>
      </c>
      <c r="N10" s="132" cm="1">
        <f t="array" ref="N10">_xlfn.PERCENTRANK.EXC(_xlfn._xlws.FILTER($M$6:M$18, ISNUMBER($M$6:M$18)),M10)*100</f>
        <v>50</v>
      </c>
    </row>
    <row r="11" spans="2:16" x14ac:dyDescent="0.35">
      <c r="B11" s="87" t="s">
        <v>48</v>
      </c>
      <c r="C11" s="178" t="str" cm="1">
        <f t="array" ref="C11">_xll.FDS(B11,"FG_COMPANY_NAME")</f>
        <v>iShares MSCI United Kingdom ETF</v>
      </c>
      <c r="D11" s="170">
        <f>VLOOKUP(B11,'Value -2 '!$D$3:$AC$15,26,FALSE)</f>
        <v>85.7</v>
      </c>
      <c r="E11" s="132">
        <f>VLOOKUP(B11,'Quality - 2'!$B$2:$S$14,18,FALSE)</f>
        <v>64.2</v>
      </c>
      <c r="F11" s="170">
        <f>VLOOKUP(B11,Risk!$B$4:$R$16,17,FALSE)</f>
        <v>78.5</v>
      </c>
      <c r="G11" s="191">
        <f t="shared" si="0"/>
        <v>76.13333333333334</v>
      </c>
      <c r="H11" s="136" cm="1">
        <f t="array" ref="H11">_xlfn.PERCENTRANK.EXC(_xlfn._xlws.FILTER($G$6:G$18, ISNUMBER($G$6:G$18)),G11)*100</f>
        <v>85.7</v>
      </c>
      <c r="I11" s="170">
        <f>VLOOKUP(B11,'LIQIDITY 2'!$A$3:$X$15,24,FALSE)</f>
        <v>7.1</v>
      </c>
      <c r="J11" s="132">
        <f>VLOOKUP(B11,'Momnetum ranking'!$A$3:$AH$15,34,FALSE)</f>
        <v>21.4</v>
      </c>
      <c r="K11" s="172">
        <f>VLOOKUP(B11,'Momnetum ranking'!$A$3:$H$15,8,FALSE)</f>
        <v>0.4</v>
      </c>
      <c r="L11" s="132">
        <f>VLOOKUP(B11,'Currency- 2'!$A$3:$U$15,21,FALSE)</f>
        <v>50</v>
      </c>
      <c r="M11" s="171">
        <f t="shared" si="1"/>
        <v>37.817716000000004</v>
      </c>
      <c r="N11" s="132" cm="1">
        <f t="array" ref="N11">_xlfn.PERCENTRANK.EXC(_xlfn._xlws.FILTER($M$6:M$18, ISNUMBER($M$6:M$18)),M11)*100</f>
        <v>21.4</v>
      </c>
    </row>
    <row r="12" spans="2:16" x14ac:dyDescent="0.35">
      <c r="B12" s="87" t="s">
        <v>49</v>
      </c>
      <c r="C12" s="178" t="str" cm="1">
        <f t="array" ref="C12">_xll.FDS(B12,"FG_COMPANY_NAME")</f>
        <v>iShares MSCI Canada ETF</v>
      </c>
      <c r="D12" s="170">
        <f>VLOOKUP(B12,'Value -2 '!$D$3:$AC$15,26,FALSE)</f>
        <v>42.8</v>
      </c>
      <c r="E12" s="132">
        <f>VLOOKUP(B12,'Quality - 2'!$B$2:$S$14,18,FALSE)</f>
        <v>50</v>
      </c>
      <c r="F12" s="170">
        <f>VLOOKUP(B12,Risk!$B$4:$R$16,17,FALSE)</f>
        <v>7.1</v>
      </c>
      <c r="G12" s="191">
        <f t="shared" si="0"/>
        <v>33.300000000000004</v>
      </c>
      <c r="H12" s="136" cm="1">
        <f t="array" ref="H12">_xlfn.PERCENTRANK.EXC(_xlfn._xlws.FILTER($G$6:G$18, ISNUMBER($G$6:G$18)),G12)*100</f>
        <v>14.2</v>
      </c>
      <c r="I12" s="170">
        <f>VLOOKUP(B12,'LIQIDITY 2'!$A$3:$X$15,24,FALSE)</f>
        <v>50</v>
      </c>
      <c r="J12" s="132">
        <f>VLOOKUP(B12,'Momnetum ranking'!$A$3:$AH$15,34,FALSE)</f>
        <v>35.699999999999996</v>
      </c>
      <c r="K12" s="172">
        <f>VLOOKUP(B12,'Momnetum ranking'!$A$3:$H$15,8,FALSE)</f>
        <v>0.375</v>
      </c>
      <c r="L12" s="132">
        <f>VLOOKUP(B12,'Currency- 2'!$A$3:$U$15,21,FALSE)</f>
        <v>35.699999999999996</v>
      </c>
      <c r="M12" s="171">
        <f t="shared" si="1"/>
        <v>37.839001000000003</v>
      </c>
      <c r="N12" s="132" cm="1">
        <f t="array" ref="N12">_xlfn.PERCENTRANK.EXC(_xlfn._xlws.FILTER($M$6:M$18, ISNUMBER($M$6:M$18)),M12)*100</f>
        <v>28.499999999999996</v>
      </c>
    </row>
    <row r="13" spans="2:16" x14ac:dyDescent="0.35">
      <c r="B13" s="87" t="s">
        <v>44</v>
      </c>
      <c r="C13" s="178" t="str" cm="1">
        <f t="array" ref="C13">_xll.FDS(B13,"FG_COMPANY_NAME")</f>
        <v>iShares MSCI Australia ETF</v>
      </c>
      <c r="D13" s="170">
        <f>VLOOKUP(B13,'Value -2 '!$D$3:$AC$15,26,FALSE)</f>
        <v>28.499999999999996</v>
      </c>
      <c r="E13" s="132">
        <f>VLOOKUP(B13,'Quality - 2'!$B$2:$S$14,18,FALSE)</f>
        <v>21.4</v>
      </c>
      <c r="F13" s="170">
        <f>VLOOKUP(B13,Risk!$B$4:$R$16,17,FALSE)</f>
        <v>50</v>
      </c>
      <c r="G13" s="191">
        <f t="shared" si="0"/>
        <v>33.299999999999997</v>
      </c>
      <c r="H13" s="136" cm="1">
        <f t="array" ref="H13">_xlfn.PERCENTRANK.EXC(_xlfn._xlws.FILTER($G$6:G$18, ISNUMBER($G$6:G$18)),G13)*100</f>
        <v>7.1</v>
      </c>
      <c r="I13" s="170">
        <f>VLOOKUP(B13,'LIQIDITY 2'!$A$3:$X$15,24,FALSE)</f>
        <v>78.5</v>
      </c>
      <c r="J13" s="132">
        <f>VLOOKUP(B13,'Momnetum ranking'!$A$3:$AH$15,34,FALSE)</f>
        <v>14.2</v>
      </c>
      <c r="K13" s="172">
        <f>VLOOKUP(B13,'Momnetum ranking'!$A$3:$H$15,8,FALSE)</f>
        <v>0.52542372881355937</v>
      </c>
      <c r="L13" s="132">
        <f>VLOOKUP(B13,'Currency- 2'!$A$3:$U$15,21,FALSE)</f>
        <v>28.499999999999996</v>
      </c>
      <c r="M13" s="171">
        <f t="shared" si="1"/>
        <v>34.219000999999999</v>
      </c>
      <c r="N13" s="132" cm="1">
        <f t="array" ref="N13">_xlfn.PERCENTRANK.EXC(_xlfn._xlws.FILTER($M$6:M$18, ISNUMBER($M$6:M$18)),M13)*100</f>
        <v>14.2</v>
      </c>
    </row>
    <row r="14" spans="2:16" x14ac:dyDescent="0.35">
      <c r="B14" s="87" t="s">
        <v>435</v>
      </c>
      <c r="C14" s="178" t="str" cm="1">
        <f t="array" ref="C14">_xll.FDS(B14,"FG_COMPANY_NAME")</f>
        <v>iShares MSCI New Zealand ETF</v>
      </c>
      <c r="D14" s="170">
        <f>VLOOKUP(B14,'Value -2 '!$D$3:$AC$15,26,FALSE)</f>
        <v>7.1</v>
      </c>
      <c r="E14" s="132">
        <f>VLOOKUP(B14,'Quality - 2'!$B$2:$S$14,18,FALSE)</f>
        <v>14.2</v>
      </c>
      <c r="F14" s="170">
        <f>VLOOKUP(B14,Risk!$B$4:$R$16,17,FALSE)</f>
        <v>85.7</v>
      </c>
      <c r="G14" s="191">
        <f t="shared" si="0"/>
        <v>35.666666666666671</v>
      </c>
      <c r="H14" s="136" cm="1">
        <f t="array" ref="H14">_xlfn.PERCENTRANK.EXC(_xlfn._xlws.FILTER($G$6:G$18, ISNUMBER($G$6:G$18)),G14)*100</f>
        <v>21.4</v>
      </c>
      <c r="I14" s="170">
        <f>VLOOKUP(B14,'LIQIDITY 2'!$A$3:$X$15,24,FALSE)</f>
        <v>50</v>
      </c>
      <c r="J14" s="132">
        <f>VLOOKUP(B14,'Momnetum ranking'!$A$3:$AH$15,34,FALSE)</f>
        <v>7.1</v>
      </c>
      <c r="K14" s="172">
        <f>VLOOKUP(B14,'Momnetum ranking'!$A$3:$H$15,8,FALSE)</f>
        <v>0.2857142857142857</v>
      </c>
      <c r="L14" s="132">
        <f>VLOOKUP(B14,'Currency- 2'!$A$3:$U$15,21,FALSE)</f>
        <v>14.2</v>
      </c>
      <c r="M14" s="171">
        <f t="shared" si="1"/>
        <v>24.958930000000002</v>
      </c>
      <c r="N14" s="132" cm="1">
        <f t="array" ref="N14">_xlfn.PERCENTRANK.EXC(_xlfn._xlws.FILTER($M$6:M$18, ISNUMBER($M$6:M$18)),M14)*100</f>
        <v>7.1</v>
      </c>
    </row>
    <row r="15" spans="2:16" x14ac:dyDescent="0.35">
      <c r="B15" s="87" t="s">
        <v>872</v>
      </c>
      <c r="C15" s="178" t="str" cm="1">
        <f t="array" ref="C15">_xll.FDS(B15,"FG_COMPANY_NAME")</f>
        <v>iShares MSCI France ETF</v>
      </c>
      <c r="D15" s="170">
        <f>VLOOKUP(B15,'Value -2 '!$D$3:$AC$15,26,FALSE)</f>
        <v>50</v>
      </c>
      <c r="E15" s="132">
        <f>VLOOKUP(B15,'Quality - 2'!$B$2:$S$14,18,FALSE)</f>
        <v>71.399999999999991</v>
      </c>
      <c r="F15" s="170">
        <f>VLOOKUP(B15,Risk!$B$4:$R$16,17,FALSE)</f>
        <v>71.399999999999991</v>
      </c>
      <c r="G15" s="191">
        <f t="shared" si="0"/>
        <v>64.266666666666652</v>
      </c>
      <c r="H15" s="136" cm="1">
        <f t="array" ref="H15">_xlfn.PERCENTRANK.EXC(_xlfn._xlws.FILTER($G$6:G$18, ISNUMBER($G$6:G$18)),G15)*100</f>
        <v>78.5</v>
      </c>
      <c r="I15" s="170">
        <f>VLOOKUP(B15,'LIQIDITY 2'!$A$3:$X$15,24,FALSE)</f>
        <v>7.1</v>
      </c>
      <c r="J15" s="132">
        <f>VLOOKUP(B15,'Momnetum ranking'!$A$3:$AH$15,34,FALSE)</f>
        <v>78.5</v>
      </c>
      <c r="K15" s="172">
        <f>VLOOKUP(B15,'Momnetum ranking'!$A$3:$H$15,8,FALSE)</f>
        <v>0.42857142857142855</v>
      </c>
      <c r="L15" s="132">
        <f>VLOOKUP(B15,'Currency- 2'!$A$3:$U$15,21,FALSE)</f>
        <v>21.4</v>
      </c>
      <c r="M15" s="171">
        <f t="shared" si="1"/>
        <v>54.238072000000003</v>
      </c>
      <c r="N15" s="132" cm="1">
        <f t="array" ref="N15">_xlfn.PERCENTRANK.EXC(_xlfn._xlws.FILTER($M$6:M$18, ISNUMBER($M$6:M$18)),M15)*100</f>
        <v>78.5</v>
      </c>
    </row>
    <row r="16" spans="2:16" x14ac:dyDescent="0.35">
      <c r="B16" s="87" t="s">
        <v>874</v>
      </c>
      <c r="C16" s="178" t="str" cm="1">
        <f t="array" ref="C16">_xll.FDS(B16,"FG_COMPANY_NAME")</f>
        <v>iShares MSCI Netherlands ETF</v>
      </c>
      <c r="D16" s="170">
        <f>VLOOKUP(B16,'Value -2 '!$D$3:$AC$15,26,FALSE)</f>
        <v>35.699999999999996</v>
      </c>
      <c r="E16" s="132">
        <f>VLOOKUP(B16,'Quality - 2'!$B$2:$S$14,18,FALSE)</f>
        <v>28.499999999999996</v>
      </c>
      <c r="F16" s="170">
        <f>VLOOKUP(B16,Risk!$B$4:$R$16,17,FALSE)</f>
        <v>64.2</v>
      </c>
      <c r="G16" s="191">
        <f t="shared" si="0"/>
        <v>42.8</v>
      </c>
      <c r="H16" s="136" cm="1">
        <f t="array" ref="H16">_xlfn.PERCENTRANK.EXC(_xlfn._xlws.FILTER($G$6:G$18, ISNUMBER($G$6:G$18)),G16)*100</f>
        <v>42.8</v>
      </c>
      <c r="I16" s="170">
        <f>VLOOKUP(B16,'LIQIDITY 2'!$A$3:$X$15,24,FALSE)</f>
        <v>7.1</v>
      </c>
      <c r="J16" s="132">
        <f>VLOOKUP(B16,'Momnetum ranking'!$A$3:$AH$15,34,FALSE)</f>
        <v>50</v>
      </c>
      <c r="K16" s="172">
        <f>VLOOKUP(B16,'Momnetum ranking'!$A$3:$H$15,8,FALSE)</f>
        <v>0.33333333333333331</v>
      </c>
      <c r="L16" s="132">
        <f>VLOOKUP(B16,'Currency- 2'!$A$3:$U$15,21,FALSE)</f>
        <v>92.800000000000011</v>
      </c>
      <c r="M16" s="171">
        <f t="shared" si="1"/>
        <v>43.538716000000001</v>
      </c>
      <c r="N16" s="132" cm="1">
        <f t="array" ref="N16">_xlfn.PERCENTRANK.EXC(_xlfn._xlws.FILTER($M$6:M$18, ISNUMBER($M$6:M$18)),M16)*100</f>
        <v>35.699999999999996</v>
      </c>
    </row>
    <row r="17" spans="2:14" x14ac:dyDescent="0.35">
      <c r="B17" s="87" t="s">
        <v>871</v>
      </c>
      <c r="C17" s="178" t="str" cm="1">
        <f t="array" ref="C17">_xll.FDS(B17,"FG_COMPANY_NAME")</f>
        <v>iShares MSCI Sweden ETF</v>
      </c>
      <c r="D17" s="170">
        <f>VLOOKUP(B17,'Value -2 '!$D$3:$AC$15,26,FALSE)</f>
        <v>64.2</v>
      </c>
      <c r="E17" s="132">
        <f>VLOOKUP(B17,'Quality - 2'!$B$2:$S$14,18,FALSE)</f>
        <v>28.499999999999996</v>
      </c>
      <c r="F17" s="170">
        <f>VLOOKUP(B17,Risk!$B$4:$R$16,17,FALSE)</f>
        <v>35.699999999999996</v>
      </c>
      <c r="G17" s="191">
        <f t="shared" si="0"/>
        <v>42.8</v>
      </c>
      <c r="H17" s="136" cm="1">
        <f t="array" ref="H17">_xlfn.PERCENTRANK.EXC(_xlfn._xlws.FILTER($G$6:G$18, ISNUMBER($G$6:G$18)),G17)*100</f>
        <v>42.8</v>
      </c>
      <c r="I17" s="170">
        <f>VLOOKUP(B17,'LIQIDITY 2'!$A$3:$X$15,24,FALSE)</f>
        <v>50</v>
      </c>
      <c r="J17" s="132">
        <f>VLOOKUP(B17,'Momnetum ranking'!$A$3:$AH$15,34,FALSE)</f>
        <v>64.2</v>
      </c>
      <c r="K17" s="172">
        <f>VLOOKUP(B17,'Momnetum ranking'!$A$3:$H$15,8,FALSE)</f>
        <v>0.25</v>
      </c>
      <c r="L17" s="132">
        <f>VLOOKUP(B17,'Currency- 2'!$A$3:$U$15,21,FALSE)</f>
        <v>57.099999999999994</v>
      </c>
      <c r="M17" s="171">
        <f t="shared" si="1"/>
        <v>54.228715999999999</v>
      </c>
      <c r="N17" s="132" cm="1">
        <f t="array" ref="N17">_xlfn.PERCENTRANK.EXC(_xlfn._xlws.FILTER($M$6:M$18, ISNUMBER($M$6:M$18)),M17)*100</f>
        <v>71.399999999999991</v>
      </c>
    </row>
    <row r="18" spans="2:14" x14ac:dyDescent="0.35">
      <c r="B18" s="88" t="s">
        <v>873</v>
      </c>
      <c r="C18" s="179" t="str" cm="1">
        <f t="array" ref="C18">_xll.FDS(B18,"FG_COMPANY_NAME")</f>
        <v>iShares MSCI Italy ETF</v>
      </c>
      <c r="D18" s="165">
        <f>VLOOKUP(B18,'Value -2 '!$D$3:$AC$15,26,FALSE)</f>
        <v>92.800000000000011</v>
      </c>
      <c r="E18" s="133">
        <f>VLOOKUP(B18,'Quality - 2'!$B$2:$S$14,18,FALSE)</f>
        <v>7.1</v>
      </c>
      <c r="F18" s="165">
        <f>VLOOKUP(B18,Risk!$B$4:$R$16,17,FALSE)</f>
        <v>14.2</v>
      </c>
      <c r="G18" s="192">
        <f t="shared" si="0"/>
        <v>38.033333333333346</v>
      </c>
      <c r="H18" s="137" cm="1">
        <f t="array" ref="H18">_xlfn.PERCENTRANK.EXC(_xlfn._xlws.FILTER($G$6:G$18, ISNUMBER($G$6:G$18)),G18)*100</f>
        <v>28.499999999999996</v>
      </c>
      <c r="I18" s="165">
        <f>VLOOKUP(B18,'LIQIDITY 2'!$A$3:$X$15,24,FALSE)</f>
        <v>78.5</v>
      </c>
      <c r="J18" s="133">
        <f>VLOOKUP(B18,'Momnetum ranking'!$A$3:$AH$15,34,FALSE)</f>
        <v>85.7</v>
      </c>
      <c r="K18" s="176">
        <f>VLOOKUP(B18,'Momnetum ranking'!$A$3:$H$15,8,FALSE)</f>
        <v>0.46153846153846156</v>
      </c>
      <c r="L18" s="133">
        <f>VLOOKUP(B18,'Currency- 2'!$A$3:$U$15,21,FALSE)</f>
        <v>78.5</v>
      </c>
      <c r="M18" s="175">
        <f t="shared" si="1"/>
        <v>69.238859000000005</v>
      </c>
      <c r="N18" s="133" cm="1">
        <f t="array" ref="N18">_xlfn.PERCENTRANK.EXC(_xlfn._xlws.FILTER($M$6:M$18, ISNUMBER($M$6:M$18)),M18)*100</f>
        <v>92.800000000000011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Q27" sqref="Q27"/>
    </sheetView>
  </sheetViews>
  <sheetFormatPr defaultRowHeight="14.5" x14ac:dyDescent="0.35"/>
  <cols>
    <col min="2" max="2" width="12.08984375" bestFit="1" customWidth="1"/>
    <col min="3" max="3" width="25.36328125" customWidth="1"/>
    <col min="4" max="4" width="15.453125" customWidth="1"/>
    <col min="5" max="5" width="14.453125" customWidth="1"/>
    <col min="6" max="6" width="11.6328125" bestFit="1" customWidth="1"/>
    <col min="7" max="7" width="7.36328125" bestFit="1" customWidth="1"/>
    <col min="8" max="8" width="10.08984375" bestFit="1" customWidth="1"/>
    <col min="9" max="9" width="11.453125" bestFit="1" customWidth="1"/>
    <col min="10" max="10" width="14.453125" hidden="1" customWidth="1"/>
    <col min="11" max="11" width="20.08984375" bestFit="1" customWidth="1"/>
    <col min="12" max="12" width="12" hidden="1" customWidth="1"/>
    <col min="13" max="13" width="15.36328125" bestFit="1" customWidth="1"/>
    <col min="14" max="14" width="12.6328125" hidden="1" customWidth="1"/>
    <col min="15" max="15" width="18.453125" bestFit="1" customWidth="1"/>
    <col min="16" max="16" width="13.36328125" hidden="1" customWidth="1"/>
    <col min="17" max="17" width="19.90625" bestFit="1" customWidth="1"/>
    <col min="18" max="18" width="20.6328125" bestFit="1" customWidth="1"/>
    <col min="19" max="19" width="21.6328125" bestFit="1" customWidth="1"/>
  </cols>
  <sheetData>
    <row r="1" spans="2:21" ht="15" thickBot="1" x14ac:dyDescent="0.4"/>
    <row r="2" spans="2:21" x14ac:dyDescent="0.35">
      <c r="C2" s="140" t="s">
        <v>829</v>
      </c>
      <c r="D2" s="141">
        <v>0.5</v>
      </c>
      <c r="E2" s="71" t="s">
        <v>843</v>
      </c>
      <c r="F2" s="138">
        <v>0.1</v>
      </c>
      <c r="R2" s="155" t="s">
        <v>858</v>
      </c>
      <c r="S2" s="155" t="s">
        <v>858</v>
      </c>
    </row>
    <row r="3" spans="2:21" ht="15" thickBot="1" x14ac:dyDescent="0.4">
      <c r="C3" s="142" t="s">
        <v>830</v>
      </c>
      <c r="D3" s="143">
        <v>70</v>
      </c>
      <c r="E3" s="65" t="s">
        <v>831</v>
      </c>
      <c r="F3" s="67">
        <v>50</v>
      </c>
      <c r="R3" s="159">
        <f>COUNTIF(R9:R17,"&gt;0")</f>
        <v>9</v>
      </c>
      <c r="S3" s="159">
        <f>COUNTIF(S9:S17,"&gt;0")</f>
        <v>9</v>
      </c>
    </row>
    <row r="4" spans="2:21" ht="15" thickBot="1" x14ac:dyDescent="0.4">
      <c r="C4" s="142" t="s">
        <v>832</v>
      </c>
      <c r="D4" s="144">
        <v>0.3</v>
      </c>
      <c r="E4" s="65" t="s">
        <v>838</v>
      </c>
      <c r="F4" s="139">
        <v>0.1</v>
      </c>
    </row>
    <row r="5" spans="2:21" ht="15" thickBot="1" x14ac:dyDescent="0.4">
      <c r="C5" s="145" t="s">
        <v>833</v>
      </c>
      <c r="D5" s="146">
        <v>70</v>
      </c>
      <c r="E5" s="12" t="s">
        <v>830</v>
      </c>
      <c r="F5" s="14">
        <v>60</v>
      </c>
      <c r="Q5" s="71" t="s">
        <v>856</v>
      </c>
      <c r="R5" s="11"/>
    </row>
    <row r="6" spans="2:21" ht="15" thickBot="1" x14ac:dyDescent="0.4">
      <c r="Q6" s="12" t="s">
        <v>857</v>
      </c>
      <c r="R6" s="158">
        <v>0.01</v>
      </c>
    </row>
    <row r="7" spans="2:21" ht="15" thickBot="1" x14ac:dyDescent="0.4"/>
    <row r="8" spans="2:21" x14ac:dyDescent="0.35">
      <c r="B8" s="150" t="s">
        <v>834</v>
      </c>
      <c r="C8" s="150" t="s">
        <v>522</v>
      </c>
      <c r="D8" s="151" t="s">
        <v>550</v>
      </c>
      <c r="E8" s="151" t="s">
        <v>835</v>
      </c>
      <c r="F8" s="151" t="s">
        <v>549</v>
      </c>
      <c r="G8" s="151" t="s">
        <v>551</v>
      </c>
      <c r="H8" s="151" t="s">
        <v>552</v>
      </c>
      <c r="I8" s="151" t="s">
        <v>555</v>
      </c>
      <c r="J8" s="151" t="s">
        <v>839</v>
      </c>
      <c r="K8" s="151" t="s">
        <v>860</v>
      </c>
      <c r="L8" s="151" t="s">
        <v>840</v>
      </c>
      <c r="M8" s="151" t="s">
        <v>865</v>
      </c>
      <c r="N8" s="151" t="s">
        <v>841</v>
      </c>
      <c r="O8" s="151" t="s">
        <v>861</v>
      </c>
      <c r="P8" s="151" t="s">
        <v>842</v>
      </c>
      <c r="Q8" s="151" t="s">
        <v>862</v>
      </c>
      <c r="R8" s="166" t="s">
        <v>863</v>
      </c>
      <c r="S8" s="166" t="s">
        <v>864</v>
      </c>
    </row>
    <row r="9" spans="2:21" x14ac:dyDescent="0.35">
      <c r="B9" s="65" t="s">
        <v>435</v>
      </c>
      <c r="C9" s="65" t="str" cm="1">
        <f t="array" ref="C9">_xll.FDS(B9,"FG_COMPANY_NAME")</f>
        <v>iShares MSCI New Zealand ETF</v>
      </c>
      <c r="D9" t="s">
        <v>680</v>
      </c>
      <c r="E9" s="147">
        <f>HLOOKUP(B9,'Monthly Returns'!$A$1:$N$139,139,FALSE)</f>
        <v>0.17771521782545366</v>
      </c>
      <c r="F9">
        <f>VLOOKUP(B9,OUTPUT_COUNTRY!$B$6:$N$18, 9, FALSE)</f>
        <v>7.1</v>
      </c>
      <c r="G9" s="56">
        <f>IFERROR(VLOOKUP(B9,OUTPUT_COUNTRY!$B$6:$N$18, 7, FALSE),0)</f>
        <v>21.4</v>
      </c>
      <c r="H9">
        <f>VLOOKUP(B9,OUTPUT_COUNTRY!$B$6:$N$18, 8, FALSE)</f>
        <v>50</v>
      </c>
      <c r="I9">
        <f>VLOOKUP(B9,OUTPUT_COUNTRY!$B$6:$N$18, 11, FALSE)</f>
        <v>14.2</v>
      </c>
      <c r="J9" s="56">
        <f t="shared" ref="J9:J21" si="0">IF(F9&gt;=$D$3,1/E9,0)</f>
        <v>0</v>
      </c>
      <c r="K9" s="147">
        <f>J9/$J$22</f>
        <v>0</v>
      </c>
      <c r="L9">
        <f t="shared" ref="L9:L21" si="1">IF(G9&gt;=$D$5,1/E9,0)</f>
        <v>0</v>
      </c>
      <c r="M9" s="147">
        <f>L9/$L$22</f>
        <v>0</v>
      </c>
      <c r="N9">
        <f t="shared" ref="N9:N21" si="2">IF(H9&gt;=$F$3,1/E9,0)</f>
        <v>5.6269801327997069</v>
      </c>
      <c r="O9" s="147">
        <f>N9/$N$22</f>
        <v>0.15377686608726926</v>
      </c>
      <c r="P9">
        <f t="shared" ref="P9:P21" si="3">IF(I9&gt;=$F$5,1/E9,0)</f>
        <v>0</v>
      </c>
      <c r="Q9" s="147">
        <f>P9/$P$22</f>
        <v>0</v>
      </c>
      <c r="R9" s="167">
        <f t="shared" ref="R9:R21" si="4">IF($D$2*K9+$D$4*M9+$F$2*O9+$F$4*Q9 = 0,"",$D$2*K9+$D$4*M9+$F$2*O9+$F$4*Q9)</f>
        <v>1.5377686608726926E-2</v>
      </c>
      <c r="S9" s="167">
        <f t="shared" ref="S9:S21" si="5">IFERROR(IF(R9&gt;=$R$6, R9/SUMIF($R$9:$R$17,"&gt;="&amp;$R$6), ""),"")</f>
        <v>2.3272085040372634E-2</v>
      </c>
      <c r="U9" s="59"/>
    </row>
    <row r="10" spans="2:21" x14ac:dyDescent="0.35">
      <c r="B10" s="65" t="s">
        <v>44</v>
      </c>
      <c r="C10" s="65" t="str" cm="1">
        <f t="array" ref="C10">_xll.FDS(B10,"FG_COMPANY_NAME")</f>
        <v>iShares MSCI Australia ETF</v>
      </c>
      <c r="D10" t="s">
        <v>582</v>
      </c>
      <c r="E10" s="147">
        <f>HLOOKUP(B10,'Monthly Returns'!$A$1:$N$139,139,FALSE)</f>
        <v>0.19444105814360005</v>
      </c>
      <c r="F10">
        <f>VLOOKUP(B10,OUTPUT_COUNTRY!$B$6:$N$18, 9, FALSE)</f>
        <v>14.2</v>
      </c>
      <c r="G10" s="56">
        <f>IFERROR(VLOOKUP(B10,OUTPUT_COUNTRY!$B$6:$N$18, 7, FALSE),0)</f>
        <v>7.1</v>
      </c>
      <c r="H10">
        <f>VLOOKUP(B10,OUTPUT_COUNTRY!$B$6:$N$18, 8, FALSE)</f>
        <v>78.5</v>
      </c>
      <c r="I10">
        <f>VLOOKUP(B10,OUTPUT_COUNTRY!$B$6:$N$18, 11, FALSE)</f>
        <v>28.499999999999996</v>
      </c>
      <c r="J10" s="56">
        <f t="shared" si="0"/>
        <v>0</v>
      </c>
      <c r="K10" s="147">
        <f t="shared" ref="K10:K21" si="6">J10/$J$22</f>
        <v>0</v>
      </c>
      <c r="L10">
        <f t="shared" si="1"/>
        <v>0</v>
      </c>
      <c r="M10" s="147">
        <f t="shared" ref="M10:M21" si="7">L10/$L$22</f>
        <v>0</v>
      </c>
      <c r="N10">
        <f t="shared" si="2"/>
        <v>5.1429467086188794</v>
      </c>
      <c r="O10" s="147">
        <f t="shared" ref="O10:O21" si="8">N10/$N$22</f>
        <v>0.1405489638563468</v>
      </c>
      <c r="P10">
        <f t="shared" si="3"/>
        <v>0</v>
      </c>
      <c r="Q10" s="147">
        <f t="shared" ref="Q10:Q21" si="9">P10/$P$22</f>
        <v>0</v>
      </c>
      <c r="R10" s="167">
        <f t="shared" si="4"/>
        <v>1.4054896385634681E-2</v>
      </c>
      <c r="S10" s="167">
        <f t="shared" si="5"/>
        <v>2.1270217832017248E-2</v>
      </c>
      <c r="U10" s="59"/>
    </row>
    <row r="11" spans="2:21" x14ac:dyDescent="0.35">
      <c r="B11" s="65" t="s">
        <v>49</v>
      </c>
      <c r="C11" s="65" t="str" cm="1">
        <f t="array" ref="C11">_xll.FDS(B11,"FG_COMPANY_NAME")</f>
        <v>iShares MSCI Canada ETF</v>
      </c>
      <c r="D11" t="s">
        <v>604</v>
      </c>
      <c r="E11" s="147">
        <f>HLOOKUP(B11,'Monthly Returns'!$A$1:$N$139,139,FALSE)</f>
        <v>0.18726673315961986</v>
      </c>
      <c r="F11">
        <f>VLOOKUP(B11,OUTPUT_COUNTRY!$B$6:$N$18, 9, FALSE)</f>
        <v>35.699999999999996</v>
      </c>
      <c r="G11" s="56">
        <f>IFERROR(VLOOKUP(B11,OUTPUT_COUNTRY!$B$6:$N$18, 7, FALSE),0)</f>
        <v>14.2</v>
      </c>
      <c r="H11">
        <f>VLOOKUP(B11,OUTPUT_COUNTRY!$B$6:$N$18, 8, FALSE)</f>
        <v>50</v>
      </c>
      <c r="I11">
        <f>VLOOKUP(B11,OUTPUT_COUNTRY!$B$6:$N$18, 11, FALSE)</f>
        <v>35.699999999999996</v>
      </c>
      <c r="J11" s="56">
        <f t="shared" si="0"/>
        <v>0</v>
      </c>
      <c r="K11" s="147">
        <f t="shared" si="6"/>
        <v>0</v>
      </c>
      <c r="L11">
        <f t="shared" si="1"/>
        <v>0</v>
      </c>
      <c r="M11" s="147">
        <f t="shared" si="7"/>
        <v>0</v>
      </c>
      <c r="N11">
        <f t="shared" si="2"/>
        <v>5.3399767440148249</v>
      </c>
      <c r="O11" s="147">
        <f t="shared" si="8"/>
        <v>0.14593349706122541</v>
      </c>
      <c r="P11">
        <f t="shared" si="3"/>
        <v>0</v>
      </c>
      <c r="Q11" s="147">
        <f t="shared" si="9"/>
        <v>0</v>
      </c>
      <c r="R11" s="167">
        <f t="shared" si="4"/>
        <v>1.4593349706122541E-2</v>
      </c>
      <c r="S11" s="167">
        <f t="shared" si="5"/>
        <v>2.2085095373971648E-2</v>
      </c>
      <c r="U11" s="59"/>
    </row>
    <row r="12" spans="2:21" x14ac:dyDescent="0.35">
      <c r="B12" s="65" t="s">
        <v>11</v>
      </c>
      <c r="C12" s="65" t="str" cm="1">
        <f t="array" ref="C12">_xll.FDS(B12,"FG_COMPANY_NAME")</f>
        <v>iShares MSCI Germany ETF</v>
      </c>
      <c r="D12" t="s">
        <v>631</v>
      </c>
      <c r="E12" s="147">
        <f>HLOOKUP(B12,'Monthly Returns'!$A$1:$N$139,139,FALSE)</f>
        <v>0.22464547324400524</v>
      </c>
      <c r="F12">
        <f>VLOOKUP(B12,OUTPUT_COUNTRY!$B$6:$N$18, 9, FALSE)</f>
        <v>57.099999999999994</v>
      </c>
      <c r="G12" s="56">
        <f>IFERROR(VLOOKUP(B12,OUTPUT_COUNTRY!$B$6:$N$18, 7, FALSE),0)</f>
        <v>64.2</v>
      </c>
      <c r="H12">
        <f>VLOOKUP(B12,OUTPUT_COUNTRY!$B$6:$N$18, 8, FALSE)</f>
        <v>7.1</v>
      </c>
      <c r="I12">
        <f>VLOOKUP(B12,OUTPUT_COUNTRY!$B$6:$N$18, 11, FALSE)</f>
        <v>85.7</v>
      </c>
      <c r="J12" s="56">
        <f t="shared" si="0"/>
        <v>0</v>
      </c>
      <c r="K12" s="147">
        <f t="shared" si="6"/>
        <v>0</v>
      </c>
      <c r="L12">
        <f t="shared" si="1"/>
        <v>0</v>
      </c>
      <c r="M12" s="147">
        <f t="shared" si="7"/>
        <v>0</v>
      </c>
      <c r="N12">
        <f t="shared" si="2"/>
        <v>0</v>
      </c>
      <c r="O12" s="147">
        <f t="shared" si="8"/>
        <v>0</v>
      </c>
      <c r="P12">
        <f t="shared" si="3"/>
        <v>4.4514584939524724</v>
      </c>
      <c r="Q12" s="147">
        <f t="shared" si="9"/>
        <v>0.18585452299245767</v>
      </c>
      <c r="R12" s="167">
        <f t="shared" si="4"/>
        <v>1.8585452299245766E-2</v>
      </c>
      <c r="S12" s="167">
        <f t="shared" si="5"/>
        <v>2.8126612111887994E-2</v>
      </c>
      <c r="U12" s="59"/>
    </row>
    <row r="13" spans="2:21" x14ac:dyDescent="0.35">
      <c r="B13" s="65" t="s">
        <v>46</v>
      </c>
      <c r="C13" s="65" t="str" cm="1">
        <f t="array" ref="C13">_xll.FDS(B13,"FG_COMPANY_NAME")</f>
        <v>iShares MSCI Japan ETF</v>
      </c>
      <c r="D13" t="s">
        <v>649</v>
      </c>
      <c r="E13" s="147">
        <f>HLOOKUP(B13,'Monthly Returns'!$A$1:$N$139,139,FALSE)</f>
        <v>0.16753065563373926</v>
      </c>
      <c r="F13">
        <f>VLOOKUP(B13,OUTPUT_COUNTRY!$B$6:$N$18, 9, FALSE)</f>
        <v>42.8</v>
      </c>
      <c r="G13" s="56">
        <f>IFERROR(VLOOKUP(B13,OUTPUT_COUNTRY!$B$6:$N$18, 7, FALSE),0)</f>
        <v>57.099999999999994</v>
      </c>
      <c r="H13">
        <f>VLOOKUP(B13,OUTPUT_COUNTRY!$B$6:$N$18, 8, FALSE)</f>
        <v>78.5</v>
      </c>
      <c r="I13">
        <f>VLOOKUP(B13,OUTPUT_COUNTRY!$B$6:$N$18, 11, FALSE)</f>
        <v>7.1</v>
      </c>
      <c r="J13" s="56">
        <f t="shared" si="0"/>
        <v>0</v>
      </c>
      <c r="K13" s="147">
        <f t="shared" si="6"/>
        <v>0</v>
      </c>
      <c r="L13">
        <f t="shared" si="1"/>
        <v>0</v>
      </c>
      <c r="M13" s="147">
        <f t="shared" si="7"/>
        <v>0</v>
      </c>
      <c r="N13">
        <f t="shared" si="2"/>
        <v>5.9690568046616566</v>
      </c>
      <c r="O13" s="147">
        <f t="shared" si="8"/>
        <v>0.16312530473802397</v>
      </c>
      <c r="P13">
        <f t="shared" si="3"/>
        <v>0</v>
      </c>
      <c r="Q13" s="147">
        <f t="shared" si="9"/>
        <v>0</v>
      </c>
      <c r="R13" s="167">
        <f t="shared" si="4"/>
        <v>1.6312530473802399E-2</v>
      </c>
      <c r="S13" s="167">
        <f t="shared" si="5"/>
        <v>2.4686846992613261E-2</v>
      </c>
      <c r="U13" s="59"/>
    </row>
    <row r="14" spans="2:21" x14ac:dyDescent="0.35">
      <c r="B14" s="65" t="s">
        <v>42</v>
      </c>
      <c r="C14" s="65" t="str" cm="1">
        <f t="array" ref="C14">_xll.FDS(B14,"FG_COMPANY_NAME")</f>
        <v>iShares MSCI Switzerland ETF</v>
      </c>
      <c r="D14" t="s">
        <v>712</v>
      </c>
      <c r="E14" s="147">
        <f>HLOOKUP(B14,'Monthly Returns'!$A$1:$N$139,139,FALSE)</f>
        <v>0.1634901971395831</v>
      </c>
      <c r="F14">
        <f>VLOOKUP(B14,OUTPUT_COUNTRY!$B$6:$N$18, 9, FALSE)</f>
        <v>28.499999999999996</v>
      </c>
      <c r="G14" s="56">
        <f>IFERROR(VLOOKUP(B14,OUTPUT_COUNTRY!$B$6:$N$18, 7, FALSE),0)</f>
        <v>92.800000000000011</v>
      </c>
      <c r="H14">
        <f>VLOOKUP(B14,OUTPUT_COUNTRY!$B$6:$N$18, 8, FALSE)</f>
        <v>50</v>
      </c>
      <c r="I14">
        <f>VLOOKUP(B14,OUTPUT_COUNTRY!$B$6:$N$18, 11, FALSE)</f>
        <v>42.8</v>
      </c>
      <c r="J14" s="56">
        <f t="shared" si="0"/>
        <v>0</v>
      </c>
      <c r="K14" s="147">
        <f t="shared" si="6"/>
        <v>0</v>
      </c>
      <c r="L14">
        <f t="shared" si="1"/>
        <v>6.1165746784575079</v>
      </c>
      <c r="M14" s="147">
        <f t="shared" si="7"/>
        <v>0.27237990494007486</v>
      </c>
      <c r="N14">
        <f t="shared" si="2"/>
        <v>6.1165746784575079</v>
      </c>
      <c r="O14" s="147">
        <f t="shared" si="8"/>
        <v>0.16715674536671099</v>
      </c>
      <c r="P14">
        <f t="shared" si="3"/>
        <v>0</v>
      </c>
      <c r="Q14" s="147">
        <f t="shared" si="9"/>
        <v>0</v>
      </c>
      <c r="R14" s="167">
        <f t="shared" si="4"/>
        <v>9.8429646018693556E-2</v>
      </c>
      <c r="S14" s="167">
        <f t="shared" si="5"/>
        <v>0.14896018828611371</v>
      </c>
      <c r="U14" s="59"/>
    </row>
    <row r="15" spans="2:21" x14ac:dyDescent="0.35">
      <c r="B15" s="65" t="s">
        <v>48</v>
      </c>
      <c r="C15" s="65" t="str" cm="1">
        <f t="array" ref="C15">_xll.FDS(B15,"FG_COMPANY_NAME")</f>
        <v>iShares MSCI United Kingdom ETF</v>
      </c>
      <c r="D15" t="s">
        <v>725</v>
      </c>
      <c r="E15" s="147">
        <f>HLOOKUP(B15,'Monthly Returns'!$A$1:$N$139,139,FALSE)</f>
        <v>0.18719681313619149</v>
      </c>
      <c r="F15">
        <f>VLOOKUP(B15,OUTPUT_COUNTRY!$B$6:$N$18, 9, FALSE)</f>
        <v>21.4</v>
      </c>
      <c r="G15" s="56">
        <f>IFERROR(VLOOKUP(B15,OUTPUT_COUNTRY!$B$6:$N$18, 7, FALSE),0)</f>
        <v>85.7</v>
      </c>
      <c r="H15">
        <f>VLOOKUP(B15,OUTPUT_COUNTRY!$B$6:$N$18, 8, FALSE)</f>
        <v>7.1</v>
      </c>
      <c r="I15">
        <f>VLOOKUP(B15,OUTPUT_COUNTRY!$B$6:$N$18, 11, FALSE)</f>
        <v>50</v>
      </c>
      <c r="J15" s="56">
        <f t="shared" si="0"/>
        <v>0</v>
      </c>
      <c r="K15" s="147">
        <f t="shared" si="6"/>
        <v>0</v>
      </c>
      <c r="L15">
        <f t="shared" si="1"/>
        <v>5.3419712827721533</v>
      </c>
      <c r="M15" s="147">
        <f t="shared" si="7"/>
        <v>0.23788569692752051</v>
      </c>
      <c r="N15">
        <f t="shared" si="2"/>
        <v>0</v>
      </c>
      <c r="O15" s="147">
        <f t="shared" si="8"/>
        <v>0</v>
      </c>
      <c r="P15">
        <f t="shared" si="3"/>
        <v>0</v>
      </c>
      <c r="Q15" s="147">
        <f t="shared" si="9"/>
        <v>0</v>
      </c>
      <c r="R15" s="167">
        <f t="shared" si="4"/>
        <v>7.1365709078256151E-2</v>
      </c>
      <c r="S15" s="167">
        <f t="shared" si="5"/>
        <v>0.10800251643138185</v>
      </c>
      <c r="U15" s="59"/>
    </row>
    <row r="16" spans="2:21" x14ac:dyDescent="0.35">
      <c r="B16" s="65" t="s">
        <v>51</v>
      </c>
      <c r="C16" s="65" t="str" cm="1">
        <f t="array" ref="C16">_xll.FDS(B16,"FG_COMPANY_NAME")</f>
        <v>Invesco QQQ Trust Series I</v>
      </c>
      <c r="D16" t="s">
        <v>726</v>
      </c>
      <c r="E16" s="147">
        <f>HLOOKUP(B16,'Monthly Returns'!$A$1:$N$139,139,FALSE)</f>
        <v>0.20033775229087733</v>
      </c>
      <c r="F16">
        <f>VLOOKUP(B16,OUTPUT_COUNTRY!$B$6:$N$18, 9, FALSE)</f>
        <v>71.399999999999991</v>
      </c>
      <c r="G16" s="56">
        <f>IFERROR(VLOOKUP(B16,OUTPUT_COUNTRY!$B$6:$N$18, 7, FALSE),0)</f>
        <v>35.699999999999996</v>
      </c>
      <c r="H16">
        <f>VLOOKUP(B16,OUTPUT_COUNTRY!$B$6:$N$18, 8, FALSE)</f>
        <v>7.1</v>
      </c>
      <c r="I16">
        <f>VLOOKUP(B16,OUTPUT_COUNTRY!$B$6:$N$18, 11, FALSE)</f>
        <v>64.2</v>
      </c>
      <c r="J16" s="56">
        <f t="shared" si="0"/>
        <v>4.9915704282638913</v>
      </c>
      <c r="K16" s="147">
        <f t="shared" si="6"/>
        <v>0.25001318463661731</v>
      </c>
      <c r="L16">
        <f t="shared" si="1"/>
        <v>0</v>
      </c>
      <c r="M16" s="147">
        <f t="shared" si="7"/>
        <v>0</v>
      </c>
      <c r="N16">
        <f t="shared" si="2"/>
        <v>0</v>
      </c>
      <c r="O16" s="147">
        <f t="shared" si="8"/>
        <v>0</v>
      </c>
      <c r="P16">
        <f t="shared" si="3"/>
        <v>4.9915704282638913</v>
      </c>
      <c r="Q16" s="147">
        <f t="shared" si="9"/>
        <v>0.20840494013110034</v>
      </c>
      <c r="R16" s="167">
        <f t="shared" si="4"/>
        <v>0.14584708633141868</v>
      </c>
      <c r="S16" s="167">
        <f t="shared" si="5"/>
        <v>0.22072018258384432</v>
      </c>
      <c r="U16" s="59"/>
    </row>
    <row r="17" spans="2:21" x14ac:dyDescent="0.35">
      <c r="B17" s="65" t="s">
        <v>1</v>
      </c>
      <c r="C17" s="65" t="str" cm="1">
        <f t="array" ref="C17">_xll.FDS(B17,"FG_COMPANY_NAME")</f>
        <v>SPDR S&amp;P 500 ETF Trust</v>
      </c>
      <c r="D17" t="s">
        <v>726</v>
      </c>
      <c r="E17" s="147">
        <f>HLOOKUP(B17,'Monthly Returns'!$A$1:$N$139,139,FALSE)</f>
        <v>0.15994070460939999</v>
      </c>
      <c r="F17">
        <f>VLOOKUP(B17,OUTPUT_COUNTRY!$B$6:$N$18, 9, FALSE)</f>
        <v>92.800000000000011</v>
      </c>
      <c r="G17" s="56">
        <f>IFERROR(VLOOKUP(B17,OUTPUT_COUNTRY!$B$6:$N$18, 7, FALSE),0)</f>
        <v>71.399999999999991</v>
      </c>
      <c r="H17">
        <f>VLOOKUP(B17,OUTPUT_COUNTRY!$B$6:$N$18, 8, FALSE)</f>
        <v>7.1</v>
      </c>
      <c r="I17">
        <f>VLOOKUP(B17,OUTPUT_COUNTRY!$B$6:$N$18, 11, FALSE)</f>
        <v>64.2</v>
      </c>
      <c r="J17" s="56">
        <f t="shared" si="0"/>
        <v>6.2523170848981513</v>
      </c>
      <c r="K17" s="147">
        <f t="shared" si="6"/>
        <v>0.31316030259779365</v>
      </c>
      <c r="L17">
        <f t="shared" si="1"/>
        <v>6.2523170848981513</v>
      </c>
      <c r="M17" s="147">
        <f t="shared" si="7"/>
        <v>0.27842471035916994</v>
      </c>
      <c r="N17">
        <f t="shared" si="2"/>
        <v>0</v>
      </c>
      <c r="O17" s="147">
        <f t="shared" si="8"/>
        <v>0</v>
      </c>
      <c r="P17">
        <f t="shared" si="3"/>
        <v>6.2523170848981513</v>
      </c>
      <c r="Q17" s="147">
        <f t="shared" si="9"/>
        <v>0.26104284943687628</v>
      </c>
      <c r="R17" s="167">
        <f t="shared" si="4"/>
        <v>0.26621184935033543</v>
      </c>
      <c r="S17" s="167">
        <f t="shared" si="5"/>
        <v>0.40287625534779747</v>
      </c>
      <c r="U17" s="59"/>
    </row>
    <row r="18" spans="2:21" x14ac:dyDescent="0.35">
      <c r="B18" s="65" t="s">
        <v>872</v>
      </c>
      <c r="C18" s="65" t="str" cm="1">
        <f t="array" ref="C18">_xll.FDS(B18,"FG_COMPANY_NAME")</f>
        <v>iShares MSCI France ETF</v>
      </c>
      <c r="D18" t="s">
        <v>627</v>
      </c>
      <c r="E18" s="147">
        <f>HLOOKUP(B18,'Monthly Returns'!$A$1:$N$139,139,FALSE)</f>
        <v>0.21074019286471285</v>
      </c>
      <c r="F18">
        <f>VLOOKUP(B18,OUTPUT_COUNTRY!$B$6:$N$18, 9, FALSE)</f>
        <v>78.5</v>
      </c>
      <c r="G18" s="56">
        <f>IFERROR(VLOOKUP(B18,OUTPUT_COUNTRY!$B$6:$N$18, 7, FALSE),0)</f>
        <v>78.5</v>
      </c>
      <c r="H18">
        <f>VLOOKUP(B18,OUTPUT_COUNTRY!$B$6:$N$18, 8, FALSE)</f>
        <v>7.1</v>
      </c>
      <c r="I18">
        <f>VLOOKUP(B18,OUTPUT_COUNTRY!$B$6:$N$18, 11, FALSE)</f>
        <v>21.4</v>
      </c>
      <c r="J18" s="56">
        <f t="shared" si="0"/>
        <v>4.7451792959208392</v>
      </c>
      <c r="K18" s="147">
        <f t="shared" si="6"/>
        <v>0.2376721724143909</v>
      </c>
      <c r="L18">
        <f t="shared" si="1"/>
        <v>4.7451792959208392</v>
      </c>
      <c r="M18" s="147">
        <f t="shared" si="7"/>
        <v>0.21130968777323472</v>
      </c>
      <c r="N18">
        <f t="shared" si="2"/>
        <v>0</v>
      </c>
      <c r="O18" s="147">
        <f t="shared" si="8"/>
        <v>0</v>
      </c>
      <c r="P18">
        <f t="shared" si="3"/>
        <v>0</v>
      </c>
      <c r="Q18" s="147">
        <f t="shared" si="9"/>
        <v>0</v>
      </c>
      <c r="R18" s="167">
        <f t="shared" si="4"/>
        <v>0.18222899253916586</v>
      </c>
      <c r="S18" s="167">
        <f t="shared" si="5"/>
        <v>0.27577936259841529</v>
      </c>
    </row>
    <row r="19" spans="2:21" x14ac:dyDescent="0.35">
      <c r="B19" s="65" t="s">
        <v>874</v>
      </c>
      <c r="C19" s="65" t="str" cm="1">
        <f t="array" ref="C19">_xll.FDS(B19,"FG_COMPANY_NAME")</f>
        <v>iShares MSCI Netherlands ETF</v>
      </c>
      <c r="D19" t="s">
        <v>679</v>
      </c>
      <c r="E19" s="147">
        <f>HLOOKUP(B19,'Monthly Returns'!$A$1:$N$139,139,FALSE)</f>
        <v>0.23365590303133252</v>
      </c>
      <c r="F19">
        <f>VLOOKUP(B19,OUTPUT_COUNTRY!$B$6:$N$18, 9, FALSE)</f>
        <v>50</v>
      </c>
      <c r="G19" s="56">
        <f>IFERROR(VLOOKUP(B19,OUTPUT_COUNTRY!$B$6:$N$18, 7, FALSE),0)</f>
        <v>42.8</v>
      </c>
      <c r="H19">
        <f>VLOOKUP(B19,OUTPUT_COUNTRY!$B$6:$N$18, 8, FALSE)</f>
        <v>7.1</v>
      </c>
      <c r="I19">
        <f>VLOOKUP(B19,OUTPUT_COUNTRY!$B$6:$N$18, 11, FALSE)</f>
        <v>92.800000000000011</v>
      </c>
      <c r="J19" s="56">
        <f t="shared" si="0"/>
        <v>0</v>
      </c>
      <c r="K19" s="147">
        <f t="shared" si="6"/>
        <v>0</v>
      </c>
      <c r="L19">
        <f t="shared" si="1"/>
        <v>0</v>
      </c>
      <c r="M19" s="147">
        <f t="shared" si="7"/>
        <v>0</v>
      </c>
      <c r="N19">
        <f t="shared" si="2"/>
        <v>0</v>
      </c>
      <c r="O19" s="147">
        <f t="shared" si="8"/>
        <v>0</v>
      </c>
      <c r="P19">
        <f t="shared" si="3"/>
        <v>4.279797715471811</v>
      </c>
      <c r="Q19" s="147">
        <f t="shared" si="9"/>
        <v>0.17868744906727554</v>
      </c>
      <c r="R19" s="167">
        <f t="shared" si="4"/>
        <v>1.7868744906727557E-2</v>
      </c>
      <c r="S19" s="167">
        <f t="shared" si="5"/>
        <v>2.7041970721271937E-2</v>
      </c>
    </row>
    <row r="20" spans="2:21" x14ac:dyDescent="0.35">
      <c r="B20" s="65" t="s">
        <v>871</v>
      </c>
      <c r="C20" s="65" t="str" cm="1">
        <f t="array" ref="C20">_xll.FDS(B20,"FG_COMPANY_NAME")</f>
        <v>iShares MSCI Sweden ETF</v>
      </c>
      <c r="D20" t="s">
        <v>711</v>
      </c>
      <c r="E20" s="147">
        <f>HLOOKUP(B20,'Monthly Returns'!$A$1:$N$139,139,FALSE)</f>
        <v>0.22623647600732141</v>
      </c>
      <c r="F20">
        <f>VLOOKUP(B20,OUTPUT_COUNTRY!$B$6:$N$18, 9, FALSE)</f>
        <v>64.2</v>
      </c>
      <c r="G20" s="56">
        <f>IFERROR(VLOOKUP(B20,OUTPUT_COUNTRY!$B$6:$N$18, 7, FALSE),0)</f>
        <v>42.8</v>
      </c>
      <c r="H20">
        <f>VLOOKUP(B20,OUTPUT_COUNTRY!$B$6:$N$18, 8, FALSE)</f>
        <v>50</v>
      </c>
      <c r="I20">
        <f>VLOOKUP(B20,OUTPUT_COUNTRY!$B$6:$N$18, 11, FALSE)</f>
        <v>57.099999999999994</v>
      </c>
      <c r="J20" s="56">
        <f t="shared" si="0"/>
        <v>0</v>
      </c>
      <c r="K20" s="147">
        <f t="shared" si="6"/>
        <v>0</v>
      </c>
      <c r="L20">
        <f t="shared" si="1"/>
        <v>0</v>
      </c>
      <c r="M20" s="147">
        <f t="shared" si="7"/>
        <v>0</v>
      </c>
      <c r="N20">
        <f t="shared" si="2"/>
        <v>4.4201537154761823</v>
      </c>
      <c r="O20" s="147">
        <f t="shared" si="8"/>
        <v>0.12079612331094775</v>
      </c>
      <c r="P20">
        <f t="shared" si="3"/>
        <v>0</v>
      </c>
      <c r="Q20" s="147">
        <f t="shared" si="9"/>
        <v>0</v>
      </c>
      <c r="R20" s="167">
        <f t="shared" si="4"/>
        <v>1.2079612331094775E-2</v>
      </c>
      <c r="S20" s="167">
        <f t="shared" si="5"/>
        <v>1.8280887923963516E-2</v>
      </c>
    </row>
    <row r="21" spans="2:21" ht="15" thickBot="1" x14ac:dyDescent="0.4">
      <c r="B21" s="12" t="s">
        <v>873</v>
      </c>
      <c r="C21" s="12" t="str" cm="1">
        <f t="array" ref="C21">_xll.FDS(B21,"FG_COMPANY_NAME")</f>
        <v>iShares MSCI Italy ETF</v>
      </c>
      <c r="D21" s="13" t="s">
        <v>647</v>
      </c>
      <c r="E21" s="148">
        <f>HLOOKUP(B21,'Monthly Returns'!$A$1:$N$139,139,FALSE)</f>
        <v>0.25149880923939749</v>
      </c>
      <c r="F21" s="13">
        <f>VLOOKUP(B21,OUTPUT_COUNTRY!$B$6:$N$18, 9, FALSE)</f>
        <v>85.7</v>
      </c>
      <c r="G21" s="149">
        <f>IFERROR(VLOOKUP(B21,OUTPUT_COUNTRY!$B$6:$N$18, 7, FALSE),0)</f>
        <v>28.499999999999996</v>
      </c>
      <c r="H21" s="13">
        <f>VLOOKUP(B21,OUTPUT_COUNTRY!$B$6:$N$18, 8, FALSE)</f>
        <v>78.5</v>
      </c>
      <c r="I21" s="13">
        <f>VLOOKUP(B21,OUTPUT_COUNTRY!$B$6:$N$18, 11, FALSE)</f>
        <v>78.5</v>
      </c>
      <c r="J21" s="149">
        <f t="shared" si="0"/>
        <v>3.9761619668271146</v>
      </c>
      <c r="K21" s="148">
        <f t="shared" si="6"/>
        <v>0.19915434035119817</v>
      </c>
      <c r="L21" s="13">
        <f t="shared" si="1"/>
        <v>0</v>
      </c>
      <c r="M21" s="148">
        <f t="shared" si="7"/>
        <v>0</v>
      </c>
      <c r="N21" s="13">
        <f t="shared" si="2"/>
        <v>3.9761619668271146</v>
      </c>
      <c r="O21" s="148">
        <f t="shared" si="8"/>
        <v>0.10866249957947571</v>
      </c>
      <c r="P21" s="13">
        <f t="shared" si="3"/>
        <v>3.9761619668271146</v>
      </c>
      <c r="Q21" s="148">
        <f t="shared" si="9"/>
        <v>0.16601023837229015</v>
      </c>
      <c r="R21" s="168">
        <f t="shared" si="4"/>
        <v>0.12704444397077569</v>
      </c>
      <c r="S21" s="168">
        <f t="shared" si="5"/>
        <v>0.19226488217784768</v>
      </c>
    </row>
    <row r="22" spans="2:21" x14ac:dyDescent="0.35">
      <c r="J22" s="56">
        <f>SUM(J9:J21)</f>
        <v>19.965228775909996</v>
      </c>
      <c r="K22" s="180"/>
      <c r="L22">
        <f>SUM(L9:L21)</f>
        <v>22.456042342048651</v>
      </c>
      <c r="N22">
        <f>SUM(N9:N21)</f>
        <v>36.591850750855876</v>
      </c>
      <c r="P22">
        <f>SUM(P9:P21)</f>
        <v>23.951305689413442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4" zoomScale="95" zoomScaleNormal="95" workbookViewId="0">
      <selection activeCell="I20" sqref="I20"/>
    </sheetView>
  </sheetViews>
  <sheetFormatPr defaultRowHeight="14.5" x14ac:dyDescent="0.35"/>
  <cols>
    <col min="3" max="3" width="8.36328125" bestFit="1" customWidth="1"/>
    <col min="4" max="4" width="34.36328125" customWidth="1"/>
    <col min="5" max="5" width="9.6328125" customWidth="1"/>
    <col min="6" max="6" width="8.6328125" bestFit="1" customWidth="1"/>
    <col min="7" max="7" width="8" customWidth="1"/>
    <col min="8" max="8" width="14.36328125" customWidth="1"/>
    <col min="9" max="9" width="11.453125" customWidth="1"/>
    <col min="10" max="10" width="12.90625" customWidth="1"/>
    <col min="11" max="11" width="13.08984375" customWidth="1"/>
    <col min="12" max="12" width="17" customWidth="1"/>
  </cols>
  <sheetData>
    <row r="2" spans="3:12" x14ac:dyDescent="0.35">
      <c r="C2" s="205" t="s">
        <v>550</v>
      </c>
      <c r="D2" s="205"/>
      <c r="E2" s="205" t="s">
        <v>784</v>
      </c>
      <c r="F2" s="205"/>
      <c r="G2" s="205"/>
      <c r="H2" s="211" t="s">
        <v>784</v>
      </c>
      <c r="I2" s="205" t="s">
        <v>552</v>
      </c>
      <c r="J2" s="205" t="s">
        <v>549</v>
      </c>
      <c r="K2" s="205" t="s">
        <v>555</v>
      </c>
      <c r="L2" s="205" t="s">
        <v>743</v>
      </c>
    </row>
    <row r="3" spans="3:12" x14ac:dyDescent="0.35">
      <c r="C3" s="199"/>
      <c r="D3" s="199"/>
      <c r="E3" s="163" t="s">
        <v>551</v>
      </c>
      <c r="F3" s="163" t="s">
        <v>553</v>
      </c>
      <c r="G3" s="163" t="s">
        <v>554</v>
      </c>
      <c r="H3" s="209"/>
      <c r="I3" s="199"/>
      <c r="J3" s="199"/>
      <c r="K3" s="199"/>
      <c r="L3" s="199"/>
    </row>
    <row r="4" spans="3:12" x14ac:dyDescent="0.35">
      <c r="C4" s="86" t="s">
        <v>42</v>
      </c>
      <c r="D4" s="177" t="str" cm="1">
        <f t="array" ref="D4">_xll.FDS(C4,"FG_COMPANY_NAME")</f>
        <v>iShares MSCI Switzerland ETF</v>
      </c>
      <c r="E4" s="164" t="str">
        <f>IF(VLOOKUP(C4,OUTPUT_COUNTRY!$B$6:$N$18,3,FALSE)&gt;75,"++",(IF(VLOOKUP(C4,OUTPUT_COUNTRY!$B$6:$N$18,3,FALSE)&gt;50,"+",(IF(VLOOKUP(C4,OUTPUT_COUNTRY!$B$6:$N$18,3,FALSE)&gt;25,"-","--")))))</f>
        <v>++</v>
      </c>
      <c r="F4" s="131" t="str">
        <f>IF(VLOOKUP(C4,OUTPUT_COUNTRY!$B$6:$N$18,4,FALSE)&gt;75,"++",(IF(VLOOKUP(C4,OUTPUT_COUNTRY!$B$6:$N$18,4,FALSE)&gt;50,"+",(IF(VLOOKUP(C4,OUTPUT_COUNTRY!$B$6:$N$18,4,FALSE)&gt;25,"-","--")))))</f>
        <v>++</v>
      </c>
      <c r="G4" s="164" t="str">
        <f>IF(VLOOKUP(C4,OUTPUT_COUNTRY!$B$6:$N$18,5,FALSE)&gt;75,"++",(IF(VLOOKUP(C4,OUTPUT_COUNTRY!$B$6:$N$18,5,FALSE)&gt;50,"+",(IF(VLOOKUP(C4,OUTPUT_COUNTRY!$B$6:$N$18,5,FALSE)&gt;25,"-","--")))))</f>
        <v>++</v>
      </c>
      <c r="H4" s="131" t="str">
        <f>IF(VLOOKUP(C4,OUTPUT_COUNTRY!$B$6:$N$18,7,FALSE)&gt;75,"++",(IF(VLOOKUP(C4,OUTPUT_COUNTRY!$B$6:$N$18,7,FALSE)&gt;50,"+",(IF(VLOOKUP(C4,OUTPUT_COUNTRY!$B$6:$N$18,7,FALSE)&gt;25,"-","--")))))</f>
        <v>++</v>
      </c>
      <c r="I4" s="164" t="str">
        <f>IF(VLOOKUP(C4,OUTPUT_COUNTRY!$B$6:$N$18,8,FALSE)&gt;75,"++",(IF(VLOOKUP(C4,OUTPUT_COUNTRY!$B$6:$N$18,8,FALSE)&gt;50,"+",(IF(VLOOKUP(C4,OUTPUT_COUNTRY!$B$6:$N$18,8,FALSE)&gt;25,"-","--")))))</f>
        <v>-</v>
      </c>
      <c r="J4" s="131" t="str">
        <f>IF(VLOOKUP(C4,OUTPUT_COUNTRY!$B$6:$N$18,9,FALSE)&gt;75,"++",(IF(VLOOKUP(C4,OUTPUT_COUNTRY!$B$6:$N$18,9,FALSE)&gt;50,"+",(IF(VLOOKUP(C4,OUTPUT_COUNTRY!$B$6:$N$18,9,FALSE)&gt;25,"-","--")))))</f>
        <v>-</v>
      </c>
      <c r="K4" s="164" t="str">
        <f>IF(VLOOKUP(C4,OUTPUT_COUNTRY!$B$6:$N$18,11,FALSE)&gt;75,"++",(IF(VLOOKUP(C4,OUTPUT_COUNTRY!$B$6:$N$18,11,FALSE)&gt;50,"+",(IF(VLOOKUP(C4,OUTPUT_COUNTRY!$B$6:$N$18,11,FALSE)&gt;25,"-","--")))))</f>
        <v>-</v>
      </c>
      <c r="L4" s="131" t="str">
        <f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87" t="s">
        <v>46</v>
      </c>
      <c r="D5" s="178" t="str" cm="1">
        <f t="array" ref="D5">_xll.FDS(C5,"FG_COMPANY_NAME")</f>
        <v>iShares MSCI Japan ETF</v>
      </c>
      <c r="E5" s="170" t="str">
        <f>IF(VLOOKUP(C5,OUTPUT_COUNTRY!$B$6:$N$18,3,FALSE)&gt;75,"++",(IF(VLOOKUP(C5,OUTPUT_COUNTRY!$B$6:$N$18,3,FALSE)&gt;50,"+",(IF(VLOOKUP(C5,OUTPUT_COUNTRY!$B$6:$N$18,3,FALSE)&gt;25,"-","--")))))</f>
        <v>+</v>
      </c>
      <c r="F5" s="132" t="str">
        <f>IF(VLOOKUP(C5,OUTPUT_COUNTRY!$B$6:$N$18,4,FALSE)&gt;75,"++",(IF(VLOOKUP(C5,OUTPUT_COUNTRY!$B$6:$N$18,4,FALSE)&gt;50,"+",(IF(VLOOKUP(C5,OUTPUT_COUNTRY!$B$6:$N$18,4,FALSE)&gt;25,"-","--")))))</f>
        <v>+</v>
      </c>
      <c r="G5" s="170" t="str">
        <f>IF(VLOOKUP(C5,OUTPUT_COUNTRY!$B$6:$N$18,5,FALSE)&gt;75,"++",(IF(VLOOKUP(C5,OUTPUT_COUNTRY!$B$6:$N$18,5,FALSE)&gt;50,"+",(IF(VLOOKUP(C5,OUTPUT_COUNTRY!$B$6:$N$18,5,FALSE)&gt;25,"-","--")))))</f>
        <v>-</v>
      </c>
      <c r="H5" s="132" t="str">
        <f>IF(VLOOKUP(C5,OUTPUT_COUNTRY!$B$6:$N$18,7,FALSE)&gt;75,"++",(IF(VLOOKUP(C5,OUTPUT_COUNTRY!$B$6:$N$18,7,FALSE)&gt;50,"+",(IF(VLOOKUP(C5,OUTPUT_COUNTRY!$B$6:$N$18,7,FALSE)&gt;25,"-","--")))))</f>
        <v>+</v>
      </c>
      <c r="I5" s="170" t="str">
        <f>IF(VLOOKUP(C5,OUTPUT_COUNTRY!$B$6:$N$18,8,FALSE)&gt;75,"++",(IF(VLOOKUP(C5,OUTPUT_COUNTRY!$B$6:$N$18,8,FALSE)&gt;50,"+",(IF(VLOOKUP(C5,OUTPUT_COUNTRY!$B$6:$N$18,8,FALSE)&gt;25,"-","--")))))</f>
        <v>++</v>
      </c>
      <c r="J5" s="132" t="str">
        <f>IF(VLOOKUP(C5,OUTPUT_COUNTRY!$B$6:$N$18,9,FALSE)&gt;75,"++",(IF(VLOOKUP(C5,OUTPUT_COUNTRY!$B$6:$N$18,9,FALSE)&gt;50,"+",(IF(VLOOKUP(C5,OUTPUT_COUNTRY!$B$6:$N$18,9,FALSE)&gt;25,"-","--")))))</f>
        <v>-</v>
      </c>
      <c r="K5" s="170" t="str">
        <f>IF(VLOOKUP(C5,OUTPUT_COUNTRY!$B$6:$N$18,11,FALSE)&gt;75,"++",(IF(VLOOKUP(C5,OUTPUT_COUNTRY!$B$6:$N$18,11,FALSE)&gt;50,"+",(IF(VLOOKUP(C5,OUTPUT_COUNTRY!$B$6:$N$18,11,FALSE)&gt;25,"-","--")))))</f>
        <v>--</v>
      </c>
      <c r="L5" s="132" t="str">
        <f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87" t="s">
        <v>51</v>
      </c>
      <c r="D6" s="178" t="str" cm="1">
        <f t="array" ref="D6">_xll.FDS(C6,"FG_COMPANY_NAME")</f>
        <v>Invesco QQQ Trust Series I</v>
      </c>
      <c r="E6" s="170" t="str">
        <f>IF(VLOOKUP(C6,OUTPUT_COUNTRY!$B$6:$N$18,3,FALSE)&gt;75,"++",(IF(VLOOKUP(C6,OUTPUT_COUNTRY!$B$6:$N$18,3,FALSE)&gt;50,"+",(IF(VLOOKUP(C6,OUTPUT_COUNTRY!$B$6:$N$18,3,FALSE)&gt;25,"-","--")))))</f>
        <v>--</v>
      </c>
      <c r="F6" s="132" t="str">
        <f>IF(VLOOKUP(C6,OUTPUT_COUNTRY!$B$6:$N$18,4,FALSE)&gt;75,"++",(IF(VLOOKUP(C6,OUTPUT_COUNTRY!$B$6:$N$18,4,FALSE)&gt;50,"+",(IF(VLOOKUP(C6,OUTPUT_COUNTRY!$B$6:$N$18,4,FALSE)&gt;25,"-","--")))))</f>
        <v>++</v>
      </c>
      <c r="G6" s="170" t="str">
        <f>IF(VLOOKUP(C6,OUTPUT_COUNTRY!$B$6:$N$18,5,FALSE)&gt;75,"++",(IF(VLOOKUP(C6,OUTPUT_COUNTRY!$B$6:$N$18,5,FALSE)&gt;50,"+",(IF(VLOOKUP(C6,OUTPUT_COUNTRY!$B$6:$N$18,5,FALSE)&gt;25,"-","--")))))</f>
        <v>--</v>
      </c>
      <c r="H6" s="132" t="str">
        <f>IF(VLOOKUP(C6,OUTPUT_COUNTRY!$B$6:$N$18,7,FALSE)&gt;75,"++",(IF(VLOOKUP(C6,OUTPUT_COUNTRY!$B$6:$N$18,7,FALSE)&gt;50,"+",(IF(VLOOKUP(C6,OUTPUT_COUNTRY!$B$6:$N$18,7,FALSE)&gt;25,"-","--")))))</f>
        <v>-</v>
      </c>
      <c r="I6" s="170" t="str">
        <f>IF(VLOOKUP(C6,OUTPUT_COUNTRY!$B$6:$N$18,8,FALSE)&gt;75,"++",(IF(VLOOKUP(C6,OUTPUT_COUNTRY!$B$6:$N$18,8,FALSE)&gt;50,"+",(IF(VLOOKUP(C6,OUTPUT_COUNTRY!$B$6:$N$18,8,FALSE)&gt;25,"-","--")))))</f>
        <v>--</v>
      </c>
      <c r="J6" s="132" t="str">
        <f>IF(VLOOKUP(C6,OUTPUT_COUNTRY!$B$6:$N$18,9,FALSE)&gt;75,"++",(IF(VLOOKUP(C6,OUTPUT_COUNTRY!$B$6:$N$18,9,FALSE)&gt;50,"+",(IF(VLOOKUP(C6,OUTPUT_COUNTRY!$B$6:$N$18,9,FALSE)&gt;25,"-","--")))))</f>
        <v>+</v>
      </c>
      <c r="K6" s="170" t="str">
        <f>IF(VLOOKUP(C6,OUTPUT_COUNTRY!$B$6:$N$18,11,FALSE)&gt;75,"++",(IF(VLOOKUP(C6,OUTPUT_COUNTRY!$B$6:$N$18,11,FALSE)&gt;50,"+",(IF(VLOOKUP(C6,OUTPUT_COUNTRY!$B$6:$N$18,11,FALSE)&gt;25,"-","--")))))</f>
        <v>+</v>
      </c>
      <c r="L6" s="132" t="str">
        <f>IF(VLOOKUP(C6,OUTPUT_COUNTRY!$B$6:$N$18,13,FALSE)&gt;75,"++",(IF(VLOOKUP(C6,OUTPUT_COUNTRY!$B$6:$N$18,13,FALSE)&gt;50,"+",(IF(VLOOKUP(C6,OUTPUT_COUNTRY!$B$6:$N$18,13,FALSE)&gt;25,"-","--")))))</f>
        <v>+</v>
      </c>
    </row>
    <row r="7" spans="3:12" x14ac:dyDescent="0.35">
      <c r="C7" s="87" t="s">
        <v>1</v>
      </c>
      <c r="D7" s="178" t="str" cm="1">
        <f t="array" ref="D7">_xll.FDS(C7,"FG_COMPANY_NAME")</f>
        <v>SPDR S&amp;P 500 ETF Trust</v>
      </c>
      <c r="E7" s="170" t="str">
        <f>IF(VLOOKUP(C7,OUTPUT_COUNTRY!$B$6:$N$18,3,FALSE)&gt;75,"++",(IF(VLOOKUP(C7,OUTPUT_COUNTRY!$B$6:$N$18,3,FALSE)&gt;50,"+",(IF(VLOOKUP(C7,OUTPUT_COUNTRY!$B$6:$N$18,3,FALSE)&gt;25,"-","--")))))</f>
        <v>--</v>
      </c>
      <c r="F7" s="132" t="str">
        <f>IF(VLOOKUP(C7,OUTPUT_COUNTRY!$B$6:$N$18,4,FALSE)&gt;75,"++",(IF(VLOOKUP(C7,OUTPUT_COUNTRY!$B$6:$N$18,4,FALSE)&gt;50,"+",(IF(VLOOKUP(C7,OUTPUT_COUNTRY!$B$6:$N$18,4,FALSE)&gt;25,"-","--")))))</f>
        <v>++</v>
      </c>
      <c r="G7" s="170" t="str">
        <f>IF(VLOOKUP(C7,OUTPUT_COUNTRY!$B$6:$N$18,5,FALSE)&gt;75,"++",(IF(VLOOKUP(C7,OUTPUT_COUNTRY!$B$6:$N$18,5,FALSE)&gt;50,"+",(IF(VLOOKUP(C7,OUTPUT_COUNTRY!$B$6:$N$18,5,FALSE)&gt;25,"-","--")))))</f>
        <v>+</v>
      </c>
      <c r="H7" s="132" t="str">
        <f>IF(VLOOKUP(C7,OUTPUT_COUNTRY!$B$6:$N$18,7,FALSE)&gt;75,"++",(IF(VLOOKUP(C7,OUTPUT_COUNTRY!$B$6:$N$18,7,FALSE)&gt;50,"+",(IF(VLOOKUP(C7,OUTPUT_COUNTRY!$B$6:$N$18,7,FALSE)&gt;25,"-","--")))))</f>
        <v>+</v>
      </c>
      <c r="I7" s="170" t="str">
        <f>IF(VLOOKUP(C7,OUTPUT_COUNTRY!$B$6:$N$18,8,FALSE)&gt;75,"++",(IF(VLOOKUP(C7,OUTPUT_COUNTRY!$B$6:$N$18,8,FALSE)&gt;50,"+",(IF(VLOOKUP(C7,OUTPUT_COUNTRY!$B$6:$N$18,8,FALSE)&gt;25,"-","--")))))</f>
        <v>--</v>
      </c>
      <c r="J7" s="132" t="str">
        <f>IF(VLOOKUP(C7,OUTPUT_COUNTRY!$B$6:$N$18,9,FALSE)&gt;75,"++",(IF(VLOOKUP(C7,OUTPUT_COUNTRY!$B$6:$N$18,9,FALSE)&gt;50,"+",(IF(VLOOKUP(C7,OUTPUT_COUNTRY!$B$6:$N$18,9,FALSE)&gt;25,"-","--")))))</f>
        <v>++</v>
      </c>
      <c r="K7" s="170" t="str">
        <f>IF(VLOOKUP(C7,OUTPUT_COUNTRY!$B$6:$N$18,11,FALSE)&gt;75,"++",(IF(VLOOKUP(C7,OUTPUT_COUNTRY!$B$6:$N$18,11,FALSE)&gt;50,"+",(IF(VLOOKUP(C7,OUTPUT_COUNTRY!$B$6:$N$18,11,FALSE)&gt;25,"-","--")))))</f>
        <v>+</v>
      </c>
      <c r="L7" s="132" t="str">
        <f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87" t="s">
        <v>11</v>
      </c>
      <c r="D8" s="178" t="str" cm="1">
        <f t="array" ref="D8">_xll.FDS(C8,"FG_COMPANY_NAME")</f>
        <v>iShares MSCI Germany ETF</v>
      </c>
      <c r="E8" s="170" t="str">
        <f>IF(VLOOKUP(C8,OUTPUT_COUNTRY!$B$6:$N$18,3,FALSE)&gt;75,"++",(IF(VLOOKUP(C8,OUTPUT_COUNTRY!$B$6:$N$18,3,FALSE)&gt;50,"+",(IF(VLOOKUP(C8,OUTPUT_COUNTRY!$B$6:$N$18,3,FALSE)&gt;25,"-","--")))))</f>
        <v>+</v>
      </c>
      <c r="F8" s="132" t="str">
        <f>IF(VLOOKUP(C8,OUTPUT_COUNTRY!$B$6:$N$18,4,FALSE)&gt;75,"++",(IF(VLOOKUP(C8,OUTPUT_COUNTRY!$B$6:$N$18,4,FALSE)&gt;50,"+",(IF(VLOOKUP(C8,OUTPUT_COUNTRY!$B$6:$N$18,4,FALSE)&gt;25,"-","--")))))</f>
        <v>-</v>
      </c>
      <c r="G8" s="170" t="str">
        <f>IF(VLOOKUP(C8,OUTPUT_COUNTRY!$B$6:$N$18,5,FALSE)&gt;75,"++",(IF(VLOOKUP(C8,OUTPUT_COUNTRY!$B$6:$N$18,5,FALSE)&gt;50,"+",(IF(VLOOKUP(C8,OUTPUT_COUNTRY!$B$6:$N$18,5,FALSE)&gt;25,"-","--")))))</f>
        <v>-</v>
      </c>
      <c r="H8" s="132" t="str">
        <f>IF(VLOOKUP(C8,OUTPUT_COUNTRY!$B$6:$N$18,7,FALSE)&gt;75,"++",(IF(VLOOKUP(C8,OUTPUT_COUNTRY!$B$6:$N$18,7,FALSE)&gt;50,"+",(IF(VLOOKUP(C8,OUTPUT_COUNTRY!$B$6:$N$18,7,FALSE)&gt;25,"-","--")))))</f>
        <v>+</v>
      </c>
      <c r="I8" s="170" t="str">
        <f>IF(VLOOKUP(C8,OUTPUT_COUNTRY!$B$6:$N$18,8,FALSE)&gt;75,"++",(IF(VLOOKUP(C8,OUTPUT_COUNTRY!$B$6:$N$18,8,FALSE)&gt;50,"+",(IF(VLOOKUP(C8,OUTPUT_COUNTRY!$B$6:$N$18,8,FALSE)&gt;25,"-","--")))))</f>
        <v>--</v>
      </c>
      <c r="J8" s="132" t="str">
        <f>IF(VLOOKUP(C8,OUTPUT_COUNTRY!$B$6:$N$18,9,FALSE)&gt;75,"++",(IF(VLOOKUP(C8,OUTPUT_COUNTRY!$B$6:$N$18,9,FALSE)&gt;50,"+",(IF(VLOOKUP(C8,OUTPUT_COUNTRY!$B$6:$N$18,9,FALSE)&gt;25,"-","--")))))</f>
        <v>+</v>
      </c>
      <c r="K8" s="170" t="str">
        <f>IF(VLOOKUP(C8,OUTPUT_COUNTRY!$B$6:$N$18,11,FALSE)&gt;75,"++",(IF(VLOOKUP(C8,OUTPUT_COUNTRY!$B$6:$N$18,11,FALSE)&gt;50,"+",(IF(VLOOKUP(C8,OUTPUT_COUNTRY!$B$6:$N$18,11,FALSE)&gt;25,"-","--")))))</f>
        <v>++</v>
      </c>
      <c r="L8" s="132" t="str">
        <f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87" t="s">
        <v>48</v>
      </c>
      <c r="D9" s="178" t="str" cm="1">
        <f t="array" ref="D9">_xll.FDS(C9,"FG_COMPANY_NAME")</f>
        <v>iShares MSCI United Kingdom ETF</v>
      </c>
      <c r="E9" s="170" t="str">
        <f>IF(VLOOKUP(C9,OUTPUT_COUNTRY!$B$6:$N$18,3,FALSE)&gt;75,"++",(IF(VLOOKUP(C9,OUTPUT_COUNTRY!$B$6:$N$18,3,FALSE)&gt;50,"+",(IF(VLOOKUP(C9,OUTPUT_COUNTRY!$B$6:$N$18,3,FALSE)&gt;25,"-","--")))))</f>
        <v>++</v>
      </c>
      <c r="F9" s="132" t="str">
        <f>IF(VLOOKUP(C9,OUTPUT_COUNTRY!$B$6:$N$18,4,FALSE)&gt;75,"++",(IF(VLOOKUP(C9,OUTPUT_COUNTRY!$B$6:$N$18,4,FALSE)&gt;50,"+",(IF(VLOOKUP(C9,OUTPUT_COUNTRY!$B$6:$N$18,4,FALSE)&gt;25,"-","--")))))</f>
        <v>+</v>
      </c>
      <c r="G9" s="170" t="str">
        <f>IF(VLOOKUP(C9,OUTPUT_COUNTRY!$B$6:$N$18,5,FALSE)&gt;75,"++",(IF(VLOOKUP(C9,OUTPUT_COUNTRY!$B$6:$N$18,5,FALSE)&gt;50,"+",(IF(VLOOKUP(C9,OUTPUT_COUNTRY!$B$6:$N$18,5,FALSE)&gt;25,"-","--")))))</f>
        <v>++</v>
      </c>
      <c r="H9" s="132" t="str">
        <f>IF(VLOOKUP(C9,OUTPUT_COUNTRY!$B$6:$N$18,7,FALSE)&gt;75,"++",(IF(VLOOKUP(C9,OUTPUT_COUNTRY!$B$6:$N$18,7,FALSE)&gt;50,"+",(IF(VLOOKUP(C9,OUTPUT_COUNTRY!$B$6:$N$18,7,FALSE)&gt;25,"-","--")))))</f>
        <v>++</v>
      </c>
      <c r="I9" s="170" t="str">
        <f>IF(VLOOKUP(C9,OUTPUT_COUNTRY!$B$6:$N$18,8,FALSE)&gt;75,"++",(IF(VLOOKUP(C9,OUTPUT_COUNTRY!$B$6:$N$18,8,FALSE)&gt;50,"+",(IF(VLOOKUP(C9,OUTPUT_COUNTRY!$B$6:$N$18,8,FALSE)&gt;25,"-","--")))))</f>
        <v>--</v>
      </c>
      <c r="J9" s="132" t="str">
        <f>IF(VLOOKUP(C9,OUTPUT_COUNTRY!$B$6:$N$18,9,FALSE)&gt;75,"++",(IF(VLOOKUP(C9,OUTPUT_COUNTRY!$B$6:$N$18,9,FALSE)&gt;50,"+",(IF(VLOOKUP(C9,OUTPUT_COUNTRY!$B$6:$N$18,9,FALSE)&gt;25,"-","--")))))</f>
        <v>--</v>
      </c>
      <c r="K9" s="170" t="str">
        <f>IF(VLOOKUP(C9,OUTPUT_COUNTRY!$B$6:$N$18,11,FALSE)&gt;75,"++",(IF(VLOOKUP(C9,OUTPUT_COUNTRY!$B$6:$N$18,11,FALSE)&gt;50,"+",(IF(VLOOKUP(C9,OUTPUT_COUNTRY!$B$6:$N$18,11,FALSE)&gt;25,"-","--")))))</f>
        <v>-</v>
      </c>
      <c r="L9" s="132" t="str">
        <f>IF(VLOOKUP(C9,OUTPUT_COUNTRY!$B$6:$N$18,13,FALSE)&gt;75,"++",(IF(VLOOKUP(C9,OUTPUT_COUNTRY!$B$6:$N$18,13,FALSE)&gt;50,"+",(IF(VLOOKUP(C9,OUTPUT_COUNTRY!$B$6:$N$18,13,FALSE)&gt;25,"-","--")))))</f>
        <v>--</v>
      </c>
    </row>
    <row r="10" spans="3:12" x14ac:dyDescent="0.35">
      <c r="C10" s="87" t="s">
        <v>49</v>
      </c>
      <c r="D10" s="178" t="str" cm="1">
        <f t="array" ref="D10">_xll.FDS(C10,"FG_COMPANY_NAME")</f>
        <v>iShares MSCI Canada ETF</v>
      </c>
      <c r="E10" s="170" t="str">
        <f>IF(VLOOKUP(C10,OUTPUT_COUNTRY!$B$6:$N$18,3,FALSE)&gt;75,"++",(IF(VLOOKUP(C10,OUTPUT_COUNTRY!$B$6:$N$18,3,FALSE)&gt;50,"+",(IF(VLOOKUP(C10,OUTPUT_COUNTRY!$B$6:$N$18,3,FALSE)&gt;25,"-","--")))))</f>
        <v>-</v>
      </c>
      <c r="F10" s="132" t="str">
        <f>IF(VLOOKUP(C10,OUTPUT_COUNTRY!$B$6:$N$18,4,FALSE)&gt;75,"++",(IF(VLOOKUP(C10,OUTPUT_COUNTRY!$B$6:$N$18,4,FALSE)&gt;50,"+",(IF(VLOOKUP(C10,OUTPUT_COUNTRY!$B$6:$N$18,4,FALSE)&gt;25,"-","--")))))</f>
        <v>-</v>
      </c>
      <c r="G10" s="170" t="str">
        <f>IF(VLOOKUP(C10,OUTPUT_COUNTRY!$B$6:$N$18,5,FALSE)&gt;75,"++",(IF(VLOOKUP(C10,OUTPUT_COUNTRY!$B$6:$N$18,5,FALSE)&gt;50,"+",(IF(VLOOKUP(C10,OUTPUT_COUNTRY!$B$6:$N$18,5,FALSE)&gt;25,"-","--")))))</f>
        <v>--</v>
      </c>
      <c r="H10" s="132" t="str">
        <f>IF(VLOOKUP(C10,OUTPUT_COUNTRY!$B$6:$N$18,7,FALSE)&gt;75,"++",(IF(VLOOKUP(C10,OUTPUT_COUNTRY!$B$6:$N$18,7,FALSE)&gt;50,"+",(IF(VLOOKUP(C10,OUTPUT_COUNTRY!$B$6:$N$18,7,FALSE)&gt;25,"-","--")))))</f>
        <v>--</v>
      </c>
      <c r="I10" s="170" t="str">
        <f>IF(VLOOKUP(C10,OUTPUT_COUNTRY!$B$6:$N$18,8,FALSE)&gt;75,"++",(IF(VLOOKUP(C10,OUTPUT_COUNTRY!$B$6:$N$18,8,FALSE)&gt;50,"+",(IF(VLOOKUP(C10,OUTPUT_COUNTRY!$B$6:$N$18,8,FALSE)&gt;25,"-","--")))))</f>
        <v>-</v>
      </c>
      <c r="J10" s="132" t="str">
        <f>IF(VLOOKUP(C10,OUTPUT_COUNTRY!$B$6:$N$18,9,FALSE)&gt;75,"++",(IF(VLOOKUP(C10,OUTPUT_COUNTRY!$B$6:$N$18,9,FALSE)&gt;50,"+",(IF(VLOOKUP(C10,OUTPUT_COUNTRY!$B$6:$N$18,9,FALSE)&gt;25,"-","--")))))</f>
        <v>-</v>
      </c>
      <c r="K10" s="170" t="str">
        <f>IF(VLOOKUP(C10,OUTPUT_COUNTRY!$B$6:$N$18,11,FALSE)&gt;75,"++",(IF(VLOOKUP(C10,OUTPUT_COUNTRY!$B$6:$N$18,11,FALSE)&gt;50,"+",(IF(VLOOKUP(C10,OUTPUT_COUNTRY!$B$6:$N$18,11,FALSE)&gt;25,"-","--")))))</f>
        <v>-</v>
      </c>
      <c r="L10" s="132" t="str">
        <f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87" t="s">
        <v>44</v>
      </c>
      <c r="D11" s="178" t="str" cm="1">
        <f t="array" ref="D11">_xll.FDS(C11,"FG_COMPANY_NAME")</f>
        <v>iShares MSCI Australia ETF</v>
      </c>
      <c r="E11" s="170" t="str">
        <f>IF(VLOOKUP(C11,OUTPUT_COUNTRY!$B$6:$N$18,3,FALSE)&gt;75,"++",(IF(VLOOKUP(C11,OUTPUT_COUNTRY!$B$6:$N$18,3,FALSE)&gt;50,"+",(IF(VLOOKUP(C11,OUTPUT_COUNTRY!$B$6:$N$18,3,FALSE)&gt;25,"-","--")))))</f>
        <v>-</v>
      </c>
      <c r="F11" s="132" t="str">
        <f>IF(VLOOKUP(C11,OUTPUT_COUNTRY!$B$6:$N$18,4,FALSE)&gt;75,"++",(IF(VLOOKUP(C11,OUTPUT_COUNTRY!$B$6:$N$18,4,FALSE)&gt;50,"+",(IF(VLOOKUP(C11,OUTPUT_COUNTRY!$B$6:$N$18,4,FALSE)&gt;25,"-","--")))))</f>
        <v>--</v>
      </c>
      <c r="G11" s="170" t="str">
        <f>IF(VLOOKUP(C11,OUTPUT_COUNTRY!$B$6:$N$18,5,FALSE)&gt;75,"++",(IF(VLOOKUP(C11,OUTPUT_COUNTRY!$B$6:$N$18,5,FALSE)&gt;50,"+",(IF(VLOOKUP(C11,OUTPUT_COUNTRY!$B$6:$N$18,5,FALSE)&gt;25,"-","--")))))</f>
        <v>-</v>
      </c>
      <c r="H11" s="132" t="str">
        <f>IF(VLOOKUP(C11,OUTPUT_COUNTRY!$B$6:$N$18,7,FALSE)&gt;75,"++",(IF(VLOOKUP(C11,OUTPUT_COUNTRY!$B$6:$N$18,7,FALSE)&gt;50,"+",(IF(VLOOKUP(C11,OUTPUT_COUNTRY!$B$6:$N$18,7,FALSE)&gt;25,"-","--")))))</f>
        <v>--</v>
      </c>
      <c r="I11" s="170" t="str">
        <f>IF(VLOOKUP(C11,OUTPUT_COUNTRY!$B$6:$N$18,8,FALSE)&gt;75,"++",(IF(VLOOKUP(C11,OUTPUT_COUNTRY!$B$6:$N$18,8,FALSE)&gt;50,"+",(IF(VLOOKUP(C11,OUTPUT_COUNTRY!$B$6:$N$18,8,FALSE)&gt;25,"-","--")))))</f>
        <v>++</v>
      </c>
      <c r="J11" s="132" t="str">
        <f>IF(VLOOKUP(C11,OUTPUT_COUNTRY!$B$6:$N$18,9,FALSE)&gt;75,"++",(IF(VLOOKUP(C11,OUTPUT_COUNTRY!$B$6:$N$18,9,FALSE)&gt;50,"+",(IF(VLOOKUP(C11,OUTPUT_COUNTRY!$B$6:$N$18,9,FALSE)&gt;25,"-","--")))))</f>
        <v>--</v>
      </c>
      <c r="K11" s="170" t="str">
        <f>IF(VLOOKUP(C11,OUTPUT_COUNTRY!$B$6:$N$18,11,FALSE)&gt;75,"++",(IF(VLOOKUP(C11,OUTPUT_COUNTRY!$B$6:$N$18,11,FALSE)&gt;50,"+",(IF(VLOOKUP(C11,OUTPUT_COUNTRY!$B$6:$N$18,11,FALSE)&gt;25,"-","--")))))</f>
        <v>-</v>
      </c>
      <c r="L11" s="132" t="str">
        <f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87" t="s">
        <v>435</v>
      </c>
      <c r="D12" s="178" t="str" cm="1">
        <f t="array" ref="D12">_xll.FDS(C12,"FG_COMPANY_NAME")</f>
        <v>iShares MSCI New Zealand ETF</v>
      </c>
      <c r="E12" s="170" t="str">
        <f>IF(VLOOKUP(C12,OUTPUT_COUNTRY!$B$6:$N$18,3,FALSE)&gt;75,"++",(IF(VLOOKUP(C12,OUTPUT_COUNTRY!$B$6:$N$18,3,FALSE)&gt;50,"+",(IF(VLOOKUP(C12,OUTPUT_COUNTRY!$B$6:$N$18,3,FALSE)&gt;25,"-","--")))))</f>
        <v>--</v>
      </c>
      <c r="F12" s="132" t="str">
        <f>IF(VLOOKUP(C12,OUTPUT_COUNTRY!$B$6:$N$18,4,FALSE)&gt;75,"++",(IF(VLOOKUP(C12,OUTPUT_COUNTRY!$B$6:$N$18,4,FALSE)&gt;50,"+",(IF(VLOOKUP(C12,OUTPUT_COUNTRY!$B$6:$N$18,4,FALSE)&gt;25,"-","--")))))</f>
        <v>--</v>
      </c>
      <c r="G12" s="170" t="str">
        <f>IF(VLOOKUP(C12,OUTPUT_COUNTRY!$B$6:$N$18,5,FALSE)&gt;75,"++",(IF(VLOOKUP(C12,OUTPUT_COUNTRY!$B$6:$N$18,5,FALSE)&gt;50,"+",(IF(VLOOKUP(C12,OUTPUT_COUNTRY!$B$6:$N$18,5,FALSE)&gt;25,"-","--")))))</f>
        <v>++</v>
      </c>
      <c r="H12" s="132" t="str">
        <f>IF(VLOOKUP(C12,OUTPUT_COUNTRY!$B$6:$N$18,7,FALSE)&gt;75,"++",(IF(VLOOKUP(C12,OUTPUT_COUNTRY!$B$6:$N$18,7,FALSE)&gt;50,"+",(IF(VLOOKUP(C12,OUTPUT_COUNTRY!$B$6:$N$18,7,FALSE)&gt;25,"-","--")))))</f>
        <v>--</v>
      </c>
      <c r="I12" s="170" t="str">
        <f>IF(VLOOKUP(C12,OUTPUT_COUNTRY!$B$6:$N$18,8,FALSE)&gt;75,"++",(IF(VLOOKUP(C12,OUTPUT_COUNTRY!$B$6:$N$18,8,FALSE)&gt;50,"+",(IF(VLOOKUP(C12,OUTPUT_COUNTRY!$B$6:$N$18,8,FALSE)&gt;25,"-","--")))))</f>
        <v>-</v>
      </c>
      <c r="J12" s="132" t="str">
        <f>IF(VLOOKUP(C12,OUTPUT_COUNTRY!$B$6:$N$18,9,FALSE)&gt;75,"++",(IF(VLOOKUP(C12,OUTPUT_COUNTRY!$B$6:$N$18,9,FALSE)&gt;50,"+",(IF(VLOOKUP(C12,OUTPUT_COUNTRY!$B$6:$N$18,9,FALSE)&gt;25,"-","--")))))</f>
        <v>--</v>
      </c>
      <c r="K12" s="170" t="str">
        <f>IF(VLOOKUP(C12,OUTPUT_COUNTRY!$B$6:$N$18,11,FALSE)&gt;75,"++",(IF(VLOOKUP(C12,OUTPUT_COUNTRY!$B$6:$N$18,11,FALSE)&gt;50,"+",(IF(VLOOKUP(C12,OUTPUT_COUNTRY!$B$6:$N$18,11,FALSE)&gt;25,"-","--")))))</f>
        <v>--</v>
      </c>
      <c r="L12" s="132" t="str">
        <f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87" t="s">
        <v>872</v>
      </c>
      <c r="D13" s="178" t="str" cm="1">
        <f t="array" ref="D13">_xll.FDS(C13,"FG_COMPANY_NAME")</f>
        <v>iShares MSCI France ETF</v>
      </c>
      <c r="E13" s="170" t="str">
        <f>IF(VLOOKUP(C13,OUTPUT_COUNTRY!$B$6:$N$18,3,FALSE)&gt;75,"++",(IF(VLOOKUP(C13,OUTPUT_COUNTRY!$B$6:$N$18,3,FALSE)&gt;50,"+",(IF(VLOOKUP(C13,OUTPUT_COUNTRY!$B$6:$N$18,3,FALSE)&gt;25,"-","--")))))</f>
        <v>-</v>
      </c>
      <c r="F13" s="132" t="str">
        <f>IF(VLOOKUP(C13,OUTPUT_COUNTRY!$B$6:$N$18,4,FALSE)&gt;75,"++",(IF(VLOOKUP(C13,OUTPUT_COUNTRY!$B$6:$N$18,4,FALSE)&gt;50,"+",(IF(VLOOKUP(C13,OUTPUT_COUNTRY!$B$6:$N$18,4,FALSE)&gt;25,"-","--")))))</f>
        <v>+</v>
      </c>
      <c r="G13" s="170" t="str">
        <f>IF(VLOOKUP(C13,OUTPUT_COUNTRY!$B$6:$N$18,5,FALSE)&gt;75,"++",(IF(VLOOKUP(C13,OUTPUT_COUNTRY!$B$6:$N$18,5,FALSE)&gt;50,"+",(IF(VLOOKUP(C13,OUTPUT_COUNTRY!$B$6:$N$18,5,FALSE)&gt;25,"-","--")))))</f>
        <v>+</v>
      </c>
      <c r="H13" s="132" t="str">
        <f>IF(VLOOKUP(C13,OUTPUT_COUNTRY!$B$6:$N$18,7,FALSE)&gt;75,"++",(IF(VLOOKUP(C13,OUTPUT_COUNTRY!$B$6:$N$18,7,FALSE)&gt;50,"+",(IF(VLOOKUP(C13,OUTPUT_COUNTRY!$B$6:$N$18,7,FALSE)&gt;25,"-","--")))))</f>
        <v>++</v>
      </c>
      <c r="I13" s="170" t="str">
        <f>IF(VLOOKUP(C13,OUTPUT_COUNTRY!$B$6:$N$18,8,FALSE)&gt;75,"++",(IF(VLOOKUP(C13,OUTPUT_COUNTRY!$B$6:$N$18,8,FALSE)&gt;50,"+",(IF(VLOOKUP(C13,OUTPUT_COUNTRY!$B$6:$N$18,8,FALSE)&gt;25,"-","--")))))</f>
        <v>--</v>
      </c>
      <c r="J13" s="132" t="str">
        <f>IF(VLOOKUP(C13,OUTPUT_COUNTRY!$B$6:$N$18,9,FALSE)&gt;75,"++",(IF(VLOOKUP(C13,OUTPUT_COUNTRY!$B$6:$N$18,9,FALSE)&gt;50,"+",(IF(VLOOKUP(C13,OUTPUT_COUNTRY!$B$6:$N$18,9,FALSE)&gt;25,"-","--")))))</f>
        <v>++</v>
      </c>
      <c r="K13" s="170" t="str">
        <f>IF(VLOOKUP(C13,OUTPUT_COUNTRY!$B$6:$N$18,11,FALSE)&gt;75,"++",(IF(VLOOKUP(C13,OUTPUT_COUNTRY!$B$6:$N$18,11,FALSE)&gt;50,"+",(IF(VLOOKUP(C13,OUTPUT_COUNTRY!$B$6:$N$18,11,FALSE)&gt;25,"-","--")))))</f>
        <v>--</v>
      </c>
      <c r="L13" s="132" t="str">
        <f>IF(VLOOKUP(C13,OUTPUT_COUNTRY!$B$6:$N$18,13,FALSE)&gt;75,"++",(IF(VLOOKUP(C13,OUTPUT_COUNTRY!$B$6:$N$18,13,FALSE)&gt;50,"+",(IF(VLOOKUP(C13,OUTPUT_COUNTRY!$B$6:$N$18,13,FALSE)&gt;25,"-","--")))))</f>
        <v>++</v>
      </c>
    </row>
    <row r="14" spans="3:12" x14ac:dyDescent="0.35">
      <c r="C14" s="87" t="s">
        <v>874</v>
      </c>
      <c r="D14" s="178" t="str" cm="1">
        <f t="array" ref="D14">_xll.FDS(C14,"FG_COMPANY_NAME")</f>
        <v>iShares MSCI Netherlands ETF</v>
      </c>
      <c r="E14" s="170" t="str">
        <f>IF(VLOOKUP(C14,OUTPUT_COUNTRY!$B$6:$N$18,3,FALSE)&gt;75,"++",(IF(VLOOKUP(C14,OUTPUT_COUNTRY!$B$6:$N$18,3,FALSE)&gt;50,"+",(IF(VLOOKUP(C14,OUTPUT_COUNTRY!$B$6:$N$18,3,FALSE)&gt;25,"-","--")))))</f>
        <v>-</v>
      </c>
      <c r="F14" s="132" t="str">
        <f>IF(VLOOKUP(C14,OUTPUT_COUNTRY!$B$6:$N$18,4,FALSE)&gt;75,"++",(IF(VLOOKUP(C14,OUTPUT_COUNTRY!$B$6:$N$18,4,FALSE)&gt;50,"+",(IF(VLOOKUP(C14,OUTPUT_COUNTRY!$B$6:$N$18,4,FALSE)&gt;25,"-","--")))))</f>
        <v>-</v>
      </c>
      <c r="G14" s="170" t="str">
        <f>IF(VLOOKUP(C14,OUTPUT_COUNTRY!$B$6:$N$18,5,FALSE)&gt;75,"++",(IF(VLOOKUP(C14,OUTPUT_COUNTRY!$B$6:$N$18,5,FALSE)&gt;50,"+",(IF(VLOOKUP(C14,OUTPUT_COUNTRY!$B$6:$N$18,5,FALSE)&gt;25,"-","--")))))</f>
        <v>+</v>
      </c>
      <c r="H14" s="132" t="str">
        <f>IF(VLOOKUP(C14,OUTPUT_COUNTRY!$B$6:$N$18,7,FALSE)&gt;75,"++",(IF(VLOOKUP(C14,OUTPUT_COUNTRY!$B$6:$N$18,7,FALSE)&gt;50,"+",(IF(VLOOKUP(C14,OUTPUT_COUNTRY!$B$6:$N$18,7,FALSE)&gt;25,"-","--")))))</f>
        <v>-</v>
      </c>
      <c r="I14" s="170" t="str">
        <f>IF(VLOOKUP(C14,OUTPUT_COUNTRY!$B$6:$N$18,8,FALSE)&gt;75,"++",(IF(VLOOKUP(C14,OUTPUT_COUNTRY!$B$6:$N$18,8,FALSE)&gt;50,"+",(IF(VLOOKUP(C14,OUTPUT_COUNTRY!$B$6:$N$18,8,FALSE)&gt;25,"-","--")))))</f>
        <v>--</v>
      </c>
      <c r="J14" s="132" t="str">
        <f>IF(VLOOKUP(C14,OUTPUT_COUNTRY!$B$6:$N$18,9,FALSE)&gt;75,"++",(IF(VLOOKUP(C14,OUTPUT_COUNTRY!$B$6:$N$18,9,FALSE)&gt;50,"+",(IF(VLOOKUP(C14,OUTPUT_COUNTRY!$B$6:$N$18,9,FALSE)&gt;25,"-","--")))))</f>
        <v>-</v>
      </c>
      <c r="K14" s="170" t="str">
        <f>IF(VLOOKUP(C14,OUTPUT_COUNTRY!$B$6:$N$18,11,FALSE)&gt;75,"++",(IF(VLOOKUP(C14,OUTPUT_COUNTRY!$B$6:$N$18,11,FALSE)&gt;50,"+",(IF(VLOOKUP(C14,OUTPUT_COUNTRY!$B$6:$N$18,11,FALSE)&gt;25,"-","--")))))</f>
        <v>++</v>
      </c>
      <c r="L14" s="132" t="str">
        <f>IF(VLOOKUP(C14,OUTPUT_COUNTRY!$B$6:$N$18,13,FALSE)&gt;75,"++",(IF(VLOOKUP(C14,OUTPUT_COUNTRY!$B$6:$N$18,13,FALSE)&gt;50,"+",(IF(VLOOKUP(C14,OUTPUT_COUNTRY!$B$6:$N$18,13,FALSE)&gt;25,"-","--")))))</f>
        <v>-</v>
      </c>
    </row>
    <row r="15" spans="3:12" x14ac:dyDescent="0.35">
      <c r="C15" s="87" t="s">
        <v>871</v>
      </c>
      <c r="D15" s="178" t="str" cm="1">
        <f t="array" ref="D15">_xll.FDS(C15,"FG_COMPANY_NAME")</f>
        <v>iShares MSCI Sweden ETF</v>
      </c>
      <c r="E15" s="170" t="str">
        <f>IF(VLOOKUP(C15,OUTPUT_COUNTRY!$B$6:$N$18,3,FALSE)&gt;75,"++",(IF(VLOOKUP(C15,OUTPUT_COUNTRY!$B$6:$N$18,3,FALSE)&gt;50,"+",(IF(VLOOKUP(C15,OUTPUT_COUNTRY!$B$6:$N$18,3,FALSE)&gt;25,"-","--")))))</f>
        <v>+</v>
      </c>
      <c r="F15" s="132" t="str">
        <f>IF(VLOOKUP(C15,OUTPUT_COUNTRY!$B$6:$N$18,4,FALSE)&gt;75,"++",(IF(VLOOKUP(C15,OUTPUT_COUNTRY!$B$6:$N$18,4,FALSE)&gt;50,"+",(IF(VLOOKUP(C15,OUTPUT_COUNTRY!$B$6:$N$18,4,FALSE)&gt;25,"-","--")))))</f>
        <v>-</v>
      </c>
      <c r="G15" s="170" t="str">
        <f>IF(VLOOKUP(C15,OUTPUT_COUNTRY!$B$6:$N$18,5,FALSE)&gt;75,"++",(IF(VLOOKUP(C15,OUTPUT_COUNTRY!$B$6:$N$18,5,FALSE)&gt;50,"+",(IF(VLOOKUP(C15,OUTPUT_COUNTRY!$B$6:$N$18,5,FALSE)&gt;25,"-","--")))))</f>
        <v>-</v>
      </c>
      <c r="H15" s="132" t="str">
        <f>IF(VLOOKUP(C15,OUTPUT_COUNTRY!$B$6:$N$18,7,FALSE)&gt;75,"++",(IF(VLOOKUP(C15,OUTPUT_COUNTRY!$B$6:$N$18,7,FALSE)&gt;50,"+",(IF(VLOOKUP(C15,OUTPUT_COUNTRY!$B$6:$N$18,7,FALSE)&gt;25,"-","--")))))</f>
        <v>-</v>
      </c>
      <c r="I15" s="170" t="str">
        <f>IF(VLOOKUP(C15,OUTPUT_COUNTRY!$B$6:$N$18,8,FALSE)&gt;75,"++",(IF(VLOOKUP(C15,OUTPUT_COUNTRY!$B$6:$N$18,8,FALSE)&gt;50,"+",(IF(VLOOKUP(C15,OUTPUT_COUNTRY!$B$6:$N$18,8,FALSE)&gt;25,"-","--")))))</f>
        <v>-</v>
      </c>
      <c r="J15" s="132" t="str">
        <f>IF(VLOOKUP(C15,OUTPUT_COUNTRY!$B$6:$N$18,9,FALSE)&gt;75,"++",(IF(VLOOKUP(C15,OUTPUT_COUNTRY!$B$6:$N$18,9,FALSE)&gt;50,"+",(IF(VLOOKUP(C15,OUTPUT_COUNTRY!$B$6:$N$18,9,FALSE)&gt;25,"-","--")))))</f>
        <v>+</v>
      </c>
      <c r="K15" s="170" t="str">
        <f>IF(VLOOKUP(C15,OUTPUT_COUNTRY!$B$6:$N$18,11,FALSE)&gt;75,"++",(IF(VLOOKUP(C15,OUTPUT_COUNTRY!$B$6:$N$18,11,FALSE)&gt;50,"+",(IF(VLOOKUP(C15,OUTPUT_COUNTRY!$B$6:$N$18,11,FALSE)&gt;25,"-","--")))))</f>
        <v>+</v>
      </c>
      <c r="L15" s="132" t="str">
        <f>IF(VLOOKUP(C15,OUTPUT_COUNTRY!$B$6:$N$18,13,FALSE)&gt;75,"++",(IF(VLOOKUP(C15,OUTPUT_COUNTRY!$B$6:$N$18,13,FALSE)&gt;50,"+",(IF(VLOOKUP(C15,OUTPUT_COUNTRY!$B$6:$N$18,13,FALSE)&gt;25,"-","--")))))</f>
        <v>+</v>
      </c>
    </row>
    <row r="16" spans="3:12" x14ac:dyDescent="0.35">
      <c r="C16" s="88" t="s">
        <v>873</v>
      </c>
      <c r="D16" s="179" t="str" cm="1">
        <f t="array" ref="D16">_xll.FDS(C16,"FG_COMPANY_NAME")</f>
        <v>iShares MSCI Italy ETF</v>
      </c>
      <c r="E16" s="165" t="str">
        <f>IF(VLOOKUP(C16,OUTPUT_COUNTRY!$B$6:$N$18,3,FALSE)&gt;75,"++",(IF(VLOOKUP(C16,OUTPUT_COUNTRY!$B$6:$N$18,3,FALSE)&gt;50,"+",(IF(VLOOKUP(C16,OUTPUT_COUNTRY!$B$6:$N$18,3,FALSE)&gt;25,"-","--")))))</f>
        <v>++</v>
      </c>
      <c r="F16" s="133" t="str">
        <f>IF(VLOOKUP(C16,OUTPUT_COUNTRY!$B$6:$N$18,4,FALSE)&gt;75,"++",(IF(VLOOKUP(C16,OUTPUT_COUNTRY!$B$6:$N$18,4,FALSE)&gt;50,"+",(IF(VLOOKUP(C16,OUTPUT_COUNTRY!$B$6:$N$18,4,FALSE)&gt;25,"-","--")))))</f>
        <v>--</v>
      </c>
      <c r="G16" s="165" t="str">
        <f>IF(VLOOKUP(C16,OUTPUT_COUNTRY!$B$6:$N$18,5,FALSE)&gt;75,"++",(IF(VLOOKUP(C16,OUTPUT_COUNTRY!$B$6:$N$18,5,FALSE)&gt;50,"+",(IF(VLOOKUP(C16,OUTPUT_COUNTRY!$B$6:$N$18,5,FALSE)&gt;25,"-","--")))))</f>
        <v>--</v>
      </c>
      <c r="H16" s="133" t="str">
        <f>IF(VLOOKUP(C16,OUTPUT_COUNTRY!$B$6:$N$18,7,FALSE)&gt;75,"++",(IF(VLOOKUP(C16,OUTPUT_COUNTRY!$B$6:$N$18,7,FALSE)&gt;50,"+",(IF(VLOOKUP(C16,OUTPUT_COUNTRY!$B$6:$N$18,7,FALSE)&gt;25,"-","--")))))</f>
        <v>-</v>
      </c>
      <c r="I16" s="165" t="str">
        <f>IF(VLOOKUP(C16,OUTPUT_COUNTRY!$B$6:$N$18,8,FALSE)&gt;75,"++",(IF(VLOOKUP(C16,OUTPUT_COUNTRY!$B$6:$N$18,8,FALSE)&gt;50,"+",(IF(VLOOKUP(C16,OUTPUT_COUNTRY!$B$6:$N$18,8,FALSE)&gt;25,"-","--")))))</f>
        <v>++</v>
      </c>
      <c r="J16" s="133" t="str">
        <f>IF(VLOOKUP(C16,OUTPUT_COUNTRY!$B$6:$N$18,9,FALSE)&gt;75,"++",(IF(VLOOKUP(C16,OUTPUT_COUNTRY!$B$6:$N$18,9,FALSE)&gt;50,"+",(IF(VLOOKUP(C16,OUTPUT_COUNTRY!$B$6:$N$18,9,FALSE)&gt;25,"-","--")))))</f>
        <v>++</v>
      </c>
      <c r="K16" s="165" t="str">
        <f>IF(VLOOKUP(C16,OUTPUT_COUNTRY!$B$6:$N$18,11,FALSE)&gt;75,"++",(IF(VLOOKUP(C16,OUTPUT_COUNTRY!$B$6:$N$18,11,FALSE)&gt;50,"+",(IF(VLOOKUP(C16,OUTPUT_COUNTRY!$B$6:$N$18,11,FALSE)&gt;25,"-","--")))))</f>
        <v>++</v>
      </c>
      <c r="L16" s="133" t="str">
        <f>IF(VLOOKUP(C16,OUTPUT_COUNTRY!$B$6:$N$18,13,FALSE)&gt;75,"++",(IF(VLOOKUP(C16,OUTPUT_COUNTRY!$B$6:$N$18,13,FALSE)&gt;50,"+",(IF(VLOOKUP(C16,OUTPUT_COUNTRY!$B$6:$N$18,13,FALSE)&gt;25,"-","--")))))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36328125" style="36" customWidth="1"/>
    <col min="2" max="2" width="16.36328125" customWidth="1"/>
    <col min="3" max="3" width="66.08984375" bestFit="1" customWidth="1"/>
    <col min="4" max="4" width="16.453125" bestFit="1" customWidth="1"/>
  </cols>
  <sheetData>
    <row r="1" spans="1:4" x14ac:dyDescent="0.35">
      <c r="C1" s="1" t="s">
        <v>155</v>
      </c>
    </row>
    <row r="2" spans="1:4" x14ac:dyDescent="0.35">
      <c r="A2" s="37" t="s">
        <v>156</v>
      </c>
      <c r="B2" s="38" t="s">
        <v>157</v>
      </c>
      <c r="C2" s="39" t="s">
        <v>158</v>
      </c>
      <c r="D2" s="39" t="s">
        <v>159</v>
      </c>
    </row>
    <row r="3" spans="1:4" x14ac:dyDescent="0.35">
      <c r="C3" s="40" t="s">
        <v>160</v>
      </c>
      <c r="D3" s="41"/>
    </row>
    <row r="4" spans="1:4" x14ac:dyDescent="0.35">
      <c r="A4" s="36" t="s">
        <v>120</v>
      </c>
      <c r="B4" t="s">
        <v>161</v>
      </c>
      <c r="C4" t="s">
        <v>162</v>
      </c>
      <c r="D4" t="s">
        <v>163</v>
      </c>
    </row>
    <row r="5" spans="1:4" x14ac:dyDescent="0.35">
      <c r="A5" s="36" t="s">
        <v>164</v>
      </c>
      <c r="B5" t="s">
        <v>165</v>
      </c>
      <c r="C5" t="s">
        <v>166</v>
      </c>
      <c r="D5" t="s">
        <v>167</v>
      </c>
    </row>
    <row r="6" spans="1:4" x14ac:dyDescent="0.35">
      <c r="A6" s="36" t="s">
        <v>118</v>
      </c>
      <c r="B6" t="s">
        <v>168</v>
      </c>
      <c r="C6" t="s">
        <v>169</v>
      </c>
      <c r="D6" t="s">
        <v>170</v>
      </c>
    </row>
    <row r="7" spans="1:4" x14ac:dyDescent="0.35">
      <c r="A7" s="36" t="s">
        <v>119</v>
      </c>
      <c r="B7" t="s">
        <v>171</v>
      </c>
      <c r="C7" t="s">
        <v>172</v>
      </c>
      <c r="D7" t="s">
        <v>173</v>
      </c>
    </row>
    <row r="8" spans="1:4" x14ac:dyDescent="0.35">
      <c r="A8" s="36" t="s">
        <v>123</v>
      </c>
      <c r="B8" t="s">
        <v>174</v>
      </c>
      <c r="C8" t="s">
        <v>175</v>
      </c>
      <c r="D8" t="s">
        <v>176</v>
      </c>
    </row>
    <row r="9" spans="1:4" x14ac:dyDescent="0.35">
      <c r="A9" s="36" t="s">
        <v>154</v>
      </c>
      <c r="C9" s="40" t="s">
        <v>177</v>
      </c>
      <c r="D9" s="42"/>
    </row>
    <row r="10" spans="1:4" x14ac:dyDescent="0.35">
      <c r="A10" s="36" t="s">
        <v>117</v>
      </c>
      <c r="B10" t="s">
        <v>178</v>
      </c>
      <c r="C10" t="s">
        <v>179</v>
      </c>
      <c r="D10" t="s">
        <v>180</v>
      </c>
    </row>
    <row r="11" spans="1:4" x14ac:dyDescent="0.35">
      <c r="A11" s="36" t="s">
        <v>108</v>
      </c>
      <c r="B11" t="s">
        <v>181</v>
      </c>
      <c r="C11" t="s">
        <v>182</v>
      </c>
      <c r="D11" t="s">
        <v>183</v>
      </c>
    </row>
    <row r="12" spans="1:4" x14ac:dyDescent="0.35">
      <c r="A12" s="36" t="s">
        <v>184</v>
      </c>
      <c r="B12" t="s">
        <v>185</v>
      </c>
      <c r="C12" t="s">
        <v>186</v>
      </c>
      <c r="D12" t="s">
        <v>187</v>
      </c>
    </row>
    <row r="13" spans="1:4" x14ac:dyDescent="0.35">
      <c r="A13" s="36" t="s">
        <v>122</v>
      </c>
      <c r="B13" t="s">
        <v>188</v>
      </c>
      <c r="C13" t="s">
        <v>189</v>
      </c>
      <c r="D13" t="s">
        <v>190</v>
      </c>
    </row>
    <row r="14" spans="1:4" x14ac:dyDescent="0.35">
      <c r="A14" s="36" t="s">
        <v>128</v>
      </c>
      <c r="B14" t="s">
        <v>191</v>
      </c>
      <c r="C14" t="s">
        <v>192</v>
      </c>
      <c r="D14" t="s">
        <v>193</v>
      </c>
    </row>
    <row r="15" spans="1:4" x14ac:dyDescent="0.35">
      <c r="A15" s="36" t="s">
        <v>118</v>
      </c>
      <c r="B15" t="s">
        <v>168</v>
      </c>
      <c r="C15" t="s">
        <v>169</v>
      </c>
      <c r="D15" t="s">
        <v>170</v>
      </c>
    </row>
    <row r="16" spans="1:4" x14ac:dyDescent="0.35">
      <c r="A16" s="36" t="s">
        <v>194</v>
      </c>
      <c r="B16" t="s">
        <v>195</v>
      </c>
      <c r="C16" t="s">
        <v>196</v>
      </c>
      <c r="D16" t="s">
        <v>197</v>
      </c>
    </row>
    <row r="17" spans="1:4" x14ac:dyDescent="0.35">
      <c r="A17" s="36" t="s">
        <v>126</v>
      </c>
      <c r="B17" t="s">
        <v>198</v>
      </c>
      <c r="C17" t="s">
        <v>199</v>
      </c>
      <c r="D17" t="s">
        <v>200</v>
      </c>
    </row>
    <row r="18" spans="1:4" x14ac:dyDescent="0.35">
      <c r="A18" s="36" t="s">
        <v>201</v>
      </c>
      <c r="B18" t="s">
        <v>202</v>
      </c>
      <c r="C18" t="s">
        <v>203</v>
      </c>
      <c r="D18" t="s">
        <v>204</v>
      </c>
    </row>
    <row r="19" spans="1:4" x14ac:dyDescent="0.35">
      <c r="A19" s="36" t="s">
        <v>205</v>
      </c>
      <c r="B19" t="s">
        <v>206</v>
      </c>
      <c r="C19" t="s">
        <v>207</v>
      </c>
      <c r="D19" t="s">
        <v>208</v>
      </c>
    </row>
    <row r="20" spans="1:4" x14ac:dyDescent="0.35">
      <c r="A20" s="36" t="s">
        <v>121</v>
      </c>
      <c r="B20" t="s">
        <v>209</v>
      </c>
      <c r="C20" t="s">
        <v>210</v>
      </c>
      <c r="D20" t="s">
        <v>211</v>
      </c>
    </row>
    <row r="21" spans="1:4" x14ac:dyDescent="0.35">
      <c r="A21" s="36" t="s">
        <v>212</v>
      </c>
      <c r="B21" t="s">
        <v>213</v>
      </c>
    </row>
    <row r="22" spans="1:4" x14ac:dyDescent="0.35">
      <c r="A22" s="36" t="s">
        <v>105</v>
      </c>
      <c r="B22" t="s">
        <v>214</v>
      </c>
      <c r="C22" t="s">
        <v>215</v>
      </c>
      <c r="D22" t="s">
        <v>216</v>
      </c>
    </row>
    <row r="23" spans="1:4" x14ac:dyDescent="0.35">
      <c r="A23" s="36" t="s">
        <v>217</v>
      </c>
      <c r="B23" t="s">
        <v>218</v>
      </c>
      <c r="C23" t="s">
        <v>219</v>
      </c>
      <c r="D23" t="s">
        <v>220</v>
      </c>
    </row>
    <row r="24" spans="1:4" x14ac:dyDescent="0.35">
      <c r="A24" s="36" t="s">
        <v>107</v>
      </c>
      <c r="B24" t="s">
        <v>221</v>
      </c>
      <c r="C24" t="s">
        <v>222</v>
      </c>
      <c r="D24" t="s">
        <v>223</v>
      </c>
    </row>
    <row r="25" spans="1:4" x14ac:dyDescent="0.35">
      <c r="A25" s="36" t="s">
        <v>224</v>
      </c>
      <c r="B25" t="s">
        <v>225</v>
      </c>
      <c r="C25" t="s">
        <v>226</v>
      </c>
      <c r="D25" t="s">
        <v>227</v>
      </c>
    </row>
    <row r="26" spans="1:4" x14ac:dyDescent="0.35">
      <c r="A26" s="36" t="s">
        <v>130</v>
      </c>
      <c r="B26" t="s">
        <v>228</v>
      </c>
      <c r="C26" t="s">
        <v>229</v>
      </c>
      <c r="D26" t="s">
        <v>230</v>
      </c>
    </row>
    <row r="27" spans="1:4" x14ac:dyDescent="0.35">
      <c r="A27" s="36" t="s">
        <v>154</v>
      </c>
      <c r="C27" s="40" t="s">
        <v>231</v>
      </c>
    </row>
    <row r="28" spans="1:4" x14ac:dyDescent="0.35">
      <c r="A28" s="36" t="s">
        <v>232</v>
      </c>
      <c r="B28" t="s">
        <v>233</v>
      </c>
      <c r="C28" t="s">
        <v>234</v>
      </c>
      <c r="D28" t="s">
        <v>235</v>
      </c>
    </row>
    <row r="29" spans="1:4" x14ac:dyDescent="0.35">
      <c r="A29" s="36" t="s">
        <v>236</v>
      </c>
      <c r="B29" t="s">
        <v>237</v>
      </c>
      <c r="C29" t="s">
        <v>238</v>
      </c>
      <c r="D29" t="s">
        <v>239</v>
      </c>
    </row>
    <row r="30" spans="1:4" x14ac:dyDescent="0.35">
      <c r="A30" s="36" t="s">
        <v>240</v>
      </c>
      <c r="B30" t="s">
        <v>241</v>
      </c>
      <c r="C30" t="s">
        <v>242</v>
      </c>
      <c r="D30" t="s">
        <v>243</v>
      </c>
    </row>
    <row r="31" spans="1:4" x14ac:dyDescent="0.35">
      <c r="A31" s="36" t="s">
        <v>244</v>
      </c>
      <c r="B31" t="s">
        <v>245</v>
      </c>
      <c r="C31" t="s">
        <v>246</v>
      </c>
      <c r="D31" t="s">
        <v>247</v>
      </c>
    </row>
    <row r="32" spans="1:4" x14ac:dyDescent="0.35">
      <c r="A32" s="36" t="s">
        <v>248</v>
      </c>
      <c r="B32" t="s">
        <v>165</v>
      </c>
      <c r="C32" t="s">
        <v>166</v>
      </c>
      <c r="D32" t="s">
        <v>167</v>
      </c>
    </row>
    <row r="33" spans="1:4" x14ac:dyDescent="0.35">
      <c r="A33" s="36" t="s">
        <v>249</v>
      </c>
      <c r="B33" t="s">
        <v>250</v>
      </c>
      <c r="C33" t="s">
        <v>251</v>
      </c>
      <c r="D33" t="s">
        <v>252</v>
      </c>
    </row>
    <row r="34" spans="1:4" x14ac:dyDescent="0.35">
      <c r="A34" s="36" t="s">
        <v>253</v>
      </c>
      <c r="B34" t="s">
        <v>254</v>
      </c>
      <c r="C34" t="s">
        <v>255</v>
      </c>
      <c r="D34" t="s">
        <v>256</v>
      </c>
    </row>
    <row r="35" spans="1:4" x14ac:dyDescent="0.35">
      <c r="A35" s="36" t="s">
        <v>257</v>
      </c>
      <c r="B35" t="s">
        <v>258</v>
      </c>
      <c r="C35" t="s">
        <v>259</v>
      </c>
      <c r="D35" t="s">
        <v>260</v>
      </c>
    </row>
    <row r="36" spans="1:4" x14ac:dyDescent="0.35">
      <c r="A36" s="36" t="s">
        <v>104</v>
      </c>
      <c r="B36" t="s">
        <v>261</v>
      </c>
      <c r="C36" t="s">
        <v>262</v>
      </c>
      <c r="D36" t="s">
        <v>263</v>
      </c>
    </row>
    <row r="37" spans="1:4" x14ac:dyDescent="0.35">
      <c r="A37" s="36" t="s">
        <v>264</v>
      </c>
      <c r="B37" t="s">
        <v>265</v>
      </c>
      <c r="C37" t="s">
        <v>266</v>
      </c>
      <c r="D37" t="s">
        <v>267</v>
      </c>
    </row>
    <row r="38" spans="1:4" x14ac:dyDescent="0.35">
      <c r="A38" s="36" t="s">
        <v>268</v>
      </c>
      <c r="B38" t="s">
        <v>269</v>
      </c>
      <c r="C38" t="s">
        <v>270</v>
      </c>
      <c r="D38" t="s">
        <v>271</v>
      </c>
    </row>
    <row r="39" spans="1:4" x14ac:dyDescent="0.35">
      <c r="A39" s="36" t="s">
        <v>272</v>
      </c>
      <c r="B39" t="s">
        <v>273</v>
      </c>
      <c r="C39" t="s">
        <v>274</v>
      </c>
      <c r="D39" t="s">
        <v>275</v>
      </c>
    </row>
    <row r="40" spans="1:4" x14ac:dyDescent="0.35">
      <c r="A40" s="36" t="s">
        <v>276</v>
      </c>
      <c r="B40" t="s">
        <v>277</v>
      </c>
      <c r="C40" t="s">
        <v>278</v>
      </c>
      <c r="D40" t="s">
        <v>279</v>
      </c>
    </row>
    <row r="41" spans="1:4" x14ac:dyDescent="0.35">
      <c r="A41" s="36" t="s">
        <v>114</v>
      </c>
      <c r="B41" t="s">
        <v>280</v>
      </c>
      <c r="C41" t="s">
        <v>281</v>
      </c>
      <c r="D41" t="s">
        <v>282</v>
      </c>
    </row>
    <row r="42" spans="1:4" x14ac:dyDescent="0.35">
      <c r="A42" s="36" t="s">
        <v>109</v>
      </c>
      <c r="B42" t="s">
        <v>283</v>
      </c>
      <c r="C42" t="s">
        <v>284</v>
      </c>
      <c r="D42" t="s">
        <v>285</v>
      </c>
    </row>
    <row r="43" spans="1:4" x14ac:dyDescent="0.35">
      <c r="A43" s="36" t="s">
        <v>286</v>
      </c>
      <c r="B43" t="s">
        <v>287</v>
      </c>
      <c r="C43" t="s">
        <v>288</v>
      </c>
      <c r="D43" t="s">
        <v>289</v>
      </c>
    </row>
    <row r="44" spans="1:4" x14ac:dyDescent="0.35">
      <c r="A44" s="36" t="s">
        <v>119</v>
      </c>
      <c r="B44" t="s">
        <v>171</v>
      </c>
      <c r="C44" t="s">
        <v>172</v>
      </c>
      <c r="D44" t="s">
        <v>173</v>
      </c>
    </row>
    <row r="45" spans="1:4" x14ac:dyDescent="0.35">
      <c r="A45" t="s">
        <v>106</v>
      </c>
      <c r="B45" t="s">
        <v>561</v>
      </c>
      <c r="C45" t="s">
        <v>166</v>
      </c>
      <c r="D45" t="s">
        <v>167</v>
      </c>
    </row>
    <row r="46" spans="1:4" x14ac:dyDescent="0.35">
      <c r="A46" s="36" t="s">
        <v>115</v>
      </c>
      <c r="B46" t="s">
        <v>491</v>
      </c>
      <c r="C46" t="s">
        <v>166</v>
      </c>
      <c r="D46" t="s">
        <v>167</v>
      </c>
    </row>
    <row r="47" spans="1:4" x14ac:dyDescent="0.35">
      <c r="A47" s="36" t="s">
        <v>154</v>
      </c>
      <c r="C47" s="40" t="s">
        <v>290</v>
      </c>
      <c r="D47" s="42"/>
    </row>
    <row r="48" spans="1:4" x14ac:dyDescent="0.35">
      <c r="A48" s="36" t="s">
        <v>291</v>
      </c>
      <c r="B48" t="s">
        <v>292</v>
      </c>
      <c r="C48" t="s">
        <v>293</v>
      </c>
      <c r="D48" t="s">
        <v>294</v>
      </c>
    </row>
    <row r="49" spans="1:4" x14ac:dyDescent="0.35">
      <c r="A49" s="36" t="s">
        <v>131</v>
      </c>
      <c r="B49" t="s">
        <v>295</v>
      </c>
      <c r="C49" t="s">
        <v>296</v>
      </c>
      <c r="D49" t="s">
        <v>297</v>
      </c>
    </row>
    <row r="50" spans="1:4" x14ac:dyDescent="0.35">
      <c r="A50" s="36" t="s">
        <v>111</v>
      </c>
      <c r="B50" t="s">
        <v>298</v>
      </c>
      <c r="C50" t="s">
        <v>299</v>
      </c>
      <c r="D50" t="s">
        <v>300</v>
      </c>
    </row>
    <row r="51" spans="1:4" x14ac:dyDescent="0.35">
      <c r="A51" s="36" t="s">
        <v>301</v>
      </c>
      <c r="B51" t="s">
        <v>302</v>
      </c>
      <c r="C51" t="s">
        <v>303</v>
      </c>
      <c r="D51" t="s">
        <v>304</v>
      </c>
    </row>
    <row r="52" spans="1:4" x14ac:dyDescent="0.35">
      <c r="A52" s="36" t="s">
        <v>125</v>
      </c>
      <c r="B52" t="s">
        <v>305</v>
      </c>
      <c r="C52" t="s">
        <v>306</v>
      </c>
      <c r="D52" t="s">
        <v>307</v>
      </c>
    </row>
    <row r="53" spans="1:4" x14ac:dyDescent="0.35">
      <c r="A53" s="36" t="s">
        <v>116</v>
      </c>
      <c r="B53" t="s">
        <v>308</v>
      </c>
      <c r="C53" t="s">
        <v>309</v>
      </c>
      <c r="D53" t="s">
        <v>310</v>
      </c>
    </row>
    <row r="54" spans="1:4" x14ac:dyDescent="0.35">
      <c r="A54" s="36" t="s">
        <v>311</v>
      </c>
      <c r="B54" t="s">
        <v>312</v>
      </c>
      <c r="C54" t="s">
        <v>313</v>
      </c>
      <c r="D54" t="s">
        <v>314</v>
      </c>
    </row>
    <row r="55" spans="1:4" x14ac:dyDescent="0.35">
      <c r="A55" s="36" t="s">
        <v>154</v>
      </c>
      <c r="C55" s="40" t="s">
        <v>315</v>
      </c>
      <c r="D55" s="42"/>
    </row>
    <row r="56" spans="1:4" x14ac:dyDescent="0.35">
      <c r="A56" s="36" t="s">
        <v>316</v>
      </c>
      <c r="B56" t="s">
        <v>317</v>
      </c>
      <c r="C56" t="s">
        <v>318</v>
      </c>
      <c r="D56" t="s">
        <v>319</v>
      </c>
    </row>
    <row r="57" spans="1:4" x14ac:dyDescent="0.35">
      <c r="A57" s="36" t="s">
        <v>320</v>
      </c>
      <c r="B57" t="s">
        <v>321</v>
      </c>
      <c r="C57" t="s">
        <v>322</v>
      </c>
      <c r="D57" t="s">
        <v>323</v>
      </c>
    </row>
    <row r="58" spans="1:4" x14ac:dyDescent="0.35">
      <c r="A58" s="36" t="s">
        <v>324</v>
      </c>
      <c r="B58" t="s">
        <v>325</v>
      </c>
      <c r="C58" t="s">
        <v>326</v>
      </c>
      <c r="D58" t="s">
        <v>327</v>
      </c>
    </row>
    <row r="59" spans="1:4" x14ac:dyDescent="0.35">
      <c r="A59" s="36" t="s">
        <v>328</v>
      </c>
      <c r="B59" t="s">
        <v>329</v>
      </c>
      <c r="C59" t="s">
        <v>330</v>
      </c>
      <c r="D59" t="s">
        <v>331</v>
      </c>
    </row>
    <row r="60" spans="1:4" x14ac:dyDescent="0.35">
      <c r="A60" s="36" t="s">
        <v>332</v>
      </c>
      <c r="B60" t="s">
        <v>333</v>
      </c>
      <c r="C60" t="s">
        <v>334</v>
      </c>
      <c r="D60" t="s">
        <v>335</v>
      </c>
    </row>
    <row r="61" spans="1:4" x14ac:dyDescent="0.35">
      <c r="A61" s="36" t="s">
        <v>336</v>
      </c>
      <c r="B61" t="s">
        <v>337</v>
      </c>
      <c r="C61" t="s">
        <v>338</v>
      </c>
      <c r="D61" t="s">
        <v>339</v>
      </c>
    </row>
    <row r="62" spans="1:4" x14ac:dyDescent="0.35">
      <c r="A62" s="36" t="s">
        <v>340</v>
      </c>
      <c r="B62" t="s">
        <v>341</v>
      </c>
      <c r="C62" t="s">
        <v>342</v>
      </c>
      <c r="D62" t="s">
        <v>343</v>
      </c>
    </row>
    <row r="63" spans="1:4" x14ac:dyDescent="0.35">
      <c r="A63" s="36" t="s">
        <v>344</v>
      </c>
      <c r="B63" t="s">
        <v>345</v>
      </c>
      <c r="C63" t="s">
        <v>346</v>
      </c>
      <c r="D63" t="s">
        <v>347</v>
      </c>
    </row>
    <row r="64" spans="1:4" x14ac:dyDescent="0.35">
      <c r="A64" s="36" t="s">
        <v>348</v>
      </c>
      <c r="B64" t="s">
        <v>349</v>
      </c>
      <c r="C64" t="s">
        <v>350</v>
      </c>
      <c r="D64" t="s">
        <v>351</v>
      </c>
    </row>
    <row r="65" spans="1:4" x14ac:dyDescent="0.35">
      <c r="A65" s="36" t="s">
        <v>352</v>
      </c>
      <c r="B65" t="s">
        <v>353</v>
      </c>
      <c r="C65" t="s">
        <v>354</v>
      </c>
      <c r="D65" t="s">
        <v>355</v>
      </c>
    </row>
    <row r="66" spans="1:4" x14ac:dyDescent="0.35">
      <c r="A66" s="36" t="s">
        <v>356</v>
      </c>
      <c r="B66" t="s">
        <v>357</v>
      </c>
      <c r="C66" t="s">
        <v>358</v>
      </c>
      <c r="D66" t="s">
        <v>359</v>
      </c>
    </row>
    <row r="67" spans="1:4" x14ac:dyDescent="0.35">
      <c r="A67" s="36" t="s">
        <v>360</v>
      </c>
      <c r="B67" t="s">
        <v>361</v>
      </c>
      <c r="C67" t="s">
        <v>362</v>
      </c>
      <c r="D67" t="s">
        <v>363</v>
      </c>
    </row>
    <row r="68" spans="1:4" x14ac:dyDescent="0.35">
      <c r="A68" s="36" t="s">
        <v>124</v>
      </c>
      <c r="B68" t="s">
        <v>364</v>
      </c>
      <c r="C68" t="s">
        <v>365</v>
      </c>
      <c r="D68" t="s">
        <v>366</v>
      </c>
    </row>
    <row r="69" spans="1:4" x14ac:dyDescent="0.35">
      <c r="A69" s="36" t="s">
        <v>129</v>
      </c>
      <c r="B69" t="s">
        <v>367</v>
      </c>
      <c r="C69" t="s">
        <v>368</v>
      </c>
      <c r="D69" t="s">
        <v>369</v>
      </c>
    </row>
    <row r="70" spans="1:4" x14ac:dyDescent="0.35">
      <c r="A70" s="36" t="s">
        <v>103</v>
      </c>
      <c r="B70" t="s">
        <v>370</v>
      </c>
      <c r="C70" t="s">
        <v>371</v>
      </c>
      <c r="D70" t="s">
        <v>372</v>
      </c>
    </row>
    <row r="71" spans="1:4" x14ac:dyDescent="0.35">
      <c r="A71" s="36" t="s">
        <v>373</v>
      </c>
      <c r="B71" t="s">
        <v>374</v>
      </c>
      <c r="C71" t="s">
        <v>375</v>
      </c>
      <c r="D71" t="s">
        <v>376</v>
      </c>
    </row>
    <row r="72" spans="1:4" x14ac:dyDescent="0.35">
      <c r="A72" s="36" t="s">
        <v>127</v>
      </c>
      <c r="B72" t="s">
        <v>377</v>
      </c>
      <c r="C72" t="s">
        <v>378</v>
      </c>
      <c r="D72" t="s">
        <v>379</v>
      </c>
    </row>
    <row r="73" spans="1:4" x14ac:dyDescent="0.35">
      <c r="A73" s="36" t="s">
        <v>380</v>
      </c>
      <c r="B73" t="s">
        <v>381</v>
      </c>
      <c r="C73" t="s">
        <v>382</v>
      </c>
      <c r="D73" t="s">
        <v>383</v>
      </c>
    </row>
    <row r="75" spans="1:4" x14ac:dyDescent="0.35">
      <c r="A75" t="s">
        <v>110</v>
      </c>
      <c r="B75" t="s">
        <v>876</v>
      </c>
      <c r="D75" s="35" t="s">
        <v>167</v>
      </c>
    </row>
    <row r="76" spans="1:4" x14ac:dyDescent="0.35">
      <c r="A76" t="s">
        <v>882</v>
      </c>
      <c r="B76" t="s">
        <v>877</v>
      </c>
      <c r="D76" s="35" t="s">
        <v>167</v>
      </c>
    </row>
    <row r="77" spans="1:4" x14ac:dyDescent="0.35">
      <c r="A77" t="s">
        <v>276</v>
      </c>
      <c r="B77" t="s">
        <v>277</v>
      </c>
      <c r="D77" s="35" t="s">
        <v>279</v>
      </c>
    </row>
    <row r="78" spans="1:4" x14ac:dyDescent="0.35">
      <c r="A78" t="s">
        <v>883</v>
      </c>
      <c r="B78" t="s">
        <v>875</v>
      </c>
      <c r="D78" s="35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8" sqref="O1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08984375" customWidth="1"/>
    <col min="6" max="6" width="11" bestFit="1" customWidth="1"/>
    <col min="7" max="7" width="7.54296875" customWidth="1"/>
    <col min="8" max="8" width="9.36328125" customWidth="1"/>
    <col min="9" max="9" width="8.6328125" customWidth="1"/>
    <col min="10" max="10" width="11" customWidth="1"/>
    <col min="11" max="11" width="12.90625" customWidth="1"/>
    <col min="12" max="12" width="8.6328125" customWidth="1"/>
    <col min="14" max="14" width="10.54296875" customWidth="1"/>
    <col min="15" max="15" width="10.90625" customWidth="1"/>
    <col min="16" max="16" width="15" customWidth="1"/>
    <col min="17" max="17" width="12.453125" customWidth="1"/>
    <col min="18" max="20" width="13.36328125" customWidth="1"/>
    <col min="21" max="21" width="14" customWidth="1"/>
    <col min="22" max="22" width="16.36328125" customWidth="1"/>
    <col min="23" max="23" width="14.6328125" customWidth="1"/>
    <col min="24" max="24" width="14.36328125" customWidth="1"/>
    <col min="25" max="25" width="11.6328125" customWidth="1"/>
    <col min="26" max="26" width="14.6328125" customWidth="1"/>
    <col min="27" max="28" width="11.6328125" customWidth="1"/>
  </cols>
  <sheetData>
    <row r="2" spans="1:29" ht="50.25" customHeight="1" x14ac:dyDescent="0.35">
      <c r="B2" t="s">
        <v>746</v>
      </c>
      <c r="D2" s="81" t="s">
        <v>0</v>
      </c>
      <c r="E2" s="81" t="s">
        <v>567</v>
      </c>
      <c r="F2" s="81"/>
      <c r="G2" s="81" t="s">
        <v>2</v>
      </c>
      <c r="H2" s="81" t="s">
        <v>3</v>
      </c>
      <c r="I2" s="81" t="s">
        <v>410</v>
      </c>
      <c r="J2" s="81" t="s">
        <v>8</v>
      </c>
      <c r="K2" s="81" t="s">
        <v>69</v>
      </c>
      <c r="L2" s="81" t="s">
        <v>411</v>
      </c>
      <c r="M2" s="81" t="s">
        <v>412</v>
      </c>
      <c r="N2" s="81" t="s">
        <v>513</v>
      </c>
      <c r="O2" s="81" t="s">
        <v>747</v>
      </c>
      <c r="P2" s="81" t="s">
        <v>775</v>
      </c>
      <c r="Q2" s="81" t="s">
        <v>514</v>
      </c>
      <c r="R2" s="81" t="s">
        <v>515</v>
      </c>
      <c r="S2" s="81" t="s">
        <v>516</v>
      </c>
      <c r="T2" s="81" t="s">
        <v>748</v>
      </c>
      <c r="U2" s="81" t="s">
        <v>517</v>
      </c>
      <c r="V2" s="81" t="s">
        <v>518</v>
      </c>
      <c r="W2" s="81" t="s">
        <v>519</v>
      </c>
      <c r="X2" s="81" t="s">
        <v>520</v>
      </c>
      <c r="Y2" s="81" t="s">
        <v>521</v>
      </c>
      <c r="Z2" s="81" t="s">
        <v>749</v>
      </c>
      <c r="AA2" s="124" t="s">
        <v>776</v>
      </c>
      <c r="AB2" s="81" t="s">
        <v>535</v>
      </c>
      <c r="AC2" s="81" t="s">
        <v>547</v>
      </c>
    </row>
    <row r="3" spans="1:29" x14ac:dyDescent="0.35">
      <c r="A3" t="s">
        <v>435</v>
      </c>
      <c r="B3" t="s">
        <v>202</v>
      </c>
      <c r="C3" t="str" cm="1">
        <f t="array" ref="C3">_xll.FDS(A3,"FG_COMPANY_NAME")</f>
        <v>iShares MSCI New Zealand ETF</v>
      </c>
      <c r="D3" t="s">
        <v>435</v>
      </c>
      <c r="E3" t="s">
        <v>680</v>
      </c>
      <c r="F3" s="2" cm="1">
        <f t="array" ref="F3">_xll.FDS(D3,"JULIAN(FMA_DIV_YLD(NTMA,NOW,NOW,M,""PORTAGG"",""MEANR"").dates)")</f>
        <v>45351</v>
      </c>
      <c r="G3" s="4" cm="1">
        <f t="array" ref="G3">_xll.FDS(D3,"FMA_PE(LTM,0,,,""PORTAGG"",""MEANR"")")</f>
        <v>29.630554857007201</v>
      </c>
      <c r="H3" s="4" cm="1">
        <f t="array" ref="H3">_xll.FDS(D3,"FMA_PE(NTMA,0,,,""PORTAGG"",""MEANR"")")</f>
        <v>24.639757864768299</v>
      </c>
      <c r="I3" cm="1">
        <f t="array" ref="I3">_xll.FDS(D3,"FMA_DIV_YLD(NTMA,NOW,NOW,M,""PORTAGG"",""MEANR"")")</f>
        <v>2.89713443638977</v>
      </c>
      <c r="J3" s="61" cm="1">
        <f t="array" ref="J3">IFERROR(_xll.FDS(D3,"FG_FCF_YIELD_NTM(0)"),(1/G3*100))</f>
        <v>7.2978049970610998E-2</v>
      </c>
      <c r="K3" s="3" cm="1">
        <f t="array" ref="K3">_xll.FDS(D3,"FMA_EVAL_EBITDA(NTMA,0,,,""PORTAGG"",""MEANR"")")</f>
        <v>12.2941556786659</v>
      </c>
      <c r="L3" cm="1">
        <f t="array" ref="L3">_xll.FDS(D3,"FMA_EVAL_EBIT(LTMA,NOW,NOW,M,""PORTAGG"",""MEANR"")")</f>
        <v>20.340402898771899</v>
      </c>
      <c r="M3">
        <f>HLOOKUP(D3,'Index ROE'!$A$1:$N$25,25,FALSE)</f>
        <v>6.5791075391831502</v>
      </c>
      <c r="N3">
        <f>VLOOKUP(A3,'LIQIDITY 2'!$A$3:$E$16,5,FALSE)</f>
        <v>4.6510999999999996</v>
      </c>
      <c r="O3" cm="1">
        <f t="array" ref="O3">IFERROR(_xll.FDS(B3,"IMF_IFS_RCPI_Q(0)"),$D$23)</f>
        <v>4.6550289999999999</v>
      </c>
      <c r="P3">
        <f>VLOOKUP(E3,GDP_GROWTH!$B$10:$W$165,22,FALSE)</f>
        <v>2.7196134550164452</v>
      </c>
      <c r="Q3">
        <f t="shared" ref="Q3:Q11" si="0">I3-N3</f>
        <v>-1.7539655636102296</v>
      </c>
      <c r="R3" s="61">
        <f t="shared" ref="R3:R11" si="1">J3-N3</f>
        <v>-4.5781219500293888</v>
      </c>
      <c r="S3">
        <f t="shared" ref="S3:S11" si="2">M3-N3</f>
        <v>1.9280075391831506</v>
      </c>
      <c r="T3">
        <f t="shared" ref="T3:T11" si="3">M3-O3</f>
        <v>1.9240785391831503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U3*Assumption!$E$39 + V3*Assumption!$F$39 + X3*Assumption!$G$39 + Y3*Assumption!$H$39 + W3*Assumption!$I$39 +Z3* Assumption!$K$39 + AA3* Assumption!$J$39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178</v>
      </c>
      <c r="C4" t="str" cm="1">
        <f t="array" ref="C4">_xll.FDS(A4,"FG_COMPANY_NAME")</f>
        <v>iShares MSCI Australia ETF</v>
      </c>
      <c r="D4" t="s">
        <v>44</v>
      </c>
      <c r="E4" t="s">
        <v>582</v>
      </c>
      <c r="F4" s="2" cm="1">
        <f t="array" ref="F4">_xll.FDS(D4,"JULIAN(FMA_DIV_YLD(NTMA,NOW,NOW,M,""PORTAGG"",""MEANR"").dates)")</f>
        <v>45351</v>
      </c>
      <c r="G4" s="4" cm="1">
        <f t="array" ref="G4">_xll.FDS(D4,"FMA_PE(LTM,0,,,""PORTAGG"",""MEANR"")")</f>
        <v>18.154877098096001</v>
      </c>
      <c r="H4" s="4" cm="1">
        <f t="array" ref="H4">_xll.FDS(D4,"FMA_PE(NTMA,0,,,""PORTAGG"",""MEANR"")")</f>
        <v>16.6193384530605</v>
      </c>
      <c r="I4" cm="1">
        <f t="array" ref="I4">_xll.FDS(D4,"FMA_DIV_YLD(NTMA,NOW,NOW,M,""PORTAGG"",""MEANR"")")</f>
        <v>3.9846428114430599</v>
      </c>
      <c r="J4" s="61" cm="1">
        <f t="array" ref="J4">IFERROR(_xll.FDS(D4,"FG_FCF_YIELD_NTM(0)"),(1/G4*100))</f>
        <v>4.7768225824037902</v>
      </c>
      <c r="K4" s="3" cm="1">
        <f t="array" ref="K4">_xll.FDS(D4,"FMA_EVAL_EBITDA(NTMA,0,,,""PORTAGG"",""MEANR"")")</f>
        <v>8.5936055307751094</v>
      </c>
      <c r="L4" cm="1">
        <f t="array" ref="L4">_xll.FDS(D4,"FMA_EVAL_EBIT(LTMA,NOW,NOW,M,""PORTAGG"",""MEANR"")")</f>
        <v>12.4410790169921</v>
      </c>
      <c r="M4">
        <f>HLOOKUP(D4,'Index ROE'!$A$1:$N$25,25,FALSE)</f>
        <v>13.226137995013501</v>
      </c>
      <c r="N4">
        <f>VLOOKUP(A4,'LIQIDITY 2'!$A$3:$E$16,5,FALSE)</f>
        <v>4.0549999999999997</v>
      </c>
      <c r="O4" cm="1">
        <f t="array" ref="O4">IFERROR(_xll.FDS(B4,"IMF_IFS_RCPI_Q(0)"),$D$23)</f>
        <v>4.0519879999999997</v>
      </c>
      <c r="P4">
        <f>VLOOKUP(E4,GDP_GROWTH!$B$10:$W$165,22,FALSE)</f>
        <v>2.0879441195558623</v>
      </c>
      <c r="Q4">
        <f t="shared" si="0"/>
        <v>-7.0357188556939843E-2</v>
      </c>
      <c r="R4" s="61">
        <f t="shared" si="1"/>
        <v>0.72182258240379049</v>
      </c>
      <c r="S4">
        <f t="shared" si="2"/>
        <v>9.1711379950135008</v>
      </c>
      <c r="T4">
        <f t="shared" si="3"/>
        <v>9.1741499950135008</v>
      </c>
      <c r="U4" cm="1">
        <f t="array" ref="U4">_xlfn.PERCENTRANK.EXC(_xlfn._xlws.FILTER(Q$3:Q$15, ISNUMBER(Q$3:Q$15)),Q4)*100</f>
        <v>42.8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42.900000000000006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U4*Assumption!$E$39 + V4*Assumption!$F$39 + X4*Assumption!$G$39 + Y4*Assumption!$H$39 + W4*Assumption!$I$39 +Z4* Assumption!$K$39 + AA4* Assumption!$J$39</f>
        <v>33.93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161</v>
      </c>
      <c r="C5" t="str" cm="1">
        <f t="array" ref="C5">_xll.FDS(A5,"FG_COMPANY_NAME")</f>
        <v>iShares MSCI Canada ETF</v>
      </c>
      <c r="D5" t="s">
        <v>49</v>
      </c>
      <c r="E5" t="s">
        <v>604</v>
      </c>
      <c r="F5" s="2" cm="1">
        <f t="array" ref="F5">_xll.FDS(D5,"JULIAN(FMA_DIV_YLD(NTMA,NOW,NOW,M,""PORTAGG"",""MEANR"").dates)")</f>
        <v>45351</v>
      </c>
      <c r="G5" s="4" cm="1">
        <f t="array" ref="G5">_xll.FDS(D5,"FMA_PE(LTM,0,,,""PORTAGG"",""MEANR"")")</f>
        <v>17.115613663761401</v>
      </c>
      <c r="H5" s="4" cm="1">
        <f t="array" ref="H5">_xll.FDS(D5,"FMA_PE(NTMA,0,,,""PORTAGG"",""MEANR"")")</f>
        <v>14.603137299534</v>
      </c>
      <c r="I5" cm="1">
        <f t="array" ref="I5">_xll.FDS(D5,"FMA_DIV_YLD(NTMA,NOW,NOW,M,""PORTAGG"",""MEANR"")")</f>
        <v>3.2581274327238399</v>
      </c>
      <c r="J5" s="61" cm="1">
        <f t="array" ref="J5">IFERROR(_xll.FDS(D5,"FG_FCF_YIELD_NTM(0)"),(1/G5*100))</f>
        <v>5.0407343123570403</v>
      </c>
      <c r="K5" s="3" cm="1">
        <f t="array" ref="K5">_xll.FDS(D5,"FMA_EVAL_EBITDA(NTMA,0,,,""PORTAGG"",""MEANR"")")</f>
        <v>9.9507705763890009</v>
      </c>
      <c r="L5" cm="1">
        <f t="array" ref="L5">_xll.FDS(D5,"FMA_EVAL_EBIT(LTMA,NOW,NOW,M,""PORTAGG"",""MEANR"")")</f>
        <v>16.3648080905648</v>
      </c>
      <c r="M5">
        <f>HLOOKUP(D5,'Index ROE'!$A$1:$N$25,25,FALSE)</f>
        <v>13.1440312273413</v>
      </c>
      <c r="N5">
        <f>VLOOKUP(A5,'LIQIDITY 2'!$A$3:$E$16,5,FALSE)</f>
        <v>3.5205000000000002</v>
      </c>
      <c r="O5" cm="1">
        <f t="array" ref="O5">IFERROR(_xll.FDS(B5,"IMF_IFS_RCPI_Q(0)"),$D$23)</f>
        <v>3.2111022</v>
      </c>
      <c r="P5">
        <f>VLOOKUP(E5,GDP_GROWTH!$B$10:$W$165,22,FALSE)</f>
        <v>1.4598842535213041</v>
      </c>
      <c r="Q5">
        <f t="shared" si="0"/>
        <v>-0.26237256727616032</v>
      </c>
      <c r="R5" s="61">
        <f t="shared" si="1"/>
        <v>1.5202343123570401</v>
      </c>
      <c r="S5">
        <f t="shared" si="2"/>
        <v>9.6235312273412994</v>
      </c>
      <c r="T5">
        <f t="shared" si="3"/>
        <v>9.9329290273412987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U5*Assumption!$E$39 + V5*Assumption!$F$39 + X5*Assumption!$G$39 + Y5*Assumption!$H$39 + W5*Assumption!$I$39 +Z5* Assumption!$K$39 + AA5* Assumption!$J$39</f>
        <v>49.295000000000009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561</v>
      </c>
      <c r="C6" t="str" cm="1">
        <f t="array" ref="C6">_xll.FDS(A6,"FG_COMPANY_NAME")</f>
        <v>iShares MSCI Germany ETF</v>
      </c>
      <c r="D6" t="s">
        <v>11</v>
      </c>
      <c r="E6" t="s">
        <v>631</v>
      </c>
      <c r="F6" s="2" cm="1">
        <f t="array" ref="F6">_xll.FDS(D6,"JULIAN(FMA_DIV_YLD(NTMA,NOW,NOW,M,""PORTAGG"",""MEANR"").dates)")</f>
        <v>45351</v>
      </c>
      <c r="G6" s="4" cm="1">
        <f t="array" ref="G6">_xll.FDS(D6,"FMA_PE(LTM,0,,,""PORTAGG"",""MEANR"")")</f>
        <v>14.930854329378001</v>
      </c>
      <c r="H6" s="4" cm="1">
        <f t="array" ref="H6">_xll.FDS(D6,"FMA_PE(NTMA,0,,,""PORTAGG"",""MEANR"")")</f>
        <v>12.1825679319545</v>
      </c>
      <c r="I6" cm="1">
        <f t="array" ref="I6">_xll.FDS(D6,"FMA_DIV_YLD(NTMA,NOW,NOW,M,""PORTAGG"",""MEANR"")")</f>
        <v>3.4334059471687</v>
      </c>
      <c r="J6" s="61" cm="1">
        <f t="array" ref="J6">IFERROR(_xll.FDS(D6,"FG_FCF_YIELD_NTM(0)"),(1/G6*100))</f>
        <v>6.1423498517832904</v>
      </c>
      <c r="K6" s="3" cm="1">
        <f t="array" ref="K6">_xll.FDS(D6,"FMA_EVAL_EBITDA(NTMA,0,,,""PORTAGG"",""MEANR"")")</f>
        <v>8.4371274075747795</v>
      </c>
      <c r="L6" cm="1">
        <f t="array" ref="L6">_xll.FDS(D6,"FMA_EVAL_EBIT(LTMA,NOW,NOW,M,""PORTAGG"",""MEANR"")")</f>
        <v>13.335154205521899</v>
      </c>
      <c r="M6">
        <f>HLOOKUP(D6,'Index ROE'!$A$1:$N$25,25,FALSE)</f>
        <v>11.9408562756701</v>
      </c>
      <c r="N6">
        <f>VLOOKUP(A6,'LIQIDITY 2'!$A$3:$E$16,5,FALSE)</f>
        <v>2.42</v>
      </c>
      <c r="O6" cm="1">
        <f t="array" ref="O6">IFERROR(_xll.FDS(B6,"IMF_IFS_RCPI_Q(0)"),$D$23)</f>
        <v>3.5546435999999999</v>
      </c>
      <c r="P6">
        <f>VLOOKUP(E6,GDP_GROWTH!$B$10:$W$165,22,FALSE)</f>
        <v>0.863192929992318</v>
      </c>
      <c r="Q6">
        <f t="shared" si="0"/>
        <v>1.0134059471687</v>
      </c>
      <c r="R6" s="61">
        <f t="shared" si="1"/>
        <v>3.7223498517832905</v>
      </c>
      <c r="S6">
        <f t="shared" si="2"/>
        <v>9.5208562756701003</v>
      </c>
      <c r="T6">
        <f t="shared" si="3"/>
        <v>8.3862126756700999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U6*Assumption!$E$39 + V6*Assumption!$F$39 + X6*Assumption!$G$39 + Y6*Assumption!$H$39 + W6*Assumption!$I$39 +Z6* Assumption!$K$39 + AA6* Assumption!$J$39</f>
        <v>69.284999999999997</v>
      </c>
      <c r="AC6" cm="1">
        <f t="array" ref="AC6">_xlfn.PERCENTRANK.EXC(_xlfn._xlws.FILTER(AB$3:AB$15, ISNUMBER(AB$3:AB$15)),AB6)*100</f>
        <v>71.399999999999991</v>
      </c>
    </row>
    <row r="7" spans="1:29" x14ac:dyDescent="0.35">
      <c r="A7" t="s">
        <v>46</v>
      </c>
      <c r="B7" t="s">
        <v>168</v>
      </c>
      <c r="C7" t="str" cm="1">
        <f t="array" ref="C7">_xll.FDS(A7,"FG_COMPANY_NAME")</f>
        <v>iShares MSCI Japan ETF</v>
      </c>
      <c r="D7" t="s">
        <v>46</v>
      </c>
      <c r="E7" t="s">
        <v>649</v>
      </c>
      <c r="F7" s="2" cm="1">
        <f t="array" ref="F7">_xll.FDS(D7,"JULIAN(FMA_DIV_YLD(NTMA,NOW,NOW,M,""PORTAGG"",""MEANR"").dates)")</f>
        <v>45351</v>
      </c>
      <c r="G7" s="4" cm="1">
        <f t="array" ref="G7">_xll.FDS(D7,"FMA_PE(LTM,0,,,""PORTAGG"",""MEANR"")")</f>
        <v>15.8434993734173</v>
      </c>
      <c r="H7" s="4" cm="1">
        <f t="array" ref="H7">_xll.FDS(D7,"FMA_PE(NTMA,0,,,""PORTAGG"",""MEANR"")")</f>
        <v>15.2504713833785</v>
      </c>
      <c r="I7" cm="1">
        <f t="array" ref="I7">_xll.FDS(D7,"FMA_DIV_YLD(NTMA,NOW,NOW,M,""PORTAGG"",""MEANR"")")</f>
        <v>2.1930842699512598</v>
      </c>
      <c r="J7" s="61" cm="1">
        <f t="array" ref="J7">IFERROR(_xll.FDS(D7,"FG_FCF_YIELD_NTM(0)"),(1/G7*100))</f>
        <v>4.1332957068305598</v>
      </c>
      <c r="K7" s="3" cm="1">
        <f t="array" ref="K7">_xll.FDS(D7,"FMA_EVAL_EBITDA(NTMA,0,,,""PORTAGG"",""MEANR"")")</f>
        <v>10.560070007673501</v>
      </c>
      <c r="L7" cm="1">
        <f t="array" ref="L7">_xll.FDS(D7,"FMA_EVAL_EBIT(LTMA,NOW,NOW,M,""PORTAGG"",""MEANR"")")</f>
        <v>18.217119421483201</v>
      </c>
      <c r="M7">
        <f>HLOOKUP(D7,'Index ROE'!$A$1:$N$25,25,FALSE)</f>
        <v>9.2990105044931095</v>
      </c>
      <c r="N7">
        <f>VLOOKUP(A7,'LIQIDITY 2'!$A$3:$E$16,5,FALSE)</f>
        <v>0.77210000000000001</v>
      </c>
      <c r="O7" cm="1">
        <f t="array" ref="O7">IFERROR(_xll.FDS(B7,"IMF_IFS_RCPI_Q(0)"),$D$23)</f>
        <v>2.9194753000000002</v>
      </c>
      <c r="P7">
        <f>VLOOKUP(E7,GDP_GROWTH!$B$10:$W$165,22,FALSE)</f>
        <v>0.31456851442112077</v>
      </c>
      <c r="Q7">
        <f t="shared" si="0"/>
        <v>1.4209842699512598</v>
      </c>
      <c r="R7" s="61">
        <f t="shared" si="1"/>
        <v>3.3611957068305598</v>
      </c>
      <c r="S7">
        <f t="shared" si="2"/>
        <v>8.5269105044931095</v>
      </c>
      <c r="T7">
        <f t="shared" si="3"/>
        <v>6.3795352044931093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U7*Assumption!$E$39 + V7*Assumption!$F$39 + X7*Assumption!$G$39 + Y7*Assumption!$H$39 + W7*Assumption!$I$39 +Z7* Assumption!$K$39 + AA7* Assumption!$J$39</f>
        <v>54.990000000000009</v>
      </c>
      <c r="AC7" cm="1">
        <f t="array" ref="AC7">_xlfn.PERCENTRANK.EXC(_xlfn._xlws.FILTER(AB$3:AB$15, ISNUMBER(AB$3:AB$15)),AB7)*100</f>
        <v>57.099999999999994</v>
      </c>
    </row>
    <row r="8" spans="1:29" x14ac:dyDescent="0.35">
      <c r="A8" t="s">
        <v>42</v>
      </c>
      <c r="B8" t="s">
        <v>280</v>
      </c>
      <c r="C8" t="str" cm="1">
        <f t="array" ref="C8">_xll.FDS(A8,"FG_COMPANY_NAME")</f>
        <v>iShares MSCI Switzerland ETF</v>
      </c>
      <c r="D8" t="s">
        <v>42</v>
      </c>
      <c r="E8" t="s">
        <v>712</v>
      </c>
      <c r="F8" s="2" cm="1">
        <f t="array" ref="F8">_xll.FDS(D8,"JULIAN(FMA_DIV_YLD(NTMA,NOW,NOW,M,""PORTAGG"",""MEANR"").dates)")</f>
        <v>45351</v>
      </c>
      <c r="G8" s="4" cm="1">
        <f t="array" ref="G8">_xll.FDS(D8,"FMA_PE(LTM,0,,,""PORTAGG"",""MEANR"")")</f>
        <v>15.427349276029499</v>
      </c>
      <c r="H8" s="4" cm="1">
        <f t="array" ref="H8">_xll.FDS(D8,"FMA_PE(NTMA,0,,,""PORTAGG"",""MEANR"")")</f>
        <v>17.864966132391999</v>
      </c>
      <c r="I8" cm="1">
        <f t="array" ref="I8">_xll.FDS(D8,"FMA_DIV_YLD(NTMA,NOW,NOW,M,""PORTAGG"",""MEANR"")")</f>
        <v>3.3033224273985899</v>
      </c>
      <c r="J8" s="61" cm="1">
        <f t="array" ref="J8">IFERROR(_xll.FDS(D8,"FG_FCF_YIELD_NTM(0)"),(1/G8*100))</f>
        <v>4.8652884878677796</v>
      </c>
      <c r="K8" s="3" cm="1">
        <f t="array" ref="K8">_xll.FDS(D8,"FMA_EVAL_EBITDA(NTMA,0,,,""PORTAGG"",""MEANR"")")</f>
        <v>13.2264679310387</v>
      </c>
      <c r="L8" cm="1">
        <f t="array" ref="L8">_xll.FDS(D8,"FMA_EVAL_EBIT(LTMA,NOW,NOW,M,""PORTAGG"",""MEANR"")")</f>
        <v>16.67910157144</v>
      </c>
      <c r="M8">
        <f>HLOOKUP(D8,'Index ROE'!$A$1:$N$25,25,FALSE)</f>
        <v>19.299912173728998</v>
      </c>
      <c r="N8">
        <f>VLOOKUP(A8,'LIQIDITY 2'!$A$3:$E$16,5,FALSE)</f>
        <v>0.75600000000000001</v>
      </c>
      <c r="O8" cm="1">
        <f t="array" ref="O8">IFERROR(_xll.FDS(B8,"IMF_IFS_RCPI_Q(0)"),$D$23)</f>
        <v>1.6172575</v>
      </c>
      <c r="P8">
        <f>VLOOKUP(E8,GDP_GROWTH!$B$10:$W$165,22,FALSE)</f>
        <v>2.077185911672963</v>
      </c>
      <c r="Q8">
        <f t="shared" si="0"/>
        <v>2.5473224273985897</v>
      </c>
      <c r="R8" s="61">
        <f t="shared" si="1"/>
        <v>4.1092884878677793</v>
      </c>
      <c r="S8">
        <f t="shared" si="2"/>
        <v>18.543912173728998</v>
      </c>
      <c r="T8">
        <f t="shared" si="3"/>
        <v>17.682654673728997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71.500000000000014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U8*Assumption!$E$39 + V8*Assumption!$F$39 + X8*Assumption!$G$39 + Y8*Assumption!$H$39 + W8*Assumption!$I$39 +Z8* Assumption!$K$39 + AA8* Assumption!$J$39</f>
        <v>70.004999999999995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171</v>
      </c>
      <c r="C9" t="str" cm="1">
        <f t="array" ref="C9">_xll.FDS(A9,"FG_COMPANY_NAME")</f>
        <v>iShares MSCI United Kingdom ETF</v>
      </c>
      <c r="D9" t="s">
        <v>48</v>
      </c>
      <c r="E9" t="s">
        <v>725</v>
      </c>
      <c r="F9" s="2" cm="1">
        <f t="array" ref="F9">_xll.FDS(D9,"JULIAN(FMA_DIV_YLD(NTMA,NOW,NOW,M,""PORTAGG"",""MEANR"").dates)")</f>
        <v>45351</v>
      </c>
      <c r="G9" s="4" cm="1">
        <f t="array" ref="G9">_xll.FDS(D9,"FMA_PE(LTM,0,,,""PORTAGG"",""MEANR"")")</f>
        <v>11.352918708185699</v>
      </c>
      <c r="H9" s="4" cm="1">
        <f t="array" ref="H9">_xll.FDS(D9,"FMA_PE(NTMA,0,,,""PORTAGG"",""MEANR"")")</f>
        <v>11.3487384521514</v>
      </c>
      <c r="I9" cm="1">
        <f t="array" ref="I9">_xll.FDS(D9,"FMA_DIV_YLD(NTMA,NOW,NOW,M,""PORTAGG"",""MEANR"")")</f>
        <v>4.2065207041750297</v>
      </c>
      <c r="J9" s="61" cm="1">
        <f t="array" ref="J9">IFERROR(_xll.FDS(D9,"FG_FCF_YIELD_NTM(0)"),(1/G9*100))</f>
        <v>6.2939468923227597</v>
      </c>
      <c r="K9" s="3" cm="1">
        <f t="array" ref="K9">_xll.FDS(D9,"FMA_EVAL_EBITDA(NTMA,0,,,""PORTAGG"",""MEANR"")")</f>
        <v>7.4022014166368004</v>
      </c>
      <c r="L9" cm="1">
        <f t="array" ref="L9">_xll.FDS(D9,"FMA_EVAL_EBIT(LTMA,NOW,NOW,M,""PORTAGG"",""MEANR"")")</f>
        <v>10.4266754156135</v>
      </c>
      <c r="M9">
        <f>HLOOKUP(D9,'Index ROE'!$A$1:$N$25,25,FALSE)</f>
        <v>14.732463877154</v>
      </c>
      <c r="N9">
        <f>VLOOKUP(A9,'LIQIDITY 2'!$A$3:$E$16,5,FALSE)</f>
        <v>4.1719999999999997</v>
      </c>
      <c r="O9" cm="1">
        <f t="array" ref="O9">IFERROR(_xll.FDS(B9,"IMF_IFS_RCPI_Q(0)"),$D$23)</f>
        <v>4.3536314999999997</v>
      </c>
      <c r="P9">
        <f>VLOOKUP(E9,GDP_GROWTH!$B$10:$W$165,22,FALSE)</f>
        <v>1.0976426250664972</v>
      </c>
      <c r="Q9">
        <f t="shared" si="0"/>
        <v>3.4520704175029948E-2</v>
      </c>
      <c r="R9" s="61">
        <f t="shared" si="1"/>
        <v>2.12194689232276</v>
      </c>
      <c r="S9">
        <f t="shared" si="2"/>
        <v>10.560463877154</v>
      </c>
      <c r="T9">
        <f t="shared" si="3"/>
        <v>10.378832377154001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U9*Assumption!$E$39 + V9*Assumption!$F$39 + X9*Assumption!$G$39 + Y9*Assumption!$H$39 + W9*Assumption!$I$39 +Z9* Assumption!$K$39 + AA9* Assumption!$J$39</f>
        <v>70.03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174</v>
      </c>
      <c r="C10" t="str" cm="1">
        <f t="array" ref="C10">_xll.FDS(A10,"FG_COMPANY_NAME")</f>
        <v>Invesco QQQ Trust Series I</v>
      </c>
      <c r="D10" t="s">
        <v>51</v>
      </c>
      <c r="E10" t="s">
        <v>726</v>
      </c>
      <c r="F10" s="2" cm="1">
        <f t="array" ref="F10">_xll.FDS(D10,"JULIAN(FMA_DIV_YLD(NTMA,NOW,NOW,M,""PORTAGG"",""MEANR"").dates)")</f>
        <v>45351</v>
      </c>
      <c r="G10" s="4" cm="1">
        <f t="array" ref="G10">_xll.FDS(D10,"FMA_PE(LTM,0,,,""PORTAGG"",""MEANR"")")</f>
        <v>34.380718911853798</v>
      </c>
      <c r="H10" s="4" cm="1">
        <f t="array" ref="H10">_xll.FDS(D10,"FMA_PE(NTMA,0,,,""PORTAGG"",""MEANR"")")</f>
        <v>25.992266197238401</v>
      </c>
      <c r="I10" cm="1">
        <f t="array" ref="I10">_xll.FDS(D10,"FMA_DIV_YLD(NTMA,NOW,NOW,M,""PORTAGG"",""MEANR"")")</f>
        <v>0.88271524523890499</v>
      </c>
      <c r="J10" s="61" cm="1">
        <f t="array" ref="J10">IFERROR(_xll.FDS(D10,"FG_FCF_YIELD_NTM(0)"),(1/G10*100))</f>
        <v>3.6756408440382198</v>
      </c>
      <c r="K10" s="3" cm="1">
        <f t="array" ref="K10">_xll.FDS(D10,"FMA_EVAL_EBITDA(NTMA,0,,,""PORTAGG"",""MEANR"")")</f>
        <v>16.198970401368001</v>
      </c>
      <c r="L10" cm="1">
        <f t="array" ref="L10">_xll.FDS(D10,"FMA_EVAL_EBIT(LTMA,NOW,NOW,M,""PORTAGG"",""MEANR"")")</f>
        <v>25.0107440098467</v>
      </c>
      <c r="M10">
        <f>HLOOKUP(D10,'Index ROE'!$A$1:$N$25,25,FALSE)</f>
        <v>25.2988883001969</v>
      </c>
      <c r="N10">
        <f>VLOOKUP(A10,'LIQIDITY 2'!$A$3:$E$16,5,FALSE)</f>
        <v>4.2952000000000004</v>
      </c>
      <c r="O10" cm="1">
        <f t="array" ref="O10">IFERROR(_xll.FDS(B10,"IMF_IFS_RCPI_Q(0)"),$D$23)</f>
        <v>3.2433991</v>
      </c>
      <c r="P10">
        <f>VLOOKUP(E10,GDP_GROWTH!$B$10:$W$165,22,FALSE)</f>
        <v>2.0868572594445189</v>
      </c>
      <c r="Q10">
        <f t="shared" si="0"/>
        <v>-3.4124847547610955</v>
      </c>
      <c r="R10" s="61">
        <f t="shared" si="1"/>
        <v>-0.61955915596178057</v>
      </c>
      <c r="S10">
        <f t="shared" si="2"/>
        <v>21.003688300196899</v>
      </c>
      <c r="T10">
        <f t="shared" si="3"/>
        <v>22.055489200196899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U10*Assumption!$E$39 + V10*Assumption!$F$39 + X10*Assumption!$G$39 + Y10*Assumption!$H$39 + W10*Assumption!$I$39 +Z10* Assumption!$K$39 + AA10* Assumption!$J$39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174</v>
      </c>
      <c r="C11" t="str" cm="1">
        <f t="array" ref="C11">_xll.FDS(A11,"FG_COMPANY_NAME")</f>
        <v>SPDR S&amp;P 500 ETF Trust</v>
      </c>
      <c r="D11" t="s">
        <v>1</v>
      </c>
      <c r="E11" t="s">
        <v>726</v>
      </c>
      <c r="F11" s="2" cm="1">
        <f t="array" ref="F11">_xll.FDS(D11,"JULIAN(FMA_DIV_YLD(NTMA,NOW,NOW,M,""PORTAGG"",""MEANR"").dates)")</f>
        <v>45351</v>
      </c>
      <c r="G11" s="4" cm="1">
        <f t="array" ref="G11">_xll.FDS(D11,"FMA_PE(LTM,0,,,""PORTAGG"",""MEANR"")")</f>
        <v>25.5859696099937</v>
      </c>
      <c r="H11" s="4" cm="1">
        <f t="array" ref="H11">_xll.FDS(D11,"FMA_PE(NTMA,0,,,""PORTAGG"",""MEANR"")")</f>
        <v>20.585457141106101</v>
      </c>
      <c r="I11" cm="1">
        <f t="array" ref="I11">_xll.FDS(D11,"FMA_DIV_YLD(NTMA,NOW,NOW,M,""PORTAGG"",""MEANR"")")</f>
        <v>1.47138423796435</v>
      </c>
      <c r="J11" s="61" cm="1">
        <f t="array" ref="J11">IFERROR(_xll.FDS(D11,"FG_FCF_YIELD_NTM(0)"),(1/G11*100))</f>
        <v>4.17423824713432</v>
      </c>
      <c r="K11" s="3" cm="1">
        <f t="array" ref="K11">_xll.FDS(D11,"FMA_EVAL_EBITDA(NTMA,0,,,""PORTAGG"",""MEANR"")")</f>
        <v>14.099255174628</v>
      </c>
      <c r="L11" cm="1">
        <f t="array" ref="L11">_xll.FDS(D11,"FMA_EVAL_EBIT(LTMA,NOW,NOW,M,""PORTAGG"",""MEANR"")")</f>
        <v>20.7856911044755</v>
      </c>
      <c r="M11">
        <f>HLOOKUP(D11,'Index ROE'!$A$1:$N$25,25,FALSE)</f>
        <v>20.343260664269501</v>
      </c>
      <c r="N11">
        <f>VLOOKUP(A11,'LIQIDITY 2'!$A$3:$E$16,5,FALSE)</f>
        <v>4.2952000000000004</v>
      </c>
      <c r="O11" cm="1">
        <f t="array" ref="O11">IFERROR(_xll.FDS(B11,"IMF_IFS_RCPI_Q(0)"),$D$23)</f>
        <v>3.2433991</v>
      </c>
      <c r="P11">
        <f>VLOOKUP(E11,GDP_GROWTH!$B$10:$W$165,22,FALSE)</f>
        <v>2.0868572594445189</v>
      </c>
      <c r="Q11">
        <f t="shared" si="0"/>
        <v>-2.8238157620356503</v>
      </c>
      <c r="R11" s="61">
        <f t="shared" si="1"/>
        <v>-0.12096175286568034</v>
      </c>
      <c r="S11">
        <f t="shared" si="2"/>
        <v>16.048060664269499</v>
      </c>
      <c r="T11">
        <f t="shared" si="3"/>
        <v>17.099861564269499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U11*Assumption!$E$39 + V11*Assumption!$F$39 + X11*Assumption!$G$39 + Y11*Assumption!$H$39 + W11*Assumption!$I$39 +Z11* Assumption!$K$39 + AA11* Assumption!$J$39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872</v>
      </c>
      <c r="B12" t="s">
        <v>876</v>
      </c>
      <c r="C12" t="str" cm="1">
        <f t="array" ref="C12">_xll.FDS(A12,"FG_COMPANY_NAME")</f>
        <v>iShares MSCI France ETF</v>
      </c>
      <c r="D12" t="s">
        <v>872</v>
      </c>
      <c r="E12" t="s">
        <v>627</v>
      </c>
      <c r="F12" s="2" cm="1">
        <f t="array" ref="F12">_xll.FDS(D12,"JULIAN(FMA_DIV_YLD(NTMA,NOW,NOW,M,""PORTAGG"",""MEANR"").dates)")</f>
        <v>45351</v>
      </c>
      <c r="G12" s="4" cm="1">
        <f t="array" ref="G12">_xll.FDS(D12,"FMA_PE(LTM,0,,,""PORTAGG"",""MEANR"")")</f>
        <v>17.0789594521192</v>
      </c>
      <c r="H12" s="4" cm="1">
        <f t="array" ref="H12">_xll.FDS(D12,"FMA_PE(NTMA,0,,,""PORTAGG"",""MEANR"")")</f>
        <v>14.653892215908099</v>
      </c>
      <c r="I12" cm="1">
        <f t="array" ref="I12">_xll.FDS(D12,"FMA_DIV_YLD(NTMA,NOW,NOW,M,""PORTAGG"",""MEANR"")")</f>
        <v>3.1318828259328599</v>
      </c>
      <c r="J12" s="61" cm="1">
        <f t="array" ref="J12">IFERROR(_xll.FDS(D12,"FG_FCF_YIELD_NTM(0)"),(1/G12*100))</f>
        <v>5.49936707270707</v>
      </c>
      <c r="K12" s="3" cm="1">
        <f t="array" ref="K12">_xll.FDS(D12,"FMA_EVAL_EBITDA(NTMA,0,,,""PORTAGG"",""MEANR"")")</f>
        <v>9.4168513789458093</v>
      </c>
      <c r="L12" cm="1">
        <f t="array" ref="L12">_xll.FDS(D12,"FMA_EVAL_EBIT(LTMA,NOW,NOW,M,""PORTAGG"",""MEANR"")")</f>
        <v>13.238248547840501</v>
      </c>
      <c r="M12">
        <f>HLOOKUP(D12,'Index ROE'!$A$1:$N$25,25,FALSE)</f>
        <v>13.221059503291199</v>
      </c>
      <c r="N12">
        <f>VLOOKUP(A12,'LIQIDITY 2'!$A$3:$E$16,5,FALSE)</f>
        <v>2.8519999999999999</v>
      </c>
      <c r="O12" cm="1">
        <f t="array" ref="O12">IFERROR(_xll.FDS(B12,"IMF_IFS_RCPI_Q(0)"),$D$23)</f>
        <v>3.7187451999999999</v>
      </c>
      <c r="P12">
        <f>VLOOKUP(E12,GDP_GROWTH!$B$10:$W$165,22,FALSE)</f>
        <v>0.9426946158151317</v>
      </c>
      <c r="Q12">
        <f t="shared" ref="Q12:Q15" si="4">I12-N12</f>
        <v>0.27988282593286007</v>
      </c>
      <c r="R12" s="61">
        <f t="shared" ref="R12:R15" si="5">J12-N12</f>
        <v>2.6473670727070702</v>
      </c>
      <c r="S12">
        <f t="shared" ref="S12:S15" si="6">M12-N12</f>
        <v>10.369059503291199</v>
      </c>
      <c r="T12">
        <f t="shared" ref="T12:T15" si="7">M12-O12</f>
        <v>9.5023143032912003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57.099999999999994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U12*Assumption!$E$39 + V12*Assumption!$F$39 + X12*Assumption!$G$39 + Y12*Assumption!$H$39 + W12*Assumption!$I$39 +Z12* Assumption!$K$39 + AA12* Assumption!$J$39</f>
        <v>54.984999999999999</v>
      </c>
      <c r="AC12" cm="1">
        <f t="array" ref="AC12">_xlfn.PERCENTRANK.EXC(_xlfn._xlws.FILTER(AB$3:AB$15, ISNUMBER(AB$3:AB$15)),AB12)*100</f>
        <v>50</v>
      </c>
    </row>
    <row r="13" spans="1:29" x14ac:dyDescent="0.35">
      <c r="A13" t="s">
        <v>874</v>
      </c>
      <c r="B13" t="s">
        <v>877</v>
      </c>
      <c r="C13" t="str" cm="1">
        <f t="array" ref="C13">_xll.FDS(A13,"FG_COMPANY_NAME")</f>
        <v>iShares MSCI Netherlands ETF</v>
      </c>
      <c r="D13" t="s">
        <v>874</v>
      </c>
      <c r="E13" t="s">
        <v>679</v>
      </c>
      <c r="F13" s="2" cm="1">
        <f t="array" ref="F13">_xll.FDS(D13,"JULIAN(FMA_DIV_YLD(NTMA,NOW,NOW,M,""PORTAGG"",""MEANR"").dates)")</f>
        <v>45351</v>
      </c>
      <c r="G13" s="4" cm="1">
        <f t="array" ref="G13">_xll.FDS(D13,"FMA_PE(LTM,0,,,""PORTAGG"",""MEANR"")")</f>
        <v>23.998232352288699</v>
      </c>
      <c r="H13" s="4" cm="1">
        <f t="array" ref="H13">_xll.FDS(D13,"FMA_PE(NTMA,0,,,""PORTAGG"",""MEANR"")")</f>
        <v>16.1467016282411</v>
      </c>
      <c r="I13" cm="1">
        <f t="array" ref="I13">_xll.FDS(D13,"FMA_DIV_YLD(NTMA,NOW,NOW,M,""PORTAGG"",""MEANR"")")</f>
        <v>2.4848618906767999</v>
      </c>
      <c r="J13" s="61" cm="1">
        <f t="array" ref="J13">IFERROR(_xll.FDS(D13,"FG_FCF_YIELD_NTM(0)"),(1/G13*100))</f>
        <v>4.0224212653241196</v>
      </c>
      <c r="K13" s="3" cm="1">
        <f t="array" ref="K13">_xll.FDS(D13,"FMA_EVAL_EBITDA(NTMA,0,,,""PORTAGG"",""MEANR"")")</f>
        <v>12.674509822792</v>
      </c>
      <c r="L13" cm="1">
        <f t="array" ref="L13">_xll.FDS(D13,"FMA_EVAL_EBIT(LTMA,NOW,NOW,M,""PORTAGG"",""MEANR"")")</f>
        <v>22.482671902383899</v>
      </c>
      <c r="M13">
        <f>HLOOKUP(D13,'Index ROE'!$A$1:$N$25,25,FALSE)</f>
        <v>12.7459860312169</v>
      </c>
      <c r="N13">
        <f>VLOOKUP(A13,'LIQIDITY 2'!$A$3:$E$16,5,FALSE)</f>
        <v>2.702</v>
      </c>
      <c r="O13" cm="1">
        <f t="array" ref="O13">IFERROR(_xll.FDS(B13,"IMF_IFS_RCPI_Q(0)"),$D$23)</f>
        <v>0.80520855999999996</v>
      </c>
      <c r="P13">
        <f>VLOOKUP(E13,GDP_GROWTH!$B$10:$W$165,22,FALSE)</f>
        <v>1.7793785730007783</v>
      </c>
      <c r="Q13">
        <f t="shared" si="4"/>
        <v>-0.2171381093232001</v>
      </c>
      <c r="R13" s="61">
        <f t="shared" si="5"/>
        <v>1.3204212653241196</v>
      </c>
      <c r="S13">
        <f t="shared" si="6"/>
        <v>10.0439860312169</v>
      </c>
      <c r="T13">
        <f t="shared" si="7"/>
        <v>11.940777471216899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U13*Assumption!$E$39 + V13*Assumption!$F$39 + X13*Assumption!$G$39 + Y13*Assumption!$H$39 + W13*Assumption!$I$39 +Z13* Assumption!$K$39 + AA13* Assumption!$J$39</f>
        <v>41.78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871</v>
      </c>
      <c r="B14" t="s">
        <v>277</v>
      </c>
      <c r="C14" t="str" cm="1">
        <f t="array" ref="C14">_xll.FDS(A14,"FG_COMPANY_NAME")</f>
        <v>iShares MSCI Sweden ETF</v>
      </c>
      <c r="D14" t="s">
        <v>871</v>
      </c>
      <c r="E14" t="s">
        <v>711</v>
      </c>
      <c r="F14" s="2" cm="1">
        <f t="array" ref="F14">_xll.FDS(D14,"JULIAN(FMA_DIV_YLD(NTMA,NOW,NOW,M,""PORTAGG"",""MEANR"").dates)")</f>
        <v>45351</v>
      </c>
      <c r="G14" s="4" cm="1">
        <f t="array" ref="G14">_xll.FDS(D14,"FMA_PE(LTM,0,,,""PORTAGG"",""MEANR"")")</f>
        <v>15.436416215043399</v>
      </c>
      <c r="H14" s="4" cm="1">
        <f t="array" ref="H14">_xll.FDS(D14,"FMA_PE(NTMA,0,,,""PORTAGG"",""MEANR"")")</f>
        <v>16.677857546191099</v>
      </c>
      <c r="I14" cm="1">
        <f t="array" ref="I14">_xll.FDS(D14,"FMA_DIV_YLD(NTMA,NOW,NOW,M,""PORTAGG"",""MEANR"")")</f>
        <v>3.2960502632678099</v>
      </c>
      <c r="J14" s="61" cm="1">
        <f t="array" ref="J14">IFERROR(_xll.FDS(D14,"FG_FCF_YIELD_NTM(0)"),(1/G14*100))</f>
        <v>5.0933188081032696</v>
      </c>
      <c r="K14" s="3" cm="1">
        <f t="array" ref="K14">_xll.FDS(D14,"FMA_EVAL_EBITDA(NTMA,0,,,""PORTAGG"",""MEANR"")")</f>
        <v>11.3500557467493</v>
      </c>
      <c r="L14" cm="1">
        <f t="array" ref="L14">_xll.FDS(D14,"FMA_EVAL_EBIT(LTMA,NOW,NOW,M,""PORTAGG"",""MEANR"")")</f>
        <v>15.908024984825101</v>
      </c>
      <c r="M14">
        <f>HLOOKUP(D14,'Index ROE'!$A$1:$N$25,25,FALSE)</f>
        <v>15.368050603555201</v>
      </c>
      <c r="N14">
        <f>VLOOKUP(A14,'LIQIDITY 2'!$A$3:$E$16,5,FALSE)</f>
        <v>2.3690000000000002</v>
      </c>
      <c r="O14" cm="1">
        <f t="array" ref="O14">IFERROR(_xll.FDS(B14,"IMF_IFS_RCPI_Q(0)"),$D$23)</f>
        <v>5.5508369999999996</v>
      </c>
      <c r="P14">
        <f>VLOOKUP(E14,GDP_GROWTH!$B$10:$W$165,22,FALSE)</f>
        <v>1.8182767577278436</v>
      </c>
      <c r="Q14">
        <f t="shared" si="4"/>
        <v>0.9270502632678097</v>
      </c>
      <c r="R14" s="61">
        <f t="shared" si="5"/>
        <v>2.7243188081032694</v>
      </c>
      <c r="S14">
        <f t="shared" si="6"/>
        <v>12.999050603555201</v>
      </c>
      <c r="T14">
        <f t="shared" si="7"/>
        <v>9.8172136035552011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64.2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64.3</v>
      </c>
      <c r="Y14" cm="1">
        <f t="array" ref="Y14">(1-_xlfn.PERCENTRANK.EXC(_xlfn._xlws.FILTER(H$3:H$15, ISNUMBER(H$3:H$15)),H14))*100</f>
        <v>35.799999999999997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U14*Assumption!$E$39 + V14*Assumption!$F$39 + X14*Assumption!$G$39 + Y14*Assumption!$H$39 + W14*Assumption!$I$39 +Z14* Assumption!$K$39 + AA14* Assumption!$J$39</f>
        <v>55.704999999999998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873</v>
      </c>
      <c r="B15" t="s">
        <v>875</v>
      </c>
      <c r="C15" t="str" cm="1">
        <f t="array" ref="C15">_xll.FDS(A15,"FG_COMPANY_NAME")</f>
        <v>iShares MSCI Italy ETF</v>
      </c>
      <c r="D15" t="s">
        <v>873</v>
      </c>
      <c r="E15" t="s">
        <v>647</v>
      </c>
      <c r="F15" s="2" cm="1">
        <f t="array" ref="F15">_xll.FDS(D15,"JULIAN(FMA_DIV_YLD(NTMA,NOW,NOW,M,""PORTAGG"",""MEANR"").dates)")</f>
        <v>45351</v>
      </c>
      <c r="G15" s="4" cm="1">
        <f t="array" ref="G15">_xll.FDS(D15,"FMA_PE(LTM,0,,,""PORTAGG"",""MEANR"")")</f>
        <v>10.7888994603983</v>
      </c>
      <c r="H15" s="4" cm="1">
        <f t="array" ref="H15">_xll.FDS(D15,"FMA_PE(NTMA,0,,,""PORTAGG"",""MEANR"")")</f>
        <v>9.5952746189439004</v>
      </c>
      <c r="I15" cm="1">
        <f t="array" ref="I15">_xll.FDS(D15,"FMA_DIV_YLD(NTMA,NOW,NOW,M,""PORTAGG"",""MEANR"")")</f>
        <v>5.3257535247559096</v>
      </c>
      <c r="J15" s="61" cm="1">
        <f t="array" ref="J15">IFERROR(_xll.FDS(D15,"FG_FCF_YIELD_NTM(0)"),(1/G15*100))</f>
        <v>6.3839386089714996</v>
      </c>
      <c r="K15" s="3" cm="1">
        <f t="array" ref="K15">_xll.FDS(D15,"FMA_EVAL_EBITDA(NTMA,0,,,""PORTAGG"",""MEANR"")")</f>
        <v>7.4090170117484497</v>
      </c>
      <c r="L15" cm="1">
        <f t="array" ref="L15">_xll.FDS(D15,"FMA_EVAL_EBIT(LTMA,NOW,NOW,M,""PORTAGG"",""MEANR"")")</f>
        <v>11.266844419639099</v>
      </c>
      <c r="M15">
        <f>HLOOKUP(D15,'Index ROE'!$A$1:$N$25,25,FALSE)</f>
        <v>13.3572177464321</v>
      </c>
      <c r="N15">
        <f>VLOOKUP(A15,'LIQIDITY 2'!$A$3:$E$16,5,FALSE)</f>
        <v>3.637</v>
      </c>
      <c r="O15" cm="1">
        <f t="array" ref="O15">IFERROR(_xll.FDS(B15,"IMF_IFS_RCPI_Q(0)"),$D$23)</f>
        <v>0.98369783</v>
      </c>
      <c r="P15">
        <f>VLOOKUP(E15,GDP_GROWTH!$B$10:$W$165,22,FALSE)</f>
        <v>0.32855305426654491</v>
      </c>
      <c r="Q15">
        <f t="shared" si="4"/>
        <v>1.6887535247559096</v>
      </c>
      <c r="R15" s="61">
        <f t="shared" si="5"/>
        <v>2.7469386089714996</v>
      </c>
      <c r="S15">
        <f t="shared" si="6"/>
        <v>9.7202177464321</v>
      </c>
      <c r="T15">
        <f t="shared" si="7"/>
        <v>12.3735199164321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71.399999999999991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U15*Assumption!$E$39 + V15*Assumption!$F$39 + X15*Assumption!$G$39 + Y15*Assumption!$H$39 + W15*Assumption!$I$39 +Z15* Assumption!$K$39 + AA15* Assumption!$J$39</f>
        <v>80.00500000000001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61"/>
      <c r="K16" s="3"/>
    </row>
    <row r="17" spans="1:12" x14ac:dyDescent="0.35">
      <c r="F17" s="2"/>
      <c r="G17" s="4"/>
      <c r="H17" s="4"/>
      <c r="J17" s="61"/>
      <c r="K17" s="3"/>
    </row>
    <row r="18" spans="1:12" x14ac:dyDescent="0.35">
      <c r="A18" t="s">
        <v>541</v>
      </c>
      <c r="F18" s="2"/>
      <c r="G18" s="4"/>
      <c r="H18" s="4"/>
      <c r="J18" s="61"/>
      <c r="K18" s="3"/>
    </row>
    <row r="19" spans="1:12" x14ac:dyDescent="0.35">
      <c r="A19" t="s">
        <v>542</v>
      </c>
      <c r="B19" t="s">
        <v>165</v>
      </c>
      <c r="C19" t="s">
        <v>543</v>
      </c>
      <c r="D19" t="str">
        <f>A19</f>
        <v>VGK</v>
      </c>
      <c r="F19" s="2" cm="1">
        <f t="array" ref="F19">_xll.FDS(D19,"JULIAN(FMA_DIV_YLD(NTMA,NOW,NOW,M,""PORTAGG"",""MEANR"").dates)")</f>
        <v>45322</v>
      </c>
      <c r="G19" s="4" cm="1">
        <f t="array" ref="G19">_xll.FDS(D19,"FG_PE(0)")</f>
        <v>12.3190540866361</v>
      </c>
      <c r="H19" s="4" cm="1">
        <f t="array" ref="H19">_xll.FDS(D19,"FG_PE_NTM(0,,,90,0)")</f>
        <v>12.929876514359099</v>
      </c>
      <c r="I19" cm="1">
        <f t="array" ref="I19">_xll.FDS(D19,"FMA_DIV_YLD(NTMA,NOW,NOW,M,""PORTAGG"",""MEANR"")")</f>
        <v>3.6322218186757902</v>
      </c>
      <c r="J19" s="61" cm="1">
        <f t="array" ref="J19">_xll.FDS(D19,"FG_FCF_YIELD_NTM(0)")</f>
        <v>5.6333835113893498</v>
      </c>
      <c r="K19" s="3" cm="1">
        <f t="array" ref="K19">_xll.FDS(D19,"FMA_EVAL_EBITDA(NTMA,0,,,""PORTAGG"",""MEANR"")")</f>
        <v>8.7721121119351793</v>
      </c>
      <c r="L19" cm="1">
        <f t="array" ref="L19">_xll.FDS(D19,"FMA_EVAL_EBIT(LTMA,NOW,NOW,M,""PORTAGG"",""MEANR"")")</f>
        <v>13.068587055155399</v>
      </c>
    </row>
    <row r="20" spans="1:12" x14ac:dyDescent="0.35">
      <c r="A20" t="s">
        <v>6</v>
      </c>
      <c r="C20" t="s">
        <v>544</v>
      </c>
      <c r="D20" t="str">
        <f>A20</f>
        <v>VWO</v>
      </c>
      <c r="F20" s="2" cm="1">
        <f t="array" ref="F20">_xll.FDS(D20,"JULIAN(FMA_DIV_YLD(NTMA,NOW,NOW,M,""PORTAGG"",""MEANR"").dates)")</f>
        <v>45322</v>
      </c>
      <c r="G20" s="4" cm="1">
        <f t="array" ref="G20">_xll.FDS(D20,"FG_PE(0)")</f>
        <v>12.865213772672201</v>
      </c>
      <c r="H20" s="4" cm="1">
        <f t="array" ref="H20">_xll.FDS(D20,"FG_PE_NTM(0,,,90,0)")</f>
        <v>11.8406596277676</v>
      </c>
      <c r="I20" cm="1">
        <f t="array" ref="I20">_xll.FDS(D20,"FMA_DIV_YLD(NTMA,NOW,NOW,M,""PORTAGG"",""MEANR"")")</f>
        <v>3.1541077379690701</v>
      </c>
      <c r="J20" s="61" cm="1">
        <f t="array" ref="J20">_xll.FDS(D20,"FG_FCF_YIELD_NTM(0)")</f>
        <v>5.7548610791036001</v>
      </c>
      <c r="K20" s="3" cm="1">
        <f t="array" ref="K20">_xll.FDS(D20,"FMA_EVAL_EBITDA(NTMA,0,,,""PORTAGG"",""MEANR"")")</f>
        <v>8.1958723301668108</v>
      </c>
      <c r="L20" cm="1">
        <f t="array" ref="L20">_xll.FDS(D20,"FMA_EVAL_EBIT(LTMA,NOW,NOW,M,""PORTAGG"",""MEANR"")")</f>
        <v>13.912804498721201</v>
      </c>
    </row>
    <row r="21" spans="1:12" x14ac:dyDescent="0.35">
      <c r="F21" s="2"/>
      <c r="G21" s="4"/>
      <c r="H21" s="4"/>
      <c r="J21" s="61"/>
      <c r="K21" s="3"/>
    </row>
    <row r="22" spans="1:12" x14ac:dyDescent="0.35">
      <c r="B22" t="s">
        <v>782</v>
      </c>
      <c r="C22" t="s">
        <v>550</v>
      </c>
      <c r="D22" t="s">
        <v>783</v>
      </c>
      <c r="F22" s="2"/>
      <c r="G22" s="4"/>
      <c r="H22" s="4"/>
      <c r="J22" s="61"/>
      <c r="K22" s="3"/>
    </row>
    <row r="23" spans="1:12" x14ac:dyDescent="0.35">
      <c r="B23" t="s">
        <v>174</v>
      </c>
      <c r="C23" t="s">
        <v>726</v>
      </c>
      <c r="D23" cm="1">
        <f t="array" ref="D23">_xll.FDS(B23,"IMF_IFS_RCPI_Q(0)")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08984375" bestFit="1" customWidth="1"/>
    <col min="3" max="3" width="15.90625" customWidth="1"/>
    <col min="4" max="4" width="53" bestFit="1" customWidth="1"/>
    <col min="5" max="5" width="26.453125" customWidth="1"/>
    <col min="6" max="6" width="12.08984375" customWidth="1"/>
    <col min="7" max="7" width="15.08984375" customWidth="1"/>
    <col min="8" max="8" width="18.54296875" customWidth="1"/>
    <col min="9" max="9" width="17.453125" customWidth="1"/>
    <col min="10" max="10" width="17" customWidth="1"/>
    <col min="11" max="11" width="32.6328125" customWidth="1"/>
    <col min="12" max="12" width="35" customWidth="1"/>
    <col min="13" max="13" width="20.90625" customWidth="1"/>
    <col min="14" max="14" width="9.08984375" style="46"/>
    <col min="20" max="21" width="11.453125" customWidth="1"/>
  </cols>
  <sheetData>
    <row r="1" spans="1:24" x14ac:dyDescent="0.35">
      <c r="S1" s="5">
        <f>Assumption!E42</f>
        <v>0.5</v>
      </c>
      <c r="T1" s="5">
        <f>Assumption!E43</f>
        <v>0.25</v>
      </c>
      <c r="U1" s="5">
        <f>Assumption!E44</f>
        <v>0.25</v>
      </c>
    </row>
    <row r="2" spans="1:24" x14ac:dyDescent="0.35">
      <c r="A2" t="s">
        <v>0</v>
      </c>
      <c r="B2" s="34" t="s">
        <v>100</v>
      </c>
      <c r="C2" s="34" t="s">
        <v>101</v>
      </c>
      <c r="D2" s="34" t="s">
        <v>102</v>
      </c>
      <c r="E2" s="34" t="s">
        <v>530</v>
      </c>
      <c r="G2" s="34" t="s">
        <v>914</v>
      </c>
      <c r="H2" s="34" t="s">
        <v>385</v>
      </c>
      <c r="I2" s="34" t="s">
        <v>494</v>
      </c>
      <c r="L2" s="34" t="s">
        <v>531</v>
      </c>
      <c r="S2" s="5" t="s">
        <v>463</v>
      </c>
      <c r="T2" s="5" t="s">
        <v>462</v>
      </c>
      <c r="U2" t="s">
        <v>386</v>
      </c>
      <c r="V2" s="55"/>
      <c r="X2" t="s">
        <v>558</v>
      </c>
    </row>
    <row r="3" spans="1:24" x14ac:dyDescent="0.35">
      <c r="A3" t="s">
        <v>435</v>
      </c>
      <c r="B3" t="s">
        <v>201</v>
      </c>
      <c r="C3" t="s">
        <v>453</v>
      </c>
      <c r="D3" s="35" t="str" cm="1">
        <f t="array" ref="D3">_xll.FDSB(C3,"FG_YIELD_NAME")</f>
        <v>New Zealand Benchmark Bond - 10 Year</v>
      </c>
      <c r="E3" s="35" cm="1">
        <f t="array" ref="E3">IFERROR(_xll.FDS(C3,"FG_YIELD(0,,,,""YTM"")"),$E$18)</f>
        <v>4.6510999999999996</v>
      </c>
      <c r="G3" s="35" cm="1">
        <f t="array" ref="G3">_xll.FDSB(C3,"PCTCHG(FG_YIELD(0,,,,""YTM""),FG_YIELD(-1AM,,,,""YTM""))")</f>
        <v>-5.7566069999999998</v>
      </c>
      <c r="H3" s="35" cm="1">
        <f t="array" ref="H3">_xll.FDSB(C3,"PCTCHG(FG_YIELD(0,,,,""YTM""),FG_YIELD(-3AM,,,,""YTM""))")</f>
        <v>0.95285666000000002</v>
      </c>
      <c r="I3" s="35"/>
      <c r="J3" s="35" t="str">
        <f>VLOOKUP(B3,mnemonics!$A$4:$D$78, 4, FALSE)</f>
        <v>REFNZOCR-FDS</v>
      </c>
      <c r="K3" s="35" t="str" cm="1">
        <f t="array" ref="K3">_xll.FDSB(J3,"PROPER_NAME(0,,,""SECURITY"",""NAME"")")</f>
        <v>New Zealand Official Cash Rate</v>
      </c>
      <c r="L3" s="35" cm="1">
        <f t="array" ref="L3">_xll.FDSB(J3,"FG_YIELD(NOW,,,0)")</f>
        <v>5.5</v>
      </c>
      <c r="M3" s="45" cm="1">
        <f t="array" ref="M3">_xll.FDSB(J3,"(SUBARRAY(NOT_NA(NO_REPEAT_F(FG_YIELD(now,-10AY,D))),0,1)-SUBARRAY(NOT_NA(NO_REPEAT_F(FG_YIELD(now,-10AY,D))),1,1))*100")</f>
        <v>25</v>
      </c>
      <c r="N3" s="47">
        <f t="shared" ref="N3:N15" si="0">M3*-1</f>
        <v>-25</v>
      </c>
      <c r="O3" s="35">
        <f>L3-E3</f>
        <v>0.84890000000000043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0</v>
      </c>
      <c r="V3" s="56">
        <f t="shared" ref="V3:V15" si="4">SUMPRODUCT($S$1:$U$1,S3:U3)</f>
        <v>0.25</v>
      </c>
      <c r="X3">
        <f>_xlfn.PERCENTRANK.EXC($V$3:$V$15,V3)*100</f>
        <v>50</v>
      </c>
    </row>
    <row r="4" spans="1:24" x14ac:dyDescent="0.35">
      <c r="A4" t="s">
        <v>44</v>
      </c>
      <c r="B4" t="s">
        <v>117</v>
      </c>
      <c r="C4" t="s">
        <v>142</v>
      </c>
      <c r="D4" s="35" t="str" cm="1">
        <f t="array" ref="D4">_xll.FDSB(C4,"FG_YIELD_NAME")</f>
        <v>Australia Benchmark Bond - 10 Year</v>
      </c>
      <c r="E4" s="35" cm="1">
        <f t="array" ref="E4">IFERROR(_xll.FDS(C4,"FG_YIELD(0,,,,""YTM"")"),$E$18)</f>
        <v>4.0549999999999997</v>
      </c>
      <c r="G4" s="35" cm="1">
        <f t="array" ref="G4">_xll.FDSB(C4,"PCTCHG(FG_YIELD(0,,,,""YTM""),FG_YIELD(-1AM,,,,""YTM""))")</f>
        <v>-4.9683704000000004</v>
      </c>
      <c r="H4" s="35" cm="1">
        <f t="array" ref="H4">_xll.FDSB(C4,"PCTCHG(FG_YIELD(0,,,,""YTM""),FG_YIELD(-3AM,,,,""YTM""))")</f>
        <v>-1.8872507000000001</v>
      </c>
      <c r="I4" s="35"/>
      <c r="J4" s="35" t="str">
        <f>VLOOKUP(B4,mnemonics!$A$4:$D$78, 4, FALSE)</f>
        <v>REFAUCASH-FDS</v>
      </c>
      <c r="K4" s="35" t="str" cm="1">
        <f t="array" ref="K4">_xll.FDSB(J4,"PROPER_NAME(0,,,""SECURITY"",""NAME"")")</f>
        <v>Australia Target Cash Rate</v>
      </c>
      <c r="L4" s="35" cm="1">
        <f t="array" ref="L4">_xll.FDSB(J4,"FG_YIELD(NOW,,,0)")</f>
        <v>4.3499999999999996</v>
      </c>
      <c r="M4" s="45" cm="1">
        <f t="array" ref="M4">_xll.FDSB(J4,"(SUBARRAY(NOT_NA(NO_REPEAT_F(FG_YIELD(now,-10AY,D))),0,1)-SUBARRAY(NOT_NA(NO_REPEAT_F(FG_YIELD(now,-10AY,D))),1,1))*100")</f>
        <v>25</v>
      </c>
      <c r="N4" s="47">
        <f t="shared" si="0"/>
        <v>-25</v>
      </c>
      <c r="O4" s="35">
        <f t="shared" ref="O4:O15" si="5">L4-E4</f>
        <v>0.29499999999999993</v>
      </c>
      <c r="S4">
        <f t="shared" si="1"/>
        <v>0</v>
      </c>
      <c r="T4">
        <f t="shared" si="2"/>
        <v>1</v>
      </c>
      <c r="U4">
        <f t="shared" si="3"/>
        <v>1</v>
      </c>
      <c r="V4" s="56">
        <f t="shared" si="4"/>
        <v>0.5</v>
      </c>
      <c r="X4">
        <f t="shared" ref="X4:X15" si="6">_xlfn.PERCENTRANK.EXC($V$3:$V$15,V4)*100</f>
        <v>78.5</v>
      </c>
    </row>
    <row r="5" spans="1:24" x14ac:dyDescent="0.35">
      <c r="A5" t="s">
        <v>49</v>
      </c>
      <c r="B5" t="s">
        <v>120</v>
      </c>
      <c r="C5" t="s">
        <v>146</v>
      </c>
      <c r="D5" s="35" t="str" cm="1">
        <f t="array" ref="D5">_xll.FDSB(C5,"FG_YIELD_NAME")</f>
        <v>Canada Benchmark Bond - 10 Year</v>
      </c>
      <c r="E5" s="35" cm="1">
        <f t="array" ref="E5">IFERROR(_xll.FDS(C5,"FG_YIELD(0,,,,""YTM"")"),$E$18)</f>
        <v>3.5205000000000002</v>
      </c>
      <c r="G5" s="35" cm="1">
        <f t="array" ref="G5">_xll.FDSB(C5,"PCTCHG(FG_YIELD(0,,,,""YTM""),FG_YIELD(-1AM,,,,""YTM""))")</f>
        <v>-0.88682709999999998</v>
      </c>
      <c r="H5" s="35" cm="1">
        <f t="array" ref="H5">_xll.FDSB(C5,"PCTCHG(FG_YIELD(0,,,,""YTM""),FG_YIELD(-3AM,,,,""YTM""))")</f>
        <v>11.151453</v>
      </c>
      <c r="I5" s="35"/>
      <c r="J5" s="35" t="str">
        <f>VLOOKUP(B5,mnemonics!$A$4:$D$78, 4, FALSE)</f>
        <v>REFCATARG-FDS</v>
      </c>
      <c r="K5" s="35" t="str" cm="1">
        <f t="array" ref="K5">_xll.FDSB(J5,"PROPER_NAME(0,,,""SECURITY"",""NAME"")")</f>
        <v>Canada Target Rate</v>
      </c>
      <c r="L5" s="35" cm="1">
        <f t="array" ref="L5">_xll.FDSB(J5,"FG_YIELD(NOW,,,0)")</f>
        <v>5</v>
      </c>
      <c r="M5" s="45" cm="1">
        <f t="array" ref="M5">_xll.FDSB(J5,"(SUBARRAY(NOT_NA(NO_REPEAT_F(FG_YIELD(now,-10AY,D))),0,1)-SUBARRAY(NOT_NA(NO_REPEAT_F(FG_YIELD(now,-10AY,D))),1,1))*100")</f>
        <v>25</v>
      </c>
      <c r="N5" s="47">
        <f t="shared" si="0"/>
        <v>-25</v>
      </c>
      <c r="O5" s="35">
        <f t="shared" si="5"/>
        <v>1.4794999999999998</v>
      </c>
      <c r="S5">
        <f t="shared" si="1"/>
        <v>0</v>
      </c>
      <c r="T5">
        <f t="shared" si="2"/>
        <v>1</v>
      </c>
      <c r="U5">
        <f t="shared" si="3"/>
        <v>0</v>
      </c>
      <c r="V5" s="56">
        <f t="shared" si="4"/>
        <v>0.25</v>
      </c>
      <c r="X5">
        <f t="shared" si="6"/>
        <v>50</v>
      </c>
    </row>
    <row r="6" spans="1:24" x14ac:dyDescent="0.35">
      <c r="A6" t="s">
        <v>11</v>
      </c>
      <c r="B6" t="s">
        <v>106</v>
      </c>
      <c r="C6" t="s">
        <v>19</v>
      </c>
      <c r="D6" s="35" t="str" cm="1">
        <f t="array" ref="D6">_xll.FDSB(C6,"FG_YIELD_NAME")</f>
        <v>Germany Benchmark Bond - 10 Year</v>
      </c>
      <c r="E6" s="35" cm="1">
        <f t="array" ref="E6">IFERROR(_xll.FDS(C6,"FG_YIELD(0,,,,""YTM"")"),$E$18)</f>
        <v>2.42</v>
      </c>
      <c r="G6" s="35" cm="1">
        <f t="array" ref="G6">_xll.FDSB(C6,"PCTCHG(FG_YIELD(0,,,,""YTM""),FG_YIELD(-1AM,,,,""YTM""))")</f>
        <v>2.4989417</v>
      </c>
      <c r="H6" s="35" cm="1">
        <f t="array" ref="H6">_xll.FDSB(C6,"PCTCHG(FG_YIELD(0,,,,""YTM""),FG_YIELD(-3AM,,,,""YTM""))")</f>
        <v>13.615022</v>
      </c>
      <c r="I6" s="35"/>
      <c r="J6" s="35" t="str">
        <f>VLOOKUP(B6,mnemonics!$A$4:$D$78, 4, FALSE)</f>
        <v>REFEUREFI-FDS</v>
      </c>
      <c r="K6" s="35" t="str" cm="1">
        <f t="array" ref="K6">_xll.FDSB(J6,"PROPER_NAME(0,,,""SECURITY"",""NAME"")")</f>
        <v>Eurozone Main Refinancing Operations Minimum Bid Rate</v>
      </c>
      <c r="L6" s="35" cm="1">
        <f t="array" ref="L6">_xll.FDSB(J6,"FG_YIELD(NOW,,,0)")</f>
        <v>4.5</v>
      </c>
      <c r="M6" s="45" cm="1">
        <f t="array" ref="M6">_xll.FDSB(J6,"(SUBARRAY(NOT_NA(NO_REPEAT_F(FG_YIELD(now,-10AY,D))),0,1)-SUBARRAY(NOT_NA(NO_REPEAT_F(FG_YIELD(now,-10AY,D))),1,1))*100")</f>
        <v>25</v>
      </c>
      <c r="N6" s="47">
        <f t="shared" si="0"/>
        <v>-25</v>
      </c>
      <c r="O6" s="35">
        <f t="shared" si="5"/>
        <v>2.08</v>
      </c>
      <c r="S6">
        <f t="shared" si="1"/>
        <v>0</v>
      </c>
      <c r="T6">
        <f t="shared" si="2"/>
        <v>0</v>
      </c>
      <c r="U6">
        <f t="shared" si="3"/>
        <v>0</v>
      </c>
      <c r="V6" s="56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118</v>
      </c>
      <c r="C7" t="s">
        <v>143</v>
      </c>
      <c r="D7" s="35" t="str" cm="1">
        <f t="array" ref="D7">_xll.FDSB(C7,"FG_YIELD_NAME")</f>
        <v>Japan Benchmark Bond - 10 Year</v>
      </c>
      <c r="E7" s="35" cm="1">
        <f t="array" ref="E7">IFERROR(_xll.FDS(C7,"FG_YIELD(0,,,,""YTM"")"),$E$18)</f>
        <v>0.77210000000000001</v>
      </c>
      <c r="G7" s="35" cm="1">
        <f t="array" ref="G7">_xll.FDSB(C7,"PCTCHG(FG_YIELD(0,,,,""YTM""),FG_YIELD(-1AM,,,,""YTM""))")</f>
        <v>2.3326707</v>
      </c>
      <c r="H7" s="35" cm="1">
        <f t="array" ref="H7">_xll.FDSB(C7,"PCTCHG(FG_YIELD(0,,,,""YTM""),FG_YIELD(-3AM,,,,""YTM""))")</f>
        <v>12.913131</v>
      </c>
      <c r="I7" s="35"/>
      <c r="J7" s="35" t="str">
        <f>VLOOKUP(B7,mnemonics!$A$4:$D$78, 4, FALSE)</f>
        <v>REFJPTON-FDS</v>
      </c>
      <c r="K7" s="35" t="str" cm="1">
        <f t="array" ref="K7">_xll.FDSB(J7,"PROPER_NAME(0,,,""SECURITY"",""NAME"")")</f>
        <v>Japan Policy Rate</v>
      </c>
      <c r="L7" s="35" cm="1">
        <f t="array" ref="L7">_xll.FDSB(J7,"FG_YIELD(NOW,,,0)")</f>
        <v>-0.1</v>
      </c>
      <c r="M7" s="45" cm="1">
        <f t="array" ref="M7">_xll.FDSB(J7,"(SUBARRAY(NOT_NA(NO_REPEAT_F(FG_YIELD(now,-10AY,D))),0,1)-SUBARRAY(NOT_NA(NO_REPEAT_F(FG_YIELD(now,-10AY,D))),1,1))*100")</f>
        <v>-20</v>
      </c>
      <c r="N7" s="47">
        <f t="shared" si="0"/>
        <v>20</v>
      </c>
      <c r="O7" s="35">
        <f t="shared" si="5"/>
        <v>-0.87209999999999999</v>
      </c>
      <c r="S7">
        <f t="shared" si="1"/>
        <v>1</v>
      </c>
      <c r="T7">
        <f t="shared" si="2"/>
        <v>0</v>
      </c>
      <c r="U7">
        <f t="shared" si="3"/>
        <v>0</v>
      </c>
      <c r="V7" s="56">
        <f t="shared" si="4"/>
        <v>0.5</v>
      </c>
      <c r="X7">
        <f t="shared" si="6"/>
        <v>78.5</v>
      </c>
    </row>
    <row r="8" spans="1:24" x14ac:dyDescent="0.35">
      <c r="A8" t="s">
        <v>42</v>
      </c>
      <c r="B8" t="s">
        <v>114</v>
      </c>
      <c r="C8" t="s">
        <v>139</v>
      </c>
      <c r="D8" s="35" t="str" cm="1">
        <f t="array" ref="D8">_xll.FDSB(C8,"FG_YIELD_NAME")</f>
        <v>Treasury - Switzerland Benchmark Bond 10Y</v>
      </c>
      <c r="E8" s="35" cm="1">
        <f t="array" ref="E8">IFERROR(_xll.FDS(C8,"FG_YIELD(0,,,,""YTM"")"),$E$18)</f>
        <v>0.75600000000000001</v>
      </c>
      <c r="G8" s="35" cm="1">
        <f t="array" ref="G8">_xll.FDSB(C8,"PCTCHG(FG_YIELD(0,,,,""YTM""),FG_YIELD(-1AM,,,,""YTM""))")</f>
        <v>-19.488821000000002</v>
      </c>
      <c r="H8" s="35" cm="1">
        <f t="array" ref="H8">_xll.FDSB(C8,"PCTCHG(FG_YIELD(0,,,,""YTM""),FG_YIELD(-3AM,,,,""YTM""))")</f>
        <v>14.372159</v>
      </c>
      <c r="I8" s="35"/>
      <c r="J8" s="35" t="str">
        <f>VLOOKUP(B8,mnemonics!$A$4:$D$78, 4, FALSE)</f>
        <v>REFCHMPR-FDS</v>
      </c>
      <c r="K8" s="35" t="str" cm="1">
        <f t="array" ref="K8">_xll.FDSB(J8,"PROPER_NAME(0,,,""SECURITY"",""NAME"")")</f>
        <v>Swiss Policy Rate - Sight Deposit Rate</v>
      </c>
      <c r="L8" s="35" cm="1">
        <f t="array" ref="L8">_xll.FDSB(J8,"FG_YIELD(NOW,,,0)")</f>
        <v>1.75</v>
      </c>
      <c r="M8" s="45" cm="1">
        <f t="array" ref="M8">_xll.FDSB(J8,"(SUBARRAY(NOT_NA(NO_REPEAT_F(FG_YIELD(now,-10AY,D))),0,1)-SUBARRAY(NOT_NA(NO_REPEAT_F(FG_YIELD(now,-10AY,D))),1,1))*100")</f>
        <v>25</v>
      </c>
      <c r="N8" s="47">
        <f t="shared" si="0"/>
        <v>-25</v>
      </c>
      <c r="O8" s="35">
        <f t="shared" si="5"/>
        <v>0.99399999999999999</v>
      </c>
      <c r="S8">
        <f t="shared" si="1"/>
        <v>0</v>
      </c>
      <c r="T8">
        <f t="shared" si="2"/>
        <v>1</v>
      </c>
      <c r="U8">
        <f t="shared" si="3"/>
        <v>0</v>
      </c>
      <c r="V8" s="56">
        <f t="shared" si="4"/>
        <v>0.25</v>
      </c>
      <c r="X8">
        <f t="shared" si="6"/>
        <v>50</v>
      </c>
    </row>
    <row r="9" spans="1:24" x14ac:dyDescent="0.35">
      <c r="A9" t="s">
        <v>48</v>
      </c>
      <c r="B9" t="s">
        <v>119</v>
      </c>
      <c r="C9" t="s">
        <v>145</v>
      </c>
      <c r="D9" s="35" t="str" cm="1">
        <f t="array" ref="D9">_xll.FDSB(C9,"FG_YIELD_NAME")</f>
        <v>United Kingdom Benchmark Bond - 10 Year</v>
      </c>
      <c r="E9" s="35" cm="1">
        <f t="array" ref="E9">IFERROR(_xll.FDS(C9,"FG_YIELD(0,,,,""YTM"")"),$E$18)</f>
        <v>4.1719999999999997</v>
      </c>
      <c r="G9" s="35" cm="1">
        <f t="array" ref="G9">_xll.FDSB(C9,"PCTCHG(FG_YIELD(0,,,,""YTM""),FG_YIELD(-1AM,,,,""YTM""))")</f>
        <v>2.6574754999999999</v>
      </c>
      <c r="H9" s="35" cm="1">
        <f t="array" ref="H9">_xll.FDSB(C9,"PCTCHG(FG_YIELD(0,,,,""YTM""),FG_YIELD(-3AM,,,,""YTM""))")</f>
        <v>10.957445</v>
      </c>
      <c r="I9" s="35"/>
      <c r="J9" s="35" t="str">
        <f>VLOOKUP(B9,mnemonics!$A$4:$D$78, 4, FALSE)</f>
        <v>REFGBBANK-FDS</v>
      </c>
      <c r="K9" s="35" t="str" cm="1">
        <f t="array" ref="K9">_xll.FDSB(J9,"PROPER_NAME(0,,,""SECURITY"",""NAME"")")</f>
        <v>UK Bank Rate</v>
      </c>
      <c r="L9" s="35" cm="1">
        <f t="array" ref="L9">_xll.FDSB(J9,"FG_YIELD(NOW,,,0)")</f>
        <v>5.25</v>
      </c>
      <c r="M9" s="45" cm="1">
        <f t="array" ref="M9">_xll.FDSB(J9,"(SUBARRAY(NOT_NA(NO_REPEAT_F(FG_YIELD(now,-10AY,D))),0,1)-SUBARRAY(NOT_NA(NO_REPEAT_F(FG_YIELD(now,-10AY,D))),1,1))*100")</f>
        <v>25</v>
      </c>
      <c r="N9" s="47">
        <f t="shared" si="0"/>
        <v>-25</v>
      </c>
      <c r="O9" s="35">
        <f t="shared" si="5"/>
        <v>1.0780000000000003</v>
      </c>
      <c r="S9">
        <f t="shared" si="1"/>
        <v>0</v>
      </c>
      <c r="T9">
        <f t="shared" si="2"/>
        <v>0</v>
      </c>
      <c r="U9">
        <f t="shared" si="3"/>
        <v>0</v>
      </c>
      <c r="V9" s="56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123</v>
      </c>
      <c r="C10" t="s">
        <v>14</v>
      </c>
      <c r="D10" s="35" t="str" cm="1">
        <f t="array" ref="D10">_xll.FDSB(C10,"FG_YIELD_NAME")</f>
        <v>US Benchmark Bond - 10 Year</v>
      </c>
      <c r="E10" s="35" cm="1">
        <f t="array" ref="E10">IFERROR(_xll.FDS(C10,"FG_YIELD(0,,,,""YTM"")"),$E$18)</f>
        <v>4.2952000000000004</v>
      </c>
      <c r="G10" s="35" cm="1">
        <f t="array" ref="G10">_xll.FDSB(C10,"PCTCHG(FG_YIELD(0,,,,""YTM""),FG_YIELD(-1AM,,,,""YTM""))")</f>
        <v>0.91156289999999995</v>
      </c>
      <c r="H10" s="35" cm="1">
        <f t="array" ref="H10">_xll.FDSB(C10,"PCTCHG(FG_YIELD(0,,,,""YTM""),FG_YIELD(-3AM,,,,""YTM""))")</f>
        <v>9.7057599999999997</v>
      </c>
      <c r="I10" s="35"/>
      <c r="J10" s="35" t="str">
        <f>VLOOKUP(B10,mnemonics!$A$4:$D$78, 4, FALSE)</f>
        <v>REFFFUND-FDS</v>
      </c>
      <c r="K10" s="35" t="str" cm="1">
        <f t="array" ref="K10">_xll.FDSB(J10,"PROPER_NAME(0,,,""SECURITY"",""NAME"")")</f>
        <v>US Federal Funds Target Rate</v>
      </c>
      <c r="L10" s="35" cm="1">
        <f t="array" ref="L10">_xll.FDSB(J10,"FG_YIELD(NOW,,,0)")</f>
        <v>5.5</v>
      </c>
      <c r="M10" s="45" cm="1">
        <f t="array" ref="M10">_xll.FDSB(J10,"(SUBARRAY(NOT_NA(NO_REPEAT_F(FG_YIELD(now,-10AY,D))),0,1)-SUBARRAY(NOT_NA(NO_REPEAT_F(FG_YIELD(now,-10AY,D))),1,1))*100")</f>
        <v>25</v>
      </c>
      <c r="N10" s="47">
        <f t="shared" si="0"/>
        <v>-25</v>
      </c>
      <c r="O10" s="35">
        <f t="shared" si="5"/>
        <v>1.2047999999999996</v>
      </c>
      <c r="S10">
        <f t="shared" si="1"/>
        <v>0</v>
      </c>
      <c r="T10">
        <f t="shared" si="2"/>
        <v>0</v>
      </c>
      <c r="U10">
        <f t="shared" si="3"/>
        <v>0</v>
      </c>
      <c r="V10" s="56">
        <f t="shared" si="4"/>
        <v>0</v>
      </c>
      <c r="X10">
        <f t="shared" si="6"/>
        <v>7.1</v>
      </c>
    </row>
    <row r="11" spans="1:24" x14ac:dyDescent="0.35">
      <c r="A11" t="s">
        <v>1</v>
      </c>
      <c r="B11" t="s">
        <v>123</v>
      </c>
      <c r="C11" t="s">
        <v>14</v>
      </c>
      <c r="D11" s="35" t="str" cm="1">
        <f t="array" ref="D11">_xll.FDSB(C11,"FG_YIELD_NAME")</f>
        <v>US Benchmark Bond - 10 Year</v>
      </c>
      <c r="E11" s="35" cm="1">
        <f t="array" ref="E11">IFERROR(_xll.FDS(C11,"FG_YIELD(0,,,,""YTM"")"),$E$18)</f>
        <v>4.2952000000000004</v>
      </c>
      <c r="G11" s="35" cm="1">
        <f t="array" ref="G11">_xll.FDSB(C11,"PCTCHG(FG_YIELD(0,,,,""YTM""),FG_YIELD(-1AM,,,,""YTM""))")</f>
        <v>0.91156289999999995</v>
      </c>
      <c r="H11" s="35" cm="1">
        <f t="array" ref="H11">_xll.FDSB(C11,"PCTCHG(FG_YIELD(0,,,,""YTM""),FG_YIELD(-3AM,,,,""YTM""))")</f>
        <v>9.7057599999999997</v>
      </c>
      <c r="I11" s="35"/>
      <c r="J11" s="35" t="str">
        <f>VLOOKUP(B11,mnemonics!$A$4:$D$78, 4, FALSE)</f>
        <v>REFFFUND-FDS</v>
      </c>
      <c r="K11" s="35" t="str" cm="1">
        <f t="array" ref="K11">_xll.FDSB(J11,"PROPER_NAME(0,,,""SECURITY"",""NAME"")")</f>
        <v>US Federal Funds Target Rate</v>
      </c>
      <c r="L11" s="35" cm="1">
        <f t="array" ref="L11">_xll.FDSB(J11,"FG_YIELD(NOW,,,0)")</f>
        <v>5.5</v>
      </c>
      <c r="M11" s="45" cm="1">
        <f t="array" ref="M11">_xll.FDSB(J11,"(SUBARRAY(NOT_NA(NO_REPEAT_F(FG_YIELD(now,-10AY,D))),0,1)-SUBARRAY(NOT_NA(NO_REPEAT_F(FG_YIELD(now,-10AY,D))),1,1))*100")</f>
        <v>25</v>
      </c>
      <c r="N11" s="47">
        <f t="shared" si="0"/>
        <v>-25</v>
      </c>
      <c r="O11" s="35">
        <f t="shared" si="5"/>
        <v>1.2047999999999996</v>
      </c>
      <c r="S11">
        <f t="shared" si="1"/>
        <v>0</v>
      </c>
      <c r="T11">
        <f t="shared" si="2"/>
        <v>0</v>
      </c>
      <c r="U11">
        <f t="shared" si="3"/>
        <v>0</v>
      </c>
      <c r="V11" s="56">
        <f t="shared" si="4"/>
        <v>0</v>
      </c>
      <c r="X11">
        <f t="shared" si="6"/>
        <v>7.1</v>
      </c>
    </row>
    <row r="12" spans="1:24" x14ac:dyDescent="0.35">
      <c r="A12" t="s">
        <v>872</v>
      </c>
      <c r="B12" t="s">
        <v>110</v>
      </c>
      <c r="C12" t="s">
        <v>137</v>
      </c>
      <c r="D12" s="35" t="str" cm="1">
        <f t="array" ref="D12">_xll.FDSB(C12,"FG_YIELD_NAME")</f>
        <v>France Benchmark Bond - 10 Year</v>
      </c>
      <c r="E12" s="35" cm="1">
        <f t="array" ref="E12">IFERROR(_xll.FDS(C12,"FG_YIELD(0,,,,""YTM"")"),$E$18)</f>
        <v>2.8519999999999999</v>
      </c>
      <c r="G12" s="35" cm="1">
        <f t="array" ref="G12">_xll.FDSB(C12,"PCTCHG(FG_YIELD(0,,,,""YTM""),FG_YIELD(-1AM,,,,""YTM""))")</f>
        <v>0.28129031999999998</v>
      </c>
      <c r="H12" s="35" cm="1">
        <f t="array" ref="H12">_xll.FDSB(C12,"PCTCHG(FG_YIELD(0,,,,""YTM""),FG_YIELD(-3AM,,,,""YTM""))")</f>
        <v>7.4604353999999997</v>
      </c>
      <c r="I12" s="35"/>
      <c r="J12" s="35" t="str">
        <f>VLOOKUP(B12,mnemonics!$A$4:$D$78, 4, FALSE)</f>
        <v>REFEUREFI-FDS</v>
      </c>
      <c r="K12" s="35" t="str" cm="1">
        <f t="array" ref="K12">_xll.FDSB(J12,"PROPER_NAME(0,,,""SECURITY"",""NAME"")")</f>
        <v>Eurozone Main Refinancing Operations Minimum Bid Rate</v>
      </c>
      <c r="L12" s="35" cm="1">
        <f t="array" ref="L12">_xll.FDSB(J12,"FG_YIELD(NOW,,,0)")</f>
        <v>4.5</v>
      </c>
      <c r="M12" s="45" cm="1">
        <f t="array" ref="M12">_xll.FDSB(J12,"(SUBARRAY(NOT_NA(NO_REPEAT_F(FG_YIELD(now,-10AY,D))),0,1)-SUBARRAY(NOT_NA(NO_REPEAT_F(FG_YIELD(now,-10AY,D))),1,1))*100")</f>
        <v>25</v>
      </c>
      <c r="N12" s="47">
        <f t="shared" si="0"/>
        <v>-25</v>
      </c>
      <c r="O12" s="35">
        <f t="shared" si="5"/>
        <v>1.6480000000000001</v>
      </c>
      <c r="S12">
        <f t="shared" si="1"/>
        <v>0</v>
      </c>
      <c r="T12">
        <f t="shared" si="2"/>
        <v>0</v>
      </c>
      <c r="U12">
        <f t="shared" si="3"/>
        <v>0</v>
      </c>
      <c r="V12" s="56">
        <f t="shared" si="4"/>
        <v>0</v>
      </c>
      <c r="X12">
        <f t="shared" si="6"/>
        <v>7.1</v>
      </c>
    </row>
    <row r="13" spans="1:24" x14ac:dyDescent="0.35">
      <c r="A13" t="s">
        <v>874</v>
      </c>
      <c r="B13" t="s">
        <v>882</v>
      </c>
      <c r="C13" t="s">
        <v>884</v>
      </c>
      <c r="D13" s="35" t="str" cm="1">
        <f t="array" ref="D13">_xll.FDSB(C13,"FG_YIELD_NAME")</f>
        <v>Netherlands Benchmark Bond - 10 Year</v>
      </c>
      <c r="E13" s="35" cm="1">
        <f t="array" ref="E13">IFERROR(_xll.FDS(C13,"FG_YIELD(0,,,,""YTM"")"),$E$18)</f>
        <v>2.702</v>
      </c>
      <c r="G13" s="35" cm="1">
        <f t="array" ref="G13">_xll.FDSB(C13,"PCTCHG(FG_YIELD(0,,,,""YTM""),FG_YIELD(-1AM,,,,""YTM""))")</f>
        <v>0.52083104999999996</v>
      </c>
      <c r="H13" s="35" cm="1">
        <f t="array" ref="H13">_xll.FDSB(C13,"PCTCHG(FG_YIELD(0,,,,""YTM""),FG_YIELD(-3AM,,,,""YTM""))")</f>
        <v>10.647010999999999</v>
      </c>
      <c r="I13" s="35"/>
      <c r="J13" s="35" t="str">
        <f>VLOOKUP(B13,mnemonics!$A$4:$D$78, 4, FALSE)</f>
        <v>REFEUREFI-FDS</v>
      </c>
      <c r="K13" s="35" t="str" cm="1">
        <f t="array" ref="K13">_xll.FDSB(J13,"PROPER_NAME(0,,,""SECURITY"",""NAME"")")</f>
        <v>Eurozone Main Refinancing Operations Minimum Bid Rate</v>
      </c>
      <c r="L13" s="35" cm="1">
        <f t="array" ref="L13">_xll.FDSB(J13,"FG_YIELD(NOW,,,0)")</f>
        <v>4.5</v>
      </c>
      <c r="M13" s="45" cm="1">
        <f t="array" ref="M13">_xll.FDSB(J13,"(SUBARRAY(NOT_NA(NO_REPEAT_F(FG_YIELD(now,-10AY,D))),0,1)-SUBARRAY(NOT_NA(NO_REPEAT_F(FG_YIELD(now,-10AY,D))),1,1))*100")</f>
        <v>25</v>
      </c>
      <c r="N13" s="47">
        <f t="shared" si="0"/>
        <v>-25</v>
      </c>
      <c r="O13" s="35">
        <f t="shared" si="5"/>
        <v>1.798</v>
      </c>
      <c r="S13">
        <f t="shared" si="1"/>
        <v>0</v>
      </c>
      <c r="T13">
        <f t="shared" si="2"/>
        <v>0</v>
      </c>
      <c r="U13">
        <f t="shared" si="3"/>
        <v>0</v>
      </c>
      <c r="V13" s="56">
        <f t="shared" si="4"/>
        <v>0</v>
      </c>
      <c r="X13">
        <f t="shared" si="6"/>
        <v>7.1</v>
      </c>
    </row>
    <row r="14" spans="1:24" x14ac:dyDescent="0.35">
      <c r="A14" t="s">
        <v>871</v>
      </c>
      <c r="B14" t="s">
        <v>276</v>
      </c>
      <c r="C14" t="s">
        <v>885</v>
      </c>
      <c r="D14" s="35" t="str" cm="1">
        <f t="array" ref="D14">_xll.FDSB(C14,"FG_YIELD_NAME")</f>
        <v>Sweden Benchmark Bond - 10 Year</v>
      </c>
      <c r="E14" s="35" cm="1">
        <f t="array" ref="E14">IFERROR(_xll.FDS(C14,"FG_YIELD(0,,,,""YTM"")"),$E$18)</f>
        <v>2.3690000000000002</v>
      </c>
      <c r="G14" s="35" cm="1">
        <f t="array" ref="G14">_xll.FDSB(C14,"PCTCHG(FG_YIELD(0,,,,""YTM""),FG_YIELD(-1AM,,,,""YTM""))")</f>
        <v>-1.9859370000000001</v>
      </c>
      <c r="H14" s="35" cm="1">
        <f t="array" ref="H14">_xll.FDSB(C14,"PCTCHG(FG_YIELD(0,,,,""YTM""),FG_YIELD(-3AM,,,,""YTM""))")</f>
        <v>8.3218990000000002</v>
      </c>
      <c r="I14" s="35"/>
      <c r="J14" s="35" t="str">
        <f>VLOOKUP(B14,mnemonics!$A$4:$D$78, 4, FALSE)</f>
        <v>REFSEREPO-FDS</v>
      </c>
      <c r="K14" s="35" t="str" cm="1">
        <f t="array" ref="K14">_xll.FDSB(J14,"PROPER_NAME(0,,,""SECURITY"",""NAME"")")</f>
        <v>Sweden Repo Rate</v>
      </c>
      <c r="L14" s="35" cm="1">
        <f t="array" ref="L14">_xll.FDSB(J14,"FG_YIELD(NOW,,,0)")</f>
        <v>4</v>
      </c>
      <c r="M14" s="45" cm="1">
        <f t="array" ref="M14">_xll.FDSB(J14,"(SUBARRAY(NOT_NA(NO_REPEAT_F(FG_YIELD(now,-10AY,D))),0,1)-SUBARRAY(NOT_NA(NO_REPEAT_F(FG_YIELD(now,-10AY,D))),1,1))*100")</f>
        <v>25</v>
      </c>
      <c r="N14" s="47">
        <f t="shared" si="0"/>
        <v>-25</v>
      </c>
      <c r="O14" s="35">
        <f t="shared" si="5"/>
        <v>1.6309999999999998</v>
      </c>
      <c r="S14">
        <f t="shared" si="1"/>
        <v>0</v>
      </c>
      <c r="T14">
        <f t="shared" si="2"/>
        <v>1</v>
      </c>
      <c r="U14">
        <f t="shared" si="3"/>
        <v>0</v>
      </c>
      <c r="V14" s="56">
        <f t="shared" si="4"/>
        <v>0.25</v>
      </c>
      <c r="X14">
        <f t="shared" si="6"/>
        <v>50</v>
      </c>
    </row>
    <row r="15" spans="1:24" x14ac:dyDescent="0.35">
      <c r="A15" t="s">
        <v>873</v>
      </c>
      <c r="B15" t="s">
        <v>883</v>
      </c>
      <c r="C15" t="s">
        <v>886</v>
      </c>
      <c r="D15" s="35" t="str" cm="1">
        <f t="array" ref="D15">_xll.FDSB(C15,"FG_YIELD_NAME")</f>
        <v>Italy Benchmark Bond - 10 Year</v>
      </c>
      <c r="E15" s="35" cm="1">
        <f t="array" ref="E15">IFERROR(_xll.FDS(C15,"FG_YIELD(0,,,,""YTM"")"),$E$18)</f>
        <v>3.637</v>
      </c>
      <c r="G15" s="35" cm="1">
        <f t="array" ref="G15">_xll.FDSB(C15,"PCTCHG(FG_YIELD(0,,,,""YTM""),FG_YIELD(-1AM,,,,""YTM""))")</f>
        <v>-6.0449489999999999</v>
      </c>
      <c r="H15" s="35" cm="1">
        <f t="array" ref="H15">_xll.FDSB(C15,"PCTCHG(FG_YIELD(0,,,,""YTM""),FG_YIELD(-3AM,,,,""YTM""))")</f>
        <v>-4.6407923999999996</v>
      </c>
      <c r="I15" s="35"/>
      <c r="J15" s="35" t="str">
        <f>VLOOKUP(B15,mnemonics!$A$4:$D$78, 4, FALSE)</f>
        <v>REFEUREFI-FDS</v>
      </c>
      <c r="K15" s="35" t="str" cm="1">
        <f t="array" ref="K15">_xll.FDSB(J15,"PROPER_NAME(0,,,""SECURITY"",""NAME"")")</f>
        <v>Eurozone Main Refinancing Operations Minimum Bid Rate</v>
      </c>
      <c r="L15" s="35" cm="1">
        <f t="array" ref="L15">_xll.FDSB(J15,"FG_YIELD(NOW,,,0)")</f>
        <v>4.5</v>
      </c>
      <c r="M15" s="45" cm="1">
        <f t="array" ref="M15">_xll.FDSB(J15,"(SUBARRAY(NOT_NA(NO_REPEAT_F(FG_YIELD(now,-10AY,D))),0,1)-SUBARRAY(NOT_NA(NO_REPEAT_F(FG_YIELD(now,-10AY,D))),1,1))*100")</f>
        <v>25</v>
      </c>
      <c r="N15" s="47">
        <f t="shared" si="0"/>
        <v>-25</v>
      </c>
      <c r="O15" s="35">
        <f t="shared" si="5"/>
        <v>0.86299999999999999</v>
      </c>
      <c r="S15">
        <f t="shared" si="1"/>
        <v>0</v>
      </c>
      <c r="T15">
        <f t="shared" si="2"/>
        <v>1</v>
      </c>
      <c r="U15">
        <f t="shared" si="3"/>
        <v>1</v>
      </c>
      <c r="V15" s="56">
        <f t="shared" si="4"/>
        <v>0.5</v>
      </c>
      <c r="X15">
        <f t="shared" si="6"/>
        <v>78.5</v>
      </c>
    </row>
    <row r="16" spans="1:24" x14ac:dyDescent="0.35">
      <c r="D16" s="35"/>
      <c r="E16" s="35"/>
      <c r="G16" s="35"/>
      <c r="H16" s="35"/>
      <c r="J16" s="35"/>
      <c r="K16" s="35"/>
      <c r="L16" s="35"/>
      <c r="M16" s="45"/>
      <c r="N16" s="47"/>
      <c r="V16" s="59"/>
    </row>
    <row r="17" spans="1:22" x14ac:dyDescent="0.35">
      <c r="D17" s="35"/>
      <c r="E17" s="35"/>
      <c r="G17" s="35"/>
      <c r="H17" s="35"/>
      <c r="J17" s="35"/>
      <c r="K17" s="35"/>
      <c r="L17" s="35"/>
      <c r="M17" s="45"/>
      <c r="N17" s="47"/>
      <c r="V17" s="59"/>
    </row>
    <row r="18" spans="1:22" x14ac:dyDescent="0.35">
      <c r="A18" t="s">
        <v>1</v>
      </c>
      <c r="B18" t="s">
        <v>123</v>
      </c>
      <c r="C18" t="s">
        <v>14</v>
      </c>
      <c r="D18" s="35" t="str" cm="1">
        <f t="array" ref="D18">_xll.FDSB(C18,"FG_YIELD_NAME")</f>
        <v>US Benchmark Bond - 10 Year</v>
      </c>
      <c r="E18" s="35" cm="1">
        <f t="array" ref="E18">IFERROR(_xll.FDS(C18,"FG_YIELD(0,,,,""YTM"")"),E47)</f>
        <v>4.2952000000000004</v>
      </c>
      <c r="G18" s="35"/>
      <c r="H18" s="35"/>
      <c r="J18" s="35"/>
      <c r="K18" s="35"/>
      <c r="L18" s="35"/>
      <c r="M18" s="45"/>
      <c r="N18" s="47"/>
      <c r="V18" s="59"/>
    </row>
    <row r="19" spans="1:22" x14ac:dyDescent="0.35">
      <c r="D19" s="35"/>
      <c r="E19" s="35"/>
      <c r="G19" s="35"/>
      <c r="H19" s="35"/>
      <c r="J19" s="35"/>
      <c r="K19" s="35"/>
      <c r="L19" s="35"/>
      <c r="M19" s="45"/>
      <c r="N19" s="47"/>
      <c r="V19" s="59"/>
    </row>
    <row r="20" spans="1:22" x14ac:dyDescent="0.35">
      <c r="D20" s="35"/>
      <c r="E20" s="35"/>
      <c r="G20" s="35"/>
      <c r="H20" s="35"/>
      <c r="J20" s="35"/>
      <c r="K20" s="35"/>
      <c r="L20" s="35"/>
      <c r="M20" s="45"/>
      <c r="N20" s="47"/>
      <c r="V20" s="59"/>
    </row>
    <row r="21" spans="1:22" x14ac:dyDescent="0.35">
      <c r="D21" s="35"/>
      <c r="E21" s="35"/>
      <c r="G21" s="35"/>
      <c r="H21" s="35"/>
      <c r="J21" s="35"/>
      <c r="K21" s="35"/>
      <c r="L21" s="35"/>
      <c r="M21" s="45"/>
      <c r="N21" s="47"/>
      <c r="V21" s="59"/>
    </row>
    <row r="22" spans="1:22" x14ac:dyDescent="0.35">
      <c r="D22" s="35"/>
      <c r="E22" s="35"/>
      <c r="G22" s="35"/>
      <c r="H22" s="35"/>
      <c r="J22" s="35"/>
      <c r="K22" s="35"/>
      <c r="L22" s="35"/>
      <c r="M22" s="45"/>
      <c r="N22" s="47"/>
      <c r="V22" s="59"/>
    </row>
    <row r="27" spans="1:22" ht="18.5" x14ac:dyDescent="0.45">
      <c r="A27" s="43"/>
      <c r="B27" s="44"/>
      <c r="C27" s="44"/>
      <c r="D27" s="44"/>
      <c r="E27" s="44"/>
      <c r="F27" s="44"/>
      <c r="G27" s="44"/>
      <c r="H27" s="44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90625" customWidth="1"/>
    <col min="2" max="2" width="5.6328125" bestFit="1" customWidth="1"/>
    <col min="3" max="3" width="10.36328125" customWidth="1"/>
    <col min="4" max="4" width="14.36328125" customWidth="1"/>
    <col min="5" max="5" width="27.453125" bestFit="1" customWidth="1"/>
    <col min="6" max="6" width="17.36328125" customWidth="1"/>
    <col min="7" max="7" width="12" bestFit="1" customWidth="1"/>
    <col min="8" max="8" width="17.54296875" customWidth="1"/>
    <col min="9" max="9" width="26.90625" bestFit="1" customWidth="1"/>
    <col min="10" max="10" width="20.6328125" customWidth="1"/>
    <col min="11" max="11" width="17.90625" style="83" customWidth="1"/>
    <col min="12" max="13" width="15.08984375" customWidth="1"/>
    <col min="14" max="14" width="11.36328125" customWidth="1"/>
    <col min="15" max="15" width="20" customWidth="1"/>
    <col min="16" max="16" width="15.36328125" customWidth="1"/>
    <col min="17" max="17" width="17.453125" customWidth="1"/>
    <col min="18" max="18" width="14.08984375" customWidth="1"/>
    <col min="19" max="19" width="11.08984375" customWidth="1"/>
  </cols>
  <sheetData>
    <row r="1" spans="1:19" ht="29" x14ac:dyDescent="0.35">
      <c r="A1" s="81" t="s">
        <v>537</v>
      </c>
      <c r="B1" s="81" t="s">
        <v>522</v>
      </c>
      <c r="C1" s="81" t="s">
        <v>523</v>
      </c>
      <c r="D1" s="81" t="s">
        <v>100</v>
      </c>
      <c r="E1" s="81" t="s">
        <v>101</v>
      </c>
      <c r="F1" s="81" t="s">
        <v>102</v>
      </c>
      <c r="G1" s="84" t="s">
        <v>384</v>
      </c>
      <c r="H1" s="84" t="s">
        <v>412</v>
      </c>
      <c r="I1" s="84" t="s">
        <v>534</v>
      </c>
      <c r="J1" s="84" t="s">
        <v>538</v>
      </c>
      <c r="K1" s="85" t="s">
        <v>741</v>
      </c>
      <c r="L1" s="84" t="s">
        <v>533</v>
      </c>
      <c r="M1" s="84" t="s">
        <v>546</v>
      </c>
      <c r="N1" s="81" t="s">
        <v>739</v>
      </c>
      <c r="O1" s="81" t="s">
        <v>740</v>
      </c>
      <c r="P1" s="81" t="s">
        <v>742</v>
      </c>
      <c r="Q1" s="81" t="s">
        <v>539</v>
      </c>
      <c r="R1" s="81" t="s">
        <v>540</v>
      </c>
      <c r="S1" s="81" t="s">
        <v>548</v>
      </c>
    </row>
    <row r="2" spans="1:19" x14ac:dyDescent="0.35">
      <c r="A2" t="s">
        <v>435</v>
      </c>
      <c r="B2" t="s">
        <v>435</v>
      </c>
      <c r="C2" t="str" cm="1">
        <f t="array" ref="C2">_xll.FDS(B2,"FG_COMPANY_NAME")</f>
        <v>iShares MSCI New Zealand ETF</v>
      </c>
      <c r="D2" t="s">
        <v>201</v>
      </c>
      <c r="E2" t="s">
        <v>453</v>
      </c>
      <c r="F2" t="str" cm="1">
        <f t="array" ref="F2">_xll.FDS(E2,"FG_YIELD_NAME")</f>
        <v>New Zealand Benchmark Bond - 10 Year</v>
      </c>
      <c r="G2">
        <f>VLOOKUP(A2,'LIQIDITY 2'!$A$3:$E$15,5,FALSE)</f>
        <v>4.6510999999999996</v>
      </c>
      <c r="H2" cm="1">
        <f t="array" ref="H2">_xll.FDS(B2,"FG_ROE(0)")</f>
        <v>5.44505133334689</v>
      </c>
      <c r="I2">
        <f>HLOOKUP(B2,'Index ROE'!$B$1:$N$25,24,FALSE)</f>
        <v>9.8238973987983247</v>
      </c>
      <c r="J2" cm="1">
        <f t="array" ref="J2">_xll.FDS(B2, "FMA_RBICS_REV_CURRENT(30, LOC, ""PORTAGG"")")</f>
        <v>13.7517044499309</v>
      </c>
      <c r="K2" s="83">
        <f>HLOOKUP(B2,'Index earnings'!$B$1:$N$25,25,FALSE)</f>
        <v>-9.3828148339384354E-3</v>
      </c>
      <c r="L2">
        <f>HLOOKUP(A2,'Yearly returns'!$B$1:$N$128,126,FALSE)</f>
        <v>-34.834679999999999</v>
      </c>
      <c r="M2">
        <f t="shared" ref="M2:M10" si="0">I2-G2</f>
        <v>5.1727973987983251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28.499999999999996</v>
      </c>
      <c r="R2">
        <f>N2*Assumption!$F$63 + O2*Assumption!$F$60 + P2*Assumption!$F$61 + Q2*Assumption!$F$62</f>
        <v>28.55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117</v>
      </c>
      <c r="E3" t="s">
        <v>142</v>
      </c>
      <c r="F3" t="str" cm="1">
        <f t="array" ref="F3">_xll.FDS(E3,"FG_YIELD_NAME")</f>
        <v>Australia Benchmark Bond - 10 Year</v>
      </c>
      <c r="G3">
        <f>VLOOKUP(A3,'LIQIDITY 2'!$A$3:$E$15,5,FALSE)</f>
        <v>4.0549999999999997</v>
      </c>
      <c r="H3" cm="1">
        <f t="array" ref="H3">_xll.FDS(B3,"FG_ROE(0)")</f>
        <v>12.603393729730801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40.7151096463949</v>
      </c>
      <c r="K3" s="83">
        <f>HLOOKUP(B3,'Index earnings'!$B$1:$N$25,25,FALSE)</f>
        <v>1.1173841089814562E-2</v>
      </c>
      <c r="L3">
        <f>HLOOKUP(A3,'Yearly returns'!$B$1:$N$128,126,FALSE)</f>
        <v>-24.737189999999998</v>
      </c>
      <c r="M3">
        <f t="shared" si="0"/>
        <v>8.9657332991736993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14.3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64.2</v>
      </c>
      <c r="R3">
        <f>N3*Assumption!$F$63 + O3*Assumption!$F$60 + P3*Assumption!$F$61 + Q3*Assumption!$F$62</f>
        <v>35.674999999999997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120</v>
      </c>
      <c r="E4" t="s">
        <v>146</v>
      </c>
      <c r="F4" t="str" cm="1">
        <f t="array" ref="F4">_xll.FDS(E4,"FG_YIELD_NAME")</f>
        <v>Canada Benchmark Bond - 10 Year</v>
      </c>
      <c r="G4">
        <f>VLOOKUP(A4,'LIQIDITY 2'!$A$3:$E$15,5,FALSE)</f>
        <v>3.5205000000000002</v>
      </c>
      <c r="H4" cm="1">
        <f t="array" ref="H4">_xll.FDS(B4,"FG_ROE(0)")</f>
        <v>10.994138335251501</v>
      </c>
      <c r="I4">
        <f>HLOOKUP(B4,'Index ROE'!$B$1:$N$25,24,FALSE)</f>
        <v>12.7516875895064</v>
      </c>
      <c r="J4" cm="1">
        <f t="array" ref="J4">_xll.FDS(B4, "FMA_RBICS_REV_CURRENT(30, LOC, ""PORTAGG"")")</f>
        <v>40.919830747367598</v>
      </c>
      <c r="K4" s="83">
        <f>HLOOKUP(B4,'Index earnings'!$B$1:$N$25,25,FALSE)</f>
        <v>4.0909866878857226E-2</v>
      </c>
      <c r="L4">
        <f>HLOOKUP(A4,'Yearly returns'!$B$1:$N$128,126,FALSE)</f>
        <v>-26.188564</v>
      </c>
      <c r="M4">
        <f t="shared" si="0"/>
        <v>9.2311875895063995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7.1999999999999957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57.099999999999994</v>
      </c>
      <c r="R4">
        <f>N4*Assumption!$F$63 + O4*Assumption!$F$60 + P4*Assumption!$F$61 + Q4*Assumption!$F$62</f>
        <v>44.624999999999993</v>
      </c>
      <c r="S4" cm="1">
        <f t="array" ref="S4">_xlfn.PERCENTRANK.EXC(_xlfn._xlws.FILTER(R$2:R$14, ISNUMBER(R$2:R$14)),R4)*100</f>
        <v>50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106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2.42</v>
      </c>
      <c r="H5" cm="1">
        <f t="array" ref="H5">_xll.FDS(B5,"FG_ROE(0)")</f>
        <v>10.5083144050553</v>
      </c>
      <c r="I5">
        <f>HLOOKUP(B5,'Index ROE'!$B$1:$N$25,24,FALSE)</f>
        <v>11.98466060872375</v>
      </c>
      <c r="J5" cm="1">
        <f t="array" ref="J5">_xll.FDS(B5, "FMA_RBICS_REV_CURRENT(30, LOC, ""PORTAGG"")")</f>
        <v>22.665656730961999</v>
      </c>
      <c r="K5" s="83">
        <f>HLOOKUP(B5,'Index earnings'!$B$1:$N$25,25,FALSE)</f>
        <v>2.829167218053974E-2</v>
      </c>
      <c r="L5">
        <f>HLOOKUP(A5,'Yearly returns'!$B$1:$N$128,126,FALSE)</f>
        <v>-37.366570000000003</v>
      </c>
      <c r="M5">
        <f t="shared" si="0"/>
        <v>9.5646606087237505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N5*Assumption!$F$63 + O5*Assumption!$F$60 + P5*Assumption!$F$61 + Q5*Assumption!$F$62</f>
        <v>42.85</v>
      </c>
      <c r="S5" cm="1">
        <f t="array" ref="S5">_xlfn.PERCENTRANK.EXC(_xlfn._xlws.FILTER(R$2:R$14, ISNUMBER(R$2:R$14)),R5)*100</f>
        <v>42.8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118</v>
      </c>
      <c r="E6" t="s">
        <v>143</v>
      </c>
      <c r="F6" t="str" cm="1">
        <f t="array" ref="F6">_xll.FDS(E6,"FG_YIELD_NAME")</f>
        <v>Japan Benchmark Bond - 10 Year</v>
      </c>
      <c r="G6">
        <f>VLOOKUP(A6,'LIQIDITY 2'!$A$3:$E$15,5,FALSE)</f>
        <v>0.77210000000000001</v>
      </c>
      <c r="H6" cm="1">
        <f t="array" ref="H6">_xll.FDS(B6,"FG_ROE(0)")</f>
        <v>9.6121095540544506</v>
      </c>
      <c r="I6">
        <f>HLOOKUP(B6,'Index ROE'!$B$1:$N$25,24,FALSE)</f>
        <v>8.994618118763011</v>
      </c>
      <c r="J6" cm="1">
        <f t="array" ref="J6">_xll.FDS(B6, "FMA_RBICS_REV_CURRENT(30, LOC, ""PORTAGG"")")</f>
        <v>17.709190961877901</v>
      </c>
      <c r="K6" s="83">
        <f>HLOOKUP(B6,'Index earnings'!$B$1:$N$25,25,FALSE)</f>
        <v>2.4097091687938166E-2</v>
      </c>
      <c r="L6">
        <f>HLOOKUP(A6,'Yearly returns'!$B$1:$N$128,126,FALSE)</f>
        <v>-27.424161999999999</v>
      </c>
      <c r="M6">
        <f t="shared" si="0"/>
        <v>8.222518118763011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64.3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50</v>
      </c>
      <c r="R6">
        <f>N6*Assumption!$F$63 + O6*Assumption!$F$60 + P6*Assumption!$F$61 + Q6*Assumption!$F$62</f>
        <v>44.625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114</v>
      </c>
      <c r="E7" t="s">
        <v>139</v>
      </c>
      <c r="F7" t="str" cm="1">
        <f t="array" ref="F7">_xll.FDS(E7,"FG_YIELD_NAME")</f>
        <v>Treasury - Switzerland Benchmark Bond 10Y</v>
      </c>
      <c r="G7">
        <f>VLOOKUP(A7,'LIQIDITY 2'!$A$3:$E$15,5,FALSE)</f>
        <v>0.75600000000000001</v>
      </c>
      <c r="H7" cm="1">
        <f t="array" ref="H7">_xll.FDS(B7,"FG_ROE(0)")</f>
        <v>24.148855222352001</v>
      </c>
      <c r="I7">
        <f>HLOOKUP(B7,'Index ROE'!$B$1:$N$25,24,FALSE)</f>
        <v>15.55096443559315</v>
      </c>
      <c r="J7" cm="1">
        <f t="array" ref="J7">_xll.FDS(B7, "FMA_RBICS_REV_CURRENT(30, LOC, ""PORTAGG"")")</f>
        <v>18.538187285443801</v>
      </c>
      <c r="K7" s="83">
        <f>HLOOKUP(B7,'Index earnings'!$B$1:$N$25,25,FALSE)</f>
        <v>4.6609242346817847E-2</v>
      </c>
      <c r="L7">
        <f>HLOOKUP(A7,'Yearly returns'!$B$1:$N$128,126,FALSE)</f>
        <v>-21.920849</v>
      </c>
      <c r="M7">
        <f t="shared" si="0"/>
        <v>14.794964435593149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N7*Assumption!$F$63 + O7*Assumption!$F$60 + P7*Assumption!$F$61 + Q7*Assumption!$F$62</f>
        <v>74.974999999999994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119</v>
      </c>
      <c r="E8" t="s">
        <v>145</v>
      </c>
      <c r="F8" t="str" cm="1">
        <f t="array" ref="F8">_xll.FDS(E8,"FG_YIELD_NAME")</f>
        <v>United Kingdom Benchmark Bond - 10 Year</v>
      </c>
      <c r="G8">
        <f>VLOOKUP(A8,'LIQIDITY 2'!$A$3:$E$15,5,FALSE)</f>
        <v>4.1719999999999997</v>
      </c>
      <c r="H8" cm="1">
        <f t="array" ref="H8">_xll.FDS(B8,"FG_ROE(0)")</f>
        <v>15.8716272215686</v>
      </c>
      <c r="I8">
        <f>HLOOKUP(B8,'Index ROE'!$B$1:$N$25,24,FALSE)</f>
        <v>14.561964916400001</v>
      </c>
      <c r="J8" cm="1">
        <f t="array" ref="J8">_xll.FDS(B8, "FMA_RBICS_REV_CURRENT(30, LOC, ""PORTAGG"")")</f>
        <v>17.713937164803198</v>
      </c>
      <c r="K8" s="83">
        <f>HLOOKUP(B8,'Index earnings'!$B$1:$N$25,25,FALSE)</f>
        <v>3.7532801015660588E-3</v>
      </c>
      <c r="L8">
        <f>HLOOKUP(A8,'Yearly returns'!$B$1:$N$128,126,FALSE)</f>
        <v>-23.944932999999999</v>
      </c>
      <c r="M8">
        <f t="shared" si="0"/>
        <v>10.3899649164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78.5</v>
      </c>
      <c r="R8">
        <f>N8*Assumption!$F$63 + O8*Assumption!$F$60 + P8*Assumption!$F$61 + Q8*Assumption!$F$62</f>
        <v>53.524999999999999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123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4.2952000000000004</v>
      </c>
      <c r="H9" cm="1">
        <f t="array" ref="H9">_xll.FDS(B9,"FG_ROE(0)")</f>
        <v>22.2581618730228</v>
      </c>
      <c r="I9">
        <f>HLOOKUP(B9,'Index ROE'!$B$1:$N$25,24,FALSE)</f>
        <v>21.036882269896502</v>
      </c>
      <c r="J9" cm="1">
        <f t="array" ref="J9">_xll.FDS(B9, "FMA_RBICS_REV_CURRENT(30, LOC, ""PORTAGG"")")</f>
        <v>0.86103906844516298</v>
      </c>
      <c r="K9" s="83">
        <f>HLOOKUP(B9,'Index earnings'!$B$1:$N$25,25,FALSE)</f>
        <v>0.12988435543021737</v>
      </c>
      <c r="L9">
        <f>HLOOKUP(A9,'Yearly returns'!$B$1:$N$128,126,FALSE)</f>
        <v>-28.440916000000001</v>
      </c>
      <c r="M9">
        <f t="shared" si="0"/>
        <v>16.741682269896501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42.8</v>
      </c>
      <c r="R9">
        <f>N9*Assumption!$F$63 + O9*Assumption!$F$60 + P9*Assumption!$F$61 + Q9*Assumption!$F$62</f>
        <v>80.325000000000003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123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4.2952000000000004</v>
      </c>
      <c r="H10" cm="1">
        <f t="array" ref="H10">_xll.FDS(B10,"FG_ROE(0)")</f>
        <v>18.064220618581501</v>
      </c>
      <c r="I10">
        <f>HLOOKUP(B10,'Index ROE'!$B$1:$N$25,24,FALSE)</f>
        <v>16.391058174766847</v>
      </c>
      <c r="J10" cm="1">
        <f t="array" ref="J10">_xll.FDS(B10, "FMA_RBICS_REV_CURRENT(30, LOC, ""PORTAGG"")")</f>
        <v>12.516961033779401</v>
      </c>
      <c r="K10" s="83">
        <f>HLOOKUP(B10,'Index earnings'!$B$1:$N$25,25,FALSE)</f>
        <v>5.9890547139527461E-2</v>
      </c>
      <c r="L10">
        <f>HLOOKUP(A10,'Yearly returns'!$B$1:$N$128,126,FALSE)</f>
        <v>-17.953861</v>
      </c>
      <c r="M10">
        <f t="shared" si="0"/>
        <v>12.095858174766846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N10*Assumption!$F$63 + O10*Assumption!$F$60 + P10*Assumption!$F$61 + Q10*Assumption!$F$62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872</v>
      </c>
      <c r="B11" t="s">
        <v>872</v>
      </c>
      <c r="C11" t="str" cm="1">
        <f t="array" ref="C11">_xll.FDS(B11,"FG_COMPANY_NAME")</f>
        <v>iShares MSCI France ETF</v>
      </c>
      <c r="D11" t="s">
        <v>110</v>
      </c>
      <c r="E11" t="s">
        <v>137</v>
      </c>
      <c r="F11" t="str" cm="1">
        <f t="array" ref="F11">_xll.FDS(E11,"FG_YIELD_NAME")</f>
        <v>France Benchmark Bond - 10 Year</v>
      </c>
      <c r="G11">
        <f>VLOOKUP(A11,'LIQIDITY 2'!$A$3:$E$15,5,FALSE)</f>
        <v>2.8519999999999999</v>
      </c>
      <c r="H11" cm="1">
        <f t="array" ref="H11">_xll.FDS(B11,"FG_ROE(0)")</f>
        <v>12.1723873373532</v>
      </c>
      <c r="I11">
        <f>HLOOKUP(B11,'Index ROE'!$B$1:$N$25,24,FALSE)</f>
        <v>11.16089938202855</v>
      </c>
      <c r="J11" cm="1">
        <f t="array" ref="J11">_xll.FDS(B11, "FMA_RBICS_REV_CURRENT(30, LOC, ""PORTAGG"")")</f>
        <v>10.7535343809748</v>
      </c>
      <c r="K11" s="83">
        <f>HLOOKUP(B11,'Index earnings'!$B$1:$N$25,25,FALSE)</f>
        <v>1.8533725345370788E-2</v>
      </c>
      <c r="L11">
        <f>HLOOKUP(A11,'Yearly returns'!$B$1:$N$128,126,FALSE)</f>
        <v>-24.414587000000001</v>
      </c>
      <c r="M11">
        <f t="shared" ref="M11:M14" si="1">I11-G11</f>
        <v>8.3088993820285495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71.399999999999991</v>
      </c>
      <c r="R11">
        <f>N11*Assumption!$F$63 + O11*Assumption!$F$60 + P11*Assumption!$F$61 + Q11*Assumption!$F$62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874</v>
      </c>
      <c r="B12" t="s">
        <v>874</v>
      </c>
      <c r="C12" t="str" cm="1">
        <f t="array" ref="C12">_xll.FDS(B12,"FG_COMPANY_NAME")</f>
        <v>iShares MSCI Netherlands ETF</v>
      </c>
      <c r="D12" t="s">
        <v>882</v>
      </c>
      <c r="E12" t="s">
        <v>884</v>
      </c>
      <c r="F12" t="str" cm="1">
        <f t="array" ref="F12">_xll.FDS(E12,"FG_YIELD_NAME")</f>
        <v>Netherlands Benchmark Bond - 10 Year</v>
      </c>
      <c r="G12">
        <f>VLOOKUP(A12,'LIQIDITY 2'!$A$3:$E$15,5,FALSE)</f>
        <v>2.702</v>
      </c>
      <c r="H12" cm="1">
        <f t="array" ref="H12">_xll.FDS(B12,"FG_ROE(0)")</f>
        <v>9.2902870773492996</v>
      </c>
      <c r="I12">
        <f>HLOOKUP(B12,'Index ROE'!$B$1:$N$25,24,FALSE)</f>
        <v>13.049660814670499</v>
      </c>
      <c r="J12" cm="1">
        <f t="array" ref="J12">_xll.FDS(B12, "FMA_RBICS_REV_CURRENT(30, LOC, ""PORTAGG"")")</f>
        <v>24.720039405119199</v>
      </c>
      <c r="K12" s="83">
        <f>HLOOKUP(B12,'Index earnings'!$B$1:$N$25,25,FALSE)</f>
        <v>3.4801406639145549E-2</v>
      </c>
      <c r="L12">
        <f>HLOOKUP(A12,'Yearly returns'!$B$1:$N$128,126,FALSE)</f>
        <v>-40.252791999999999</v>
      </c>
      <c r="M12">
        <f t="shared" si="1"/>
        <v>10.347660814670499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N12*Assumption!$F$63 + O12*Assumption!$F$60 + P12*Assumption!$F$61 + Q12*Assumption!$F$62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871</v>
      </c>
      <c r="B13" t="s">
        <v>871</v>
      </c>
      <c r="C13" t="str" cm="1">
        <f t="array" ref="C13">_xll.FDS(B13,"FG_COMPANY_NAME")</f>
        <v>iShares MSCI Sweden ETF</v>
      </c>
      <c r="D13" t="s">
        <v>276</v>
      </c>
      <c r="E13" t="s">
        <v>885</v>
      </c>
      <c r="F13" t="str" cm="1">
        <f t="array" ref="F13">_xll.FDS(E13,"FG_YIELD_NAME")</f>
        <v>Sweden Benchmark Bond - 10 Year</v>
      </c>
      <c r="G13">
        <f>VLOOKUP(A13,'LIQIDITY 2'!$A$3:$E$15,5,FALSE)</f>
        <v>2.3690000000000002</v>
      </c>
      <c r="H13" cm="1">
        <f t="array" ref="H13">_xll.FDS(B13,"FG_ROE(0)")</f>
        <v>15.649449850985301</v>
      </c>
      <c r="I13">
        <f>HLOOKUP(B13,'Index ROE'!$B$1:$N$25,24,FALSE)</f>
        <v>14.44282304978255</v>
      </c>
      <c r="J13" cm="1">
        <f t="array" ref="J13">_xll.FDS(B13, "FMA_RBICS_REV_CURRENT(30, LOC, ""PORTAGG"")")</f>
        <v>27.199824277955202</v>
      </c>
      <c r="K13" s="83">
        <f>HLOOKUP(B13,'Index earnings'!$B$1:$N$25,25,FALSE)</f>
        <v>2.4305006324402134E-2</v>
      </c>
      <c r="L13">
        <f>HLOOKUP(A13,'Yearly returns'!$B$1:$N$128,126,FALSE)</f>
        <v>-38.413555000000002</v>
      </c>
      <c r="M13">
        <f t="shared" si="1"/>
        <v>12.07382304978255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N13*Assumption!$F$63 + O13*Assumption!$F$60 + P13*Assumption!$F$61 + Q13*Assumption!$F$62</f>
        <v>41.05</v>
      </c>
      <c r="S13" cm="1">
        <f t="array" ref="S13">_xlfn.PERCENTRANK.EXC(_xlfn._xlws.FILTER(R$2:R$14, ISNUMBER(R$2:R$14)),R13)*100</f>
        <v>28.499999999999996</v>
      </c>
    </row>
    <row r="14" spans="1:19" x14ac:dyDescent="0.35">
      <c r="A14" t="s">
        <v>873</v>
      </c>
      <c r="B14" t="s">
        <v>873</v>
      </c>
      <c r="C14" t="str" cm="1">
        <f t="array" ref="C14">_xll.FDS(B14,"FG_COMPANY_NAME")</f>
        <v>iShares MSCI Italy ETF</v>
      </c>
      <c r="D14" t="s">
        <v>883</v>
      </c>
      <c r="E14" t="s">
        <v>886</v>
      </c>
      <c r="F14" t="str" cm="1">
        <f t="array" ref="F14">_xll.FDS(E14,"FG_YIELD_NAME")</f>
        <v>Italy Benchmark Bond - 10 Year</v>
      </c>
      <c r="G14">
        <f>VLOOKUP(A14,'LIQIDITY 2'!$A$3:$E$15,5,FALSE)</f>
        <v>3.637</v>
      </c>
      <c r="H14" cm="1">
        <f t="array" ref="H14">_xll.FDS(B14,"FG_ROE(0)")</f>
        <v>13.0728580263773</v>
      </c>
      <c r="I14">
        <f>HLOOKUP(B14,'Index ROE'!$B$1:$N$25,24,FALSE)</f>
        <v>9.6445775045501065</v>
      </c>
      <c r="J14" cm="1">
        <f t="array" ref="J14">_xll.FDS(B14, "FMA_RBICS_REV_CURRENT(30, LOC, ""PORTAGG"")")</f>
        <v>34.5462492743982</v>
      </c>
      <c r="K14" s="83">
        <f>HLOOKUP(B14,'Index earnings'!$B$1:$N$25,25,FALSE)</f>
        <v>9.2744046638129074E-3</v>
      </c>
      <c r="L14">
        <f>HLOOKUP(A14,'Yearly returns'!$B$1:$N$128,126,FALSE)</f>
        <v>-30.722695999999999</v>
      </c>
      <c r="M14">
        <f t="shared" si="1"/>
        <v>6.0075775045501061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35.699999999999996</v>
      </c>
      <c r="R14">
        <f>N14*Assumption!$F$63 + O14*Assumption!$F$60 + P14*Assumption!$F$61 + Q14*Assumption!$F$62</f>
        <v>23.199999999999996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130" zoomScaleNormal="130" workbookViewId="0">
      <pane xSplit="1" topLeftCell="B1" activePane="topRight" state="frozen"/>
      <selection pane="topRight" activeCell="B1" sqref="B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6328125" bestFit="1" customWidth="1"/>
    <col min="5" max="5" width="13.90625" customWidth="1"/>
    <col min="6" max="6" width="11.36328125" customWidth="1"/>
    <col min="7" max="7" width="10" customWidth="1"/>
    <col min="8" max="8" width="9.36328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08984375" customWidth="1"/>
    <col min="14" max="14" width="0.36328125" customWidth="1"/>
    <col min="15" max="15" width="15.6328125" bestFit="1" customWidth="1"/>
    <col min="16" max="16" width="15.36328125" customWidth="1"/>
    <col min="17" max="17" width="18.453125" customWidth="1"/>
    <col min="18" max="18" width="17.08984375" customWidth="1"/>
    <col min="19" max="19" width="6.54296875" customWidth="1"/>
    <col min="20" max="21" width="17.54296875" customWidth="1"/>
    <col min="22" max="22" width="18.90625" customWidth="1"/>
    <col min="23" max="23" width="13.36328125" customWidth="1"/>
    <col min="24" max="24" width="13" customWidth="1"/>
    <col min="25" max="25" width="13.453125" customWidth="1"/>
    <col min="26" max="26" width="13" customWidth="1"/>
    <col min="27" max="27" width="12.08984375" customWidth="1"/>
    <col min="28" max="28" width="11.453125" customWidth="1"/>
    <col min="29" max="31" width="13.6328125" customWidth="1"/>
    <col min="32" max="32" width="10.36328125" customWidth="1"/>
    <col min="33" max="33" width="7" customWidth="1"/>
    <col min="34" max="34" width="9.6328125" customWidth="1"/>
  </cols>
  <sheetData>
    <row r="1" spans="1:37" ht="62.25" customHeight="1" thickBot="1" x14ac:dyDescent="0.4">
      <c r="C1" t="s">
        <v>0</v>
      </c>
      <c r="D1" s="58" t="s">
        <v>868</v>
      </c>
      <c r="E1" s="81" t="s">
        <v>869</v>
      </c>
      <c r="F1" s="81" t="s">
        <v>16</v>
      </c>
      <c r="G1" s="81" t="s">
        <v>68</v>
      </c>
      <c r="H1" s="81" t="s">
        <v>63</v>
      </c>
      <c r="I1" s="81" t="s">
        <v>71</v>
      </c>
      <c r="J1" s="81" t="s">
        <v>79</v>
      </c>
      <c r="K1" t="s">
        <v>70</v>
      </c>
      <c r="L1" t="s">
        <v>393</v>
      </c>
      <c r="M1" t="s">
        <v>394</v>
      </c>
      <c r="O1" t="s">
        <v>4</v>
      </c>
      <c r="P1" t="s">
        <v>5</v>
      </c>
      <c r="Q1" t="s">
        <v>9</v>
      </c>
      <c r="R1" t="s">
        <v>505</v>
      </c>
      <c r="T1" t="s">
        <v>510</v>
      </c>
      <c r="U1" t="s">
        <v>511</v>
      </c>
      <c r="V1" t="s">
        <v>506</v>
      </c>
      <c r="W1" t="s">
        <v>4</v>
      </c>
      <c r="X1" t="s">
        <v>73</v>
      </c>
      <c r="Y1" t="s">
        <v>74</v>
      </c>
      <c r="Z1" t="s">
        <v>77</v>
      </c>
      <c r="AA1" t="s">
        <v>78</v>
      </c>
      <c r="AB1" t="s">
        <v>79</v>
      </c>
      <c r="AC1" t="s">
        <v>395</v>
      </c>
      <c r="AD1" t="s">
        <v>396</v>
      </c>
      <c r="AE1" s="81" t="s">
        <v>870</v>
      </c>
      <c r="AH1" s="1" t="s">
        <v>87</v>
      </c>
      <c r="AI1" t="s">
        <v>88</v>
      </c>
    </row>
    <row r="2" spans="1:37" s="30" customFormat="1" ht="15" thickBot="1" x14ac:dyDescent="0.4">
      <c r="A2" s="29"/>
      <c r="U2" s="31">
        <f>Assumption!E24</f>
        <v>0</v>
      </c>
      <c r="V2" s="31">
        <f>Assumption!E12</f>
        <v>0.4</v>
      </c>
      <c r="W2" s="31">
        <f>Assumption!F12</f>
        <v>0.3</v>
      </c>
      <c r="X2" s="31">
        <f>Assumption!G12</f>
        <v>0.3</v>
      </c>
      <c r="Z2" s="30">
        <f>Assumption!E20</f>
        <v>0</v>
      </c>
      <c r="AA2" s="31">
        <f>Assumption!G16</f>
        <v>0</v>
      </c>
      <c r="AB2" s="31">
        <f>Assumption!H16</f>
        <v>0</v>
      </c>
      <c r="AC2" s="31">
        <f>Assumption!E16</f>
        <v>0</v>
      </c>
      <c r="AD2" s="31">
        <f>Assumption!F16</f>
        <v>0</v>
      </c>
      <c r="AE2" s="31">
        <f>Assumption!E29</f>
        <v>0.2</v>
      </c>
      <c r="AF2" s="31">
        <f>SUM(V2:AD2)</f>
        <v>1</v>
      </c>
    </row>
    <row r="3" spans="1:37" x14ac:dyDescent="0.35">
      <c r="A3" t="s">
        <v>435</v>
      </c>
      <c r="B3" t="str" cm="1">
        <f t="array" ref="B3">_xll.FDS(A3,"FG_COMPANY_NAME")</f>
        <v>iShares MSCI New Zealand ETF</v>
      </c>
      <c r="C3" t="s">
        <v>435</v>
      </c>
      <c r="D3" s="153">
        <f>VLOOKUP(C3,'Market Capitalisation'!$C$2:$G$14,5,FALSE)</f>
        <v>91759.45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9">
        <f t="shared" ref="H3:H11" si="0">E3/$G3</f>
        <v>0.2857142857142857</v>
      </c>
      <c r="I3" s="9">
        <f t="shared" ref="I3:I11" si="1">F3/$G3</f>
        <v>0.5714285714285714</v>
      </c>
      <c r="J3" s="9">
        <f t="shared" ref="J3:J11" si="2">H3-I3</f>
        <v>-0.2857142857142857</v>
      </c>
      <c r="K3" s="5" cm="1">
        <f t="array" ref="K3">_xll.FDS(A3,"FMA_PCT_ABOVE_MAVG(200,0,,,,""PORTAGG"")")/100</f>
        <v>0.5</v>
      </c>
      <c r="L3" s="50" cm="1">
        <f t="array" ref="L3">_xll.FDSB(A3,"PERCENT_CHANGE(FMA_EPS(+1,0,,,,""PORTAGG"",""MEAN""),FMA_EPS(+1,-1AM,,,,""PORTAGG"",""MEAN""))")</f>
        <v>-10.2152526644544</v>
      </c>
      <c r="M3" s="50" cm="1">
        <f t="array" ref="M3">_xll.FDSB(A3,"PERCENT_CHANGE(FMA_EPS(+1,0,,,,""PORTAGG"",""MEAN""),FMA_EPS(+1,-3AM,,,,""PORTAGG"",""MEAN""))")</f>
        <v>-14.6188502023565</v>
      </c>
      <c r="O3" s="3" cm="1">
        <f t="array" ref="O3">_xll.FDS(C3,"FG_TOTAL_RETURNC(0,-3AM)")</f>
        <v>-3.4225224999999999</v>
      </c>
      <c r="P3" s="3" cm="1">
        <f t="array" ref="P3">_xll.FDS(C3,"FG_TOTAL_RETURNC(0,-6AM)")</f>
        <v>4.236853</v>
      </c>
      <c r="Q3" s="9" cm="1">
        <f t="array" ref="Q3">_xll.FDS(C3,"P_PRICE(0)/P_PRICE_HIGH_PR(0,,,USD,,,""PRICE"",""INTRA"",""52W"")")</f>
        <v>0.88596492999999998</v>
      </c>
      <c r="R3" s="9" cm="1">
        <f t="array" ref="R3">_xll.FDS(C3,"P_PRICE(0)/P_PRICE_low_PR(0,,,USD,,,""PRICE"",""INTRA"",""52W"")-1")</f>
        <v>0.10772335500000001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7.1</v>
      </c>
      <c r="AD3" s="4">
        <f>_xlfn.PERCENTRANK.EXC($M$3:$M$15,M3)*100</f>
        <v>7.1</v>
      </c>
      <c r="AE3" s="4">
        <f>_xlfn.PERCENTRANK.EXC($D$3:$D$15,D3)*100</f>
        <v>7.1</v>
      </c>
      <c r="AF3" s="4">
        <f t="shared" ref="AF3:AF11" si="4">SUMPRODUCT($U$2:$AE$2,U3:AE3)</f>
        <v>8.52</v>
      </c>
      <c r="AH3" s="3" cm="1">
        <f t="array" ref="AH3">_xlfn.PERCENTRANK.EXC(_xlfn._xlws.FILTER($AF$3:$AF$15, ISNUMBER($AF$3:$AF$15)),AF3)*100</f>
        <v>7.1</v>
      </c>
      <c r="AI3">
        <f t="shared" ref="AI3:AI11" si="5">COUNTIF(V3:AB3,"&gt;70")</f>
        <v>0</v>
      </c>
      <c r="AK3" s="4"/>
    </row>
    <row r="4" spans="1:37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53">
        <f>VLOOKUP(C4,'Market Capitalisation'!$C$2:$G$14,5,FALSE)</f>
        <v>1666016.6</v>
      </c>
      <c r="E4" cm="1">
        <f t="array" ref="E4">_xll.FDS(C4,"FMA_COS_UP(""EPS"",""1M"",+1,0,,,""PORTAGG"",""MEANR"")")</f>
        <v>31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59</v>
      </c>
      <c r="H4" s="9">
        <f t="shared" si="0"/>
        <v>0.52542372881355937</v>
      </c>
      <c r="I4" s="9">
        <f t="shared" si="1"/>
        <v>0.3559322033898305</v>
      </c>
      <c r="J4" s="9">
        <f t="shared" si="2"/>
        <v>0.16949152542372886</v>
      </c>
      <c r="K4" s="5" cm="1">
        <f t="array" ref="K4">_xll.FDS(A4,"FMA_PCT_ABOVE_MAVG(200,0,,,,""PORTAGG"")")/100</f>
        <v>0.74576271186440701</v>
      </c>
      <c r="L4" s="50" cm="1">
        <f t="array" ref="L4">_xll.FDSB(A4,"PERCENT_CHANGE(FMA_EPS(+1,0,,,,""PORTAGG"",""MEAN""),FMA_EPS(+1,-1AM,,,,""PORTAGG"",""MEAN""))")</f>
        <v>2.49650050662741</v>
      </c>
      <c r="M4" s="50" cm="1">
        <f t="array" ref="M4">_xll.FDSB(A4,"PERCENT_CHANGE(FMA_EPS(+1,0,,,,""PORTAGG"",""MEAN""),FMA_EPS(+1,-3AM,,,,""PORTAGG"",""MEAN""))")</f>
        <v>-2.5388487733994598</v>
      </c>
      <c r="O4" s="3" cm="1">
        <f t="array" ref="O4">_xll.FDS(C4,"FG_TOTAL_RETURNC(0,-3AM)")</f>
        <v>2.6134013999999999</v>
      </c>
      <c r="P4" s="3" cm="1">
        <f t="array" ref="P4">_xll.FDS(C4,"FG_TOTAL_RETURNC(0,-6AM)")</f>
        <v>10.241628</v>
      </c>
      <c r="Q4" s="9" cm="1">
        <f t="array" ref="Q4">_xll.FDS(C4,"P_PRICE(0)/P_PRICE_HIGH_PR(0,,,USD,,,""PRICE"",""INTRA"",""52W"")")</f>
        <v>0.96325879999999997</v>
      </c>
      <c r="R4" s="9" cm="1">
        <f t="array" ref="R4">_xll.FDS(C4,"P_PRICE(0)/P_PRICE_low_PR(0,,,USD,,,""PRICE"",""INTRA"",""52W"")-1")</f>
        <v>0.17888570000000001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28.499999999999996</v>
      </c>
      <c r="X4" s="4" cm="1">
        <f t="array" ref="X4">_xlfn.PERCENTRANK.EXC(_xlfn._xlws.FILTER($P$3:$P$15, ISNUMBER($P$3:$P$15)),P4)*100</f>
        <v>35.699999999999996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92.800000000000011</v>
      </c>
      <c r="AB4" s="4" cm="1">
        <f t="array" ref="AB4">_xlfn.PERCENTRANK.EXC(_xlfn._xlws.FILTER($J$3:$J$15, ISNUMBER($J$3:$J$15)),J4)*100</f>
        <v>92.800000000000011</v>
      </c>
      <c r="AC4" s="4">
        <f t="shared" ref="AC4:AC15" si="6">_xlfn.PERCENTRANK.EXC($L$3:$L$15,L4)*100</f>
        <v>71.399999999999991</v>
      </c>
      <c r="AD4" s="4">
        <f t="shared" ref="AD4:AD15" si="7">_xlfn.PERCENTRANK.EXC($M$3:$M$15,M4)*100</f>
        <v>64.2</v>
      </c>
      <c r="AE4" s="4">
        <f t="shared" ref="AE4:AE15" si="8">_xlfn.PERCENTRANK.EXC($D$3:$D$15,D4)*100</f>
        <v>35.699999999999996</v>
      </c>
      <c r="AF4" s="4">
        <f t="shared" si="4"/>
        <v>34.96</v>
      </c>
      <c r="AH4" s="3" cm="1">
        <f t="array" ref="AH4">_xlfn.PERCENTRANK.EXC(_xlfn._xlws.FILTER($AF$3:$AF$15, ISNUMBER($AF$3:$AF$15)),AF4)*100</f>
        <v>14.2</v>
      </c>
      <c r="AI4">
        <f t="shared" si="5"/>
        <v>3</v>
      </c>
      <c r="AK4" s="4"/>
    </row>
    <row r="5" spans="1:37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53">
        <f>VLOOKUP(C5,'Market Capitalisation'!$C$2:$G$14,5,FALSE)</f>
        <v>2704108.8</v>
      </c>
      <c r="E5" cm="1">
        <f t="array" ref="E5">_xll.FDS(C5,"FMA_COS_UP(""EPS"",""1M"",+1,0,,,""PORTAGG"",""MEANR"")")</f>
        <v>33</v>
      </c>
      <c r="F5" cm="1">
        <f t="array" ref="F5">_xll.FDS(C5,"FMA_COS_DOWN(""EPS"",""1M"",+1,0,,,""PORTAGG"",""MEANR"")")</f>
        <v>42</v>
      </c>
      <c r="G5" cm="1">
        <f t="array" ref="G5">_xll.FDS(A5,"SIZE(FG_CONSTITUENTS)")</f>
        <v>88</v>
      </c>
      <c r="H5" s="9">
        <f t="shared" si="0"/>
        <v>0.375</v>
      </c>
      <c r="I5" s="9">
        <f t="shared" si="1"/>
        <v>0.47727272727272729</v>
      </c>
      <c r="J5" s="9">
        <f t="shared" si="2"/>
        <v>-0.10227272727272729</v>
      </c>
      <c r="K5" s="5" cm="1">
        <f t="array" ref="K5">_xll.FDS(A5,"FMA_PCT_ABOVE_MAVG(200,0,,,,""PORTAGG"")")/100</f>
        <v>0.68181818181818199</v>
      </c>
      <c r="L5" s="50" cm="1">
        <f t="array" ref="L5">_xll.FDSB(A5,"PERCENT_CHANGE(FMA_EPS(+1,0,,,,""PORTAGG"",""MEAN""),FMA_EPS(+1,-1AM,,,,""PORTAGG"",""MEAN""))")</f>
        <v>-0.470371712461365</v>
      </c>
      <c r="M5" s="50" cm="1">
        <f t="array" ref="M5">_xll.FDSB(A5,"PERCENT_CHANGE(FMA_EPS(+1,0,,,,""PORTAGG"",""MEAN""),FMA_EPS(+1,-3AM,,,,""PORTAGG"",""MEAN""))")</f>
        <v>-5.4487089349174802</v>
      </c>
      <c r="O5" s="3" cm="1">
        <f t="array" ref="O5">_xll.FDS(C5,"FG_TOTAL_RETURNC(0,-3AM)")</f>
        <v>5.5254339999999997</v>
      </c>
      <c r="P5" s="3" cm="1">
        <f t="array" ref="P5">_xll.FDS(C5,"FG_TOTAL_RETURNC(0,-6AM)")</f>
        <v>8.6396809999999995</v>
      </c>
      <c r="Q5" s="9" cm="1">
        <f t="array" ref="Q5">_xll.FDS(C5,"P_PRICE(0)/P_PRICE_HIGH_PR(0,,,USD,,,""PRICE"",""INTRA"",""52W"")")</f>
        <v>0.98783840000000001</v>
      </c>
      <c r="R5" s="9" cm="1">
        <f t="array" ref="R5">_xll.FDS(C5,"P_PRICE(0)/P_PRICE_low_PR(0,,,USD,,,""PRICE"",""INTRA"",""52W"")-1")</f>
        <v>0.2024833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57.099999999999994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35.699999999999996</v>
      </c>
      <c r="AC5" s="4">
        <f t="shared" si="6"/>
        <v>14.2</v>
      </c>
      <c r="AD5" s="4">
        <f t="shared" si="7"/>
        <v>21.4</v>
      </c>
      <c r="AE5" s="4">
        <f t="shared" si="8"/>
        <v>57.099999999999994</v>
      </c>
      <c r="AF5" s="4">
        <f t="shared" si="4"/>
        <v>55.65</v>
      </c>
      <c r="AH5" s="3" cm="1">
        <f t="array" ref="AH5">_xlfn.PERCENTRANK.EXC(_xlfn._xlws.FILTER($AF$3:$AF$15, ISNUMBER($AF$3:$AF$15)),AF5)*100</f>
        <v>35.699999999999996</v>
      </c>
      <c r="AI5">
        <f t="shared" si="5"/>
        <v>0</v>
      </c>
      <c r="AK5" s="4"/>
    </row>
    <row r="6" spans="1:37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53">
        <f>VLOOKUP(C6,'Market Capitalisation'!$C$2:$G$14,5,FALSE)</f>
        <v>2337301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32</v>
      </c>
      <c r="G6" cm="1">
        <f t="array" ref="G6">_xll.FDS(A6,"SIZE(FG_CONSTITUENTS)")</f>
        <v>57</v>
      </c>
      <c r="H6" s="9">
        <f t="shared" si="0"/>
        <v>0.38596491228070173</v>
      </c>
      <c r="I6" s="9">
        <f t="shared" si="1"/>
        <v>0.56140350877192979</v>
      </c>
      <c r="J6" s="9">
        <f t="shared" si="2"/>
        <v>-0.17543859649122806</v>
      </c>
      <c r="K6" s="5" cm="1">
        <f t="array" ref="K6">_xll.FDS(A6,"FMA_PCT_ABOVE_MAVG(200,0,,,,""PORTAGG"")")/100</f>
        <v>0.7192982456140351</v>
      </c>
      <c r="L6" s="50" cm="1">
        <f t="array" ref="L6">_xll.FDSB(A6,"PERCENT_CHANGE(FMA_EPS(+1,0,,,,""PORTAGG"",""MEAN""),FMA_EPS(+1,-1AM,,,,""PORTAGG"",""MEAN""))")</f>
        <v>0.83123387006699301</v>
      </c>
      <c r="M6" s="50" cm="1">
        <f t="array" ref="M6">_xll.FDSB(A6,"PERCENT_CHANGE(FMA_EPS(+1,0,,,,""PORTAGG"",""MEAN""),FMA_EPS(+1,-3AM,,,,""PORTAGG"",""MEAN""))")</f>
        <v>-4.6140684661236797</v>
      </c>
      <c r="O6" s="3" cm="1">
        <f t="array" ref="O6">_xll.FDS(C6,"FG_TOTAL_RETURNC(0,-3AM)")</f>
        <v>5.3131459999999997</v>
      </c>
      <c r="P6" s="3" cm="1">
        <f t="array" ref="P6">_xll.FDS(C6,"FG_TOTAL_RETURNC(0,-6AM)")</f>
        <v>14.317905</v>
      </c>
      <c r="Q6" s="9" cm="1">
        <f t="array" ref="Q6">_xll.FDS(C6,"P_PRICE(0)/P_PRICE_HIGH_PR(0,,,USD,,,""PRICE"",""INTRA"",""52W"")")</f>
        <v>0.98888885999999998</v>
      </c>
      <c r="R6" s="9" cm="1">
        <f t="array" ref="R6">_xll.FDS(C6,"P_PRICE(0)/P_PRICE_low_PR(0,,,USD,,,""PRICE"",""INTRA"",""52W"")-1")</f>
        <v>0.26087832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71.399999999999991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21.4</v>
      </c>
      <c r="AC6" s="4">
        <f t="shared" si="6"/>
        <v>50</v>
      </c>
      <c r="AD6" s="4">
        <f t="shared" si="7"/>
        <v>42.8</v>
      </c>
      <c r="AE6" s="4">
        <f t="shared" si="8"/>
        <v>50</v>
      </c>
      <c r="AF6" s="4">
        <f t="shared" si="4"/>
        <v>66.399999999999991</v>
      </c>
      <c r="AH6" s="3" cm="1">
        <f t="array" ref="AH6">_xlfn.PERCENTRANK.EXC(_xlfn._xlws.FILTER($AF$3:$AF$15, ISNUMBER($AF$3:$AF$15)),AF6)*100</f>
        <v>57.099999999999994</v>
      </c>
      <c r="AI6">
        <f t="shared" si="5"/>
        <v>1</v>
      </c>
      <c r="AK6" s="4"/>
    </row>
    <row r="7" spans="1:37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53">
        <f>VLOOKUP(C7,'Market Capitalisation'!$C$2:$G$14,5,FALSE)</f>
        <v>6652499</v>
      </c>
      <c r="E7" cm="1">
        <f t="array" ref="E7">_xll.FDS(C7,"FMA_COS_UP(""EPS"",""1M"",+1,0,,,""PORTAGG"",""MEANR"")")</f>
        <v>115</v>
      </c>
      <c r="F7" cm="1">
        <f t="array" ref="F7">_xll.FDS(C7,"FMA_COS_DOWN(""EPS"",""1M"",+1,0,,,""PORTAGG"",""MEANR"")")</f>
        <v>91</v>
      </c>
      <c r="G7" cm="1">
        <f t="array" ref="G7">_xll.FDS(A7,"SIZE(FG_CONSTITUENTS)")</f>
        <v>219</v>
      </c>
      <c r="H7" s="9">
        <f t="shared" si="0"/>
        <v>0.52511415525114158</v>
      </c>
      <c r="I7" s="9">
        <f t="shared" si="1"/>
        <v>0.41552511415525112</v>
      </c>
      <c r="J7" s="9">
        <f t="shared" si="2"/>
        <v>0.10958904109589046</v>
      </c>
      <c r="K7" s="5" cm="1">
        <f t="array" ref="K7">_xll.FDS(A7,"FMA_PCT_ABOVE_MAVG(200,0,,,,""PORTAGG"")")/100</f>
        <v>0.66666666666666696</v>
      </c>
      <c r="L7" s="50" cm="1">
        <f t="array" ref="L7">_xll.FDSB(A7,"PERCENT_CHANGE(FMA_EPS(+1,0,,,,""PORTAGG"",""MEAN""),FMA_EPS(+1,-1AM,,,,""PORTAGG"",""MEAN""))")</f>
        <v>2.0151552121530201</v>
      </c>
      <c r="M7" s="50" cm="1">
        <f t="array" ref="M7">_xll.FDSB(A7,"PERCENT_CHANGE(FMA_EPS(+1,0,,,,""PORTAGG"",""MEAN""),FMA_EPS(+1,-3AM,,,,""PORTAGG"",""MEAN""))")</f>
        <v>-3.0064091596245399</v>
      </c>
      <c r="O7" s="3" cm="1">
        <f t="array" ref="O7">_xll.FDS(C7,"FG_TOTAL_RETURNC(0,-3AM)")</f>
        <v>9.9080200000000005</v>
      </c>
      <c r="P7" s="3" cm="1">
        <f t="array" ref="P7">_xll.FDS(C7,"FG_TOTAL_RETURNC(0,-6AM)")</f>
        <v>10.567403000000001</v>
      </c>
      <c r="Q7" s="9" cm="1">
        <f t="array" ref="Q7">_xll.FDS(C7,"P_PRICE(0)/P_PRICE_HIGH_PR(0,,,USD,,,""PRICE"",""INTRA"",""52W"")")</f>
        <v>0.96244160000000001</v>
      </c>
      <c r="R7" s="9" cm="1">
        <f t="array" ref="R7">_xll.FDS(C7,"P_PRICE(0)/P_PRICE_low_PR(0,,,USD,,,""PRICE"",""INTRA"",""52W"")-1")</f>
        <v>0.26587843999999999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92.800000000000011</v>
      </c>
      <c r="X7" s="4" cm="1">
        <f t="array" ref="X7">_xlfn.PERCENTRANK.EXC(_xlfn._xlws.FILTER($P$3:$P$15, ISNUMBER($P$3:$P$15)),P7)*100</f>
        <v>42.8</v>
      </c>
      <c r="Z7" s="4" cm="1">
        <f t="array" ref="Z7">_xlfn.PERCENTRANK.EXC(_xlfn._xlws.FILTER($K$3:$K$15, ISNUMBER($K$3:$K$15)),K7)*100</f>
        <v>35.699999999999996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85.7</v>
      </c>
      <c r="AC7" s="4">
        <f t="shared" si="6"/>
        <v>64.2</v>
      </c>
      <c r="AD7" s="4">
        <f t="shared" si="7"/>
        <v>57.099999999999994</v>
      </c>
      <c r="AE7" s="4">
        <f t="shared" si="8"/>
        <v>78.5</v>
      </c>
      <c r="AF7" s="4">
        <f t="shared" si="4"/>
        <v>62.06</v>
      </c>
      <c r="AH7" s="3" cm="1">
        <f t="array" ref="AH7">_xlfn.PERCENTRANK.EXC(_xlfn._xlws.FILTER($AF$3:$AF$15, ISNUMBER($AF$3:$AF$15)),AF7)*100</f>
        <v>42.8</v>
      </c>
      <c r="AI7">
        <f t="shared" si="5"/>
        <v>3</v>
      </c>
      <c r="AK7" s="4"/>
    </row>
    <row r="8" spans="1:37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53">
        <f>VLOOKUP(C8,'Market Capitalisation'!$C$2:$G$14,5,FALSE)</f>
        <v>2177973.5</v>
      </c>
      <c r="E8" cm="1">
        <f t="array" ref="E8">_xll.FDS(C8,"FMA_COS_UP(""EPS"",""1M"",+1,0,,,""PORTAGG"",""MEANR"")")</f>
        <v>13</v>
      </c>
      <c r="F8" cm="1">
        <f t="array" ref="F8">_xll.FDS(C8,"FMA_COS_DOWN(""EPS"",""1M"",+1,0,,,""PORTAGG"",""MEANR"")")</f>
        <v>29</v>
      </c>
      <c r="G8" cm="1">
        <f t="array" ref="G8">_xll.FDS(A8,"SIZE(FG_CONSTITUENTS)")</f>
        <v>46</v>
      </c>
      <c r="H8" s="9">
        <f t="shared" si="0"/>
        <v>0.28260869565217389</v>
      </c>
      <c r="I8" s="9">
        <f t="shared" si="1"/>
        <v>0.63043478260869568</v>
      </c>
      <c r="J8" s="9">
        <f t="shared" si="2"/>
        <v>-0.34782608695652178</v>
      </c>
      <c r="K8" s="5" cm="1">
        <f t="array" ref="K8">_xll.FDS(A8,"FMA_PCT_ABOVE_MAVG(200,0,,,,""PORTAGG"")")/100</f>
        <v>0.62222222222222201</v>
      </c>
      <c r="L8" s="50" cm="1">
        <f t="array" ref="L8">_xll.FDSB(A8,"PERCENT_CHANGE(FMA_EPS(+1,0,,,,""PORTAGG"",""MEAN""),FMA_EPS(+1,-1AM,,,,""PORTAGG"",""MEAN""))")</f>
        <v>0.74613202000315204</v>
      </c>
      <c r="M8" s="50" cm="1">
        <f t="array" ref="M8">_xll.FDSB(A8,"PERCENT_CHANGE(FMA_EPS(+1,0,,,,""PORTAGG"",""MEAN""),FMA_EPS(+1,-3AM,,,,""PORTAGG"",""MEAN""))")</f>
        <v>-5.2110394613443498</v>
      </c>
      <c r="O8" s="3" cm="1">
        <f t="array" ref="O8">_xll.FDS(C8,"FG_TOTAL_RETURNC(0,-3AM)")</f>
        <v>2.4586678000000002</v>
      </c>
      <c r="P8" s="3" cm="1">
        <f t="array" ref="P8">_xll.FDS(C8,"FG_TOTAL_RETURNC(0,-6AM)")</f>
        <v>6.4523219999999997</v>
      </c>
      <c r="Q8" s="9" cm="1">
        <f t="array" ref="Q8">_xll.FDS(C8,"P_PRICE(0)/P_PRICE_HIGH_PR(0,,,USD,,,""PRICE"",""INTRA"",""52W"")")</f>
        <v>0.98784099999999997</v>
      </c>
      <c r="R8" s="9" cm="1">
        <f t="array" ref="R8">_xll.FDS(C8,"P_PRICE(0)/P_PRICE_low_PR(0,,,USD,,,""PRICE"",""INTRA"",""52W"")-1")</f>
        <v>0.16341758000000001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64.2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14.2</v>
      </c>
      <c r="AB8" s="4" cm="1">
        <f t="array" ref="AB8">_xlfn.PERCENTRANK.EXC(_xlfn._xlws.FILTER($J$3:$J$15, ISNUMBER($J$3:$J$15)),J8)*100</f>
        <v>7.1</v>
      </c>
      <c r="AC8" s="4">
        <f t="shared" si="6"/>
        <v>42.8</v>
      </c>
      <c r="AD8" s="4">
        <f t="shared" si="7"/>
        <v>28.499999999999996</v>
      </c>
      <c r="AE8" s="4">
        <f t="shared" si="8"/>
        <v>42.8</v>
      </c>
      <c r="AF8" s="4">
        <f t="shared" si="4"/>
        <v>47.080000000000005</v>
      </c>
      <c r="AH8" s="3" cm="1">
        <f t="array" ref="AH8">_xlfn.PERCENTRANK.EXC(_xlfn._xlws.FILTER($AF$3:$AF$15, ISNUMBER($AF$3:$AF$15)),AF8)*100</f>
        <v>28.499999999999996</v>
      </c>
      <c r="AI8">
        <f t="shared" si="5"/>
        <v>0</v>
      </c>
      <c r="AK8" s="4"/>
    </row>
    <row r="9" spans="1:37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53">
        <f>VLOOKUP(C9,'Market Capitalisation'!$C$2:$G$14,5,FALSE)</f>
        <v>3096719.5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42</v>
      </c>
      <c r="G9" cm="1">
        <f t="array" ref="G9">_xll.FDS(A9,"SIZE(FG_CONSTITUENTS)")</f>
        <v>85</v>
      </c>
      <c r="H9" s="9">
        <f t="shared" si="0"/>
        <v>0.4</v>
      </c>
      <c r="I9" s="9">
        <f t="shared" si="1"/>
        <v>0.49411764705882355</v>
      </c>
      <c r="J9" s="9">
        <f t="shared" si="2"/>
        <v>-9.4117647058823528E-2</v>
      </c>
      <c r="K9" s="5" cm="1">
        <f t="array" ref="K9">_xll.FDS(A9,"FMA_PCT_ABOVE_MAVG(200,0,,,,""PORTAGG"")")/100</f>
        <v>0.58333333333333304</v>
      </c>
      <c r="L9" s="50" cm="1">
        <f t="array" ref="L9">_xll.FDSB(A9,"PERCENT_CHANGE(FMA_EPS(+1,0,,,,""PORTAGG"",""MEAN""),FMA_EPS(+1,-1AM,,,,""PORTAGG"",""MEAN""))")</f>
        <v>1.0003076185254201</v>
      </c>
      <c r="M9" s="50" cm="1">
        <f t="array" ref="M9">_xll.FDSB(A9,"PERCENT_CHANGE(FMA_EPS(+1,0,,,,""PORTAGG"",""MEAN""),FMA_EPS(+1,-3AM,,,,""PORTAGG"",""MEAN""))")</f>
        <v>-5.6185699139150502</v>
      </c>
      <c r="O9" s="3" cm="1">
        <f t="array" ref="O9">_xll.FDS(C9,"FG_TOTAL_RETURNC(0,-3AM)")</f>
        <v>2.2411227</v>
      </c>
      <c r="P9" s="3" cm="1">
        <f t="array" ref="P9">_xll.FDS(C9,"FG_TOTAL_RETURNC(0,-6AM)")</f>
        <v>5.2232859999999999</v>
      </c>
      <c r="Q9" s="9" cm="1">
        <f t="array" ref="Q9">_xll.FDS(C9,"P_PRICE(0)/P_PRICE_HIGH_PR(0,,,USD,,,""PRICE"",""INTRA"",""52W"")")</f>
        <v>0.98399179999999997</v>
      </c>
      <c r="R9" s="9" cm="1">
        <f t="array" ref="R9">_xll.FDS(C9,"P_PRICE(0)/P_PRICE_low_PR(0,,,USD,,,""PRICE"",""INTRA"",""52W"")-1")</f>
        <v>0.116666675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42.8</v>
      </c>
      <c r="W9" s="4" cm="1">
        <f t="array" ref="W9">_xlfn.PERCENTRANK.EXC(_xlfn._xlws.FILTER($O$3:$O$15, ISNUMBER($O$3:$O$15)),O9)*100</f>
        <v>14.2</v>
      </c>
      <c r="X9" s="4" cm="1">
        <f t="array" ref="X9">_xlfn.PERCENTRANK.EXC(_xlfn._xlws.FILTER($P$3:$P$15, ISNUMBER($P$3:$P$15)),P9)*100</f>
        <v>14.2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42.8</v>
      </c>
      <c r="AC9" s="4">
        <f t="shared" si="6"/>
        <v>57.099999999999994</v>
      </c>
      <c r="AD9" s="4">
        <f t="shared" si="7"/>
        <v>14.2</v>
      </c>
      <c r="AE9" s="4">
        <f t="shared" si="8"/>
        <v>64.2</v>
      </c>
      <c r="AF9" s="4">
        <f t="shared" si="4"/>
        <v>38.480000000000004</v>
      </c>
      <c r="AH9" s="3" cm="1">
        <f t="array" ref="AH9">_xlfn.PERCENTRANK.EXC(_xlfn._xlws.FILTER($AF$3:$AF$15, ISNUMBER($AF$3:$AF$15)),AF9)*100</f>
        <v>21.4</v>
      </c>
      <c r="AI9">
        <f t="shared" si="5"/>
        <v>0</v>
      </c>
      <c r="AK9" s="4"/>
    </row>
    <row r="10" spans="1:37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53">
        <f>VLOOKUP(C10,'Market Capitalisation'!$C$2:$G$14,5,FALSE)</f>
        <v>53747804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40</v>
      </c>
      <c r="G10" cm="1">
        <f t="array" ref="G10">_xll.FDS(A10,"SIZE(FG_CONSTITUENTS)")</f>
        <v>102</v>
      </c>
      <c r="H10" s="9">
        <f t="shared" si="0"/>
        <v>0.3235294117647059</v>
      </c>
      <c r="I10" s="9">
        <f t="shared" si="1"/>
        <v>0.39215686274509803</v>
      </c>
      <c r="J10" s="9">
        <f t="shared" si="2"/>
        <v>-6.8627450980392135E-2</v>
      </c>
      <c r="K10" s="5" cm="1">
        <f t="array" ref="K10">_xll.FDS(A10,"FMA_PCT_ABOVE_MAVG(200,0,,,,""PORTAGG"")")/100</f>
        <v>0.74509803921568607</v>
      </c>
      <c r="L10" s="50" cm="1">
        <f t="array" ref="L10">_xll.FDSB(A10,"PERCENT_CHANGE(FMA_EPS(+1,0,,,,""PORTAGG"",""MEAN""),FMA_EPS(+1,-1AM,,,,""PORTAGG"",""MEAN""))")</f>
        <v>0.55495918682442003</v>
      </c>
      <c r="M10" s="50" cm="1">
        <f t="array" ref="M10">_xll.FDSB(A10,"PERCENT_CHANGE(FMA_EPS(+1,0,,,,""PORTAGG"",""MEAN""),FMA_EPS(+1,-3AM,,,,""PORTAGG"",""MEAN""))")</f>
        <v>0.109076020745593</v>
      </c>
      <c r="O10" s="3" cm="1">
        <f t="array" ref="O10">_xll.FDS(C10,"FG_TOTAL_RETURNC(0,-3AM)")</f>
        <v>9.1357470000000003</v>
      </c>
      <c r="P10" s="3" cm="1">
        <f t="array" ref="P10">_xll.FDS(C10,"FG_TOTAL_RETURNC(0,-6AM)")</f>
        <v>16.860294</v>
      </c>
      <c r="Q10" s="9" cm="1">
        <f t="array" ref="Q10">_xll.FDS(C10,"P_PRICE(0)/P_PRICE_HIGH_PR(0,,,USD,,,""PRICE"",""INTRA"",""52W"")")</f>
        <v>0.9788249</v>
      </c>
      <c r="R10" s="9" cm="1">
        <f t="array" ref="R10">_xll.FDS(C10,"P_PRICE(0)/P_PRICE_low_PR(0,,,USD,,,""PRICE"",""INTRA"",""52W"")-1")</f>
        <v>0.49754477000000003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35.699999999999996</v>
      </c>
      <c r="W10" s="4" cm="1">
        <f t="array" ref="W10">_xlfn.PERCENTRANK.EXC(_xlfn._xlws.FILTER($O$3:$O$15, ISNUMBER($O$3:$O$15)),O10)*100</f>
        <v>71.399999999999991</v>
      </c>
      <c r="X10" s="4" cm="1">
        <f t="array" ref="X10">_xlfn.PERCENTRANK.EXC(_xlfn._xlws.FILTER($P$3:$P$15, ISNUMBER($P$3:$P$15)),P10)*100</f>
        <v>71.399999999999991</v>
      </c>
      <c r="Z10" s="4" cm="1">
        <f t="array" ref="Z10">_xlfn.PERCENTRANK.EXC(_xlfn._xlws.FILTER($K$3:$K$15, ISNUMBER($K$3:$K$15)),K10)*100</f>
        <v>64.2</v>
      </c>
      <c r="AA10" s="4" cm="1">
        <f t="array" ref="AA10">_xlfn.PERCENTRANK.EXC(_xlfn._xlws.FILTER($H$3:$H$15, ISNUMBER($H$3:$H$15)),H10)*100</f>
        <v>28.499999999999996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21.4</v>
      </c>
      <c r="AD10" s="4">
        <f t="shared" si="7"/>
        <v>92.800000000000011</v>
      </c>
      <c r="AE10" s="4">
        <f t="shared" si="8"/>
        <v>85.7</v>
      </c>
      <c r="AF10" s="4">
        <f t="shared" si="4"/>
        <v>74.259999999999991</v>
      </c>
      <c r="AH10" s="3" cm="1">
        <f t="array" ref="AH10">_xlfn.PERCENTRANK.EXC(_xlfn._xlws.FILTER($AF$3:$AF$15, ISNUMBER($AF$3:$AF$15)),AF10)*100</f>
        <v>71.399999999999991</v>
      </c>
      <c r="AI10">
        <f t="shared" si="5"/>
        <v>2</v>
      </c>
      <c r="AK10" s="4"/>
    </row>
    <row r="11" spans="1:37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53">
        <f>VLOOKUP(C11,'Market Capitalisation'!$C$2:$G$14,5,FALSE)</f>
        <v>53747804</v>
      </c>
      <c r="E11" cm="1">
        <f t="array" ref="E11">_xll.FDS(C11,"FMA_COS_UP(""EPS"",""1M"",+1,0,,,""PORTAGG"",""MEANR"")")</f>
        <v>181</v>
      </c>
      <c r="F11" cm="1">
        <f t="array" ref="F11">_xll.FDS(C11,"FMA_COS_DOWN(""EPS"",""1M"",+1,0,,,""PORTAGG"",""MEANR"")")</f>
        <v>184</v>
      </c>
      <c r="G11" cm="1">
        <f t="array" ref="G11">_xll.FDS(A11,"SIZE(FG_CONSTITUENTS)")</f>
        <v>504</v>
      </c>
      <c r="H11" s="9">
        <f t="shared" si="0"/>
        <v>0.35912698412698413</v>
      </c>
      <c r="I11" s="9">
        <f t="shared" si="1"/>
        <v>0.36507936507936506</v>
      </c>
      <c r="J11" s="9">
        <f t="shared" si="2"/>
        <v>-5.9523809523809312E-3</v>
      </c>
      <c r="K11" s="5" cm="1">
        <f t="array" ref="K11">_xll.FDS(A11,"FMA_PCT_ABOVE_MAVG(200,0,,,,""PORTAGG"")")/100</f>
        <v>0.75745526838966204</v>
      </c>
      <c r="L11" s="50" cm="1">
        <f t="array" ref="L11">_xll.FDSB(A11,"PERCENT_CHANGE(FMA_EPS(+1,0,,,,""PORTAGG"",""MEAN""),FMA_EPS(+1,-1AM,,,,""PORTAGG"",""MEAN""))")</f>
        <v>0.57227030370540499</v>
      </c>
      <c r="M11" s="50" cm="1">
        <f t="array" ref="M11">_xll.FDSB(A11,"PERCENT_CHANGE(FMA_EPS(+1,0,,,,""PORTAGG"",""MEAN""),FMA_EPS(+1,-3AM,,,,""PORTAGG"",""MEAN""))")</f>
        <v>-0.51062598010156401</v>
      </c>
      <c r="O11" s="3" cm="1">
        <f t="array" ref="O11">_xll.FDS(C11,"FG_TOTAL_RETURNC(0,-3AM)")</f>
        <v>9.5403310000000001</v>
      </c>
      <c r="P11" s="3" cm="1">
        <f t="array" ref="P11">_xll.FDS(C11,"FG_TOTAL_RETURNC(0,-6AM)")</f>
        <v>15.216184</v>
      </c>
      <c r="Q11" s="9" cm="1">
        <f t="array" ref="Q11">_xll.FDS(C11,"P_PRICE(0)/P_PRICE_HIGH_PR(0,,,USD,,,""PRICE"",""INTRA"",""52W"")")</f>
        <v>0.99368979999999996</v>
      </c>
      <c r="R11" s="9" cm="1">
        <f t="array" ref="R11">_xll.FDS(C11,"P_PRICE(0)/P_PRICE_low_PR(0,,,USD,,,""PRICE"",""INTRA"",""52W"")-1")</f>
        <v>0.34202919999999998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64.2</v>
      </c>
      <c r="AC11" s="4">
        <f t="shared" si="6"/>
        <v>28.499999999999996</v>
      </c>
      <c r="AD11" s="4">
        <f t="shared" si="7"/>
        <v>78.5</v>
      </c>
      <c r="AE11" s="4">
        <f t="shared" si="8"/>
        <v>85.7</v>
      </c>
      <c r="AF11" s="4">
        <f t="shared" si="4"/>
        <v>97.070000000000007</v>
      </c>
      <c r="AH11" s="3" cm="1">
        <f t="array" ref="AH11">_xlfn.PERCENTRANK.EXC(_xlfn._xlws.FILTER($AF$3:$AF$15, ISNUMBER($AF$3:$AF$15)),AF11)*100</f>
        <v>92.800000000000011</v>
      </c>
      <c r="AI11">
        <f t="shared" si="5"/>
        <v>3</v>
      </c>
      <c r="AK11" s="4"/>
    </row>
    <row r="12" spans="1:37" x14ac:dyDescent="0.35">
      <c r="A12" t="s">
        <v>872</v>
      </c>
      <c r="B12" t="str" cm="1">
        <f t="array" ref="B12">_xll.FDS(A12,"FG_COMPANY_NAME")</f>
        <v>iShares MSCI France ETF</v>
      </c>
      <c r="C12" t="s">
        <v>872</v>
      </c>
      <c r="D12" s="153">
        <f>VLOOKUP(C12,'Market Capitalisation'!$C$2:$G$14,5,FALSE)</f>
        <v>3464222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27</v>
      </c>
      <c r="G12" cm="1">
        <f t="array" ref="G12">_xll.FDS(A12,"SIZE(FG_CONSTITUENTS)")</f>
        <v>63</v>
      </c>
      <c r="H12" s="9">
        <f t="shared" ref="H12:H15" si="9">E12/$G12</f>
        <v>0.42857142857142855</v>
      </c>
      <c r="I12" s="9">
        <f t="shared" ref="I12:I15" si="10">F12/$G12</f>
        <v>0.42857142857142855</v>
      </c>
      <c r="J12" s="9">
        <f t="shared" ref="J12:J15" si="11">H12-I12</f>
        <v>0</v>
      </c>
      <c r="K12" s="5" cm="1">
        <f t="array" ref="K12">_xll.FDS(A12,"FMA_PCT_ABOVE_MAVG(200,0,,,,""PORTAGG"")")/100</f>
        <v>0.74603174603174593</v>
      </c>
      <c r="L12" s="50" cm="1">
        <f t="array" ref="L12">_xll.FDSB(A12,"PERCENT_CHANGE(FMA_EPS(+1,0,,,,""PORTAGG"",""MEAN""),FMA_EPS(+1,-1AM,,,,""PORTAGG"",""MEAN""))")</f>
        <v>0.74572452848575399</v>
      </c>
      <c r="M12" s="50" cm="1">
        <f t="array" ref="M12">_xll.FDSB(A12,"PERCENT_CHANGE(FMA_EPS(+1,0,,,,""PORTAGG"",""MEAN""),FMA_EPS(+1,-3AM,,,,""PORTAGG"",""MEAN""))")</f>
        <v>-4.7799838770361402</v>
      </c>
      <c r="O12" s="3" cm="1">
        <f t="array" ref="O12">_xll.FDS(C12,"FG_TOTAL_RETURNC(0,-3AM)")</f>
        <v>6.2060713999999999</v>
      </c>
      <c r="P12" s="3" cm="1">
        <f t="array" ref="P12">_xll.FDS(C12,"FG_TOTAL_RETURNC(0,-6AM)")</f>
        <v>12.95706</v>
      </c>
      <c r="Q12" s="9" cm="1">
        <f t="array" ref="Q12">_xll.FDS(C12,"P_PRICE(0)/P_PRICE_HIGH_PR(0,,,USD,,,""PRICE"",""INTRA"",""52W"")")</f>
        <v>0.99365349999999997</v>
      </c>
      <c r="R12" s="9" cm="1">
        <f t="array" ref="R12">_xll.FDS(C12,"P_PRICE(0)/P_PRICE_low_PR(0,,,USD,,,""PRICE"",""INTRA"",""52W"")-1")</f>
        <v>0.23262036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85.7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50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71.399999999999991</v>
      </c>
      <c r="AB12" s="4" cm="1">
        <f t="array" ref="AB12">_xlfn.PERCENTRANK.EXC(_xlfn._xlws.FILTER($J$3:$J$15, ISNUMBER($J$3:$J$15)),J12)*100</f>
        <v>71.399999999999991</v>
      </c>
      <c r="AC12" s="4">
        <f t="shared" si="6"/>
        <v>35.699999999999996</v>
      </c>
      <c r="AD12" s="4">
        <f t="shared" si="7"/>
        <v>35.699999999999996</v>
      </c>
      <c r="AE12" s="4">
        <f t="shared" si="8"/>
        <v>71.399999999999991</v>
      </c>
      <c r="AF12" s="4">
        <f t="shared" ref="AF12:AF15" si="13">SUMPRODUCT($U$2:$AE$2,U12:AE12)</f>
        <v>78.56</v>
      </c>
      <c r="AH12" s="3" cm="1">
        <f t="array" ref="AH12">_xlfn.PERCENTRANK.EXC(_xlfn._xlws.FILTER($AF$3:$AF$15, ISNUMBER($AF$3:$AF$15)),AF12)*100</f>
        <v>78.5</v>
      </c>
      <c r="AI12">
        <f t="shared" ref="AI12:AI15" si="14">COUNTIF(V12:AB12,"&gt;70")</f>
        <v>4</v>
      </c>
    </row>
    <row r="13" spans="1:37" x14ac:dyDescent="0.35">
      <c r="A13" t="s">
        <v>874</v>
      </c>
      <c r="B13" t="str" cm="1">
        <f t="array" ref="B13">_xll.FDS(A13,"FG_COMPANY_NAME")</f>
        <v>iShares MSCI Netherlands ETF</v>
      </c>
      <c r="C13" t="s">
        <v>874</v>
      </c>
      <c r="D13" s="153">
        <f>VLOOKUP(C13,'Market Capitalisation'!$C$2:$G$14,5,FALSE)</f>
        <v>1118533.3999999999</v>
      </c>
      <c r="E13" cm="1">
        <f t="array" ref="E13">_xll.FDS(C13,"FMA_COS_UP(""EPS"",""1M"",+1,0,,,""PORTAGG"",""MEANR"")")</f>
        <v>18</v>
      </c>
      <c r="F13" cm="1">
        <f t="array" ref="F13">_xll.FDS(C13,"FMA_COS_DOWN(""EPS"",""1M"",+1,0,,,""PORTAGG"",""MEANR"")")</f>
        <v>26</v>
      </c>
      <c r="G13" cm="1">
        <f t="array" ref="G13">_xll.FDS(A13,"SIZE(FG_CONSTITUENTS)")</f>
        <v>54</v>
      </c>
      <c r="H13" s="9">
        <f t="shared" si="9"/>
        <v>0.33333333333333331</v>
      </c>
      <c r="I13" s="9">
        <f t="shared" si="10"/>
        <v>0.48148148148148145</v>
      </c>
      <c r="J13" s="9">
        <f t="shared" si="11"/>
        <v>-0.14814814814814814</v>
      </c>
      <c r="K13" s="5" cm="1">
        <f t="array" ref="K13">_xll.FDS(A13,"FMA_PCT_ABOVE_MAVG(200,0,,,,""PORTAGG"")")/100</f>
        <v>0.61111111111111105</v>
      </c>
      <c r="L13" s="50" cm="1">
        <f t="array" ref="L13">_xll.FDSB(A13,"PERCENT_CHANGE(FMA_EPS(+1,0,,,,""PORTAGG"",""MEAN""),FMA_EPS(+1,-1AM,,,,""PORTAGG"",""MEAN""))")</f>
        <v>3.20179389881122</v>
      </c>
      <c r="M13" s="50" cm="1">
        <f t="array" ref="M13">_xll.FDSB(A13,"PERCENT_CHANGE(FMA_EPS(+1,0,,,,""PORTAGG"",""MEAN""),FMA_EPS(+1,-3AM,,,,""PORTAGG"",""MEAN""))")</f>
        <v>-0.614313575674031</v>
      </c>
      <c r="O13" s="3" cm="1">
        <f t="array" ref="O13">_xll.FDS(C13,"FG_TOTAL_RETURNC(0,-3AM)")</f>
        <v>8.6497419999999998</v>
      </c>
      <c r="P13" s="3" cm="1">
        <f t="array" ref="P13">_xll.FDS(C13,"FG_TOTAL_RETURNC(0,-6AM)")</f>
        <v>22.811937</v>
      </c>
      <c r="Q13" s="9" cm="1">
        <f t="array" ref="Q13">_xll.FDS(C13,"P_PRICE(0)/P_PRICE_HIGH_PR(0,,,USD,,,""PRICE"",""INTRA"",""52W"")")</f>
        <v>0.96918769999999999</v>
      </c>
      <c r="R13" s="9" cm="1">
        <f t="array" ref="R13">_xll.FDS(C13,"P_PRICE(0)/P_PRICE_low_PR(0,,,USD,,,""PRICE"",""INTRA"",""52W"")-1")</f>
        <v>0.33480286999999997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28.499999999999996</v>
      </c>
      <c r="W13" s="4" cm="1">
        <f t="array" ref="W13">_xlfn.PERCENTRANK.EXC(_xlfn._xlws.FILTER($O$3:$O$15, ISNUMBER($O$3:$O$15)),O13)*100</f>
        <v>64.2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28.499999999999996</v>
      </c>
      <c r="AC13" s="4">
        <f t="shared" si="6"/>
        <v>85.7</v>
      </c>
      <c r="AD13" s="4">
        <f t="shared" si="7"/>
        <v>71.399999999999991</v>
      </c>
      <c r="AE13" s="4">
        <f t="shared" si="8"/>
        <v>28.499999999999996</v>
      </c>
      <c r="AF13" s="4">
        <f t="shared" si="13"/>
        <v>62.070000000000007</v>
      </c>
      <c r="AH13" s="3" cm="1">
        <f t="array" ref="AH13">_xlfn.PERCENTRANK.EXC(_xlfn._xlws.FILTER($AF$3:$AF$15, ISNUMBER($AF$3:$AF$15)),AF13)*100</f>
        <v>50</v>
      </c>
      <c r="AI13">
        <f t="shared" si="14"/>
        <v>1</v>
      </c>
    </row>
    <row r="14" spans="1:37" x14ac:dyDescent="0.35">
      <c r="A14" t="s">
        <v>871</v>
      </c>
      <c r="B14" t="str" cm="1">
        <f t="array" ref="B14">_xll.FDS(A14,"FG_COMPANY_NAME")</f>
        <v>iShares MSCI Sweden ETF</v>
      </c>
      <c r="C14" t="s">
        <v>871</v>
      </c>
      <c r="D14" s="153">
        <f>VLOOKUP(C14,'Market Capitalisation'!$C$2:$G$14,5,FALSE)</f>
        <v>1062384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15</v>
      </c>
      <c r="G14" cm="1">
        <f t="array" ref="G14">_xll.FDS(A14,"SIZE(FG_CONSTITUENTS)")</f>
        <v>44</v>
      </c>
      <c r="H14" s="9">
        <f t="shared" si="9"/>
        <v>0.25</v>
      </c>
      <c r="I14" s="9">
        <f t="shared" si="10"/>
        <v>0.34090909090909088</v>
      </c>
      <c r="J14" s="9">
        <f t="shared" si="11"/>
        <v>-9.0909090909090884E-2</v>
      </c>
      <c r="K14" s="5" cm="1">
        <f t="array" ref="K14">_xll.FDS(A14,"FMA_PCT_ABOVE_MAVG(200,0,,,,""PORTAGG"")")/100</f>
        <v>0.837209302325581</v>
      </c>
      <c r="L14" s="50" cm="1">
        <f t="array" ref="L14">_xll.FDSB(A14,"PERCENT_CHANGE(FMA_EPS(+1,0,,,,""PORTAGG"",""MEAN""),FMA_EPS(+1,-1AM,,,,""PORTAGG"",""MEAN""))")</f>
        <v>3.2268490731287698</v>
      </c>
      <c r="M14" s="50" cm="1">
        <f t="array" ref="M14">_xll.FDSB(A14,"PERCENT_CHANGE(FMA_EPS(+1,0,,,,""PORTAGG"",""MEAN""),FMA_EPS(+1,-3AM,,,,""PORTAGG"",""MEAN""))")</f>
        <v>-4.4708218847248196</v>
      </c>
      <c r="O14" s="3" cm="1">
        <f t="array" ref="O14">_xll.FDS(C14,"FG_TOTAL_RETURNC(0,-3AM)")</f>
        <v>6.9621085999999996</v>
      </c>
      <c r="P14" s="3" cm="1">
        <f t="array" ref="P14">_xll.FDS(C14,"FG_TOTAL_RETURNC(0,-6AM)")</f>
        <v>27.696991000000001</v>
      </c>
      <c r="Q14" s="9" cm="1">
        <f t="array" ref="Q14">_xll.FDS(C14,"P_PRICE(0)/P_PRICE_HIGH_PR(0,,,USD,,,""PRICE"",""INTRA"",""52W"")")</f>
        <v>0.98532240000000004</v>
      </c>
      <c r="R14" s="9" cm="1">
        <f t="array" ref="R14">_xll.FDS(C14,"P_PRICE(0)/P_PRICE_low_PR(0,,,USD,,,""PRICE"",""INTRA"",""52W"")-1")</f>
        <v>0.33452832999999998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50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50</v>
      </c>
      <c r="AC14" s="4">
        <f t="shared" si="6"/>
        <v>92.800000000000011</v>
      </c>
      <c r="AD14" s="4">
        <f t="shared" si="7"/>
        <v>50</v>
      </c>
      <c r="AE14" s="4">
        <f t="shared" si="8"/>
        <v>21.4</v>
      </c>
      <c r="AF14" s="4">
        <f t="shared" si="13"/>
        <v>69.25</v>
      </c>
      <c r="AH14" s="3" cm="1">
        <f t="array" ref="AH14">_xlfn.PERCENTRANK.EXC(_xlfn._xlws.FILTER($AF$3:$AF$15, ISNUMBER($AF$3:$AF$15)),AF14)*100</f>
        <v>64.2</v>
      </c>
      <c r="AI14">
        <f t="shared" si="14"/>
        <v>2</v>
      </c>
    </row>
    <row r="15" spans="1:37" x14ac:dyDescent="0.35">
      <c r="A15" t="s">
        <v>873</v>
      </c>
      <c r="B15" t="str" cm="1">
        <f t="array" ref="B15">_xll.FDS(A15,"FG_COMPANY_NAME")</f>
        <v>iShares MSCI Italy ETF</v>
      </c>
      <c r="C15" t="s">
        <v>873</v>
      </c>
      <c r="D15" s="153">
        <f>VLOOKUP(C15,'Market Capitalisation'!$C$2:$G$14,5,FALSE)</f>
        <v>880727.1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9">
        <f t="shared" si="9"/>
        <v>0.46153846153846156</v>
      </c>
      <c r="I15" s="9">
        <f t="shared" si="10"/>
        <v>0.38461538461538464</v>
      </c>
      <c r="J15" s="9">
        <f t="shared" si="11"/>
        <v>7.6923076923076927E-2</v>
      </c>
      <c r="K15" s="5" cm="1">
        <f t="array" ref="K15">_xll.FDS(A15,"FMA_PCT_ABOVE_MAVG(200,0,,,,""PORTAGG"")")/100</f>
        <v>0.72</v>
      </c>
      <c r="L15" s="50" cm="1">
        <f t="array" ref="L15">_xll.FDSB(A15,"PERCENT_CHANGE(FMA_EPS(+1,0,,,,""PORTAGG"",""MEAN""),FMA_EPS(+1,-1AM,,,,""PORTAGG"",""MEAN""))")</f>
        <v>2.9678695889409998</v>
      </c>
      <c r="M15" s="50" cm="1">
        <f t="array" ref="M15">_xll.FDSB(A15,"PERCENT_CHANGE(FMA_EPS(+1,0,,,,""PORTAGG"",""MEAN""),FMA_EPS(+1,-3AM,,,,""PORTAGG"",""MEAN""))")</f>
        <v>-0.16086714601888599</v>
      </c>
      <c r="O15" s="3" cm="1">
        <f t="array" ref="O15">_xll.FDS(C15,"FG_TOTAL_RETURNC(0,-3AM)")</f>
        <v>9.7842219999999998</v>
      </c>
      <c r="P15" s="3" cm="1">
        <f t="array" ref="P15">_xll.FDS(C15,"FG_TOTAL_RETURNC(0,-6AM)")</f>
        <v>18.170511000000001</v>
      </c>
      <c r="Q15" s="9" cm="1">
        <f t="array" ref="Q15">_xll.FDS(C15,"P_PRICE(0)/P_PRICE_HIGH_PR(0,,,USD,,,""PRICE"",""INTRA"",""52W"")")</f>
        <v>0.98956100000000002</v>
      </c>
      <c r="R15" s="9" cm="1">
        <f t="array" ref="R15">_xll.FDS(C15,"P_PRICE(0)/P_PRICE_low_PR(0,,,USD,,,""PRICE"",""INTRA"",""52W"")-1")</f>
        <v>0.32842267000000003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78.5</v>
      </c>
      <c r="AB15" s="4" cm="1">
        <f t="array" ref="AB15">_xlfn.PERCENTRANK.EXC(_xlfn._xlws.FILTER($J$3:$J$15, ISNUMBER($J$3:$J$15)),J15)*100</f>
        <v>78.5</v>
      </c>
      <c r="AC15" s="4">
        <f t="shared" si="6"/>
        <v>78.5</v>
      </c>
      <c r="AD15" s="4">
        <f t="shared" si="7"/>
        <v>85.7</v>
      </c>
      <c r="AE15" s="4">
        <f t="shared" si="8"/>
        <v>14.2</v>
      </c>
      <c r="AF15" s="4">
        <f t="shared" si="13"/>
        <v>83.5</v>
      </c>
      <c r="AH15" s="3" cm="1">
        <f t="array" ref="AH15">_xlfn.PERCENTRANK.EXC(_xlfn._xlws.FILTER($AF$3:$AF$15, ISNUMBER($AF$3:$AF$15)),AF15)*100</f>
        <v>85.7</v>
      </c>
      <c r="AI15">
        <f t="shared" si="14"/>
        <v>5</v>
      </c>
    </row>
    <row r="16" spans="1:37" x14ac:dyDescent="0.35">
      <c r="H16" s="9"/>
      <c r="I16" s="9"/>
      <c r="J16" s="9"/>
      <c r="K16" s="5"/>
      <c r="L16" s="50"/>
      <c r="M16" s="50"/>
      <c r="O16" s="3"/>
      <c r="Q16" s="9"/>
      <c r="R16" s="9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785</v>
      </c>
      <c r="H17" s="9"/>
      <c r="I17" s="9"/>
      <c r="J17" s="9"/>
      <c r="K17" s="5"/>
      <c r="L17" s="50"/>
      <c r="M17" s="50"/>
      <c r="O17" s="3"/>
      <c r="Q17" s="9"/>
      <c r="R17" s="9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542</v>
      </c>
      <c r="B18" t="s">
        <v>231</v>
      </c>
      <c r="C18" t="str">
        <f>A18</f>
        <v>VGK</v>
      </c>
      <c r="E18" cm="1">
        <f t="array" ref="E18">_xll.FDS(C18,"FMA_COS_UP(""EPS"",""1M"",+1,0,,,""PORTAGG"",""MEANR"")")</f>
        <v>397</v>
      </c>
      <c r="F18" cm="1">
        <f t="array" ref="F18">_xll.FDS(C18,"FMA_COS_DOWN(""EPS"",""1M"",+1,0,,,""PORTAGG"",""MEANR"")")</f>
        <v>636</v>
      </c>
      <c r="G18" cm="1">
        <f t="array" ref="G18">_xll.FDS(A18,"SIZE(FG_CONSTITUENTS)")</f>
        <v>1291</v>
      </c>
      <c r="H18" s="9">
        <f>E18/$G18</f>
        <v>0.30751355538342368</v>
      </c>
      <c r="I18" s="9">
        <f>F18/$G18</f>
        <v>0.49264136328427577</v>
      </c>
      <c r="J18" s="9">
        <f t="shared" ref="J18" si="15">H18-I18</f>
        <v>-0.18512780790085209</v>
      </c>
      <c r="K18" s="5" cm="1">
        <f t="array" ref="K18">_xll.FDS(A18,"FMA_PCT_ABOVE_MAVG(200,0,,,,""PORTAGG"")")/100</f>
        <v>0.61242138364779897</v>
      </c>
      <c r="L18" s="50" cm="1">
        <f t="array" ref="L18">_xll.FDSB(A18,"PERCENT_CHANGE(FMA_EPS(+1,0,,,,""PORTAGG"",""MEAN""),FMA_EPS(+1,-1AM,,,,""PORTAGG"",""MEAN""))")</f>
        <v>0</v>
      </c>
      <c r="M18" s="50" cm="1">
        <f t="array" ref="M18">_xll.FDSB(A18,"PERCENT_CHANGE(FMA_EPS(+1,0,,,,""PORTAGG"",""MEAN""),FMA_EPS(+1,-3AM,,,,""PORTAGG"",""MEAN""))")</f>
        <v>-3.7127123963381199</v>
      </c>
      <c r="O18" s="3" cm="1">
        <f t="array" ref="O18">_xll.FDS(C18,"FG_TOTAL_RETURNC(0,-3AM)")</f>
        <v>5.3207279999999999</v>
      </c>
      <c r="P18" s="3" cm="1">
        <f t="array" ref="P18">_xll.FDS(C18,"FG_TOTAL_RETURNC(0,-6AM)")</f>
        <v>12.643373499999999</v>
      </c>
      <c r="Q18" s="9" cm="1">
        <f t="array" ref="Q18">_xll.FDS(C18,"P_PRICE(0)/P_PRICE_HIGH_PR(0,,,USD,,,""PRICE"",""INTRA"",""52W"")")</f>
        <v>0.99026270000000005</v>
      </c>
      <c r="R18" s="9" cm="1">
        <f t="array" ref="R18">_xll.FDS(C18,"P_PRICE(0)/P_PRICE_low_PR(0,,,USD,,,""PRICE"",""INTRA"",""52W"")-1")</f>
        <v>0.21903384000000001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6</v>
      </c>
      <c r="B19" t="s">
        <v>755</v>
      </c>
      <c r="C19" t="str">
        <f>A19</f>
        <v>VWO</v>
      </c>
      <c r="E19" cm="1">
        <f t="array" ref="E19">_xll.FDS(C19,"FMA_COS_UP(""EPS"",""1M"",+1,0,,,""PORTAGG"",""MEANR"")")</f>
        <v>761</v>
      </c>
      <c r="F19" cm="1">
        <f t="array" ref="F19">_xll.FDS(C19,"FMA_COS_DOWN(""EPS"",""1M"",+1,0,,,""PORTAGG"",""MEANR"")")</f>
        <v>1292</v>
      </c>
      <c r="G19" cm="1">
        <f t="array" ref="G19">_xll.FDS(A19,"SIZE(FG_CONSTITUENTS)")</f>
        <v>4677</v>
      </c>
      <c r="H19" s="9">
        <f>E19/$G19</f>
        <v>0.16271113961941416</v>
      </c>
      <c r="I19" s="9">
        <f>F19/$G19</f>
        <v>0.27624545648920246</v>
      </c>
      <c r="J19" s="9">
        <f t="shared" ref="J19" si="16">H19-I19</f>
        <v>-0.11353431686978829</v>
      </c>
      <c r="K19" s="5" cm="1">
        <f t="array" ref="K19">_xll.FDS(A19,"FMA_PCT_ABOVE_MAVG(200,0,,,,""PORTAGG"")")/100</f>
        <v>0.32695269526952697</v>
      </c>
      <c r="L19" s="50" cm="1">
        <f t="array" ref="L19">_xll.FDSB(A19,"PERCENT_CHANGE(FMA_EPS(+1,0,,,,""PORTAGG"",""MEAN""),FMA_EPS(+1,-1AM,,,,""PORTAGG"",""MEAN""))")</f>
        <v>0</v>
      </c>
      <c r="M19" s="50" cm="1">
        <f t="array" ref="M19">_xll.FDSB(A19,"PERCENT_CHANGE(FMA_EPS(+1,0,,,,""PORTAGG"",""MEAN""),FMA_EPS(+1,-3AM,,,,""PORTAGG"",""MEAN""))")</f>
        <v>-4.3408333882001999</v>
      </c>
      <c r="O19" s="3" cm="1">
        <f t="array" ref="O19">_xll.FDS(C19,"FG_TOTAL_RETURNC(0,-3AM)")</f>
        <v>3.2642484</v>
      </c>
      <c r="P19" s="3" cm="1">
        <f t="array" ref="P19">_xll.FDS(C19,"FG_TOTAL_RETURNC(0,-6AM)")</f>
        <v>5.5372357000000001</v>
      </c>
      <c r="Q19" s="9" cm="1">
        <f t="array" ref="Q19">_xll.FDS(C19,"P_PRICE(0)/P_PRICE_HIGH_PR(0,,,USD,,,""PRICE"",""INTRA"",""52W"")")</f>
        <v>0.96890949999999998</v>
      </c>
      <c r="R19" s="9" cm="1">
        <f t="array" ref="R19">_xll.FDS(C19,"P_PRICE(0)/P_PRICE_low_PR(0,,,USD,,,""PRICE"",""INTRA"",""52W"")-1")</f>
        <v>0.11493778</v>
      </c>
    </row>
    <row r="20" spans="1:35" x14ac:dyDescent="0.35">
      <c r="A20" t="s">
        <v>786</v>
      </c>
      <c r="B20" t="s">
        <v>787</v>
      </c>
      <c r="C20" t="str">
        <f t="shared" ref="C20" si="17">A20</f>
        <v>URTH</v>
      </c>
      <c r="E20" cm="1">
        <f t="array" ref="E20">_xll.FDS(C20,"FMA_COS_UP(""EPS"",""1M"",+1,0,,,""PORTAGG"",""MEANR"")")</f>
        <v>593</v>
      </c>
      <c r="F20" cm="1">
        <f t="array" ref="F20">_xll.FDS(C20,"FMA_COS_DOWN(""EPS"",""1M"",+1,0,,,""PORTAGG"",""MEANR"")")</f>
        <v>632</v>
      </c>
      <c r="G20" cm="1">
        <f t="array" ref="G20">_xll.FDS(A20,"SIZE(FG_CONSTITUENTS)")</f>
        <v>1467</v>
      </c>
      <c r="H20" s="9">
        <f t="shared" ref="H20" si="18">E20/$G20</f>
        <v>0.4042263122017723</v>
      </c>
      <c r="I20" s="9">
        <f t="shared" ref="I20" si="19">F20/$G20</f>
        <v>0.43081117927743695</v>
      </c>
      <c r="J20" s="9">
        <f t="shared" ref="J20" si="20">H20-I20</f>
        <v>-2.6584867075664653E-2</v>
      </c>
      <c r="K20" s="5" cm="1">
        <f t="array" ref="K20">_xll.FDS(A20,"FMA_PCT_ABOVE_MAVG(200,0,,,,""PORTAGG"")")/100</f>
        <v>0.71448087431694007</v>
      </c>
      <c r="L20" s="50" cm="1">
        <f t="array" ref="L20">_xll.FDSB(A20,"PERCENT_CHANGE(FMA_EPS(+1,0,,,,""PORTAGG"",""MEAN""),FMA_EPS(+1,-1AM,,,,""PORTAGG"",""MEAN""))")</f>
        <v>0.71389787653052506</v>
      </c>
      <c r="M20" s="50" cm="1">
        <f t="array" ref="M20">_xll.FDSB(A20,"PERCENT_CHANGE(FMA_EPS(+1,0,,,,""PORTAGG"",""MEAN""),FMA_EPS(+1,-3AM,,,,""PORTAGG"",""MEAN""))")</f>
        <v>-1.8476459262552301</v>
      </c>
      <c r="O20" s="3" cm="1">
        <f t="array" ref="O20">_xll.FDS(C20,"FG_TOTAL_RETURNC(0,-3AM)")</f>
        <v>8.4825520000000001</v>
      </c>
      <c r="P20" s="3" cm="1">
        <f t="array" ref="P20">_xll.FDS(C20,"FG_TOTAL_RETURNC(0,-6AM)")</f>
        <v>14.212142999999999</v>
      </c>
      <c r="Q20" s="9" cm="1">
        <f t="array" ref="Q20">_xll.FDS(C20,"P_PRICE(0)/P_PRICE_HIGH_PR(0,,,USD,,,""PRICE"",""INTRA"",""52W"")")</f>
        <v>0.99157435000000005</v>
      </c>
      <c r="R20" s="9" cm="1">
        <f t="array" ref="R20">_xll.FDS(C20,"P_PRICE(0)/P_PRICE_low_PR(0,,,USD,,,""PRICE"",""INTRA"",""52W"")-1")</f>
        <v>0.30069410000000002</v>
      </c>
    </row>
    <row r="21" spans="1:35" x14ac:dyDescent="0.35">
      <c r="A21" t="s">
        <v>46</v>
      </c>
      <c r="B21" t="s">
        <v>823</v>
      </c>
      <c r="C21" t="str">
        <f t="shared" ref="C21:C22" si="21">A21</f>
        <v>EWJ</v>
      </c>
      <c r="E21" cm="1">
        <f t="array" ref="E21">_xll.FDS(C21,"FMA_COS_UP(""EPS"",""1M"",+1,0,,,""PORTAGG"",""MEANR"")")</f>
        <v>115</v>
      </c>
      <c r="F21" cm="1">
        <f t="array" ref="F21">_xll.FDS(C21,"FMA_COS_DOWN(""EPS"",""1M"",+1,0,,,""PORTAGG"",""MEANR"")")</f>
        <v>91</v>
      </c>
      <c r="G21" cm="1">
        <f t="array" ref="G21">_xll.FDS(A21,"SIZE(FG_CONSTITUENTS)")</f>
        <v>219</v>
      </c>
      <c r="H21" s="9">
        <f t="shared" ref="H21:H22" si="22">E21/$G21</f>
        <v>0.52511415525114158</v>
      </c>
      <c r="I21" s="9">
        <f t="shared" ref="I21:I22" si="23">F21/$G21</f>
        <v>0.41552511415525112</v>
      </c>
      <c r="J21" s="9">
        <f t="shared" ref="J21:J22" si="24">H21-I21</f>
        <v>0.10958904109589046</v>
      </c>
      <c r="K21" s="5" cm="1">
        <f t="array" ref="K21">_xll.FDS(A21,"FMA_PCT_ABOVE_MAVG(200,0,,,,""PORTAGG"")")/100</f>
        <v>0.66666666666666696</v>
      </c>
      <c r="L21" s="50" cm="1">
        <f t="array" ref="L21">_xll.FDSB(A21,"PERCENT_CHANGE(FMA_EPS(+1,0,,,,""PORTAGG"",""MEAN""),FMA_EPS(+1,-1AM,,,,""PORTAGG"",""MEAN""))")</f>
        <v>2.0151552121530201</v>
      </c>
      <c r="M21" s="50" cm="1">
        <f t="array" ref="M21">_xll.FDSB(A21,"PERCENT_CHANGE(FMA_EPS(+1,0,,,,""PORTAGG"",""MEAN""),FMA_EPS(+1,-3AM,,,,""PORTAGG"",""MEAN""))")</f>
        <v>-3.0064091596245399</v>
      </c>
      <c r="O21" s="3" cm="1">
        <f t="array" ref="O21">_xll.FDS(C21,"FG_TOTAL_RETURNC(0,-3AM)")</f>
        <v>9.9080200000000005</v>
      </c>
      <c r="P21" s="3" cm="1">
        <f t="array" ref="P21">_xll.FDS(C21,"FG_TOTAL_RETURNC(0,-6AM)")</f>
        <v>10.567403000000001</v>
      </c>
      <c r="Q21" s="9" cm="1">
        <f t="array" ref="Q21">_xll.FDS(C21,"P_PRICE(0)/P_PRICE_HIGH_PR(0,,,USD,,,""PRICE"",""INTRA"",""52W"")")</f>
        <v>0.96244160000000001</v>
      </c>
      <c r="R21" s="9" cm="1">
        <f t="array" ref="R21">_xll.FDS(C21,"P_PRICE(0)/P_PRICE_low_PR(0,,,USD,,,""PRICE"",""INTRA"",""52W"")-1")</f>
        <v>0.26587843999999999</v>
      </c>
    </row>
    <row r="22" spans="1:35" x14ac:dyDescent="0.35">
      <c r="A22" t="s">
        <v>1</v>
      </c>
      <c r="B22" t="s">
        <v>123</v>
      </c>
      <c r="C22" t="str">
        <f t="shared" si="21"/>
        <v>SPY</v>
      </c>
      <c r="E22" cm="1">
        <f t="array" ref="E22">_xll.FDS(C22,"FMA_COS_UP(""EPS"",""1M"",+1,0,,,""PORTAGG"",""MEANR"")")</f>
        <v>181</v>
      </c>
      <c r="F22" cm="1">
        <f t="array" ref="F22">_xll.FDS(C22,"FMA_COS_DOWN(""EPS"",""1M"",+1,0,,,""PORTAGG"",""MEANR"")")</f>
        <v>184</v>
      </c>
      <c r="G22" cm="1">
        <f t="array" ref="G22">_xll.FDS(A22,"SIZE(FG_CONSTITUENTS)")</f>
        <v>504</v>
      </c>
      <c r="H22" s="9">
        <f t="shared" si="22"/>
        <v>0.35912698412698413</v>
      </c>
      <c r="I22" s="9">
        <f t="shared" si="23"/>
        <v>0.36507936507936506</v>
      </c>
      <c r="J22" s="9">
        <f t="shared" si="24"/>
        <v>-5.9523809523809312E-3</v>
      </c>
      <c r="K22" s="5" cm="1">
        <f t="array" ref="K22">_xll.FDS(A22,"FMA_PCT_ABOVE_MAVG(200,0,,,,""PORTAGG"")")/100</f>
        <v>0.75745526838966204</v>
      </c>
      <c r="L22" s="50" cm="1">
        <f t="array" ref="L22">_xll.FDSB(A22,"PERCENT_CHANGE(FMA_EPS(+1,0,,,,""PORTAGG"",""MEAN""),FMA_EPS(+1,-1AM,,,,""PORTAGG"",""MEAN""))")</f>
        <v>0.57227030370540499</v>
      </c>
      <c r="M22" s="50" cm="1">
        <f t="array" ref="M22">_xll.FDSB(A22,"PERCENT_CHANGE(FMA_EPS(+1,0,,,,""PORTAGG"",""MEAN""),FMA_EPS(+1,-3AM,,,,""PORTAGG"",""MEAN""))")</f>
        <v>-0.51062598010156401</v>
      </c>
      <c r="O22" s="3" cm="1">
        <f t="array" ref="O22">_xll.FDS(C22,"FG_TOTAL_RETURNC(0,-3AM)")</f>
        <v>9.5403310000000001</v>
      </c>
      <c r="P22" s="3" cm="1">
        <f t="array" ref="P22">_xll.FDS(C22,"FG_TOTAL_RETURNC(0,-6AM)")</f>
        <v>15.216184</v>
      </c>
      <c r="Q22" s="9" cm="1">
        <f t="array" ref="Q22">_xll.FDS(C22,"P_PRICE(0)/P_PRICE_HIGH_PR(0,,,USD,,,""PRICE"",""INTRA"",""52W"")")</f>
        <v>0.99368979999999996</v>
      </c>
      <c r="R22" s="9" cm="1">
        <f t="array" ref="R22">_xll.FDS(C22,"P_PRICE(0)/P_PRICE_low_PR(0,,,USD,,,""PRICE"",""INTRA"",""52W"")-1")</f>
        <v>0.34202919999999998</v>
      </c>
    </row>
    <row r="23" spans="1:35" x14ac:dyDescent="0.35">
      <c r="A23" t="s">
        <v>902</v>
      </c>
      <c r="B23" t="s">
        <v>608</v>
      </c>
      <c r="C23" t="str">
        <f t="shared" ref="C23" si="25">A23</f>
        <v>FXI</v>
      </c>
      <c r="E23" cm="1">
        <f t="array" ref="E23">_xll.FDS(C23,"FMA_COS_UP(""EPS"",""1M"",+1,0,,,""PORTAGG"",""MEANR"")")</f>
        <v>18</v>
      </c>
      <c r="F23" cm="1">
        <f t="array" ref="F23">_xll.FDS(C23,"FMA_COS_DOWN(""EPS"",""1M"",+1,0,,,""PORTAGG"",""MEANR"")")</f>
        <v>19</v>
      </c>
      <c r="G23" cm="1">
        <f t="array" ref="G23">_xll.FDS(A23,"SIZE(FG_CONSTITUENTS)")</f>
        <v>51</v>
      </c>
      <c r="H23" s="9">
        <f t="shared" ref="H23" si="26">E23/$G23</f>
        <v>0.35294117647058826</v>
      </c>
      <c r="I23" s="9">
        <f t="shared" ref="I23" si="27">F23/$G23</f>
        <v>0.37254901960784315</v>
      </c>
      <c r="J23" s="9">
        <f t="shared" ref="J23" si="28">H23-I23</f>
        <v>-1.9607843137254888E-2</v>
      </c>
      <c r="K23" s="5" cm="1">
        <f t="array" ref="K23">_xll.FDS(A23,"FMA_PCT_ABOVE_MAVG(200,0,,,,""PORTAGG"")")/100</f>
        <v>0.45098039215686297</v>
      </c>
      <c r="L23" s="50" cm="1">
        <f t="array" ref="L23">_xll.FDSB(A23,"PERCENT_CHANGE(FMA_EPS(+1,0,,,,""PORTAGG"",""MEAN""),FMA_EPS(+1,-1AM,,,,""PORTAGG"",""MEAN""))")</f>
        <v>-0.36504208599023402</v>
      </c>
      <c r="M23" s="50" cm="1">
        <f t="array" ref="M23">_xll.FDSB(A23,"PERCENT_CHANGE(FMA_EPS(+1,0,,,,""PORTAGG"",""MEAN""),FMA_EPS(+1,-3AM,,,,""PORTAGG"",""MEAN""))")</f>
        <v>-8.2105955604990299</v>
      </c>
      <c r="O23" s="3" cm="1">
        <f t="array" ref="O23">_xll.FDS(C23,"FG_TOTAL_RETURNC(0,-3AM)")</f>
        <v>2.4816036000000001</v>
      </c>
      <c r="P23" s="3" cm="1">
        <f t="array" ref="P23">_xll.FDS(C23,"FG_TOTAL_RETURNC(0,-6AM)")</f>
        <v>-9.2305720000000004</v>
      </c>
      <c r="Q23" s="9" cm="1">
        <f t="array" ref="Q23">_xll.FDS(C23,"P_PRICE(0)/P_PRICE_HIGH_PR(0,,,USD,,,""PRICE"",""INTRA"",""52W"")")</f>
        <v>0.79043870000000005</v>
      </c>
      <c r="R23" s="9" cm="1">
        <f t="array" ref="R23">_xll.FDS(C23,"P_PRICE(0)/P_PRICE_low_PR(0,,,USD,,,""PRICE"",""INTRA"",""52W"")-1")</f>
        <v>0.15723872</v>
      </c>
    </row>
    <row r="24" spans="1:35" x14ac:dyDescent="0.35">
      <c r="Q24" s="9"/>
      <c r="R24" s="9"/>
    </row>
    <row r="25" spans="1:35" x14ac:dyDescent="0.35">
      <c r="Q25" s="9"/>
      <c r="R25" s="9"/>
    </row>
    <row r="26" spans="1:35" ht="15" customHeight="1" x14ac:dyDescent="0.35">
      <c r="E26" s="52"/>
      <c r="F26" s="52"/>
      <c r="Q26" s="9"/>
      <c r="R26" s="9"/>
    </row>
    <row r="27" spans="1:35" ht="15" customHeight="1" x14ac:dyDescent="0.35">
      <c r="E27" s="52"/>
      <c r="F27" s="52"/>
      <c r="Q27" s="9"/>
      <c r="R27" s="9"/>
    </row>
    <row r="28" spans="1:35" ht="15" customHeight="1" x14ac:dyDescent="0.35">
      <c r="E28" s="52"/>
      <c r="F28" s="52"/>
      <c r="Q28" s="9"/>
      <c r="R28" s="9"/>
    </row>
    <row r="29" spans="1:35" ht="15" customHeight="1" x14ac:dyDescent="0.35">
      <c r="C29" s="1"/>
      <c r="D29" s="1"/>
      <c r="E29" s="52"/>
      <c r="F29" s="52"/>
      <c r="Q29" s="9"/>
      <c r="R29" s="9"/>
    </row>
    <row r="30" spans="1:35" ht="15" customHeight="1" x14ac:dyDescent="0.35">
      <c r="E30" s="52"/>
      <c r="F30" s="52"/>
      <c r="Q30" s="9"/>
      <c r="R30" s="9"/>
    </row>
    <row r="31" spans="1:35" ht="15" customHeight="1" x14ac:dyDescent="0.35">
      <c r="E31" s="52"/>
      <c r="F31" s="52"/>
      <c r="Q31" s="9"/>
      <c r="R31" s="9"/>
    </row>
    <row r="32" spans="1:35" ht="15" customHeight="1" x14ac:dyDescent="0.35">
      <c r="E32" s="52"/>
      <c r="F32" s="52"/>
      <c r="Q32" s="9"/>
      <c r="R32" s="9"/>
    </row>
    <row r="33" spans="3:18" ht="15" customHeight="1" x14ac:dyDescent="0.35">
      <c r="E33" s="52"/>
      <c r="F33" s="52"/>
      <c r="P33" s="1"/>
      <c r="Q33" s="9"/>
      <c r="R33" s="9"/>
    </row>
    <row r="34" spans="3:18" ht="15" customHeight="1" x14ac:dyDescent="0.35">
      <c r="E34" s="52"/>
      <c r="F34" s="52"/>
      <c r="Q34" s="9"/>
      <c r="R34" s="9"/>
    </row>
    <row r="35" spans="3:18" ht="15" customHeight="1" x14ac:dyDescent="0.35">
      <c r="E35" s="52"/>
      <c r="F35" s="52"/>
      <c r="Q35" s="9"/>
      <c r="R35" s="9"/>
    </row>
    <row r="36" spans="3:18" ht="15" customHeight="1" x14ac:dyDescent="0.35">
      <c r="C36" s="1"/>
      <c r="D36" s="1"/>
      <c r="E36" s="52"/>
      <c r="F36" s="52"/>
      <c r="Q36" s="9"/>
      <c r="R36" s="9"/>
    </row>
    <row r="37" spans="3:18" ht="15" customHeight="1" x14ac:dyDescent="0.35">
      <c r="E37" s="52"/>
      <c r="F37" s="52"/>
      <c r="Q37" s="9"/>
      <c r="R37" s="9"/>
    </row>
    <row r="38" spans="3:18" ht="15" customHeight="1" x14ac:dyDescent="0.35">
      <c r="E38" s="52"/>
      <c r="F38" s="52"/>
      <c r="Q38" s="9"/>
      <c r="R38" s="9"/>
    </row>
    <row r="39" spans="3:18" ht="15" customHeight="1" x14ac:dyDescent="0.35">
      <c r="E39" s="52"/>
      <c r="F39" s="52"/>
      <c r="Q39" s="9"/>
      <c r="R39" s="9"/>
    </row>
    <row r="40" spans="3:18" ht="15" customHeight="1" x14ac:dyDescent="0.35">
      <c r="E40" s="52"/>
      <c r="F40" s="52"/>
      <c r="Q40" s="9"/>
      <c r="R40" s="9"/>
    </row>
    <row r="41" spans="3:18" ht="15" customHeight="1" x14ac:dyDescent="0.35">
      <c r="C41" s="1"/>
      <c r="D41" s="1"/>
      <c r="E41" s="52"/>
      <c r="F41" s="52"/>
      <c r="Q41" s="9"/>
      <c r="R41" s="9"/>
    </row>
    <row r="42" spans="3:18" ht="15" customHeight="1" x14ac:dyDescent="0.35">
      <c r="E42" s="52"/>
      <c r="F42" s="52"/>
      <c r="Q42" s="9"/>
      <c r="R42" s="9"/>
    </row>
    <row r="43" spans="3:18" ht="15" customHeight="1" x14ac:dyDescent="0.35">
      <c r="E43" s="52"/>
      <c r="F43" s="52"/>
      <c r="Q43" s="9"/>
      <c r="R43" s="9"/>
    </row>
    <row r="44" spans="3:18" ht="15" customHeight="1" x14ac:dyDescent="0.35">
      <c r="E44" s="52"/>
      <c r="F44" s="52"/>
      <c r="Q44" s="9"/>
      <c r="R44" s="9"/>
    </row>
    <row r="45" spans="3:18" ht="15" customHeight="1" x14ac:dyDescent="0.35">
      <c r="E45" s="52"/>
      <c r="F45" s="52"/>
      <c r="Q45" s="9"/>
      <c r="R45" s="9"/>
    </row>
    <row r="46" spans="3:18" ht="15" customHeight="1" x14ac:dyDescent="0.35">
      <c r="C46" s="1"/>
      <c r="D46" s="1"/>
      <c r="E46" s="52"/>
      <c r="F46" s="52"/>
      <c r="Q46" s="9"/>
      <c r="R46" s="9"/>
    </row>
    <row r="47" spans="3:18" ht="15" customHeight="1" x14ac:dyDescent="0.35">
      <c r="C47" s="1"/>
      <c r="D47" s="1"/>
      <c r="E47" s="52"/>
      <c r="F47" s="52"/>
    </row>
    <row r="48" spans="3:18" ht="15" customHeight="1" x14ac:dyDescent="0.35">
      <c r="E48" s="52"/>
      <c r="F48" s="52"/>
    </row>
    <row r="49" spans="5:7" ht="15" customHeight="1" x14ac:dyDescent="0.35">
      <c r="E49" s="52"/>
      <c r="F49" s="52"/>
    </row>
    <row r="50" spans="5:7" ht="15" customHeight="1" x14ac:dyDescent="0.35">
      <c r="E50" s="53"/>
      <c r="F50" s="53"/>
      <c r="G50" s="1"/>
    </row>
    <row r="51" spans="5:7" ht="15" customHeight="1" x14ac:dyDescent="0.35">
      <c r="E51" s="52"/>
      <c r="F51" s="52"/>
    </row>
    <row r="52" spans="5:7" ht="15" customHeight="1" x14ac:dyDescent="0.35">
      <c r="E52" s="52"/>
      <c r="F52" s="52"/>
    </row>
    <row r="53" spans="5:7" ht="15" customHeight="1" x14ac:dyDescent="0.35">
      <c r="E53" s="52"/>
      <c r="F53" s="52"/>
    </row>
    <row r="54" spans="5:7" ht="15" customHeight="1" x14ac:dyDescent="0.35">
      <c r="E54" s="52"/>
      <c r="F54" s="52"/>
    </row>
    <row r="55" spans="5:7" ht="15" customHeight="1" x14ac:dyDescent="0.35">
      <c r="E55" s="52"/>
      <c r="F55" s="52"/>
    </row>
    <row r="56" spans="5:7" ht="15" customHeight="1" x14ac:dyDescent="0.35">
      <c r="E56" s="52"/>
      <c r="F56" s="52"/>
    </row>
    <row r="57" spans="5:7" ht="15" customHeight="1" x14ac:dyDescent="0.35">
      <c r="E57" s="52"/>
      <c r="F57" s="52"/>
    </row>
    <row r="58" spans="5:7" ht="15" customHeight="1" x14ac:dyDescent="0.35">
      <c r="E58" s="53"/>
      <c r="F58" s="53"/>
      <c r="G58" s="1"/>
    </row>
    <row r="59" spans="5:7" ht="15" customHeight="1" x14ac:dyDescent="0.35">
      <c r="E59" s="52"/>
      <c r="F59" s="52"/>
    </row>
    <row r="60" spans="5:7" ht="15" customHeight="1" x14ac:dyDescent="0.35">
      <c r="E60" s="52"/>
      <c r="F60" s="52"/>
    </row>
    <row r="61" spans="5:7" ht="15" customHeight="1" x14ac:dyDescent="0.35">
      <c r="E61" s="52"/>
      <c r="F61" s="52"/>
    </row>
    <row r="62" spans="5:7" ht="15" customHeight="1" x14ac:dyDescent="0.35">
      <c r="E62" s="52"/>
      <c r="F62" s="52"/>
    </row>
    <row r="63" spans="5:7" ht="15" customHeight="1" x14ac:dyDescent="0.35">
      <c r="E63" s="52"/>
      <c r="F63" s="52"/>
    </row>
    <row r="64" spans="5:7" ht="15" customHeight="1" x14ac:dyDescent="0.35">
      <c r="E64" s="52"/>
      <c r="F64" s="52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topLeftCell="J1" zoomScale="160" zoomScaleNormal="160" workbookViewId="0">
      <selection activeCell="R4" sqref="R4"/>
    </sheetView>
  </sheetViews>
  <sheetFormatPr defaultRowHeight="14.5" x14ac:dyDescent="0.35"/>
  <cols>
    <col min="3" max="3" width="45.6328125" customWidth="1"/>
    <col min="4" max="4" width="14.54296875" customWidth="1"/>
    <col min="5" max="5" width="10.90625" customWidth="1"/>
    <col min="6" max="7" width="8.453125" customWidth="1"/>
    <col min="8" max="8" width="24.08984375" customWidth="1"/>
    <col min="9" max="9" width="20.453125" customWidth="1"/>
    <col min="10" max="10" width="24.36328125" style="194" bestFit="1" customWidth="1"/>
    <col min="11" max="11" width="13.453125" style="194" customWidth="1"/>
    <col min="12" max="12" width="14.36328125" customWidth="1"/>
    <col min="13" max="13" width="15.6328125" customWidth="1"/>
    <col min="14" max="14" width="12.36328125" customWidth="1"/>
    <col min="16" max="16" width="9.6328125" customWidth="1"/>
  </cols>
  <sheetData>
    <row r="1" spans="2:18" ht="58" x14ac:dyDescent="0.35">
      <c r="L1" t="s">
        <v>528</v>
      </c>
      <c r="M1" t="s">
        <v>527</v>
      </c>
      <c r="N1" s="58" t="s">
        <v>409</v>
      </c>
      <c r="P1" s="58" t="s">
        <v>408</v>
      </c>
    </row>
    <row r="2" spans="2:18" x14ac:dyDescent="0.35">
      <c r="L2" s="6">
        <f>Assumption!E52</f>
        <v>0.25</v>
      </c>
      <c r="M2" s="6">
        <f>Assumption!F52</f>
        <v>0.25</v>
      </c>
      <c r="N2" s="6">
        <f>Assumption!G52</f>
        <v>0.5</v>
      </c>
    </row>
    <row r="3" spans="2:18" x14ac:dyDescent="0.35">
      <c r="D3" t="s">
        <v>406</v>
      </c>
      <c r="E3" s="55" t="s">
        <v>93</v>
      </c>
      <c r="H3" t="s">
        <v>407</v>
      </c>
      <c r="I3" t="s">
        <v>98</v>
      </c>
      <c r="J3" s="195"/>
      <c r="P3" t="s">
        <v>536</v>
      </c>
      <c r="R3" t="s">
        <v>790</v>
      </c>
    </row>
    <row r="4" spans="2:18" x14ac:dyDescent="0.35">
      <c r="B4" t="s">
        <v>435</v>
      </c>
      <c r="C4" t="str" cm="1">
        <f t="array" ref="C4">_xll.FDS(B4,"FG_COMPANY_NAME")</f>
        <v>iShares MSCI New Zealand ETF</v>
      </c>
      <c r="D4" s="9">
        <f>HLOOKUP(B4,'Monthly Returns'!$A$1:$Q$134, 127, FALSE)</f>
        <v>-0.14040917</v>
      </c>
      <c r="E4" s="9">
        <f>HLOOKUP(B4,'Monthly Returns'!$A$1:$Q$134, 132, FALSE)</f>
        <v>0.11570247933884298</v>
      </c>
      <c r="H4" s="9">
        <f>HLOOKUP(B4,'Yearly returns'!$B$1:$N$140, 133, FALSE)</f>
        <v>0.1487603305785124</v>
      </c>
      <c r="I4" s="9">
        <f>HLOOKUP(B4,'Yearly returns'!$B$1:$N$140, 138, FALSE)</f>
        <v>0.22900000000000001</v>
      </c>
      <c r="J4" s="194">
        <f>1/E4</f>
        <v>8.6428571428571423</v>
      </c>
      <c r="K4" s="196">
        <f>PERCENTRANK($J$4:$J$16,J4)*100</f>
        <v>50</v>
      </c>
      <c r="L4" s="56">
        <f>(1-PERCENTRANK($E$4:$E$16,E4))*100</f>
        <v>66.7</v>
      </c>
      <c r="M4" s="56">
        <f>(1-PERCENTRANK($H$4:$H$16,H4))*100</f>
        <v>58.400000000000006</v>
      </c>
      <c r="N4" s="56">
        <f>(1-PERCENTRANK($I$4:$I$16,I4))*100</f>
        <v>100</v>
      </c>
      <c r="P4">
        <f>L4*Assumption!$E$52 + M4*Assumption!$F$52 + N4*Assumption!$G$52</f>
        <v>81.275000000000006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-0.25119305000000003</v>
      </c>
      <c r="E5" s="9">
        <f>HLOOKUP(B5,'Monthly Returns'!$A$1:$Q$134, 132, FALSE)</f>
        <v>0.13223140495867769</v>
      </c>
      <c r="H5" s="9">
        <f>HLOOKUP(B5,'Yearly returns'!$B$1:$N$140, 133, FALSE)</f>
        <v>0.16528925619834711</v>
      </c>
      <c r="I5" s="9">
        <f>HLOOKUP(B5,'Yearly returns'!$B$1:$N$140, 138, FALSE)</f>
        <v>0.71299999999999997</v>
      </c>
      <c r="J5" s="194">
        <f t="shared" ref="J5:J16" si="0">1/E5</f>
        <v>7.5625</v>
      </c>
      <c r="K5" s="196">
        <f t="shared" ref="K5:K16" si="1">PERCENTRANK($J$4:$J$16,J5)*100</f>
        <v>25</v>
      </c>
      <c r="L5" s="56">
        <f t="shared" ref="L5:L16" si="2">(1-PERCENTRANK($E$4:$E$16,E5))*100</f>
        <v>25</v>
      </c>
      <c r="M5" s="56">
        <f t="shared" ref="M5:M16" si="3">(1-PERCENTRANK($H$4:$H$16,H5))*100</f>
        <v>41.7</v>
      </c>
      <c r="N5" s="56">
        <f t="shared" ref="N5:N16" si="4">(1-PERCENTRANK($I$4:$I$16,I5))*100</f>
        <v>58.400000000000006</v>
      </c>
      <c r="P5">
        <f>L5*Assumption!$E$52 + M5*Assumption!$F$52 + N5*Assumption!$G$52</f>
        <v>45.875</v>
      </c>
      <c r="R5" cm="1">
        <f t="array" ref="R5">_xlfn.PERCENTRANK.EXC(_xlfn._xlws.FILTER(P$4:P$16, ISNUMBER(P$4:P$16)),P5)*100</f>
        <v>50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-0.26494610000000002</v>
      </c>
      <c r="E6" s="9">
        <f>HLOOKUP(B6,'Monthly Returns'!$A$1:$Q$134, 132, FALSE)</f>
        <v>0.14049586776859505</v>
      </c>
      <c r="H6" s="9">
        <f>HLOOKUP(B6,'Yearly returns'!$B$1:$N$140, 133, FALSE)</f>
        <v>0.17355371900826447</v>
      </c>
      <c r="I6" s="9">
        <f>HLOOKUP(B6,'Yearly returns'!$B$1:$N$140, 138, FALSE)</f>
        <v>0.80300000000000005</v>
      </c>
      <c r="J6" s="194">
        <f t="shared" si="0"/>
        <v>7.117647058823529</v>
      </c>
      <c r="K6" s="196">
        <f t="shared" si="1"/>
        <v>8.3000000000000007</v>
      </c>
      <c r="L6" s="56">
        <f t="shared" si="2"/>
        <v>16.700000000000003</v>
      </c>
      <c r="M6" s="56">
        <f t="shared" si="3"/>
        <v>25</v>
      </c>
      <c r="N6" s="56">
        <f t="shared" si="4"/>
        <v>25</v>
      </c>
      <c r="P6">
        <f>L6*Assumption!$E$52 + M6*Assumption!$F$52 + N6*Assumption!$G$52</f>
        <v>22.925000000000001</v>
      </c>
      <c r="R6" cm="1">
        <f t="array" ref="R6">_xlfn.PERCENTRANK.EXC(_xlfn._xlws.FILTER(P$4:P$16, ISNUMBER(P$4:P$16)),P6)*100</f>
        <v>7.1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-0.28018999999999999</v>
      </c>
      <c r="E7" s="9">
        <f>HLOOKUP(B7,'Monthly Returns'!$A$1:$Q$134, 132, FALSE)</f>
        <v>0.14049586776859505</v>
      </c>
      <c r="H7" s="9">
        <f>HLOOKUP(B7,'Yearly returns'!$B$1:$N$140, 133, FALSE)</f>
        <v>0.256198347107438</v>
      </c>
      <c r="I7" s="9">
        <f>HLOOKUP(B7,'Yearly returns'!$B$1:$N$140, 138, FALSE)</f>
        <v>0.70399999999999996</v>
      </c>
      <c r="J7" s="194">
        <f t="shared" si="0"/>
        <v>7.117647058823529</v>
      </c>
      <c r="K7" s="196">
        <f t="shared" si="1"/>
        <v>8.3000000000000007</v>
      </c>
      <c r="L7" s="56">
        <f t="shared" si="2"/>
        <v>16.700000000000003</v>
      </c>
      <c r="M7" s="56">
        <f t="shared" si="3"/>
        <v>8.3999999999999968</v>
      </c>
      <c r="N7" s="56">
        <f t="shared" si="4"/>
        <v>66.7</v>
      </c>
      <c r="P7">
        <f>L7*Assumption!$E$52 + M7*Assumption!$F$52 + N7*Assumption!$G$52</f>
        <v>39.625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-0.20838325999999999</v>
      </c>
      <c r="E8" s="9">
        <f>HLOOKUP(B8,'Monthly Returns'!$A$1:$Q$134, 132, FALSE)</f>
        <v>8.2644628099173556E-2</v>
      </c>
      <c r="H8" s="9">
        <f>HLOOKUP(B8,'Yearly returns'!$B$1:$N$140, 133, FALSE)</f>
        <v>0.15702479338842976</v>
      </c>
      <c r="I8" s="9">
        <f>HLOOKUP(B8,'Yearly returns'!$B$1:$N$140, 138, FALSE)</f>
        <v>0.95</v>
      </c>
      <c r="J8" s="194">
        <f t="shared" si="0"/>
        <v>12.1</v>
      </c>
      <c r="K8" s="196">
        <f t="shared" si="1"/>
        <v>91.600000000000009</v>
      </c>
      <c r="L8" s="56">
        <f t="shared" si="2"/>
        <v>91.7</v>
      </c>
      <c r="M8" s="56">
        <f t="shared" si="3"/>
        <v>50</v>
      </c>
      <c r="N8" s="56">
        <f t="shared" si="4"/>
        <v>8.3999999999999968</v>
      </c>
      <c r="P8">
        <f>L8*Assumption!$E$52 + M8*Assumption!$F$52 + N8*Assumption!$G$52</f>
        <v>39.624999999999993</v>
      </c>
      <c r="R8" cm="1">
        <f t="array" ref="R8">_xlfn.PERCENTRANK.EXC(_xlfn._xlws.FILTER(P$4:P$16, ISNUMBER(P$4:P$16)),P8)*100</f>
        <v>28.499999999999996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-0.17923629999999999</v>
      </c>
      <c r="E9" s="9">
        <f>HLOOKUP(B9,'Monthly Returns'!$A$1:$Q$134, 132, FALSE)</f>
        <v>7.43801652892562E-2</v>
      </c>
      <c r="H9" s="9">
        <f>HLOOKUP(B9,'Yearly returns'!$B$1:$N$140, 133, FALSE)</f>
        <v>9.9173553719008267E-2</v>
      </c>
      <c r="I9" s="9">
        <f>HLOOKUP(B9,'Yearly returns'!$B$1:$N$140, 138, FALSE)</f>
        <v>0.66300000000000003</v>
      </c>
      <c r="J9" s="194">
        <f t="shared" si="0"/>
        <v>13.444444444444445</v>
      </c>
      <c r="K9" s="196">
        <f t="shared" si="1"/>
        <v>100</v>
      </c>
      <c r="L9" s="56">
        <f t="shared" si="2"/>
        <v>100</v>
      </c>
      <c r="M9" s="56">
        <f t="shared" si="3"/>
        <v>83.399999999999991</v>
      </c>
      <c r="N9" s="56">
        <f t="shared" si="4"/>
        <v>83.399999999999991</v>
      </c>
      <c r="P9">
        <f>L9*Assumption!$E$52 + M9*Assumption!$F$52 + N9*Assumption!$G$52</f>
        <v>87.549999999999983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-0.27035229999999999</v>
      </c>
      <c r="E10" s="9">
        <f>HLOOKUP(B10,'Monthly Returns'!$A$1:$Q$134, 132, FALSE)</f>
        <v>9.0909090909090912E-2</v>
      </c>
      <c r="H10" s="9">
        <f>HLOOKUP(B10,'Yearly returns'!$B$1:$N$140, 133, FALSE)</f>
        <v>0.16528925619834711</v>
      </c>
      <c r="I10" s="9">
        <f>HLOOKUP(B10,'Yearly returns'!$B$1:$N$140, 138, FALSE)</f>
        <v>0.64700000000000002</v>
      </c>
      <c r="J10" s="194">
        <f t="shared" si="0"/>
        <v>11</v>
      </c>
      <c r="K10" s="196">
        <f t="shared" si="1"/>
        <v>75</v>
      </c>
      <c r="L10" s="56">
        <f t="shared" si="2"/>
        <v>83.399999999999991</v>
      </c>
      <c r="M10" s="56">
        <f t="shared" si="3"/>
        <v>41.7</v>
      </c>
      <c r="N10" s="56">
        <f t="shared" si="4"/>
        <v>91.7</v>
      </c>
      <c r="P10">
        <f>L10*Assumption!$E$52 + M10*Assumption!$F$52 + N10*Assumption!$G$52</f>
        <v>77.125</v>
      </c>
      <c r="R10" cm="1">
        <f t="array" ref="R10">_xlfn.PERCENTRANK.EXC(_xlfn._xlws.FILTER(P$4:P$16, ISNUMBER(P$4:P$16)),P10)*100</f>
        <v>78.5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-0.18027615</v>
      </c>
      <c r="E11" s="9">
        <f>HLOOKUP(B11,'Monthly Returns'!$A$1:$Q$134, 132, FALSE)</f>
        <v>0.12396694214876033</v>
      </c>
      <c r="H11" s="9">
        <f>HLOOKUP(B11,'Yearly returns'!$B$1:$N$140, 133, FALSE)</f>
        <v>6.6115702479338845E-2</v>
      </c>
      <c r="I11" s="9">
        <f>HLOOKUP(B11,'Yearly returns'!$B$1:$N$140, 138, FALSE)</f>
        <v>0.95899999999999996</v>
      </c>
      <c r="J11" s="194">
        <f t="shared" si="0"/>
        <v>8.0666666666666664</v>
      </c>
      <c r="K11" s="196">
        <f t="shared" si="1"/>
        <v>33.300000000000004</v>
      </c>
      <c r="L11" s="56">
        <f t="shared" si="2"/>
        <v>41.7</v>
      </c>
      <c r="M11" s="56">
        <f t="shared" si="3"/>
        <v>91.7</v>
      </c>
      <c r="N11" s="56">
        <f t="shared" si="4"/>
        <v>0</v>
      </c>
      <c r="P11">
        <f>L11*Assumption!$E$52 + M11*Assumption!$F$52 + N11*Assumption!$G$52</f>
        <v>33.35</v>
      </c>
      <c r="R11" cm="1">
        <f t="array" ref="R11">_xlfn.PERCENTRANK.EXC(_xlfn._xlws.FILTER(P$4:P$16, ISNUMBER(P$4:P$16)),P11)*100</f>
        <v>21.4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-0.20225119999999999</v>
      </c>
      <c r="E12" s="9">
        <f>HLOOKUP(B12,'Monthly Returns'!$A$1:$Q$134, 132, FALSE)</f>
        <v>9.0909090909090912E-2</v>
      </c>
      <c r="H12" s="9">
        <f>HLOOKUP(B12,'Yearly returns'!$B$1:$N$140, 133, FALSE)</f>
        <v>4.9586776859504134E-2</v>
      </c>
      <c r="I12" s="9">
        <f>HLOOKUP(B12,'Yearly returns'!$B$1:$N$140, 138, FALSE)</f>
        <v>0.93400000000000005</v>
      </c>
      <c r="J12" s="194">
        <f t="shared" si="0"/>
        <v>11</v>
      </c>
      <c r="K12" s="196">
        <f t="shared" si="1"/>
        <v>75</v>
      </c>
      <c r="L12" s="56">
        <f t="shared" si="2"/>
        <v>83.399999999999991</v>
      </c>
      <c r="M12" s="56">
        <f t="shared" si="3"/>
        <v>100</v>
      </c>
      <c r="N12" s="56">
        <f t="shared" si="4"/>
        <v>16.700000000000003</v>
      </c>
      <c r="P12">
        <f>L12*Assumption!$E$52 + M12*Assumption!$F$52 + N12*Assumption!$G$52</f>
        <v>54.199999999999996</v>
      </c>
      <c r="R12" cm="1">
        <f t="array" ref="R12">_xlfn.PERCENTRANK.EXC(_xlfn._xlws.FILTER(P$4:P$16, ISNUMBER(P$4:P$16)),P12)*100</f>
        <v>57.099999999999994</v>
      </c>
    </row>
    <row r="13" spans="2:18" x14ac:dyDescent="0.35">
      <c r="B13" t="s">
        <v>872</v>
      </c>
      <c r="C13" t="str" cm="1">
        <f t="array" ref="C13">_xll.FDS(B13,"FG_COMPANY_NAME")</f>
        <v>iShares MSCI France ETF</v>
      </c>
      <c r="D13" s="9">
        <f>HLOOKUP(B13,'Monthly Returns'!$A$1:$Q$134, 127, FALSE)</f>
        <v>-0.26819455999999997</v>
      </c>
      <c r="E13" s="9">
        <f>HLOOKUP(B13,'Monthly Returns'!$A$1:$Q$134, 132, FALSE)</f>
        <v>0.12396694214876033</v>
      </c>
      <c r="H13" s="9">
        <f>HLOOKUP(B13,'Yearly returns'!$B$1:$N$140, 133, FALSE)</f>
        <v>0.13223140495867769</v>
      </c>
      <c r="I13" s="9">
        <f>HLOOKUP(B13,'Yearly returns'!$B$1:$N$140, 138, FALSE)</f>
        <v>0.66300000000000003</v>
      </c>
      <c r="J13" s="194">
        <f t="shared" si="0"/>
        <v>8.0666666666666664</v>
      </c>
      <c r="K13" s="196">
        <f t="shared" si="1"/>
        <v>33.300000000000004</v>
      </c>
      <c r="L13" s="56">
        <f t="shared" si="2"/>
        <v>41.7</v>
      </c>
      <c r="M13" s="56">
        <f t="shared" si="3"/>
        <v>66.7</v>
      </c>
      <c r="N13" s="56">
        <f t="shared" si="4"/>
        <v>83.399999999999991</v>
      </c>
      <c r="P13">
        <f>L13*Assumption!$E$52 + M13*Assumption!$F$52 + N13*Assumption!$G$52</f>
        <v>68.8</v>
      </c>
      <c r="R13" cm="1">
        <f t="array" ref="R13">_xlfn.PERCENTRANK.EXC(_xlfn._xlws.FILTER(P$4:P$16, ISNUMBER(P$4:P$16)),P13)*100</f>
        <v>71.399999999999991</v>
      </c>
    </row>
    <row r="14" spans="2:18" x14ac:dyDescent="0.35">
      <c r="B14" t="s">
        <v>874</v>
      </c>
      <c r="C14" t="str" cm="1">
        <f t="array" ref="C14">_xll.FDS(B14,"FG_COMPANY_NAME")</f>
        <v>iShares MSCI Netherlands ETF</v>
      </c>
      <c r="D14" s="9">
        <f>HLOOKUP(B14,'Monthly Returns'!$A$1:$Q$134, 127, FALSE)</f>
        <v>-0.25318288999999999</v>
      </c>
      <c r="E14" s="9">
        <f>HLOOKUP(B14,'Monthly Returns'!$A$1:$Q$134, 132, FALSE)</f>
        <v>0.11570247933884298</v>
      </c>
      <c r="H14" s="9">
        <f>HLOOKUP(B14,'Yearly returns'!$B$1:$N$140, 133, FALSE)</f>
        <v>0.12396694214876033</v>
      </c>
      <c r="I14" s="9">
        <f>HLOOKUP(B14,'Yearly returns'!$B$1:$N$140, 138, FALSE)</f>
        <v>0.745</v>
      </c>
      <c r="J14" s="194">
        <f t="shared" si="0"/>
        <v>8.6428571428571423</v>
      </c>
      <c r="K14" s="196">
        <f t="shared" si="1"/>
        <v>50</v>
      </c>
      <c r="L14" s="56">
        <f t="shared" si="2"/>
        <v>66.7</v>
      </c>
      <c r="M14" s="56">
        <f t="shared" si="3"/>
        <v>75</v>
      </c>
      <c r="N14" s="56">
        <f t="shared" si="4"/>
        <v>50</v>
      </c>
      <c r="P14">
        <f>L14*Assumption!$E$52 + M14*Assumption!$F$52 + N14*Assumption!$G$52</f>
        <v>60.424999999999997</v>
      </c>
      <c r="R14" cm="1">
        <f t="array" ref="R14">_xlfn.PERCENTRANK.EXC(_xlfn._xlws.FILTER(P$4:P$16, ISNUMBER(P$4:P$16)),P14)*100</f>
        <v>64.2</v>
      </c>
    </row>
    <row r="15" spans="2:18" x14ac:dyDescent="0.35">
      <c r="B15" t="s">
        <v>871</v>
      </c>
      <c r="C15" t="str" cm="1">
        <f t="array" ref="C15">_xll.FDS(B15,"FG_COMPANY_NAME")</f>
        <v>iShares MSCI Sweden ETF</v>
      </c>
      <c r="D15" s="9">
        <f>HLOOKUP(B15,'Monthly Returns'!$A$1:$Q$134, 127, FALSE)</f>
        <v>-0.23517262999999999</v>
      </c>
      <c r="E15" s="9">
        <f>HLOOKUP(B15,'Monthly Returns'!$A$1:$Q$134, 132, FALSE)</f>
        <v>0.11570247933884298</v>
      </c>
      <c r="H15" s="9">
        <f>HLOOKUP(B15,'Yearly returns'!$B$1:$N$140, 133, FALSE)</f>
        <v>0.17355371900826447</v>
      </c>
      <c r="I15" s="9">
        <f>HLOOKUP(B15,'Yearly returns'!$B$1:$N$140, 138, FALSE)</f>
        <v>0.79500000000000004</v>
      </c>
      <c r="J15" s="194">
        <f t="shared" si="0"/>
        <v>8.6428571428571423</v>
      </c>
      <c r="K15" s="196">
        <f t="shared" si="1"/>
        <v>50</v>
      </c>
      <c r="L15" s="56">
        <f t="shared" si="2"/>
        <v>66.7</v>
      </c>
      <c r="M15" s="56">
        <f t="shared" si="3"/>
        <v>25</v>
      </c>
      <c r="N15" s="56">
        <f t="shared" si="4"/>
        <v>33.4</v>
      </c>
      <c r="P15">
        <f>L15*Assumption!$E$52 + M15*Assumption!$F$52 + N15*Assumption!$G$52</f>
        <v>39.625</v>
      </c>
      <c r="R15" cm="1">
        <f t="array" ref="R15">_xlfn.PERCENTRANK.EXC(_xlfn._xlws.FILTER(P$4:P$16, ISNUMBER(P$4:P$16)),P15)*100</f>
        <v>35.699999999999996</v>
      </c>
    </row>
    <row r="16" spans="2:18" x14ac:dyDescent="0.35">
      <c r="B16" t="s">
        <v>873</v>
      </c>
      <c r="C16" t="str" cm="1">
        <f t="array" ref="C16">_xll.FDS(B16,"FG_COMPANY_NAME")</f>
        <v>iShares MSCI Italy ETF</v>
      </c>
      <c r="D16" s="9">
        <f>HLOOKUP(B16,'Monthly Returns'!$A$1:$Q$134, 127, FALSE)</f>
        <v>-0.30494325999999999</v>
      </c>
      <c r="E16" s="9">
        <f>HLOOKUP(B16,'Monthly Returns'!$A$1:$Q$134, 132, FALSE)</f>
        <v>0.19008264462809918</v>
      </c>
      <c r="H16" s="9">
        <f>HLOOKUP(B16,'Yearly returns'!$B$1:$N$140, 133, FALSE)</f>
        <v>0.2975206611570248</v>
      </c>
      <c r="I16" s="9">
        <f>HLOOKUP(B16,'Yearly returns'!$B$1:$N$140, 138, FALSE)</f>
        <v>0.745</v>
      </c>
      <c r="J16" s="194">
        <f t="shared" si="0"/>
        <v>5.2608695652173916</v>
      </c>
      <c r="K16" s="196">
        <f t="shared" si="1"/>
        <v>0</v>
      </c>
      <c r="L16" s="56">
        <f t="shared" si="2"/>
        <v>0</v>
      </c>
      <c r="M16" s="56">
        <f t="shared" si="3"/>
        <v>0</v>
      </c>
      <c r="N16" s="56">
        <f t="shared" si="4"/>
        <v>50</v>
      </c>
      <c r="P16">
        <f>L16*Assumption!$E$52 + M16*Assumption!$F$52 + N16*Assumption!$G$52</f>
        <v>25</v>
      </c>
      <c r="R16" cm="1">
        <f t="array" ref="R16">_xlfn.PERCENTRANK.EXC(_xlfn._xlws.FILTER(P$4:P$16, ISNUMBER(P$4:P$16)),P16)*100</f>
        <v>14.2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08984375" bestFit="1" customWidth="1"/>
    <col min="2" max="2" width="34.36328125" customWidth="1"/>
    <col min="3" max="3" width="10" bestFit="1" customWidth="1"/>
    <col min="4" max="4" width="18.08984375" bestFit="1" customWidth="1"/>
    <col min="5" max="5" width="11.54296875" customWidth="1"/>
    <col min="6" max="6" width="21" customWidth="1"/>
    <col min="7" max="7" width="11.08984375" bestFit="1" customWidth="1"/>
    <col min="8" max="9" width="31.36328125" style="49" customWidth="1"/>
    <col min="10" max="10" width="36.08984375" style="49" customWidth="1"/>
    <col min="12" max="12" width="10.453125" customWidth="1"/>
    <col min="18" max="18" width="14.90625" bestFit="1" customWidth="1"/>
    <col min="19" max="19" width="11.08984375" customWidth="1"/>
    <col min="20" max="20" width="14.08984375" bestFit="1" customWidth="1"/>
    <col min="21" max="21" width="13.36328125" bestFit="1" customWidth="1"/>
    <col min="22" max="22" width="14.632812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828</v>
      </c>
      <c r="B4" t="s">
        <v>523</v>
      </c>
      <c r="C4" t="s">
        <v>827</v>
      </c>
      <c r="D4" t="s">
        <v>550</v>
      </c>
      <c r="F4" t="s">
        <v>789</v>
      </c>
      <c r="G4" s="119" t="s">
        <v>825</v>
      </c>
      <c r="H4" s="119" t="s">
        <v>824</v>
      </c>
      <c r="I4" s="119" t="s">
        <v>844</v>
      </c>
      <c r="J4" s="119" t="s">
        <v>826</v>
      </c>
      <c r="S4" s="119" t="s">
        <v>825</v>
      </c>
      <c r="T4" s="119" t="s">
        <v>824</v>
      </c>
      <c r="U4" s="119" t="s">
        <v>844</v>
      </c>
      <c r="V4" s="119" t="s">
        <v>826</v>
      </c>
    </row>
    <row r="5" spans="1:22" x14ac:dyDescent="0.35">
      <c r="A5" t="s">
        <v>202</v>
      </c>
      <c r="B5" t="str" cm="1">
        <f t="array" ref="B5">_xll.FDS(C5,"FG_COMPANY_NAME")</f>
        <v>iShares MSCI New Zealand ETF</v>
      </c>
      <c r="C5" t="s">
        <v>435</v>
      </c>
      <c r="D5" t="s">
        <v>680</v>
      </c>
      <c r="E5" s="3" t="s">
        <v>435</v>
      </c>
      <c r="F5" s="9">
        <f>HLOOKUP(E5,'Monthly Returns'!$A$1:$AE$136,134,FALSE)</f>
        <v>0.56499999999999995</v>
      </c>
      <c r="G5" s="152" cm="1">
        <f t="array" ref="G5">_xll.FDSZ(C5,"FG_PRICE(0)")</f>
        <v>45.45</v>
      </c>
      <c r="H5" s="152" cm="1">
        <f t="array" ref="H5">_xll.FDSZ(C5,"FG_PRICE_MAVG(0,,,,30)")</f>
        <v>45.686500000000002</v>
      </c>
      <c r="I5" s="152" cm="1">
        <f t="array" ref="I5">_xll.FDSZ(C5,"FG_PRICE_MAVG(0,,,,60)")</f>
        <v>46.526000000000003</v>
      </c>
      <c r="J5" s="152" cm="1">
        <f t="array" ref="J5">_xll.FDSZ(C5,"FG_PRICE_MAVG(0,,,,200)")</f>
        <v>46.260063000000002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846</v>
      </c>
      <c r="S5" s="7" cm="1">
        <f t="array" ref="S5">_xll.FDSZ($R5,"FG_PRICE(0)")</f>
        <v>391.46953999999999</v>
      </c>
      <c r="T5" s="7" cm="1">
        <f t="array" ref="T5">_xll.FDSZ($R5,"FG_PRICE(0)")</f>
        <v>391.46953999999999</v>
      </c>
      <c r="U5" s="7" cm="1">
        <f t="array" ref="U5">_xll.FDSZ($R5,"FG_PRICE(0)")</f>
        <v>391.46953999999999</v>
      </c>
      <c r="V5" s="7" cm="1">
        <f t="array" ref="V5">_xll.FDSZ($R5,"FG_PRICE(0)")</f>
        <v>391.46953999999999</v>
      </c>
    </row>
    <row r="6" spans="1:22" x14ac:dyDescent="0.35">
      <c r="A6" t="s">
        <v>178</v>
      </c>
      <c r="B6" t="str" cm="1">
        <f t="array" ref="B6">_xll.FDS(C6,"FG_COMPANY_NAME")</f>
        <v>iShares MSCI Australia ETF</v>
      </c>
      <c r="C6" t="s">
        <v>44</v>
      </c>
      <c r="D6" t="s">
        <v>582</v>
      </c>
      <c r="E6" s="3" t="s">
        <v>44</v>
      </c>
      <c r="F6" s="9">
        <f>HLOOKUP(E6,'Monthly Returns'!$A$1:$AE$136,134,FALSE)</f>
        <v>0.745</v>
      </c>
      <c r="G6" s="152" cm="1">
        <f t="array" ref="G6">_xll.FDSZ(C6,"FG_PRICE(0)")</f>
        <v>24.12</v>
      </c>
      <c r="H6" s="152" cm="1">
        <f t="array" ref="H6">_xll.FDSZ(C6,"FG_PRICE_MAVG(0,,,,30)")</f>
        <v>23.89</v>
      </c>
      <c r="I6" s="152" cm="1">
        <f t="array" ref="I6">_xll.FDSZ(C6,"FG_PRICE_MAVG(0,,,,60)")</f>
        <v>23.845666999999999</v>
      </c>
      <c r="J6" s="152" cm="1">
        <f t="array" ref="J6">_xll.FDSZ(C6,"FG_PRICE_MAVG(0,,,,200)")</f>
        <v>22.6465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847</v>
      </c>
      <c r="S6" s="7" cm="1">
        <f t="array" ref="S6">_xll.FDSZ($R6,"FG_PRICE(0)")</f>
        <v>355.56560000000002</v>
      </c>
      <c r="T6" s="7" cm="1">
        <f t="array" ref="T6">_xll.FDSZ($R6,"FG_PRICE(0)")</f>
        <v>355.56560000000002</v>
      </c>
      <c r="U6" s="7" cm="1">
        <f t="array" ref="U6">_xll.FDSZ($R6,"FG_PRICE(0)")</f>
        <v>355.56560000000002</v>
      </c>
      <c r="V6" s="7" cm="1">
        <f t="array" ref="V6">_xll.FDSZ($R6,"FG_PRICE(0)")</f>
        <v>355.56560000000002</v>
      </c>
    </row>
    <row r="7" spans="1:22" x14ac:dyDescent="0.35">
      <c r="A7" t="s">
        <v>161</v>
      </c>
      <c r="B7" t="str" cm="1">
        <f t="array" ref="B7">_xll.FDS(C7,"FG_COMPANY_NAME")</f>
        <v>iShares MSCI Canada ETF</v>
      </c>
      <c r="C7" t="s">
        <v>49</v>
      </c>
      <c r="D7" t="s">
        <v>604</v>
      </c>
      <c r="E7" s="3" t="s">
        <v>49</v>
      </c>
      <c r="F7" s="9">
        <f>HLOOKUP(E7,'Monthly Returns'!$A$1:$AE$136,134,FALSE)</f>
        <v>0.877</v>
      </c>
      <c r="G7" s="152" cm="1">
        <f t="array" ref="G7">_xll.FDSZ(C7,"FG_PRICE(0)")</f>
        <v>37.770000000000003</v>
      </c>
      <c r="H7" s="152" cm="1">
        <f t="array" ref="H7">_xll.FDSZ(C7,"FG_PRICE_MAVG(0,,,,30)")</f>
        <v>36.790999999999997</v>
      </c>
      <c r="I7" s="152" cm="1">
        <f t="array" ref="I7">_xll.FDSZ(C7,"FG_PRICE_MAVG(0,,,,60)")</f>
        <v>36.551000000000002</v>
      </c>
      <c r="J7" s="152" cm="1">
        <f t="array" ref="J7">_xll.FDSZ(C7,"FG_PRICE_MAVG(0,,,,200)")</f>
        <v>34.919750000000001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848</v>
      </c>
      <c r="S7" s="7" cm="1">
        <f t="array" ref="S7">_xll.FDSZ($R7,"FG_PRICE(0)")</f>
        <v>289.11831999999998</v>
      </c>
      <c r="T7" s="7" cm="1">
        <f t="array" ref="T7">_xll.FDSZ($R7,"FG_PRICE(0)")</f>
        <v>289.11831999999998</v>
      </c>
      <c r="U7" s="7" cm="1">
        <f t="array" ref="U7">_xll.FDSZ($R7,"FG_PRICE(0)")</f>
        <v>289.11831999999998</v>
      </c>
      <c r="V7" s="7" cm="1">
        <f t="array" ref="V7">_xll.FDSZ($R7,"FG_PRICE(0)")</f>
        <v>289.11831999999998</v>
      </c>
    </row>
    <row r="8" spans="1:22" x14ac:dyDescent="0.35">
      <c r="A8" t="s">
        <v>561</v>
      </c>
      <c r="B8" t="str" cm="1">
        <f t="array" ref="B8">_xll.FDS(C8,"FG_COMPANY_NAME")</f>
        <v>iShares MSCI Germany ETF</v>
      </c>
      <c r="C8" t="s">
        <v>11</v>
      </c>
      <c r="D8" t="s">
        <v>631</v>
      </c>
      <c r="E8" s="3" t="s">
        <v>11</v>
      </c>
      <c r="F8" s="9">
        <f>HLOOKUP(E8,'Monthly Returns'!$A$1:$AE$136,134,FALSE)</f>
        <v>0.90100000000000002</v>
      </c>
      <c r="G8" s="152" cm="1">
        <f t="array" ref="G8">_xll.FDSZ(C8,"FG_PRICE(0)")</f>
        <v>31.15</v>
      </c>
      <c r="H8" s="152" cm="1">
        <f t="array" ref="H8">_xll.FDSZ(C8,"FG_PRICE_MAVG(0,,,,30)")</f>
        <v>30.100666</v>
      </c>
      <c r="I8" s="152" cm="1">
        <f t="array" ref="I8">_xll.FDSZ(C8,"FG_PRICE_MAVG(0,,,,60)")</f>
        <v>29.669</v>
      </c>
      <c r="J8" s="152" cm="1">
        <f t="array" ref="J8">_xll.FDSZ(C8,"FG_PRICE_MAVG(0,,,,200)")</f>
        <v>28.196750000000002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845</v>
      </c>
      <c r="S8" s="7" cm="1">
        <f t="array" ref="S8">_xll.FDSZ($R8,"FG_PRICE(0)")</f>
        <v>9.6662569999999999</v>
      </c>
      <c r="T8" s="7" cm="1">
        <f t="array" ref="T8">_xll.FDSZ($R8,"FG_PRICE(0)")</f>
        <v>9.6662569999999999</v>
      </c>
      <c r="U8" s="7" cm="1">
        <f t="array" ref="U8">_xll.FDSZ($R8,"FG_PRICE(0)")</f>
        <v>9.6662569999999999</v>
      </c>
      <c r="V8" s="7" cm="1">
        <f t="array" ref="V8">_xll.FDSZ($R8,"FG_PRICE(0)")</f>
        <v>9.6662569999999999</v>
      </c>
    </row>
    <row r="9" spans="1:22" x14ac:dyDescent="0.35">
      <c r="A9" t="s">
        <v>168</v>
      </c>
      <c r="B9" t="str" cm="1">
        <f t="array" ref="B9">_xll.FDS(C9,"FG_COMPANY_NAME")</f>
        <v>iShares MSCI Japan ETF</v>
      </c>
      <c r="C9" t="s">
        <v>46</v>
      </c>
      <c r="D9" t="s">
        <v>649</v>
      </c>
      <c r="E9" s="3" t="s">
        <v>46</v>
      </c>
      <c r="F9" s="9">
        <f>HLOOKUP(E9,'Monthly Returns'!$A$1:$AE$136,134,FALSE)</f>
        <v>0.72899999999999998</v>
      </c>
      <c r="G9" s="152" cm="1">
        <f t="array" ref="G9">_xll.FDSZ(C9,"FG_PRICE(0)")</f>
        <v>69.06</v>
      </c>
      <c r="H9" s="152" cm="1">
        <f t="array" ref="H9">_xll.FDSZ(C9,"FG_PRICE_MAVG(0,,,,30)")</f>
        <v>68.447000000000003</v>
      </c>
      <c r="I9" s="152" cm="1">
        <f t="array" ref="I9">_xll.FDSZ(C9,"FG_PRICE_MAVG(0,,,,60)")</f>
        <v>66.565833999999995</v>
      </c>
      <c r="J9" s="152" cm="1">
        <f t="array" ref="J9">_xll.FDSZ(C9,"FG_PRICE_MAVG(0,,,,200)")</f>
        <v>62.941899999999997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849</v>
      </c>
      <c r="S9" s="7" cm="1">
        <f t="array" ref="S9">_xll.FDSZ($R9,"FG_PRICE(0)")</f>
        <v>178.07105999999999</v>
      </c>
      <c r="T9" s="7" cm="1">
        <f t="array" ref="T9">_xll.FDSZ($R9,"FG_PRICE(0)")</f>
        <v>178.07105999999999</v>
      </c>
      <c r="U9" s="7" cm="1">
        <f t="array" ref="U9">_xll.FDSZ($R9,"FG_PRICE(0)")</f>
        <v>178.07105999999999</v>
      </c>
      <c r="V9" s="7" cm="1">
        <f t="array" ref="V9">_xll.FDSZ($R9,"FG_PRICE(0)")</f>
        <v>178.07105999999999</v>
      </c>
    </row>
    <row r="10" spans="1:22" x14ac:dyDescent="0.35">
      <c r="A10" t="s">
        <v>280</v>
      </c>
      <c r="B10" t="str" cm="1">
        <f t="array" ref="B10">_xll.FDS(C10,"FG_COMPANY_NAME")</f>
        <v>iShares MSCI Switzerland ETF</v>
      </c>
      <c r="C10" t="s">
        <v>42</v>
      </c>
      <c r="D10" t="s">
        <v>712</v>
      </c>
      <c r="E10" s="3" t="s">
        <v>42</v>
      </c>
      <c r="F10" s="9">
        <f>HLOOKUP(E10,'Monthly Returns'!$A$1:$AE$136,134,FALSE)</f>
        <v>0.82699999999999996</v>
      </c>
      <c r="G10" s="152" cm="1">
        <f t="array" ref="G10">_xll.FDSZ(C10,"FG_PRICE(0)")</f>
        <v>48.34</v>
      </c>
      <c r="H10" s="152" cm="1">
        <f t="array" ref="H10">_xll.FDSZ(C10,"FG_PRICE_MAVG(0,,,,30)")</f>
        <v>47.233665000000002</v>
      </c>
      <c r="I10" s="152" cm="1">
        <f t="array" ref="I10">_xll.FDSZ(C10,"FG_PRICE_MAVG(0,,,,60)")</f>
        <v>47.376334999999997</v>
      </c>
      <c r="J10" s="152" cm="1">
        <f t="array" ref="J10">_xll.FDSZ(C10,"FG_PRICE_MAVG(0,,,,200)")</f>
        <v>45.867350000000002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850</v>
      </c>
      <c r="S10" s="7" cm="1">
        <f t="array" ref="S10">_xll.FDSZ($R10,"FG_PRICE(0)")</f>
        <v>330.36040000000003</v>
      </c>
      <c r="T10" s="7" cm="1">
        <f t="array" ref="T10">_xll.FDSZ($R10,"FG_PRICE(0)")</f>
        <v>330.36040000000003</v>
      </c>
      <c r="U10" s="7" cm="1">
        <f t="array" ref="U10">_xll.FDSZ($R10,"FG_PRICE(0)")</f>
        <v>330.36040000000003</v>
      </c>
      <c r="V10" s="7" cm="1">
        <f t="array" ref="V10">_xll.FDSZ($R10,"FG_PRICE(0)")</f>
        <v>330.36040000000003</v>
      </c>
    </row>
    <row r="11" spans="1:22" x14ac:dyDescent="0.35">
      <c r="A11" t="s">
        <v>171</v>
      </c>
      <c r="B11" t="str" cm="1">
        <f t="array" ref="B11">_xll.FDS(C11,"FG_COMPANY_NAME")</f>
        <v>iShares MSCI United Kingdom ETF</v>
      </c>
      <c r="C11" t="s">
        <v>48</v>
      </c>
      <c r="D11" t="s">
        <v>725</v>
      </c>
      <c r="E11" s="3" t="s">
        <v>48</v>
      </c>
      <c r="F11" s="9">
        <f>HLOOKUP(E11,'Monthly Returns'!$A$1:$AE$136,134,FALSE)</f>
        <v>0.81100000000000005</v>
      </c>
      <c r="G11" s="152" cm="1">
        <f t="array" ref="G11">_xll.FDSZ(C11,"FG_PRICE(0)")</f>
        <v>33.5</v>
      </c>
      <c r="H11" s="152" cm="1">
        <f t="array" ref="H11">_xll.FDSZ(C11,"FG_PRICE_MAVG(0,,,,30)")</f>
        <v>32.775664999999996</v>
      </c>
      <c r="I11" s="152" cm="1">
        <f t="array" ref="I11">_xll.FDSZ(C11,"FG_PRICE_MAVG(0,,,,60)")</f>
        <v>32.705165999999998</v>
      </c>
      <c r="J11" s="152" cm="1">
        <f t="array" ref="J11">_xll.FDSZ(C11,"FG_PRICE_MAVG(0,,,,200)")</f>
        <v>32.237400000000001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851</v>
      </c>
      <c r="S11" s="7" cm="1">
        <f t="array" ref="S11">_xll.FDSZ($R11,"FG_PRICE(0)")</f>
        <v>120.76473</v>
      </c>
      <c r="T11" s="7" cm="1">
        <f t="array" ref="T11">_xll.FDSZ($R11,"FG_PRICE(0)")</f>
        <v>120.76473</v>
      </c>
      <c r="U11" s="7" cm="1">
        <f t="array" ref="U11">_xll.FDSZ($R11,"FG_PRICE(0)")</f>
        <v>120.76473</v>
      </c>
      <c r="V11" s="7" cm="1">
        <f t="array" ref="V11">_xll.FDSZ($R11,"FG_PRICE(0)")</f>
        <v>120.76473</v>
      </c>
    </row>
    <row r="12" spans="1:22" x14ac:dyDescent="0.35">
      <c r="A12" t="s">
        <v>174</v>
      </c>
      <c r="B12" t="str" cm="1">
        <f t="array" ref="B12">_xll.FDS(C12,"FG_COMPANY_NAME")</f>
        <v>Invesco QQQ Trust Series I</v>
      </c>
      <c r="C12" t="s">
        <v>51</v>
      </c>
      <c r="D12" t="s">
        <v>726</v>
      </c>
      <c r="E12" s="3" t="s">
        <v>51</v>
      </c>
      <c r="F12" s="9">
        <f>HLOOKUP(E12,'Monthly Returns'!$A$1:$AE$136,134,FALSE)</f>
        <v>0.42599999999999999</v>
      </c>
      <c r="G12" s="152" cm="1">
        <f t="array" ref="G12">_xll.FDSZ(C12,"FG_PRICE(0)")</f>
        <v>439.14</v>
      </c>
      <c r="H12" s="152" cm="1">
        <f t="array" ref="H12">_xll.FDSZ(C12,"FG_PRICE_MAVG(0,,,,30)")</f>
        <v>435.21767999999997</v>
      </c>
      <c r="I12" s="152" cm="1">
        <f t="array" ref="I12">_xll.FDSZ(C12,"FG_PRICE_MAVG(0,,,,60)")</f>
        <v>423.49633999999998</v>
      </c>
      <c r="J12" s="152" cm="1">
        <f t="array" ref="J12">_xll.FDSZ(C12,"FG_PRICE_MAVG(0,,,,200)")</f>
        <v>386.42334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852</v>
      </c>
      <c r="S12" s="7" cm="1">
        <f t="array" ref="S12">_xll.FDSZ($R12,"FG_PRICE(0)")</f>
        <v>386.89855999999997</v>
      </c>
      <c r="T12" s="7" cm="1">
        <f t="array" ref="T12">_xll.FDSZ($R12,"FG_PRICE(0)")</f>
        <v>386.89855999999997</v>
      </c>
      <c r="U12" s="7" cm="1">
        <f t="array" ref="U12">_xll.FDSZ($R12,"FG_PRICE(0)")</f>
        <v>386.89855999999997</v>
      </c>
      <c r="V12" s="7" cm="1">
        <f t="array" ref="V12">_xll.FDSZ($R12,"FG_PRICE(0)")</f>
        <v>386.89855999999997</v>
      </c>
    </row>
    <row r="13" spans="1:22" x14ac:dyDescent="0.35">
      <c r="A13" t="s">
        <v>174</v>
      </c>
      <c r="B13" t="str" cm="1">
        <f t="array" ref="B13">_xll.FDS(C13,"FG_COMPANY_NAME")</f>
        <v>SPDR S&amp;P 500 ETF Trust</v>
      </c>
      <c r="C13" t="s">
        <v>1</v>
      </c>
      <c r="D13" t="s">
        <v>726</v>
      </c>
      <c r="E13" s="3" t="s">
        <v>1</v>
      </c>
      <c r="F13" s="9">
        <f>HLOOKUP(E13,'Monthly Returns'!$A$1:$AE$136,134,FALSE)</f>
        <v>0.745</v>
      </c>
      <c r="G13" s="152" cm="1">
        <f t="array" ref="G13">_xll.FDSZ(C13,"FG_PRICE(0)")</f>
        <v>514.95000000000005</v>
      </c>
      <c r="H13" s="152" cm="1">
        <f t="array" ref="H13">_xll.FDSZ(C13,"FG_PRICE_MAVG(0,,,,30)")</f>
        <v>504.23399999999998</v>
      </c>
      <c r="I13" s="152" cm="1">
        <f t="array" ref="I13">_xll.FDSZ(C13,"FG_PRICE_MAVG(0,,,,60)")</f>
        <v>490.79381999999998</v>
      </c>
      <c r="J13" s="152" cm="1">
        <f t="array" ref="J13">_xll.FDSZ(C13,"FG_PRICE_MAVG(0,,,,200)")</f>
        <v>456.06076000000002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852</v>
      </c>
      <c r="S13" s="7" cm="1">
        <f t="array" ref="S13">_xll.FDSZ($R13,"FG_PRICE(0)")</f>
        <v>386.89855999999997</v>
      </c>
      <c r="T13" s="7" cm="1">
        <f t="array" ref="T13">_xll.FDSZ($R13,"FG_PRICE(0)")</f>
        <v>386.89855999999997</v>
      </c>
      <c r="U13" s="7" cm="1">
        <f t="array" ref="U13">_xll.FDSZ($R13,"FG_PRICE(0)")</f>
        <v>386.89855999999997</v>
      </c>
      <c r="V13" s="7" cm="1">
        <f t="array" ref="V13">_xll.FDSZ($R13,"FG_PRICE(0)")</f>
        <v>386.89855999999997</v>
      </c>
    </row>
    <row r="14" spans="1:22" x14ac:dyDescent="0.35">
      <c r="A14" t="s">
        <v>876</v>
      </c>
      <c r="B14" t="str" cm="1">
        <f t="array" ref="B14">_xll.FDS(C14,"FG_COMPANY_NAME")</f>
        <v>iShares MSCI France ETF</v>
      </c>
      <c r="C14" t="s">
        <v>872</v>
      </c>
      <c r="D14" t="s">
        <v>627</v>
      </c>
      <c r="E14" t="s">
        <v>872</v>
      </c>
      <c r="F14" s="9">
        <f>HLOOKUP(E14,'Monthly Returns'!$A$1:$AE$136,134,FALSE)</f>
        <v>0.91800000000000004</v>
      </c>
      <c r="G14" s="152" cm="1">
        <f t="array" ref="G14">_xll.FDSZ(C14,"FG_PRICE(0)")</f>
        <v>41.49</v>
      </c>
      <c r="H14" s="152" cm="1">
        <f t="array" ref="H14">_xll.FDSZ(C14,"FG_PRICE_MAVG(0,,,,30)")</f>
        <v>39.808334000000002</v>
      </c>
      <c r="I14" s="152" cm="1">
        <f t="array" ref="I14">_xll.FDSZ(C14,"FG_PRICE_MAVG(0,,,,60)")</f>
        <v>39.173749999999998</v>
      </c>
      <c r="J14" s="152" cm="1">
        <f t="array" ref="J14">_xll.FDSZ(C14,"FG_PRICE_MAVG(0,,,,200)")</f>
        <v>37.688724999999998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852</v>
      </c>
      <c r="S14" s="7" cm="1">
        <f t="array" ref="S14">_xll.FDSZ($R14,"FG_PRICE(0)")</f>
        <v>386.89855999999997</v>
      </c>
      <c r="T14" s="7" cm="1">
        <f t="array" ref="T14">_xll.FDSZ($R14,"FG_PRICE(0)")</f>
        <v>386.89855999999997</v>
      </c>
      <c r="U14" s="7" cm="1">
        <f t="array" ref="U14">_xll.FDSZ($R14,"FG_PRICE(0)")</f>
        <v>386.89855999999997</v>
      </c>
      <c r="V14" s="7" cm="1">
        <f t="array" ref="V14">_xll.FDSZ($R14,"FG_PRICE(0)")</f>
        <v>386.89855999999997</v>
      </c>
    </row>
    <row r="15" spans="1:22" x14ac:dyDescent="0.35">
      <c r="A15" t="s">
        <v>877</v>
      </c>
      <c r="B15" t="str" cm="1">
        <f t="array" ref="B15">_xll.FDS(C15,"FG_COMPANY_NAME")</f>
        <v>iShares MSCI Netherlands ETF</v>
      </c>
      <c r="C15" t="s">
        <v>874</v>
      </c>
      <c r="D15" t="s">
        <v>679</v>
      </c>
      <c r="E15" t="s">
        <v>874</v>
      </c>
      <c r="F15" s="9">
        <f>HLOOKUP(E15,'Monthly Returns'!$A$1:$AE$136,134,FALSE)</f>
        <v>0.71299999999999997</v>
      </c>
      <c r="G15" s="152" cm="1">
        <f t="array" ref="G15">_xll.FDSZ(C15,"FG_PRICE(0)")</f>
        <v>48.44</v>
      </c>
      <c r="H15" s="152" cm="1">
        <f t="array" ref="H15">_xll.FDSZ(C15,"FG_PRICE_MAVG(0,,,,30)")</f>
        <v>47.511499999999998</v>
      </c>
      <c r="I15" s="152" cm="1">
        <f t="array" ref="I15">_xll.FDSZ(C15,"FG_PRICE_MAVG(0,,,,60)")</f>
        <v>45.865079999999999</v>
      </c>
      <c r="J15" s="152" cm="1">
        <f t="array" ref="J15">_xll.FDSZ(C15,"FG_PRICE_MAVG(0,,,,200)")</f>
        <v>42.591079999999998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852</v>
      </c>
      <c r="S15" s="7" cm="1">
        <f t="array" ref="S15">_xll.FDSZ($R15,"FG_PRICE(0)")</f>
        <v>386.89855999999997</v>
      </c>
      <c r="T15" s="7" cm="1">
        <f t="array" ref="T15">_xll.FDSZ($R15,"FG_PRICE(0)")</f>
        <v>386.89855999999997</v>
      </c>
      <c r="U15" s="7" cm="1">
        <f t="array" ref="U15">_xll.FDSZ($R15,"FG_PRICE(0)")</f>
        <v>386.89855999999997</v>
      </c>
      <c r="V15" s="7" cm="1">
        <f t="array" ref="V15">_xll.FDSZ($R15,"FG_PRICE(0)")</f>
        <v>386.89855999999997</v>
      </c>
    </row>
    <row r="16" spans="1:22" x14ac:dyDescent="0.35">
      <c r="A16" t="s">
        <v>277</v>
      </c>
      <c r="B16" t="str" cm="1">
        <f t="array" ref="B16">_xll.FDS(C16,"FG_COMPANY_NAME")</f>
        <v>iShares MSCI Sweden ETF</v>
      </c>
      <c r="C16" t="s">
        <v>871</v>
      </c>
      <c r="D16" t="s">
        <v>711</v>
      </c>
      <c r="E16" t="s">
        <v>871</v>
      </c>
      <c r="F16" s="9">
        <f>HLOOKUP(E16,'Monthly Returns'!$A$1:$AE$136,134,FALSE)</f>
        <v>0.92600000000000005</v>
      </c>
      <c r="G16" s="152" cm="1">
        <f t="array" ref="G16">_xll.FDSZ(C16,"FG_PRICE(0)")</f>
        <v>40.950000000000003</v>
      </c>
      <c r="H16" s="152" cm="1">
        <f t="array" ref="H16">_xll.FDSZ(C16,"FG_PRICE_MAVG(0,,,,30)")</f>
        <v>38.991332999999997</v>
      </c>
      <c r="I16" s="152" cm="1">
        <f t="array" ref="I16">_xll.FDSZ(C16,"FG_PRICE_MAVG(0,,,,60)")</f>
        <v>38.488833999999997</v>
      </c>
      <c r="J16" s="152" cm="1">
        <f t="array" ref="J16">_xll.FDSZ(C16,"FG_PRICE_MAVG(0,,,,200)")</f>
        <v>35.548450000000003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852</v>
      </c>
      <c r="S16" s="7" cm="1">
        <f t="array" ref="S16">_xll.FDSZ($R16,"FG_PRICE(0)")</f>
        <v>386.89855999999997</v>
      </c>
      <c r="T16" s="7" cm="1">
        <f t="array" ref="T16">_xll.FDSZ($R16,"FG_PRICE(0)")</f>
        <v>386.89855999999997</v>
      </c>
      <c r="U16" s="7" cm="1">
        <f t="array" ref="U16">_xll.FDSZ($R16,"FG_PRICE(0)")</f>
        <v>386.89855999999997</v>
      </c>
      <c r="V16" s="7" cm="1">
        <f t="array" ref="V16">_xll.FDSZ($R16,"FG_PRICE(0)")</f>
        <v>386.89855999999997</v>
      </c>
    </row>
    <row r="17" spans="1:22" x14ac:dyDescent="0.35">
      <c r="A17" t="s">
        <v>875</v>
      </c>
      <c r="B17" t="str" cm="1">
        <f t="array" ref="B17">_xll.FDS(C17,"FG_COMPANY_NAME")</f>
        <v>iShares MSCI Italy ETF</v>
      </c>
      <c r="C17" t="s">
        <v>873</v>
      </c>
      <c r="D17" t="s">
        <v>647</v>
      </c>
      <c r="E17" t="s">
        <v>873</v>
      </c>
      <c r="F17" s="9">
        <f>HLOOKUP(E17,'Monthly Returns'!$A$1:$AE$136,134,FALSE)</f>
        <v>0.91800000000000004</v>
      </c>
      <c r="G17" s="152" cm="1">
        <f t="array" ref="G17">_xll.FDSZ(C17,"FG_PRICE(0)")</f>
        <v>36.97</v>
      </c>
      <c r="H17" s="152" cm="1">
        <f t="array" ref="H17">_xll.FDSZ(C17,"FG_PRICE_MAVG(0,,,,30)")</f>
        <v>35.214333000000003</v>
      </c>
      <c r="I17" s="152" cm="1">
        <f t="array" ref="I17">_xll.FDSZ(C17,"FG_PRICE_MAVG(0,,,,60)")</f>
        <v>34.398834000000001</v>
      </c>
      <c r="J17" s="152" cm="1">
        <f t="array" ref="J17">_xll.FDSZ(C17,"FG_PRICE_MAVG(0,,,,200)")</f>
        <v>32.375599999999999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852</v>
      </c>
      <c r="S17" s="7" cm="1">
        <f t="array" ref="S17">_xll.FDSZ($R17,"FG_PRICE(0)")</f>
        <v>386.89855999999997</v>
      </c>
      <c r="T17" s="7" cm="1">
        <f t="array" ref="T17">_xll.FDSZ($R17,"FG_PRICE(0)")</f>
        <v>386.89855999999997</v>
      </c>
      <c r="U17" s="7" cm="1">
        <f t="array" ref="U17">_xll.FDSZ($R17,"FG_PRICE(0)")</f>
        <v>386.89855999999997</v>
      </c>
      <c r="V17" s="7" cm="1">
        <f t="array" ref="V17">_xll.FDSZ($R17,"FG_PRICE(0)")</f>
        <v>386.89855999999997</v>
      </c>
    </row>
    <row r="19" spans="1:22" x14ac:dyDescent="0.35">
      <c r="K19" s="1" t="s">
        <v>913</v>
      </c>
      <c r="L19" s="1">
        <f>SUM(L5:L17)</f>
        <v>12</v>
      </c>
      <c r="M19" s="1">
        <f t="shared" ref="M19:N19" si="4">SUM(M5:M17)</f>
        <v>12</v>
      </c>
      <c r="N19" s="1">
        <f t="shared" si="4"/>
        <v>12</v>
      </c>
    </row>
    <row r="20" spans="1:22" x14ac:dyDescent="0.35">
      <c r="K20" s="1" t="s">
        <v>90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92</v>
      </c>
      <c r="L22" s="193">
        <f>L19/L20</f>
        <v>0.92307692307692313</v>
      </c>
      <c r="M22" s="193">
        <f t="shared" ref="M22:N22" si="6">M19/M20</f>
        <v>0.92307692307692313</v>
      </c>
      <c r="N22" s="193">
        <f t="shared" si="6"/>
        <v>0.92307692307692313</v>
      </c>
    </row>
    <row r="23" spans="1:22" x14ac:dyDescent="0.35">
      <c r="A23" t="s">
        <v>872</v>
      </c>
      <c r="B23" t="s">
        <v>876</v>
      </c>
      <c r="C23" t="str" cm="1">
        <f t="array" ref="C23">_xll.FDS(A23,"FG_COMPANY_NAME")</f>
        <v>iShares MSCI France ETF</v>
      </c>
      <c r="D23" t="s">
        <v>872</v>
      </c>
    </row>
    <row r="24" spans="1:22" x14ac:dyDescent="0.35">
      <c r="A24" t="s">
        <v>874</v>
      </c>
      <c r="B24" t="s">
        <v>877</v>
      </c>
      <c r="C24" t="str" cm="1">
        <f t="array" ref="C24">_xll.FDS(A24,"FG_COMPANY_NAME")</f>
        <v>iShares MSCI Netherlands ETF</v>
      </c>
      <c r="D24" t="s">
        <v>874</v>
      </c>
    </row>
    <row r="25" spans="1:22" x14ac:dyDescent="0.35">
      <c r="A25" t="s">
        <v>871</v>
      </c>
      <c r="B25" t="s">
        <v>277</v>
      </c>
      <c r="C25" t="str" cm="1">
        <f t="array" ref="C25">_xll.FDS(A25,"FG_COMPANY_NAME")</f>
        <v>iShares MSCI Sweden ETF</v>
      </c>
      <c r="D25" t="s">
        <v>871</v>
      </c>
    </row>
    <row r="26" spans="1:22" x14ac:dyDescent="0.35">
      <c r="A26" t="s">
        <v>873</v>
      </c>
      <c r="B26" t="s">
        <v>875</v>
      </c>
      <c r="C26" t="str" cm="1">
        <f t="array" ref="C26">_xll.FDS(A26,"FG_COMPANY_NAME")</f>
        <v>iShares MSCI Italy ETF</v>
      </c>
      <c r="D26" t="s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U8" sqref="U8"/>
    </sheetView>
  </sheetViews>
  <sheetFormatPr defaultRowHeight="14.5" x14ac:dyDescent="0.35"/>
  <cols>
    <col min="1" max="2" width="17" customWidth="1"/>
    <col min="3" max="3" width="11.453125" customWidth="1"/>
    <col min="4" max="4" width="14.632812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6328125" bestFit="1" customWidth="1"/>
    <col min="10" max="10" width="15.453125" customWidth="1"/>
    <col min="16" max="16" width="22.90625" customWidth="1"/>
    <col min="17" max="17" width="32.6328125" customWidth="1"/>
    <col min="18" max="20" width="12.36328125" customWidth="1"/>
  </cols>
  <sheetData>
    <row r="2" spans="1:20" x14ac:dyDescent="0.35">
      <c r="B2" t="s">
        <v>791</v>
      </c>
      <c r="C2" t="s">
        <v>792</v>
      </c>
      <c r="D2" t="s">
        <v>793</v>
      </c>
      <c r="E2" t="s">
        <v>794</v>
      </c>
      <c r="F2" t="s">
        <v>795</v>
      </c>
      <c r="G2" t="s">
        <v>796</v>
      </c>
      <c r="H2" t="s">
        <v>797</v>
      </c>
      <c r="I2" t="s">
        <v>798</v>
      </c>
      <c r="J2" t="s">
        <v>799</v>
      </c>
      <c r="S2" t="s">
        <v>800</v>
      </c>
    </row>
    <row r="3" spans="1:20" x14ac:dyDescent="0.35">
      <c r="A3" t="s">
        <v>801</v>
      </c>
      <c r="B3" t="s">
        <v>802</v>
      </c>
      <c r="C3" cm="1">
        <f t="array" ref="C3">_xll.FDS($A3,"FG_PRICE(0)")</f>
        <v>110.94</v>
      </c>
      <c r="D3" cm="1">
        <f t="array" ref="D3">_xll.FDS($A3,"FG_PRICE_MAVG(0,,,,30)")</f>
        <v>123.59533999999999</v>
      </c>
      <c r="E3" s="56" cm="1">
        <f t="array" ref="E3">_xll.FDS($A3,"FG_PRICE_CHANGE(0,-1AM)")</f>
        <v>-14.066615027110799</v>
      </c>
      <c r="F3" s="56" cm="1">
        <f t="array" ref="F3">_xll.FDS($A3,"FG_PRICE_CHANGE(0,-3AM)")</f>
        <v>-17.955923679929001</v>
      </c>
      <c r="G3" s="56" cm="1">
        <f t="array" ref="G3">_xll.FDS($A3,"FG_PRICE_CHANGE(0,-6AM)")</f>
        <v>-7.9794293297943</v>
      </c>
      <c r="H3" s="56" cm="1">
        <f t="array" ref="H3">_xll.FDS($A3,"FG_PRICE_CHANGE(0,-1AY)")</f>
        <v>-14.6877883728084</v>
      </c>
      <c r="I3" s="56" cm="1">
        <f t="array" ref="I3">_xll.FDS($A3,"FG_PRICE(0)/MAX(FG_PRICE(0,-1AY))")</f>
        <v>0.76956159822419501</v>
      </c>
      <c r="J3" cm="1">
        <f t="array" ref="J3">_xll.FDS($A3,"MAX(FG_PRICE(0,-5AY))")</f>
        <v>219.77</v>
      </c>
      <c r="P3" t="s">
        <v>434</v>
      </c>
      <c r="Q3" t="s">
        <v>436</v>
      </c>
      <c r="R3" t="s">
        <v>434</v>
      </c>
      <c r="S3">
        <f>IF(E3&lt;$C$19, 1, IF(E3&gt;$C$20,-1,0))</f>
        <v>1</v>
      </c>
      <c r="T3">
        <f>S3</f>
        <v>1</v>
      </c>
    </row>
    <row r="4" spans="1:20" x14ac:dyDescent="0.35">
      <c r="A4" t="s">
        <v>803</v>
      </c>
      <c r="B4" t="s">
        <v>804</v>
      </c>
      <c r="C4" cm="1">
        <f t="array" ref="C4">_xll.FDS($A4,"FG_PRICE(0)")</f>
        <v>4.0369999999999999</v>
      </c>
      <c r="D4" cm="1">
        <f t="array" ref="D4">_xll.FDS($A4,"FG_PRICE_MAVG(0,,,,30)")</f>
        <v>3.8365165999999999</v>
      </c>
      <c r="E4" s="56" cm="1">
        <f t="array" ref="E4">_xll.FDS($A4,"FG_PRICE_CHANGE(0,-1AM)")</f>
        <v>9.0933657613836001</v>
      </c>
      <c r="F4" s="56" cm="1">
        <f t="array" ref="F4">_xll.FDS($A4,"FG_PRICE_CHANGE(0,-3AM)")</f>
        <v>3.81895332390381</v>
      </c>
      <c r="G4" s="56" cm="1">
        <f t="array" ref="G4">_xll.FDS($A4,"FG_PRICE_CHANGE(0,-6AM)")</f>
        <v>6.7283542630535402</v>
      </c>
      <c r="H4" s="56" cm="1">
        <f t="array" ref="H4">_xll.FDS($A4,"FG_PRICE_CHANGE(0,-1AY)")</f>
        <v>0.66076549058720102</v>
      </c>
      <c r="I4" s="56" cm="1">
        <f t="array" ref="I4">_xll.FDS($A4,"FG_PRICE(0)/MAX(FG_PRICE(0,-1AY))")</f>
        <v>0.97370959961408599</v>
      </c>
      <c r="J4" cm="1">
        <f t="array" ref="J4">_xll.FDS($A4,"MAX(FG_PRICE(0,-5AY))")</f>
        <v>4.9290000000000003</v>
      </c>
      <c r="P4" t="s">
        <v>27</v>
      </c>
      <c r="Q4" t="s">
        <v>437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805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56" cm="1">
        <f t="array" ref="E5">_xll.FDS($A5,"FG_PRICE_CHANGE(0,-1AM)")</f>
        <v>0</v>
      </c>
      <c r="F5" s="56" cm="1">
        <f t="array" ref="F5">_xll.FDS($A5,"FG_PRICE_CHANGE(0,-3AM)")</f>
        <v>0</v>
      </c>
      <c r="G5" s="56" cm="1">
        <f t="array" ref="G5">_xll.FDS($A5,"FG_PRICE_CHANGE(0,-6AM)")</f>
        <v>-10.1788890051261</v>
      </c>
      <c r="H5" s="56" cm="1">
        <f t="array" ref="H5">_xll.FDS($A5,"FG_PRICE_CHANGE(0,-1AY)")</f>
        <v>8.6697886343500805</v>
      </c>
      <c r="I5" s="56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438</v>
      </c>
      <c r="R5" t="s">
        <v>35</v>
      </c>
      <c r="S5">
        <f>IF(E9&lt;$C$19, 1, IF(E9&gt;$C$20,-1,0))</f>
        <v>-1</v>
      </c>
      <c r="T5">
        <f t="shared" si="0"/>
        <v>-1</v>
      </c>
    </row>
    <row r="6" spans="1:20" x14ac:dyDescent="0.35">
      <c r="A6" t="s">
        <v>806</v>
      </c>
      <c r="B6" t="s">
        <v>807</v>
      </c>
      <c r="C6" cm="1">
        <f t="array" ref="C6">_xll.FDS($A6,"FG_PRICE(0)")</f>
        <v>5.1950000000000003</v>
      </c>
      <c r="D6" cm="1">
        <f t="array" ref="D6">_xll.FDS($A6,"FG_PRICE_MAVG(0,,,,30)")</f>
        <v>5.6929999999999996</v>
      </c>
      <c r="E6" s="56" cm="1">
        <f t="array" ref="E6">_xll.FDS($A6,"FG_PRICE_CHANGE(0,-1AM)")</f>
        <v>-11.2724167378309</v>
      </c>
      <c r="F6" s="56" cm="1">
        <f t="array" ref="F6">_xll.FDS($A6,"FG_PRICE_CHANGE(0,-3AM)")</f>
        <v>-12.542087542087501</v>
      </c>
      <c r="G6" s="56" cm="1">
        <f t="array" ref="G6">_xll.FDS($A6,"FG_PRICE_CHANGE(0,-6AM)")</f>
        <v>-8.4581497797356793</v>
      </c>
      <c r="H6" s="56" cm="1">
        <f t="array" ref="H6">_xll.FDS($A6,"FG_PRICE_CHANGE(0,-1AY)")</f>
        <v>-24.326292789511999</v>
      </c>
      <c r="I6" s="56" cm="1">
        <f t="array" ref="I6">_xll.FDS($A6,"FG_PRICE(0)/MAX(FG_PRICE(0,-1AY))")</f>
        <v>0.68332785268003904</v>
      </c>
      <c r="J6" cm="1">
        <f t="array" ref="J6">_xll.FDS($A6,"MAX(FG_PRICE(0,-5AY))")</f>
        <v>14.2525</v>
      </c>
      <c r="P6" t="s">
        <v>30</v>
      </c>
      <c r="Q6" t="s">
        <v>439</v>
      </c>
      <c r="R6" t="s">
        <v>30</v>
      </c>
    </row>
    <row r="7" spans="1:20" x14ac:dyDescent="0.35">
      <c r="A7" t="s">
        <v>808</v>
      </c>
      <c r="B7" t="s">
        <v>809</v>
      </c>
      <c r="C7" cm="1">
        <f t="array" ref="C7">_xll.FDS($A7,"FG_PRICE(0)")</f>
        <v>4330</v>
      </c>
      <c r="D7" cm="1">
        <f t="array" ref="D7">_xll.FDS($A7,"FG_PRICE_MAVG(0,,,,30)")</f>
        <v>4007.7665999999999</v>
      </c>
      <c r="E7" s="56" cm="1">
        <f t="array" ref="E7">_xll.FDS($A7,"FG_PRICE_CHANGE(0,-1AM)")</f>
        <v>8.3854818523154009</v>
      </c>
      <c r="F7" s="56" cm="1">
        <f t="array" ref="F7">_xll.FDS($A7,"FG_PRICE_CHANGE(0,-3AM)")</f>
        <v>20.244376562066101</v>
      </c>
      <c r="G7" s="56" cm="1">
        <f t="array" ref="G7">_xll.FDS($A7,"FG_PRICE_CHANGE(0,-6AM)")</f>
        <v>18.3060109289618</v>
      </c>
      <c r="H7" s="56" cm="1">
        <f t="array" ref="H7">_xll.FDS($A7,"FG_PRICE_CHANGE(0,-1AY)")</f>
        <v>5.5325371679259003</v>
      </c>
      <c r="I7" s="56" cm="1">
        <f t="array" ref="I7">_xll.FDS($A7,"FG_PRICE(0)/MAX(FG_PRICE(0,-1AY))")</f>
        <v>1</v>
      </c>
      <c r="J7" cm="1">
        <f t="array" ref="J7">_xll.FDS($A7,"MAX(FG_PRICE(0,-5AY))")</f>
        <v>8163</v>
      </c>
      <c r="P7" t="s">
        <v>23</v>
      </c>
      <c r="Q7" t="s">
        <v>440</v>
      </c>
      <c r="R7" t="s">
        <v>23</v>
      </c>
    </row>
    <row r="8" spans="1:20" x14ac:dyDescent="0.35">
      <c r="A8" t="s">
        <v>810</v>
      </c>
      <c r="B8" t="s">
        <v>811</v>
      </c>
      <c r="C8" cm="1">
        <f t="array" ref="C8">_xll.FDS($A8,"FG_PRICE(0)")</f>
        <v>939</v>
      </c>
      <c r="D8" cm="1">
        <f t="array" ref="D8">_xll.FDS($A8,"FG_PRICE_MAVG(0,,,,30)")</f>
        <v>903.8</v>
      </c>
      <c r="E8" s="56" cm="1">
        <f t="array" ref="E8">_xll.FDS($A8,"FG_PRICE_CHANGE(0,-1AM)")</f>
        <v>5.2690582959641397</v>
      </c>
      <c r="F8" s="56" cm="1">
        <f t="array" ref="F8">_xll.FDS($A8,"FG_PRICE_CHANGE(0,-3AM)")</f>
        <v>-0.84477296726505102</v>
      </c>
      <c r="G8" s="56" cm="1">
        <f t="array" ref="G8">_xll.FDS($A8,"FG_PRICE_CHANGE(0,-6AM)")</f>
        <v>3.1868131868131999</v>
      </c>
      <c r="H8" s="56" cm="1">
        <f t="array" ref="H8">_xll.FDS($A8,"FG_PRICE_CHANGE(0,-1AY)")</f>
        <v>-6.1</v>
      </c>
      <c r="I8" s="56" cm="1">
        <f t="array" ref="I8">_xll.FDS($A8,"FG_PRICE(0)/MAX(FG_PRICE(0,-1AY))")</f>
        <v>0.82731277533039604</v>
      </c>
      <c r="J8" cm="1">
        <f t="array" ref="J8">_xll.FDS($A8,"MAX(FG_PRICE(0,-5AY))")</f>
        <v>1272.5899999999999</v>
      </c>
      <c r="P8" t="s">
        <v>29</v>
      </c>
      <c r="Q8" t="s">
        <v>441</v>
      </c>
      <c r="R8" t="s">
        <v>29</v>
      </c>
    </row>
    <row r="9" spans="1:20" x14ac:dyDescent="0.35">
      <c r="A9" t="s">
        <v>812</v>
      </c>
      <c r="B9" t="s">
        <v>813</v>
      </c>
      <c r="C9" cm="1">
        <f t="array" ref="C9">_xll.FDS($A9,"FG_PRICE(0)")</f>
        <v>17755</v>
      </c>
      <c r="D9" cm="1">
        <f t="array" ref="D9">_xll.FDS($A9,"FG_PRICE_MAVG(0,,,,30)")</f>
        <v>16786</v>
      </c>
      <c r="E9" s="56" cm="1">
        <f t="array" ref="E9">_xll.FDS($A9,"FG_PRICE_CHANGE(0,-1AM)")</f>
        <v>10.1768538628607</v>
      </c>
      <c r="F9" s="56" cm="1">
        <f t="array" ref="F9">_xll.FDS($A9,"FG_PRICE_CHANGE(0,-3AM)")</f>
        <v>7.6060606060606197</v>
      </c>
      <c r="G9" s="56" cm="1">
        <f t="array" ref="G9">_xll.FDS($A9,"FG_PRICE_CHANGE(0,-6AM)")</f>
        <v>-12.3426314490249</v>
      </c>
      <c r="H9" s="56" cm="1">
        <f t="array" ref="H9">_xll.FDS($A9,"FG_PRICE_CHANGE(0,-1AY)")</f>
        <v>-23.6508277789723</v>
      </c>
      <c r="I9" s="56" cm="1">
        <f t="array" ref="I9">_xll.FDS($A9,"FG_PRICE(0)/MAX(FG_PRICE(0,-1AY))")</f>
        <v>0.695184025058731</v>
      </c>
      <c r="J9" cm="1">
        <f t="array" ref="J9">_xll.FDS($A9,"MAX(FG_PRICE(0,-5AY))")</f>
        <v>48241</v>
      </c>
      <c r="P9" t="s">
        <v>33</v>
      </c>
      <c r="Q9" t="s">
        <v>442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814</v>
      </c>
      <c r="B10" t="s">
        <v>815</v>
      </c>
      <c r="C10" cm="1">
        <f t="array" ref="C10">_xll.FDS($A10,"FG_PRICE(0)")</f>
        <v>1088</v>
      </c>
      <c r="D10" cm="1">
        <f t="array" ref="D10">_xll.FDS($A10,"FG_PRICE_MAVG(0,,,,30)")</f>
        <v>973.46669999999995</v>
      </c>
      <c r="E10" s="56" cm="1">
        <f t="array" ref="E10">_xll.FDS($A10,"FG_PRICE_CHANGE(0,-1AM)")</f>
        <v>19.560439560439601</v>
      </c>
      <c r="F10" s="56" cm="1">
        <f t="array" ref="F10">_xll.FDS($A10,"FG_PRICE_CHANGE(0,-3AM)")</f>
        <v>5.1207729468599101</v>
      </c>
      <c r="G10" s="56" cm="1">
        <f t="array" ref="G10">_xll.FDS($A10,"FG_PRICE_CHANGE(0,-6AM)")</f>
        <v>-14.330708661417299</v>
      </c>
      <c r="H10" s="56" cm="1">
        <f t="array" ref="H10">_xll.FDS($A10,"FG_PRICE_CHANGE(0,-1AY)")</f>
        <v>-28.655737704918</v>
      </c>
      <c r="I10" s="56" cm="1">
        <f t="array" ref="I10">_xll.FDS($A10,"FG_PRICE(0)/MAX(FG_PRICE(0,-1AY))")</f>
        <v>0.66341463414634105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816</v>
      </c>
      <c r="C11" cm="1">
        <f t="array" ref="C11">_xll.FDS($A11,"FG_PRICE(0)")</f>
        <v>614.79999999999995</v>
      </c>
      <c r="D11" cm="1">
        <f t="array" ref="D11">_xll.FDS($A11,"FG_PRICE_MAVG(0,,,,30)")</f>
        <v>629.9</v>
      </c>
      <c r="E11" s="56" cm="1">
        <f t="array" ref="E11">_xll.FDS($A11,"FG_PRICE_CHANGE(0,-1AM)")</f>
        <v>-6.66464247760742</v>
      </c>
      <c r="F11" s="56" cm="1">
        <f t="array" ref="F11">_xll.FDS($A11,"FG_PRICE_CHANGE(0,-3AM)")</f>
        <v>-2.5055502695845302</v>
      </c>
      <c r="G11" s="56" cm="1">
        <f t="array" ref="G11">_xll.FDS($A11,"FG_PRICE_CHANGE(0,-6AM)")</f>
        <v>-18.827567995774999</v>
      </c>
      <c r="H11" s="56" cm="1">
        <f t="array" ref="H11">_xll.FDS($A11,"FG_PRICE_CHANGE(0,-1AY)")</f>
        <v>5.7629451230001703</v>
      </c>
      <c r="I11" s="56" cm="1">
        <f t="array" ref="I11">_xll.FDS($A11,"FG_PRICE(0)/MAX(FG_PRICE(0,-1AY))")</f>
        <v>0.80534451139638497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817</v>
      </c>
      <c r="B12" t="s">
        <v>818</v>
      </c>
      <c r="C12" cm="1">
        <f t="array" ref="C12">_xll.FDS($A12,"FG_PRICE(0)")</f>
        <v>0.96300079999999999</v>
      </c>
      <c r="D12" cm="1">
        <f t="array" ref="D12">_xll.FDS($A12,"FG_PRICE_MAVG(0,,,,30)")</f>
        <v>0.96949034999999995</v>
      </c>
      <c r="E12" s="56" cm="1">
        <f t="array" ref="E12">_xll.FDS($A12,"FG_PRICE_CHANGE(0,-1AM)")</f>
        <v>-0.83615747534626605</v>
      </c>
      <c r="F12" s="56" cm="1">
        <f t="array" ref="F12">_xll.FDS($A12,"FG_PRICE_CHANGE(0,-3AM)")</f>
        <v>-3.39904279464993</v>
      </c>
      <c r="G12" s="56" cm="1">
        <f t="array" ref="G12">_xll.FDS($A12,"FG_PRICE_CHANGE(0,-6AM)")</f>
        <v>-0.39237407545607</v>
      </c>
      <c r="H12" s="56" cm="1">
        <f t="array" ref="H12">_xll.FDS($A12,"FG_PRICE_CHANGE(0,-1AY)")</f>
        <v>-18.611326133103901</v>
      </c>
      <c r="I12" s="56" cm="1">
        <f t="array" ref="I12">_xll.FDS($A12,"FG_PRICE(0)/MAX(FG_PRICE(0,-1AY))")</f>
        <v>0.813886738668961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443</v>
      </c>
      <c r="R14" t="s">
        <v>22</v>
      </c>
    </row>
    <row r="15" spans="1:20" x14ac:dyDescent="0.35">
      <c r="P15" t="s">
        <v>28</v>
      </c>
      <c r="Q15" t="s">
        <v>444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445</v>
      </c>
      <c r="R18" t="s">
        <v>31</v>
      </c>
    </row>
    <row r="19" spans="2:20" x14ac:dyDescent="0.35">
      <c r="B19" t="s">
        <v>820</v>
      </c>
      <c r="C19" s="62">
        <v>-5</v>
      </c>
      <c r="P19" s="1" t="s">
        <v>750</v>
      </c>
      <c r="Q19" s="1" t="s">
        <v>751</v>
      </c>
      <c r="R19" s="1" t="s">
        <v>750</v>
      </c>
    </row>
    <row r="20" spans="2:20" x14ac:dyDescent="0.35">
      <c r="B20" t="s">
        <v>821</v>
      </c>
      <c r="C20" s="62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435</v>
      </c>
      <c r="Q24" t="s">
        <v>450</v>
      </c>
      <c r="R24" t="s">
        <v>435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14" x14ac:dyDescent="0.35">
      <c r="B1" t="s">
        <v>435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x14ac:dyDescent="0.35">
      <c r="A2" s="2" cm="1">
        <f t="array" ref="A2:A122">_xll.FDS(B1,"JULIAN(FMA_DIV_YLD(LTMA,-10AY,0,AM,""PORTAGG"",""MEANR"").dates)")</f>
        <v>41712</v>
      </c>
      <c r="B2" s="3" cm="1">
        <f t="array" ref="B2:B122">_xll.FDS(B1,"FMA_PE(LTMA,-10AY,0,AM,""PORTAGG"",""MEANR"")")</f>
        <v>17.967313023746598</v>
      </c>
      <c r="C2" s="3" cm="1">
        <f t="array" ref="C2:C122">_xll.FDS(C1,"FMA_PE(LTMA,-10AY,0,AM,""PORTAGG"",""MEANR"")")</f>
        <v>15.2584171867823</v>
      </c>
      <c r="D2" s="3" cm="1">
        <f t="array" ref="D2:D122">_xll.FDS(D1,"FMA_PE(LTMA,-10AY,0,AM,""PORTAGG"",""MEANR"")")</f>
        <v>16.506578851413799</v>
      </c>
      <c r="E2" s="3" cm="1">
        <f t="array" ref="E2:E122">_xll.FDS(E1,"FMA_PE(LTMA,-10AY,0,AM,""PORTAGG"",""MEANR"")")</f>
        <v>14.693221584062901</v>
      </c>
      <c r="F2" s="3" cm="1">
        <f t="array" ref="F2:F122">_xll.FDS(F1,"FMA_PE(LTMA,-10AY,0,AM,""PORTAGG"",""MEANR"")")</f>
        <v>15.5951399833229</v>
      </c>
      <c r="G2" s="3" cm="1">
        <f t="array" ref="G2:G122">_xll.FDS(G1,"FMA_PE(LTMA,-10AY,0,AM,""PORTAGG"",""MEANR"")")</f>
        <v>17.013200858865201</v>
      </c>
      <c r="H2" s="3" cm="1">
        <f t="array" ref="H2:H122">_xll.FDS(H1,"FMA_PE(LTMA,-10AY,0,AM,""PORTAGG"",""MEANR"")")</f>
        <v>14.281464128779501</v>
      </c>
      <c r="I2" s="3" cm="1">
        <f t="array" ref="I2:I122">_xll.FDS(I1,"FMA_PE(LTMA,-10AY,0,AM,""PORTAGG"",""MEANR"")")</f>
        <v>19.1527296124599</v>
      </c>
      <c r="J2" s="3" cm="1">
        <f t="array" ref="J2:J122">_xll.FDS(J1,"FMA_PE(LTMA,-10AY,0,AM,""PORTAGG"",""MEANR"")")</f>
        <v>16.312093883461099</v>
      </c>
      <c r="K2" s="3" cm="1">
        <f t="array" ref="K2:K122">_xll.FDS(K1,"FMA_PE(LTMA,-10AY,0,AM,""PORTAGG"",""MEANR"")")</f>
        <v>15.872988237749</v>
      </c>
      <c r="L2" s="3" cm="1">
        <f t="array" ref="L2:L122">_xll.FDS(L1,"FMA_PE(LTMA,-10AY,0,AM,""PORTAGG"",""MEANR"")")</f>
        <v>17.218741392462601</v>
      </c>
      <c r="M2" s="3" cm="1">
        <f t="array" ref="M2:M122">_xll.FDS(M1,"FMA_PE(LTMA,-10AY,0,AM,""PORTAGG"",""MEANR"")")</f>
        <v>15.184770376008</v>
      </c>
      <c r="N2" s="3" cm="1">
        <f t="array" ref="N2:N122">_xll.FDS(N1,"FMA_PE(LTMA,-10AY,0,AM,""PORTAGG"",""MEANR"")")</f>
        <v>17.2998468069536</v>
      </c>
    </row>
    <row r="3" spans="1:14" x14ac:dyDescent="0.35">
      <c r="A3" s="2">
        <v>41743</v>
      </c>
      <c r="B3" s="3">
        <v>17.884582886789499</v>
      </c>
      <c r="C3" s="3">
        <v>15.2381047175838</v>
      </c>
      <c r="D3" s="3">
        <v>16.322294899557299</v>
      </c>
      <c r="E3" s="3">
        <v>14.5989216288091</v>
      </c>
      <c r="F3" s="3">
        <v>15.251898547481501</v>
      </c>
      <c r="G3" s="3">
        <v>17.009413940424</v>
      </c>
      <c r="H3" s="3">
        <v>14.268065307785699</v>
      </c>
      <c r="I3" s="3">
        <v>18.8149437465297</v>
      </c>
      <c r="J3" s="3">
        <v>16.195297349599599</v>
      </c>
      <c r="K3" s="3">
        <v>15.7980492929861</v>
      </c>
      <c r="L3" s="3">
        <v>16.997529712560201</v>
      </c>
      <c r="M3" s="3">
        <v>15.327067913426699</v>
      </c>
      <c r="N3" s="3">
        <v>17.147115309449202</v>
      </c>
    </row>
    <row r="4" spans="1:14" x14ac:dyDescent="0.35">
      <c r="A4" s="2">
        <v>41773</v>
      </c>
      <c r="B4" s="3">
        <v>18.0863584446227</v>
      </c>
      <c r="C4" s="3">
        <v>15.2316780385959</v>
      </c>
      <c r="D4" s="3">
        <v>16.2831227255021</v>
      </c>
      <c r="E4" s="3">
        <v>14.659787405584501</v>
      </c>
      <c r="F4" s="3">
        <v>15.199112619970601</v>
      </c>
      <c r="G4" s="3">
        <v>17.181940150835398</v>
      </c>
      <c r="H4" s="3">
        <v>14.4178587241949</v>
      </c>
      <c r="I4" s="3">
        <v>18.7228223038945</v>
      </c>
      <c r="J4" s="3">
        <v>16.218135948710099</v>
      </c>
      <c r="K4" s="3">
        <v>15.815489275272901</v>
      </c>
      <c r="L4" s="3">
        <v>16.8520639805153</v>
      </c>
      <c r="M4" s="3">
        <v>15.593817221709299</v>
      </c>
      <c r="N4" s="3">
        <v>17.033040749809</v>
      </c>
    </row>
    <row r="5" spans="1:14" x14ac:dyDescent="0.35">
      <c r="A5" s="2">
        <v>41803</v>
      </c>
      <c r="B5" s="3">
        <v>17.969472348832799</v>
      </c>
      <c r="C5" s="3">
        <v>15.1298565139047</v>
      </c>
      <c r="D5" s="3">
        <v>16.257487117684601</v>
      </c>
      <c r="E5" s="3">
        <v>14.6801581144297</v>
      </c>
      <c r="F5" s="3">
        <v>15.3231129784518</v>
      </c>
      <c r="G5" s="3">
        <v>17.185362217148</v>
      </c>
      <c r="H5" s="3">
        <v>14.3668182943823</v>
      </c>
      <c r="I5" s="3">
        <v>18.9082508072172</v>
      </c>
      <c r="J5" s="3">
        <v>16.3092176938252</v>
      </c>
      <c r="K5" s="3">
        <v>15.8668394492878</v>
      </c>
      <c r="L5" s="3">
        <v>16.840398709433799</v>
      </c>
      <c r="M5" s="3">
        <v>15.7408257747952</v>
      </c>
      <c r="N5" s="3">
        <v>17.361448323148299</v>
      </c>
    </row>
    <row r="6" spans="1:14" x14ac:dyDescent="0.35">
      <c r="A6" s="2">
        <v>41834</v>
      </c>
      <c r="B6" s="3">
        <v>17.957592783145198</v>
      </c>
      <c r="C6" s="3">
        <v>15.3342290422773</v>
      </c>
      <c r="D6" s="3">
        <v>16.2747093865094</v>
      </c>
      <c r="E6" s="3">
        <v>14.489698697207</v>
      </c>
      <c r="F6" s="3">
        <v>15.241291081433999</v>
      </c>
      <c r="G6" s="3">
        <v>17.1600527773533</v>
      </c>
      <c r="H6" s="3">
        <v>14.334121353607999</v>
      </c>
      <c r="I6" s="3">
        <v>19.196961711663199</v>
      </c>
      <c r="J6" s="3">
        <v>16.441385381569901</v>
      </c>
      <c r="K6" s="3">
        <v>15.5077856297387</v>
      </c>
      <c r="L6" s="3">
        <v>16.538643597466201</v>
      </c>
      <c r="M6" s="3">
        <v>15.850054094732901</v>
      </c>
      <c r="N6" s="3">
        <v>17.071949190174202</v>
      </c>
    </row>
    <row r="7" spans="1:14" x14ac:dyDescent="0.35">
      <c r="A7" s="2">
        <v>41865</v>
      </c>
      <c r="B7" s="3">
        <v>17.872999156990002</v>
      </c>
      <c r="C7" s="3">
        <v>15.3452538510161</v>
      </c>
      <c r="D7" s="3">
        <v>16.3085304228902</v>
      </c>
      <c r="E7" s="3">
        <v>14.006725467107801</v>
      </c>
      <c r="F7" s="3">
        <v>15.0739925497244</v>
      </c>
      <c r="G7" s="3">
        <v>17.161818549871001</v>
      </c>
      <c r="H7" s="3">
        <v>14.156696293080399</v>
      </c>
      <c r="I7" s="3">
        <v>19.133327305178899</v>
      </c>
      <c r="J7" s="3">
        <v>16.269844727425799</v>
      </c>
      <c r="K7" s="3">
        <v>15.1415986341995</v>
      </c>
      <c r="L7" s="3">
        <v>16.2048316043063</v>
      </c>
      <c r="M7" s="3">
        <v>15.8477256845054</v>
      </c>
      <c r="N7" s="3">
        <v>16.6968510276496</v>
      </c>
    </row>
    <row r="8" spans="1:14" x14ac:dyDescent="0.35">
      <c r="A8" s="2">
        <v>41894</v>
      </c>
      <c r="B8" s="3">
        <v>17.918363776308301</v>
      </c>
      <c r="C8" s="3">
        <v>15.248715225744601</v>
      </c>
      <c r="D8" s="3">
        <v>16.425004875966799</v>
      </c>
      <c r="E8" s="3">
        <v>14.277326060256399</v>
      </c>
      <c r="F8" s="3">
        <v>15.2585615979241</v>
      </c>
      <c r="G8" s="3">
        <v>17.394911007235802</v>
      </c>
      <c r="H8" s="3">
        <v>14.1692022582628</v>
      </c>
      <c r="I8" s="3">
        <v>19.399703077372799</v>
      </c>
      <c r="J8" s="3">
        <v>16.453658623244699</v>
      </c>
      <c r="K8" s="3">
        <v>15.530155352287499</v>
      </c>
      <c r="L8" s="3">
        <v>16.756418022500899</v>
      </c>
      <c r="M8" s="3">
        <v>15.5418822235997</v>
      </c>
      <c r="N8" s="3">
        <v>17.958840274314699</v>
      </c>
    </row>
    <row r="9" spans="1:14" x14ac:dyDescent="0.35">
      <c r="A9" s="2">
        <v>41926</v>
      </c>
      <c r="B9" s="3">
        <v>17.624855067308399</v>
      </c>
      <c r="C9" s="3">
        <v>14.6023870016482</v>
      </c>
      <c r="D9" s="3">
        <v>15.161908439534599</v>
      </c>
      <c r="E9" s="3">
        <v>13.284738767257499</v>
      </c>
      <c r="F9" s="3">
        <v>14.388815280706901</v>
      </c>
      <c r="G9" s="3">
        <v>16.566720924454899</v>
      </c>
      <c r="H9" s="3">
        <v>13.457908853479299</v>
      </c>
      <c r="I9" s="3">
        <v>18.431062387749101</v>
      </c>
      <c r="J9" s="3">
        <v>15.7879949147533</v>
      </c>
      <c r="K9" s="3">
        <v>14.562288854460499</v>
      </c>
      <c r="L9" s="3">
        <v>15.953833649959</v>
      </c>
      <c r="M9" s="3">
        <v>15.3008214094365</v>
      </c>
      <c r="N9" s="3">
        <v>16.6094237358794</v>
      </c>
    </row>
    <row r="10" spans="1:14" x14ac:dyDescent="0.35">
      <c r="A10" s="2">
        <v>41957</v>
      </c>
      <c r="B10" s="3">
        <v>18.7856298745461</v>
      </c>
      <c r="C10" s="3">
        <v>15.1098108753778</v>
      </c>
      <c r="D10" s="3">
        <v>15.815458758919499</v>
      </c>
      <c r="E10" s="3">
        <v>13.631444946116799</v>
      </c>
      <c r="F10" s="3">
        <v>15.982576754669701</v>
      </c>
      <c r="G10" s="3">
        <v>17.470997398329299</v>
      </c>
      <c r="H10" s="3">
        <v>13.8915771326427</v>
      </c>
      <c r="I10" s="3">
        <v>20.0326641392295</v>
      </c>
      <c r="J10" s="3">
        <v>16.893600919097398</v>
      </c>
      <c r="K10" s="3">
        <v>14.87478269779</v>
      </c>
      <c r="L10" s="3">
        <v>17.260240168834201</v>
      </c>
      <c r="M10" s="3">
        <v>16.6901899666018</v>
      </c>
      <c r="N10" s="3">
        <v>17.354713470084299</v>
      </c>
    </row>
    <row r="11" spans="1:14" x14ac:dyDescent="0.35">
      <c r="A11" s="2">
        <v>41985</v>
      </c>
      <c r="B11" s="3">
        <v>18.936400045424101</v>
      </c>
      <c r="C11" s="3">
        <v>14.1659501262923</v>
      </c>
      <c r="D11" s="3">
        <v>14.8072666396075</v>
      </c>
      <c r="E11" s="3">
        <v>14.0426136947858</v>
      </c>
      <c r="F11" s="3">
        <v>15.6711940372779</v>
      </c>
      <c r="G11" s="3">
        <v>17.127901925489599</v>
      </c>
      <c r="H11" s="3">
        <v>13.275844348119501</v>
      </c>
      <c r="I11" s="3">
        <v>19.935976692912</v>
      </c>
      <c r="J11" s="3">
        <v>16.688650113344199</v>
      </c>
      <c r="K11" s="3">
        <v>14.6271358430067</v>
      </c>
      <c r="L11" s="3">
        <v>17.1197986578401</v>
      </c>
      <c r="M11" s="3">
        <v>17.0741162601201</v>
      </c>
      <c r="N11" s="3">
        <v>17.856932097787301</v>
      </c>
    </row>
    <row r="12" spans="1:14" x14ac:dyDescent="0.35">
      <c r="A12" s="2">
        <v>42018</v>
      </c>
      <c r="B12" s="3">
        <v>19.518690877177999</v>
      </c>
      <c r="C12" s="3">
        <v>14.641666675683499</v>
      </c>
      <c r="D12" s="3">
        <v>15.026211558808299</v>
      </c>
      <c r="E12" s="3">
        <v>14.2922706741372</v>
      </c>
      <c r="F12" s="3">
        <v>15.2776000149591</v>
      </c>
      <c r="G12" s="3">
        <v>17.329870880837799</v>
      </c>
      <c r="H12" s="3">
        <v>13.298899679140799</v>
      </c>
      <c r="I12" s="3">
        <v>19.592245744455202</v>
      </c>
      <c r="J12" s="3">
        <v>16.895757621988398</v>
      </c>
      <c r="K12" s="3">
        <v>14.890133641318601</v>
      </c>
      <c r="L12" s="3">
        <v>17.668146863063001</v>
      </c>
      <c r="M12" s="3">
        <v>17.188568212630901</v>
      </c>
      <c r="N12" s="3">
        <v>18.690918251796699</v>
      </c>
    </row>
    <row r="13" spans="1:14" x14ac:dyDescent="0.35">
      <c r="A13" s="2">
        <v>42048</v>
      </c>
      <c r="B13" s="3">
        <v>20.017002944026501</v>
      </c>
      <c r="C13" s="3">
        <v>15.992758416720999</v>
      </c>
      <c r="D13" s="3">
        <v>16.652474664029199</v>
      </c>
      <c r="E13" s="3">
        <v>15.8521558227276</v>
      </c>
      <c r="F13" s="3">
        <v>16.061630638816599</v>
      </c>
      <c r="G13" s="3">
        <v>17.334918024213799</v>
      </c>
      <c r="H13" s="3">
        <v>14.660163515819599</v>
      </c>
      <c r="I13" s="3">
        <v>20.503105924457198</v>
      </c>
      <c r="J13" s="3">
        <v>17.549487542970599</v>
      </c>
      <c r="K13" s="3">
        <v>16.714979955750302</v>
      </c>
      <c r="L13" s="3">
        <v>19.233606824607101</v>
      </c>
      <c r="M13" s="3">
        <v>19.805548147586101</v>
      </c>
      <c r="N13" s="3">
        <v>42.469796285180898</v>
      </c>
    </row>
    <row r="14" spans="1:14" x14ac:dyDescent="0.35">
      <c r="A14" s="2">
        <v>42076</v>
      </c>
      <c r="B14" s="3">
        <v>20.459712180040999</v>
      </c>
      <c r="C14" s="3">
        <v>16.146771947462</v>
      </c>
      <c r="D14" s="3">
        <v>16.9688255904431</v>
      </c>
      <c r="E14" s="3">
        <v>16.556524745015199</v>
      </c>
      <c r="F14" s="3">
        <v>16.932912698452999</v>
      </c>
      <c r="G14" s="3">
        <v>17.979258294890101</v>
      </c>
      <c r="H14" s="3">
        <v>15.119562724852299</v>
      </c>
      <c r="I14" s="3">
        <v>20.5977290581868</v>
      </c>
      <c r="J14" s="3">
        <v>17.503051524893898</v>
      </c>
      <c r="K14" s="3">
        <v>17.557523690049099</v>
      </c>
      <c r="L14" s="3">
        <v>20.124002038384699</v>
      </c>
      <c r="M14" s="3">
        <v>20.1337936825262</v>
      </c>
      <c r="N14" s="3">
        <v>44.058815356087599</v>
      </c>
    </row>
    <row r="15" spans="1:14" x14ac:dyDescent="0.35">
      <c r="A15" s="2">
        <v>42108</v>
      </c>
      <c r="B15" s="3">
        <v>20.221509759230401</v>
      </c>
      <c r="C15" s="3">
        <v>16.376269016058</v>
      </c>
      <c r="D15" s="3">
        <v>17.2376487369614</v>
      </c>
      <c r="E15" s="3">
        <v>16.585553491446301</v>
      </c>
      <c r="F15" s="3">
        <v>16.906616483002601</v>
      </c>
      <c r="G15" s="3">
        <v>18.197554944485901</v>
      </c>
      <c r="H15" s="3">
        <v>15.491600458428699</v>
      </c>
      <c r="I15" s="3">
        <v>20.4540541967223</v>
      </c>
      <c r="J15" s="3">
        <v>17.541041929697201</v>
      </c>
      <c r="K15" s="3">
        <v>17.703069052019199</v>
      </c>
      <c r="L15" s="3">
        <v>19.973589609661701</v>
      </c>
      <c r="M15" s="3">
        <v>19.877100405067399</v>
      </c>
      <c r="N15" s="3">
        <v>41.237946236149597</v>
      </c>
    </row>
    <row r="16" spans="1:14" x14ac:dyDescent="0.35">
      <c r="A16" s="2">
        <v>42138</v>
      </c>
      <c r="B16" s="3">
        <v>19.9776431975794</v>
      </c>
      <c r="C16" s="3">
        <v>16.2803861337635</v>
      </c>
      <c r="D16" s="3">
        <v>17.204841382005199</v>
      </c>
      <c r="E16" s="3">
        <v>16.114605635318899</v>
      </c>
      <c r="F16" s="3">
        <v>16.8992065017699</v>
      </c>
      <c r="G16" s="3">
        <v>18.0069697552719</v>
      </c>
      <c r="H16" s="3">
        <v>15.703820073129201</v>
      </c>
      <c r="I16" s="3">
        <v>20.342933803047</v>
      </c>
      <c r="J16" s="3">
        <v>17.569494174840798</v>
      </c>
      <c r="K16" s="3">
        <v>17.460543054240699</v>
      </c>
      <c r="L16" s="3">
        <v>19.510867648351201</v>
      </c>
      <c r="M16" s="3">
        <v>19.1424123377776</v>
      </c>
      <c r="N16" s="3">
        <v>38.471000365119899</v>
      </c>
    </row>
    <row r="17" spans="1:14" x14ac:dyDescent="0.35">
      <c r="A17" s="2">
        <v>42167</v>
      </c>
      <c r="B17" s="3">
        <v>19.960864174025399</v>
      </c>
      <c r="C17" s="3">
        <v>15.9774469485795</v>
      </c>
      <c r="D17" s="3">
        <v>17.120800213700001</v>
      </c>
      <c r="E17" s="3">
        <v>15.6856312016131</v>
      </c>
      <c r="F17" s="3">
        <v>17.018206918410101</v>
      </c>
      <c r="G17" s="3">
        <v>17.949987353111101</v>
      </c>
      <c r="H17" s="3">
        <v>15.645627539342801</v>
      </c>
      <c r="I17" s="3">
        <v>20.098888269473299</v>
      </c>
      <c r="J17" s="3">
        <v>17.4577741585105</v>
      </c>
      <c r="K17" s="3">
        <v>17.215772808702098</v>
      </c>
      <c r="L17" s="3">
        <v>19.092702076304299</v>
      </c>
      <c r="M17" s="3">
        <v>18.931319532822702</v>
      </c>
      <c r="N17" s="3">
        <v>35.4727126625504</v>
      </c>
    </row>
    <row r="18" spans="1:14" x14ac:dyDescent="0.35">
      <c r="A18" s="2">
        <v>42199</v>
      </c>
      <c r="B18" s="3">
        <v>19.646605903360701</v>
      </c>
      <c r="C18" s="3">
        <v>16.000099810619801</v>
      </c>
      <c r="D18" s="3">
        <v>17.0462559258917</v>
      </c>
      <c r="E18" s="3">
        <v>15.668060594525199</v>
      </c>
      <c r="F18" s="3">
        <v>16.756801827344098</v>
      </c>
      <c r="G18" s="3">
        <v>18.139946643417598</v>
      </c>
      <c r="H18" s="3">
        <v>15.709420208568799</v>
      </c>
      <c r="I18" s="3">
        <v>20.0516758008911</v>
      </c>
      <c r="J18" s="3">
        <v>17.514262975994299</v>
      </c>
      <c r="K18" s="3">
        <v>17.270883866987401</v>
      </c>
      <c r="L18" s="3">
        <v>19.148793485859599</v>
      </c>
      <c r="M18" s="3">
        <v>18.7302697058978</v>
      </c>
      <c r="N18" s="3">
        <v>32.504390676019</v>
      </c>
    </row>
    <row r="19" spans="1:14" x14ac:dyDescent="0.35">
      <c r="A19" s="2">
        <v>42230</v>
      </c>
      <c r="B19" s="3">
        <v>19.354569360213599</v>
      </c>
      <c r="C19" s="3">
        <v>15.7391463649467</v>
      </c>
      <c r="D19" s="3">
        <v>16.958089784626399</v>
      </c>
      <c r="E19" s="3">
        <v>15.0386280276146</v>
      </c>
      <c r="F19" s="3">
        <v>16.789880511372299</v>
      </c>
      <c r="G19" s="3">
        <v>17.984715805653099</v>
      </c>
      <c r="H19" s="3">
        <v>15.6220284400382</v>
      </c>
      <c r="I19" s="3">
        <v>20.243748093949701</v>
      </c>
      <c r="J19" s="3">
        <v>17.470105535320499</v>
      </c>
      <c r="K19" s="3">
        <v>16.8660987859848</v>
      </c>
      <c r="L19" s="3">
        <v>18.3055441095897</v>
      </c>
      <c r="M19" s="3">
        <v>18.331375233661401</v>
      </c>
      <c r="N19" s="3">
        <v>30.010537745157801</v>
      </c>
    </row>
    <row r="20" spans="1:14" x14ac:dyDescent="0.35">
      <c r="A20" s="2">
        <v>42261</v>
      </c>
      <c r="B20" s="3">
        <v>19.111292866070102</v>
      </c>
      <c r="C20" s="3">
        <v>15.311820298682999</v>
      </c>
      <c r="D20" s="3">
        <v>16.3528793849223</v>
      </c>
      <c r="E20" s="3">
        <v>14.1063099218873</v>
      </c>
      <c r="F20" s="3">
        <v>15.302639505150999</v>
      </c>
      <c r="G20" s="3">
        <v>17.204781128651</v>
      </c>
      <c r="H20" s="3">
        <v>14.957303966788</v>
      </c>
      <c r="I20" s="3">
        <v>19.467004608194198</v>
      </c>
      <c r="J20" s="3">
        <v>16.6808139379335</v>
      </c>
      <c r="K20" s="3">
        <v>15.7539753983224</v>
      </c>
      <c r="L20" s="3">
        <v>16.9846358974163</v>
      </c>
      <c r="M20" s="3">
        <v>17.074953769016499</v>
      </c>
      <c r="N20" s="3">
        <v>26.444486020280198</v>
      </c>
    </row>
    <row r="21" spans="1:14" x14ac:dyDescent="0.35">
      <c r="A21" s="2">
        <v>42291</v>
      </c>
      <c r="B21" s="3">
        <v>18.871750555890401</v>
      </c>
      <c r="C21" s="3">
        <v>15.5341697117207</v>
      </c>
      <c r="D21" s="3">
        <v>16.990800063270999</v>
      </c>
      <c r="E21" s="3">
        <v>13.706345973062801</v>
      </c>
      <c r="F21" s="3">
        <v>15.195892392593301</v>
      </c>
      <c r="G21" s="3">
        <v>17.279674288579798</v>
      </c>
      <c r="H21" s="3">
        <v>15.5339027265009</v>
      </c>
      <c r="I21" s="3">
        <v>19.452502638293701</v>
      </c>
      <c r="J21" s="3">
        <v>16.927879985437301</v>
      </c>
      <c r="K21" s="3">
        <v>15.8258375906453</v>
      </c>
      <c r="L21" s="3">
        <v>16.733715041407599</v>
      </c>
      <c r="M21" s="3">
        <v>16.660043034794398</v>
      </c>
      <c r="N21" s="3">
        <v>24.121534689158601</v>
      </c>
    </row>
    <row r="22" spans="1:14" x14ac:dyDescent="0.35">
      <c r="A22" s="2">
        <v>42321</v>
      </c>
      <c r="B22" s="3">
        <v>19.373674526303802</v>
      </c>
      <c r="C22" s="3">
        <v>15.1281328575469</v>
      </c>
      <c r="D22" s="3">
        <v>16.330463980720801</v>
      </c>
      <c r="E22" s="3">
        <v>14.377203614954899</v>
      </c>
      <c r="F22" s="3">
        <v>16.137440149189398</v>
      </c>
      <c r="G22" s="3">
        <v>17.310079802819601</v>
      </c>
      <c r="H22" s="3">
        <v>15.370119193446699</v>
      </c>
      <c r="I22" s="3">
        <v>19.794764468941199</v>
      </c>
      <c r="J22" s="3">
        <v>17.015966971882701</v>
      </c>
      <c r="K22" s="3">
        <v>16.1027094154616</v>
      </c>
      <c r="L22" s="3">
        <v>17.735035190880499</v>
      </c>
      <c r="M22" s="3">
        <v>16.579208784753501</v>
      </c>
      <c r="N22" s="3">
        <v>22.141568188019299</v>
      </c>
    </row>
    <row r="23" spans="1:14" x14ac:dyDescent="0.35">
      <c r="A23" s="2">
        <v>42352</v>
      </c>
      <c r="B23" s="3">
        <v>19.3117644351378</v>
      </c>
      <c r="C23" s="3">
        <v>14.880538298283399</v>
      </c>
      <c r="D23" s="3">
        <v>15.779827731741101</v>
      </c>
      <c r="E23" s="3">
        <v>13.438422729471</v>
      </c>
      <c r="F23" s="3">
        <v>15.478586564069101</v>
      </c>
      <c r="G23" s="3">
        <v>16.801624204350901</v>
      </c>
      <c r="H23" s="3">
        <v>14.872072879234301</v>
      </c>
      <c r="I23" s="3">
        <v>19.999643118001401</v>
      </c>
      <c r="J23" s="3">
        <v>16.946232990417101</v>
      </c>
      <c r="K23" s="3">
        <v>15.028017448157</v>
      </c>
      <c r="L23" s="3">
        <v>16.598310521856298</v>
      </c>
      <c r="M23" s="3">
        <v>15.685277717694399</v>
      </c>
      <c r="N23" s="3">
        <v>18.668943889420099</v>
      </c>
    </row>
    <row r="24" spans="1:14" x14ac:dyDescent="0.35">
      <c r="A24" s="2">
        <v>42383</v>
      </c>
      <c r="B24" s="3">
        <v>19.079687240481402</v>
      </c>
      <c r="C24" s="3">
        <v>14.7731825514463</v>
      </c>
      <c r="D24" s="3">
        <v>14.972899539530401</v>
      </c>
      <c r="E24" s="3">
        <v>12.755286943623</v>
      </c>
      <c r="F24" s="3">
        <v>14.360714343281201</v>
      </c>
      <c r="G24" s="3">
        <v>16.398761475061701</v>
      </c>
      <c r="H24" s="3">
        <v>14.8664815806905</v>
      </c>
      <c r="I24" s="3">
        <v>18.872469421221101</v>
      </c>
      <c r="J24" s="3">
        <v>16.129165801190599</v>
      </c>
      <c r="K24" s="3">
        <v>14.3303812717532</v>
      </c>
      <c r="L24" s="3">
        <v>15.749337393008201</v>
      </c>
      <c r="M24" s="3">
        <v>14.7486130325016</v>
      </c>
      <c r="N24" s="3">
        <v>16.661102777263402</v>
      </c>
    </row>
    <row r="25" spans="1:14" x14ac:dyDescent="0.35">
      <c r="A25" s="2">
        <v>42412</v>
      </c>
      <c r="B25" s="3">
        <v>18.4106846123147</v>
      </c>
      <c r="C25" s="3">
        <v>14.568773726304601</v>
      </c>
      <c r="D25" s="3">
        <v>14.9497150856927</v>
      </c>
      <c r="E25" s="3">
        <v>11.882136960508101</v>
      </c>
      <c r="F25" s="3">
        <v>12.4005548182792</v>
      </c>
      <c r="G25" s="3">
        <v>16.1151152552656</v>
      </c>
      <c r="H25" s="3">
        <v>14.444541912726701</v>
      </c>
      <c r="I25" s="3">
        <v>17.6074768266086</v>
      </c>
      <c r="J25" s="3">
        <v>16.2966838906097</v>
      </c>
      <c r="K25" s="3">
        <v>13.963219371118999</v>
      </c>
      <c r="L25" s="3">
        <v>14.7508105727415</v>
      </c>
      <c r="M25" s="3">
        <v>14.3012901753472</v>
      </c>
      <c r="N25" s="3">
        <v>14.702628526124199</v>
      </c>
    </row>
    <row r="26" spans="1:14" x14ac:dyDescent="0.35">
      <c r="A26" s="2">
        <v>42443</v>
      </c>
      <c r="B26" s="3">
        <v>19.3569773545915</v>
      </c>
      <c r="C26" s="3">
        <v>15.17786077811</v>
      </c>
      <c r="D26" s="3">
        <v>15.8977705693712</v>
      </c>
      <c r="E26" s="3">
        <v>12.761337401947101</v>
      </c>
      <c r="F26" s="3">
        <v>13.931192154187499</v>
      </c>
      <c r="G26" s="3">
        <v>16.675738294214302</v>
      </c>
      <c r="H26" s="3">
        <v>15.6512632566129</v>
      </c>
      <c r="I26" s="3">
        <v>18.2673462144257</v>
      </c>
      <c r="J26" s="3">
        <v>16.188193427520002</v>
      </c>
      <c r="K26" s="3">
        <v>15.2272816912789</v>
      </c>
      <c r="L26" s="3">
        <v>16.432229264152699</v>
      </c>
      <c r="M26" s="3">
        <v>15.6878204834836</v>
      </c>
      <c r="N26" s="3">
        <v>15.479373605369499</v>
      </c>
    </row>
    <row r="27" spans="1:14" x14ac:dyDescent="0.35">
      <c r="A27" s="2">
        <v>42474</v>
      </c>
      <c r="B27" s="3">
        <v>19.444251396429799</v>
      </c>
      <c r="C27" s="3">
        <v>15.2547832818796</v>
      </c>
      <c r="D27" s="3">
        <v>16.1510800275984</v>
      </c>
      <c r="E27" s="3">
        <v>12.8572444605082</v>
      </c>
      <c r="F27" s="3">
        <v>13.895960451551501</v>
      </c>
      <c r="G27" s="3">
        <v>16.805205466777402</v>
      </c>
      <c r="H27" s="3">
        <v>15.9445378335698</v>
      </c>
      <c r="I27" s="3">
        <v>18.4868066246691</v>
      </c>
      <c r="J27" s="3">
        <v>16.445215307047398</v>
      </c>
      <c r="K27" s="3">
        <v>15.2513868520915</v>
      </c>
      <c r="L27" s="3">
        <v>16.400816402623501</v>
      </c>
      <c r="M27" s="3">
        <v>15.650108510936301</v>
      </c>
      <c r="N27" s="3">
        <v>15.2980072100068</v>
      </c>
    </row>
    <row r="28" spans="1:14" x14ac:dyDescent="0.35">
      <c r="A28" s="2">
        <v>42503</v>
      </c>
      <c r="B28" s="3">
        <v>19.629776474435801</v>
      </c>
      <c r="C28" s="3">
        <v>15.615815396443301</v>
      </c>
      <c r="D28" s="3">
        <v>16.4473021211926</v>
      </c>
      <c r="E28" s="3">
        <v>12.7834179318133</v>
      </c>
      <c r="F28" s="3">
        <v>13.8150023298499</v>
      </c>
      <c r="G28" s="3">
        <v>16.839680249946198</v>
      </c>
      <c r="H28" s="3">
        <v>15.831245491947501</v>
      </c>
      <c r="I28" s="3">
        <v>18.307306862223399</v>
      </c>
      <c r="J28" s="3">
        <v>16.565182572190999</v>
      </c>
      <c r="K28" s="3">
        <v>15.061149734187</v>
      </c>
      <c r="L28" s="3">
        <v>16.1434028920266</v>
      </c>
      <c r="M28" s="3">
        <v>15.4022254971138</v>
      </c>
      <c r="N28" s="3">
        <v>15.417256461717701</v>
      </c>
    </row>
    <row r="29" spans="1:14" x14ac:dyDescent="0.35">
      <c r="A29" s="2">
        <v>42535</v>
      </c>
      <c r="B29" s="3">
        <v>19.569450023908299</v>
      </c>
      <c r="C29" s="3">
        <v>15.6120864658022</v>
      </c>
      <c r="D29" s="3">
        <v>16.635791301648599</v>
      </c>
      <c r="E29" s="3">
        <v>12.533124940281599</v>
      </c>
      <c r="F29" s="3">
        <v>13.7538327968348</v>
      </c>
      <c r="G29" s="3">
        <v>16.7036818359318</v>
      </c>
      <c r="H29" s="3">
        <v>15.6331076804091</v>
      </c>
      <c r="I29" s="3">
        <v>18.4835440068309</v>
      </c>
      <c r="J29" s="3">
        <v>16.7261987001481</v>
      </c>
      <c r="K29" s="3">
        <v>14.6797278459268</v>
      </c>
      <c r="L29" s="3">
        <v>15.747191115082201</v>
      </c>
      <c r="M29" s="3">
        <v>15.122061062098</v>
      </c>
      <c r="N29" s="3">
        <v>14.4743753018774</v>
      </c>
    </row>
    <row r="30" spans="1:14" x14ac:dyDescent="0.35">
      <c r="A30" s="2">
        <v>42565</v>
      </c>
      <c r="B30" s="3">
        <v>19.994502749949898</v>
      </c>
      <c r="C30" s="3">
        <v>16.088194171760001</v>
      </c>
      <c r="D30" s="3">
        <v>17.144876580672801</v>
      </c>
      <c r="E30" s="3">
        <v>12.9160380921467</v>
      </c>
      <c r="F30" s="3">
        <v>14.097906929958199</v>
      </c>
      <c r="G30" s="3">
        <v>17.358272125885801</v>
      </c>
      <c r="H30" s="3">
        <v>16.463242856854599</v>
      </c>
      <c r="I30" s="3">
        <v>19.0323905738429</v>
      </c>
      <c r="J30" s="3">
        <v>17.250940448366499</v>
      </c>
      <c r="K30" s="3">
        <v>15.0211844379781</v>
      </c>
      <c r="L30" s="3">
        <v>15.978423402500599</v>
      </c>
      <c r="M30" s="3">
        <v>15.598426840487701</v>
      </c>
      <c r="N30" s="3">
        <v>14.7110824250917</v>
      </c>
    </row>
    <row r="31" spans="1:14" x14ac:dyDescent="0.35">
      <c r="A31" s="2">
        <v>42594</v>
      </c>
      <c r="B31" s="3">
        <v>20.6738365589074</v>
      </c>
      <c r="C31" s="3">
        <v>16.609676108332</v>
      </c>
      <c r="D31" s="3">
        <v>17.451468651531101</v>
      </c>
      <c r="E31" s="3">
        <v>13.4364864067603</v>
      </c>
      <c r="F31" s="3">
        <v>14.143870773512299</v>
      </c>
      <c r="G31" s="3">
        <v>17.948334295711501</v>
      </c>
      <c r="H31" s="3">
        <v>16.947690749445101</v>
      </c>
      <c r="I31" s="3">
        <v>19.5557290844995</v>
      </c>
      <c r="J31" s="3">
        <v>17.521430505283799</v>
      </c>
      <c r="K31" s="3">
        <v>15.0967390108048</v>
      </c>
      <c r="L31" s="3">
        <v>16.2220108363401</v>
      </c>
      <c r="M31" s="3">
        <v>16.043187619888901</v>
      </c>
      <c r="N31" s="3">
        <v>15.1614797734865</v>
      </c>
    </row>
    <row r="32" spans="1:14" x14ac:dyDescent="0.35">
      <c r="A32" s="2">
        <v>42627</v>
      </c>
      <c r="B32" s="3">
        <v>20.694949408864399</v>
      </c>
      <c r="C32" s="3">
        <v>16.0967040192029</v>
      </c>
      <c r="D32" s="3">
        <v>17.391295943735599</v>
      </c>
      <c r="E32" s="3">
        <v>13.3924607976196</v>
      </c>
      <c r="F32" s="3">
        <v>14.1702652845379</v>
      </c>
      <c r="G32" s="3">
        <v>17.923932708155601</v>
      </c>
      <c r="H32" s="3">
        <v>16.6064482470664</v>
      </c>
      <c r="I32" s="3">
        <v>19.5053098318302</v>
      </c>
      <c r="J32" s="3">
        <v>17.4009154802444</v>
      </c>
      <c r="K32" s="3">
        <v>14.762288192595101</v>
      </c>
      <c r="L32" s="3">
        <v>15.8380835695787</v>
      </c>
      <c r="M32" s="3">
        <v>15.9989304750274</v>
      </c>
      <c r="N32" s="3">
        <v>14.7110845187121</v>
      </c>
    </row>
    <row r="33" spans="1:14" x14ac:dyDescent="0.35">
      <c r="A33" s="2">
        <v>42657</v>
      </c>
      <c r="B33" s="3">
        <v>20.4744921967783</v>
      </c>
      <c r="C33" s="3">
        <v>16.7829674339016</v>
      </c>
      <c r="D33" s="3">
        <v>17.874883143882901</v>
      </c>
      <c r="E33" s="3">
        <v>13.6820613375122</v>
      </c>
      <c r="F33" s="3">
        <v>14.3625418902155</v>
      </c>
      <c r="G33" s="3">
        <v>17.9042062599483</v>
      </c>
      <c r="H33" s="3">
        <v>16.915311839079699</v>
      </c>
      <c r="I33" s="3">
        <v>19.825106011445701</v>
      </c>
      <c r="J33" s="3">
        <v>17.594966388518198</v>
      </c>
      <c r="K33" s="3">
        <v>14.9304309377164</v>
      </c>
      <c r="L33" s="3">
        <v>15.8482008666429</v>
      </c>
      <c r="M33" s="3">
        <v>16.991402583098001</v>
      </c>
      <c r="N33" s="3">
        <v>14.6991916510975</v>
      </c>
    </row>
    <row r="34" spans="1:14" x14ac:dyDescent="0.35">
      <c r="A34" s="2">
        <v>42688</v>
      </c>
      <c r="B34" s="3">
        <v>19.657599706869899</v>
      </c>
      <c r="C34" s="3">
        <v>16.957668334094201</v>
      </c>
      <c r="D34" s="3">
        <v>18.3346141789876</v>
      </c>
      <c r="E34" s="3">
        <v>13.7125601372246</v>
      </c>
      <c r="F34" s="3">
        <v>14.9267222196842</v>
      </c>
      <c r="G34" s="3">
        <v>17.6017069737687</v>
      </c>
      <c r="H34" s="3">
        <v>16.2995020481425</v>
      </c>
      <c r="I34" s="3">
        <v>19.429941868319101</v>
      </c>
      <c r="J34" s="3">
        <v>17.916486639188999</v>
      </c>
      <c r="K34" s="3">
        <v>14.797610500201801</v>
      </c>
      <c r="L34" s="3">
        <v>15.4985146303392</v>
      </c>
      <c r="M34" s="3">
        <v>16.9777697819266</v>
      </c>
      <c r="N34" s="3">
        <v>14.3904937744332</v>
      </c>
    </row>
    <row r="35" spans="1:14" x14ac:dyDescent="0.35">
      <c r="A35" s="2">
        <v>42718</v>
      </c>
      <c r="B35" s="3">
        <v>19.614622908909599</v>
      </c>
      <c r="C35" s="3">
        <v>17.5705435796263</v>
      </c>
      <c r="D35" s="3">
        <v>19.094807954750198</v>
      </c>
      <c r="E35" s="3">
        <v>14.418030856184499</v>
      </c>
      <c r="F35" s="3">
        <v>16.534637388168001</v>
      </c>
      <c r="G35" s="3">
        <v>18.0083428215111</v>
      </c>
      <c r="H35" s="3">
        <v>16.919011896978802</v>
      </c>
      <c r="I35" s="3">
        <v>20.374957198793901</v>
      </c>
      <c r="J35" s="3">
        <v>18.775720784456801</v>
      </c>
      <c r="K35" s="3">
        <v>15.5029433051798</v>
      </c>
      <c r="L35" s="3">
        <v>15.937357578931501</v>
      </c>
      <c r="M35" s="3">
        <v>18.1762506677358</v>
      </c>
      <c r="N35" s="3">
        <v>15.9312488181021</v>
      </c>
    </row>
    <row r="36" spans="1:14" x14ac:dyDescent="0.35">
      <c r="A36" s="2">
        <v>42748</v>
      </c>
      <c r="B36" s="3">
        <v>20.415154258844701</v>
      </c>
      <c r="C36" s="3">
        <v>17.899478016068901</v>
      </c>
      <c r="D36" s="3">
        <v>19.554377553316101</v>
      </c>
      <c r="E36" s="3">
        <v>14.9405384559455</v>
      </c>
      <c r="F36" s="3">
        <v>16.631460362506601</v>
      </c>
      <c r="G36" s="3">
        <v>18.7173341123518</v>
      </c>
      <c r="H36" s="3">
        <v>17.3701048915432</v>
      </c>
      <c r="I36" s="3">
        <v>21.033039230799599</v>
      </c>
      <c r="J36" s="3">
        <v>19.023310778664602</v>
      </c>
      <c r="K36" s="3">
        <v>15.9757532534259</v>
      </c>
      <c r="L36" s="3">
        <v>16.440876407480499</v>
      </c>
      <c r="M36" s="3">
        <v>18.272590511740098</v>
      </c>
      <c r="N36" s="3">
        <v>27.708500491864001</v>
      </c>
    </row>
    <row r="37" spans="1:14" x14ac:dyDescent="0.35">
      <c r="A37" s="2">
        <v>42780</v>
      </c>
      <c r="B37" s="3">
        <v>20.654257850680601</v>
      </c>
      <c r="C37" s="3">
        <v>17.759684891755899</v>
      </c>
      <c r="D37" s="3">
        <v>19.851893188483899</v>
      </c>
      <c r="E37" s="3">
        <v>15.0408584675748</v>
      </c>
      <c r="F37" s="3">
        <v>16.251942360436001</v>
      </c>
      <c r="G37" s="3">
        <v>19.406731622537698</v>
      </c>
      <c r="H37" s="3">
        <v>17.299382126329402</v>
      </c>
      <c r="I37" s="3">
        <v>21.678430575537799</v>
      </c>
      <c r="J37" s="3">
        <v>19.337135541708101</v>
      </c>
      <c r="K37" s="3">
        <v>15.616281292934801</v>
      </c>
      <c r="L37" s="3">
        <v>16.330015629588001</v>
      </c>
      <c r="M37" s="3">
        <v>17.484188854319299</v>
      </c>
      <c r="N37" s="3">
        <v>20.980365240717699</v>
      </c>
    </row>
    <row r="38" spans="1:14" x14ac:dyDescent="0.35">
      <c r="A38" s="2">
        <v>42808</v>
      </c>
      <c r="B38" s="3">
        <v>19.776115889769699</v>
      </c>
      <c r="C38" s="3">
        <v>17.4372445338715</v>
      </c>
      <c r="D38" s="3">
        <v>19.245465740414801</v>
      </c>
      <c r="E38" s="3">
        <v>14.9634086602619</v>
      </c>
      <c r="F38" s="3">
        <v>15.934090270555799</v>
      </c>
      <c r="G38" s="3">
        <v>19.6199178529466</v>
      </c>
      <c r="H38" s="3">
        <v>17.247105014344001</v>
      </c>
      <c r="I38" s="3">
        <v>21.683994887790501</v>
      </c>
      <c r="J38" s="3">
        <v>19.4312807629024</v>
      </c>
      <c r="K38" s="3">
        <v>15.591999858831601</v>
      </c>
      <c r="L38" s="3">
        <v>16.4896259750188</v>
      </c>
      <c r="M38" s="3">
        <v>17.510153149901299</v>
      </c>
      <c r="N38" s="3">
        <v>82.727662057643997</v>
      </c>
    </row>
    <row r="39" spans="1:14" x14ac:dyDescent="0.35">
      <c r="A39" s="2">
        <v>42838</v>
      </c>
      <c r="B39" s="3">
        <v>19.815803711743701</v>
      </c>
      <c r="C39" s="3">
        <v>17.343945984861499</v>
      </c>
      <c r="D39" s="3">
        <v>18.960332629777199</v>
      </c>
      <c r="E39" s="3">
        <v>14.88237161468</v>
      </c>
      <c r="F39" s="3">
        <v>15.521472072599799</v>
      </c>
      <c r="G39" s="3">
        <v>19.421607365103601</v>
      </c>
      <c r="H39" s="3">
        <v>17.023136879781401</v>
      </c>
      <c r="I39" s="3">
        <v>21.5288296751513</v>
      </c>
      <c r="J39" s="3">
        <v>19.207054810493599</v>
      </c>
      <c r="K39" s="3">
        <v>15.614623915448201</v>
      </c>
      <c r="L39" s="3">
        <v>16.543263235766499</v>
      </c>
      <c r="M39" s="3">
        <v>17.5466888677906</v>
      </c>
      <c r="N39" s="3">
        <v>75.6114101750278</v>
      </c>
    </row>
    <row r="40" spans="1:14" x14ac:dyDescent="0.35">
      <c r="A40" s="2">
        <v>42867</v>
      </c>
      <c r="B40" s="3">
        <v>20.015258309174801</v>
      </c>
      <c r="C40" s="3">
        <v>17.1268254270935</v>
      </c>
      <c r="D40" s="3">
        <v>18.653351064750701</v>
      </c>
      <c r="E40" s="3">
        <v>14.9118486583776</v>
      </c>
      <c r="F40" s="3">
        <v>15.6974544801761</v>
      </c>
      <c r="G40" s="3">
        <v>19.567043329907499</v>
      </c>
      <c r="H40" s="3">
        <v>16.884467220911699</v>
      </c>
      <c r="I40" s="3">
        <v>21.841770830310899</v>
      </c>
      <c r="J40" s="3">
        <v>19.1845115873076</v>
      </c>
      <c r="K40" s="3">
        <v>15.864664468419599</v>
      </c>
      <c r="L40" s="3">
        <v>16.743210305938799</v>
      </c>
      <c r="M40" s="3">
        <v>17.669918177105</v>
      </c>
      <c r="N40" s="3">
        <v>69.138955295486298</v>
      </c>
    </row>
    <row r="41" spans="1:14" x14ac:dyDescent="0.35">
      <c r="A41" s="2">
        <v>42900</v>
      </c>
      <c r="B41" s="3">
        <v>20.0034597169237</v>
      </c>
      <c r="C41" s="3">
        <v>16.963292688025199</v>
      </c>
      <c r="D41" s="3">
        <v>18.176714617104398</v>
      </c>
      <c r="E41" s="3">
        <v>14.7936451652036</v>
      </c>
      <c r="F41" s="3">
        <v>15.6109600081893</v>
      </c>
      <c r="G41" s="3">
        <v>19.439663718471799</v>
      </c>
      <c r="H41" s="3">
        <v>16.615487388154602</v>
      </c>
      <c r="I41" s="3">
        <v>21.847549025344001</v>
      </c>
      <c r="J41" s="3">
        <v>19.198598690695999</v>
      </c>
      <c r="K41" s="3">
        <v>15.6860696350243</v>
      </c>
      <c r="L41" s="3">
        <v>16.683241830503299</v>
      </c>
      <c r="M41" s="3">
        <v>17.594677767432099</v>
      </c>
      <c r="N41" s="3">
        <v>61.253766260820697</v>
      </c>
    </row>
    <row r="42" spans="1:14" x14ac:dyDescent="0.35">
      <c r="A42" s="2">
        <v>42930</v>
      </c>
      <c r="B42" s="3">
        <v>20.152004496119599</v>
      </c>
      <c r="C42" s="3">
        <v>16.850367898185201</v>
      </c>
      <c r="D42" s="3">
        <v>18.011346967272502</v>
      </c>
      <c r="E42" s="3">
        <v>14.652719889294501</v>
      </c>
      <c r="F42" s="3">
        <v>15.5096257915626</v>
      </c>
      <c r="G42" s="3">
        <v>19.437988025263401</v>
      </c>
      <c r="H42" s="3">
        <v>16.458803516705999</v>
      </c>
      <c r="I42" s="3">
        <v>22.080095585988701</v>
      </c>
      <c r="J42" s="3">
        <v>19.201974905499601</v>
      </c>
      <c r="K42" s="3">
        <v>15.735855693337999</v>
      </c>
      <c r="L42" s="3">
        <v>16.694414624512799</v>
      </c>
      <c r="M42" s="3">
        <v>17.754015336923</v>
      </c>
      <c r="N42" s="3">
        <v>54.444072239835997</v>
      </c>
    </row>
    <row r="43" spans="1:14" x14ac:dyDescent="0.35">
      <c r="A43" s="2">
        <v>42961</v>
      </c>
      <c r="B43" s="3">
        <v>20.604549223068101</v>
      </c>
      <c r="C43" s="3">
        <v>16.722283865533601</v>
      </c>
      <c r="D43" s="3">
        <v>17.781072471959099</v>
      </c>
      <c r="E43" s="3">
        <v>14.2287503464474</v>
      </c>
      <c r="F43" s="3">
        <v>15.044471111617501</v>
      </c>
      <c r="G43" s="3">
        <v>19.255296764460901</v>
      </c>
      <c r="H43" s="3">
        <v>16.161125201973501</v>
      </c>
      <c r="I43" s="3">
        <v>22.1161135754014</v>
      </c>
      <c r="J43" s="3">
        <v>19.101920896879601</v>
      </c>
      <c r="K43" s="3">
        <v>15.5007560942905</v>
      </c>
      <c r="L43" s="3">
        <v>16.641878081109802</v>
      </c>
      <c r="M43" s="3">
        <v>16.943680215235702</v>
      </c>
      <c r="N43" s="3">
        <v>47.110449273402402</v>
      </c>
    </row>
    <row r="44" spans="1:14" x14ac:dyDescent="0.35">
      <c r="A44" s="2">
        <v>42992</v>
      </c>
      <c r="B44" s="3">
        <v>20.547168852666701</v>
      </c>
      <c r="C44" s="3">
        <v>16.582271450839301</v>
      </c>
      <c r="D44" s="3">
        <v>17.390753194143901</v>
      </c>
      <c r="E44" s="3">
        <v>14.382658170187399</v>
      </c>
      <c r="F44" s="3">
        <v>14.801350561255701</v>
      </c>
      <c r="G44" s="3">
        <v>19.305331282536599</v>
      </c>
      <c r="H44" s="3">
        <v>15.8893159244143</v>
      </c>
      <c r="I44" s="3">
        <v>22.270940385563399</v>
      </c>
      <c r="J44" s="3">
        <v>19.179691162429599</v>
      </c>
      <c r="K44" s="3">
        <v>15.7316387836843</v>
      </c>
      <c r="L44" s="3">
        <v>16.843233737457101</v>
      </c>
      <c r="M44" s="3">
        <v>17.173180768490699</v>
      </c>
      <c r="N44" s="3">
        <v>39.959875970970799</v>
      </c>
    </row>
    <row r="45" spans="1:14" x14ac:dyDescent="0.35">
      <c r="A45" s="2">
        <v>43021</v>
      </c>
      <c r="B45" s="3">
        <v>20.904552088890199</v>
      </c>
      <c r="C45" s="3">
        <v>16.536661655920501</v>
      </c>
      <c r="D45" s="3">
        <v>17.556281809217801</v>
      </c>
      <c r="E45" s="3">
        <v>14.795717122248901</v>
      </c>
      <c r="F45" s="3">
        <v>15.128520837204199</v>
      </c>
      <c r="G45" s="3">
        <v>19.835247778248799</v>
      </c>
      <c r="H45" s="3">
        <v>15.908369719248</v>
      </c>
      <c r="I45" s="3">
        <v>22.640477791501201</v>
      </c>
      <c r="J45" s="3">
        <v>19.551021765147201</v>
      </c>
      <c r="K45" s="3">
        <v>16.049556331729299</v>
      </c>
      <c r="L45" s="3">
        <v>17.264249391865199</v>
      </c>
      <c r="M45" s="3">
        <v>17.579835894798201</v>
      </c>
      <c r="N45" s="3">
        <v>33.411349842512202</v>
      </c>
    </row>
    <row r="46" spans="1:14" x14ac:dyDescent="0.35">
      <c r="A46" s="2">
        <v>43053</v>
      </c>
      <c r="B46" s="3">
        <v>21.1530316590745</v>
      </c>
      <c r="C46" s="3">
        <v>16.689772073106699</v>
      </c>
      <c r="D46" s="3">
        <v>17.282714086497599</v>
      </c>
      <c r="E46" s="3">
        <v>15.1958746296984</v>
      </c>
      <c r="F46" s="3">
        <v>15.6929010708714</v>
      </c>
      <c r="G46" s="3">
        <v>20.0702271057106</v>
      </c>
      <c r="H46" s="3">
        <v>15.2754213713869</v>
      </c>
      <c r="I46" s="3">
        <v>22.914354953027299</v>
      </c>
      <c r="J46" s="3">
        <v>19.5725144145377</v>
      </c>
      <c r="K46" s="3">
        <v>15.8298837112663</v>
      </c>
      <c r="L46" s="3">
        <v>17.231843308814</v>
      </c>
      <c r="M46" s="3">
        <v>18.139172729352701</v>
      </c>
      <c r="N46" s="3">
        <v>25.9663152895581</v>
      </c>
    </row>
    <row r="47" spans="1:14" x14ac:dyDescent="0.35">
      <c r="A47" s="2">
        <v>43083</v>
      </c>
      <c r="B47" s="3">
        <v>22.098623161371201</v>
      </c>
      <c r="C47" s="3">
        <v>16.666696119509599</v>
      </c>
      <c r="D47" s="3">
        <v>17.146814933898401</v>
      </c>
      <c r="E47" s="3">
        <v>15.4310809422793</v>
      </c>
      <c r="F47" s="3">
        <v>16.180385068087801</v>
      </c>
      <c r="G47" s="3">
        <v>20.583218394766799</v>
      </c>
      <c r="H47" s="3">
        <v>15.192948000722</v>
      </c>
      <c r="I47" s="3">
        <v>23.286261253497099</v>
      </c>
      <c r="J47" s="3">
        <v>20.074343384736601</v>
      </c>
      <c r="K47" s="3">
        <v>16.078993861657001</v>
      </c>
      <c r="L47" s="3">
        <v>17.290495193134099</v>
      </c>
      <c r="M47" s="3">
        <v>18.049087526159099</v>
      </c>
      <c r="N47" s="3">
        <v>19.2172520220102</v>
      </c>
    </row>
    <row r="48" spans="1:14" x14ac:dyDescent="0.35">
      <c r="A48" s="2">
        <v>43112</v>
      </c>
      <c r="B48" s="3">
        <v>21.848862749189699</v>
      </c>
      <c r="C48" s="3">
        <v>16.7844566738707</v>
      </c>
      <c r="D48" s="3">
        <v>17.271454816986999</v>
      </c>
      <c r="E48" s="3">
        <v>15.580782151481699</v>
      </c>
      <c r="F48" s="3">
        <v>16.855447380846101</v>
      </c>
      <c r="G48" s="3">
        <v>21.073605269275401</v>
      </c>
      <c r="H48" s="3">
        <v>15.7490795361722</v>
      </c>
      <c r="I48" s="3">
        <v>24.797315880769101</v>
      </c>
      <c r="J48" s="3">
        <v>20.998146408467498</v>
      </c>
      <c r="K48" s="3">
        <v>16.539432368589601</v>
      </c>
      <c r="L48" s="3">
        <v>17.5270297534334</v>
      </c>
      <c r="M48" s="3">
        <v>18.241840340286998</v>
      </c>
      <c r="N48" s="3">
        <v>15.9424340507552</v>
      </c>
    </row>
    <row r="49" spans="1:14" x14ac:dyDescent="0.35">
      <c r="A49" s="2">
        <v>43145</v>
      </c>
      <c r="B49" s="3">
        <v>21.6736274122125</v>
      </c>
      <c r="C49" s="3">
        <v>16.131898174773202</v>
      </c>
      <c r="D49" s="3">
        <v>15.9838026018429</v>
      </c>
      <c r="E49" s="3">
        <v>14.332491189327101</v>
      </c>
      <c r="F49" s="3">
        <v>14.8560619513755</v>
      </c>
      <c r="G49" s="3">
        <v>21.573701906758899</v>
      </c>
      <c r="H49" s="3">
        <v>14.5164556824089</v>
      </c>
      <c r="I49" s="3">
        <v>23.6336264382481</v>
      </c>
      <c r="J49" s="3">
        <v>19.8191828987257</v>
      </c>
      <c r="K49" s="3">
        <v>15.6577295939721</v>
      </c>
      <c r="L49" s="3">
        <v>16.505455774131399</v>
      </c>
      <c r="M49" s="3">
        <v>16.4878497248746</v>
      </c>
      <c r="N49" s="3">
        <v>14.400175842926499</v>
      </c>
    </row>
    <row r="50" spans="1:14" x14ac:dyDescent="0.35">
      <c r="A50" s="2">
        <v>43173</v>
      </c>
      <c r="B50" s="3">
        <v>22.5875722678052</v>
      </c>
      <c r="C50" s="3">
        <v>16.472368792986899</v>
      </c>
      <c r="D50" s="3">
        <v>15.813752349697801</v>
      </c>
      <c r="E50" s="3">
        <v>14.183212930398</v>
      </c>
      <c r="F50" s="3">
        <v>14.399390378727899</v>
      </c>
      <c r="G50" s="3">
        <v>21.000143611913899</v>
      </c>
      <c r="H50" s="3">
        <v>13.9435006087283</v>
      </c>
      <c r="I50" s="3">
        <v>24.101701120555902</v>
      </c>
      <c r="J50" s="3">
        <v>19.7209096511444</v>
      </c>
      <c r="K50" s="3">
        <v>15.5569009274917</v>
      </c>
      <c r="L50" s="3">
        <v>16.631323623799702</v>
      </c>
      <c r="M50" s="3">
        <v>16.9663006184837</v>
      </c>
      <c r="N50" s="3">
        <v>14.1586450926554</v>
      </c>
    </row>
    <row r="51" spans="1:14" x14ac:dyDescent="0.35">
      <c r="A51" s="2">
        <v>43203</v>
      </c>
      <c r="B51" s="3">
        <v>22.378895339754798</v>
      </c>
      <c r="C51" s="3">
        <v>16.271828424974299</v>
      </c>
      <c r="D51" s="3">
        <v>15.5799164297714</v>
      </c>
      <c r="E51" s="3">
        <v>14.143057716878699</v>
      </c>
      <c r="F51" s="3">
        <v>14.2381202740088</v>
      </c>
      <c r="G51" s="3">
        <v>20.509550429754899</v>
      </c>
      <c r="H51" s="3">
        <v>13.9760879557659</v>
      </c>
      <c r="I51" s="3">
        <v>23.5066934333558</v>
      </c>
      <c r="J51" s="3">
        <v>19.3137726161765</v>
      </c>
      <c r="K51" s="3">
        <v>15.520040567509101</v>
      </c>
      <c r="L51" s="3">
        <v>16.6149063581327</v>
      </c>
      <c r="M51" s="3">
        <v>16.735332068909599</v>
      </c>
      <c r="N51" s="3">
        <v>14.121318355000099</v>
      </c>
    </row>
    <row r="52" spans="1:14" x14ac:dyDescent="0.35">
      <c r="A52" s="2">
        <v>43234</v>
      </c>
      <c r="B52" s="3">
        <v>22.483692548558398</v>
      </c>
      <c r="C52" s="3">
        <v>16.385772762057901</v>
      </c>
      <c r="D52" s="3">
        <v>15.6478512729144</v>
      </c>
      <c r="E52" s="3">
        <v>14.2077960887181</v>
      </c>
      <c r="F52" s="3">
        <v>14.337572676697</v>
      </c>
      <c r="G52" s="3">
        <v>20.190054180582599</v>
      </c>
      <c r="H52" s="3">
        <v>14.126841511078201</v>
      </c>
      <c r="I52" s="3">
        <v>23.3456096597662</v>
      </c>
      <c r="J52" s="3">
        <v>19.094478368072799</v>
      </c>
      <c r="K52" s="3">
        <v>15.6056953036897</v>
      </c>
      <c r="L52" s="3">
        <v>16.6290808935148</v>
      </c>
      <c r="M52" s="3">
        <v>16.8170074726522</v>
      </c>
      <c r="N52" s="3">
        <v>14.1111451012586</v>
      </c>
    </row>
    <row r="53" spans="1:14" x14ac:dyDescent="0.35">
      <c r="A53" s="2">
        <v>43265</v>
      </c>
      <c r="B53" s="3">
        <v>22.8039063933447</v>
      </c>
      <c r="C53" s="3">
        <v>16.084387254481101</v>
      </c>
      <c r="D53" s="3">
        <v>15.619237541296799</v>
      </c>
      <c r="E53" s="3">
        <v>14.2838273374362</v>
      </c>
      <c r="F53" s="3">
        <v>14.144502692771299</v>
      </c>
      <c r="G53" s="3">
        <v>19.574964693430001</v>
      </c>
      <c r="H53" s="3">
        <v>14.0084372709233</v>
      </c>
      <c r="I53" s="3">
        <v>23.4340061572499</v>
      </c>
      <c r="J53" s="3">
        <v>18.946420328168902</v>
      </c>
      <c r="K53" s="3">
        <v>15.440369263445399</v>
      </c>
      <c r="L53" s="3">
        <v>16.745221695582298</v>
      </c>
      <c r="M53" s="3">
        <v>16.587736966601099</v>
      </c>
      <c r="N53" s="3">
        <v>13.597106837494101</v>
      </c>
    </row>
    <row r="54" spans="1:14" x14ac:dyDescent="0.35">
      <c r="A54" s="2">
        <v>43294</v>
      </c>
      <c r="B54" s="3">
        <v>22.922128245239101</v>
      </c>
      <c r="C54" s="3">
        <v>16.324867049336</v>
      </c>
      <c r="D54" s="3">
        <v>15.5761536672732</v>
      </c>
      <c r="E54" s="3">
        <v>14.0322196984777</v>
      </c>
      <c r="F54" s="3">
        <v>13.8786754005506</v>
      </c>
      <c r="G54" s="3">
        <v>19.321293887011699</v>
      </c>
      <c r="H54" s="3">
        <v>13.837812378318</v>
      </c>
      <c r="I54" s="3">
        <v>23.3931313026631</v>
      </c>
      <c r="J54" s="3">
        <v>18.750765336043202</v>
      </c>
      <c r="K54" s="3">
        <v>15.2903902974495</v>
      </c>
      <c r="L54" s="3">
        <v>16.629085645329798</v>
      </c>
      <c r="M54" s="3">
        <v>16.466578610599701</v>
      </c>
      <c r="N54" s="3">
        <v>13.2622659063843</v>
      </c>
    </row>
    <row r="55" spans="1:14" x14ac:dyDescent="0.35">
      <c r="A55" s="2">
        <v>43326</v>
      </c>
      <c r="B55" s="3">
        <v>23.0462913626038</v>
      </c>
      <c r="C55" s="3">
        <v>16.340763070211601</v>
      </c>
      <c r="D55" s="3">
        <v>15.4048604312738</v>
      </c>
      <c r="E55" s="3">
        <v>13.9474711382758</v>
      </c>
      <c r="F55" s="3">
        <v>13.6251900595783</v>
      </c>
      <c r="G55" s="3">
        <v>18.934681746426801</v>
      </c>
      <c r="H55" s="3">
        <v>13.7091903533387</v>
      </c>
      <c r="I55" s="3">
        <v>23.157884803050202</v>
      </c>
      <c r="J55" s="3">
        <v>18.576571128161699</v>
      </c>
      <c r="K55" s="3">
        <v>15.055937979147901</v>
      </c>
      <c r="L55" s="3">
        <v>16.595293220772099</v>
      </c>
      <c r="M55" s="3">
        <v>16.518600744607099</v>
      </c>
      <c r="N55" s="3">
        <v>12.802977023634201</v>
      </c>
    </row>
    <row r="56" spans="1:14" x14ac:dyDescent="0.35">
      <c r="A56" s="2">
        <v>43357</v>
      </c>
      <c r="B56" s="3">
        <v>23.5735467937231</v>
      </c>
      <c r="C56" s="3">
        <v>16.002233772700201</v>
      </c>
      <c r="D56" s="3">
        <v>15.0159706571943</v>
      </c>
      <c r="E56" s="3">
        <v>13.8469045000514</v>
      </c>
      <c r="F56" s="3">
        <v>13.555564309780401</v>
      </c>
      <c r="G56" s="3">
        <v>18.6590302815512</v>
      </c>
      <c r="H56" s="3">
        <v>13.385477450572299</v>
      </c>
      <c r="I56" s="3">
        <v>23.141917623244101</v>
      </c>
      <c r="J56" s="3">
        <v>18.618205468010899</v>
      </c>
      <c r="K56" s="3">
        <v>14.902503278105099</v>
      </c>
      <c r="L56" s="3">
        <v>16.283262384578698</v>
      </c>
      <c r="M56" s="3">
        <v>16.683482001677699</v>
      </c>
      <c r="N56" s="3">
        <v>12.496791207880401</v>
      </c>
    </row>
    <row r="57" spans="1:14" x14ac:dyDescent="0.35">
      <c r="A57" s="2">
        <v>43385</v>
      </c>
      <c r="B57" s="3">
        <v>22.730182309972001</v>
      </c>
      <c r="C57" s="3">
        <v>15.414780971712</v>
      </c>
      <c r="D57" s="3">
        <v>14.5102549502659</v>
      </c>
      <c r="E57" s="3">
        <v>13.249230370718101</v>
      </c>
      <c r="F57" s="3">
        <v>13.2519175787343</v>
      </c>
      <c r="G57" s="3">
        <v>17.644374815760099</v>
      </c>
      <c r="H57" s="3">
        <v>12.9027782632447</v>
      </c>
      <c r="I57" s="3">
        <v>22.112471239716999</v>
      </c>
      <c r="J57" s="3">
        <v>17.814910955459801</v>
      </c>
      <c r="K57" s="3">
        <v>14.224698213193999</v>
      </c>
      <c r="L57" s="3">
        <v>15.4917908262192</v>
      </c>
      <c r="M57" s="3">
        <v>15.6954705019185</v>
      </c>
      <c r="N57" s="3">
        <v>11.640564339924</v>
      </c>
    </row>
    <row r="58" spans="1:14" x14ac:dyDescent="0.35">
      <c r="A58" s="2">
        <v>43418</v>
      </c>
      <c r="B58" s="3">
        <v>22.7687283323163</v>
      </c>
      <c r="C58" s="3">
        <v>15.029708037523701</v>
      </c>
      <c r="D58" s="3">
        <v>14.089455137793699</v>
      </c>
      <c r="E58" s="3">
        <v>13.071217328675701</v>
      </c>
      <c r="F58" s="3">
        <v>12.728173812147199</v>
      </c>
      <c r="G58" s="3">
        <v>17.6823498893344</v>
      </c>
      <c r="H58" s="3">
        <v>12.8046871417628</v>
      </c>
      <c r="I58" s="3">
        <v>20.4628152064486</v>
      </c>
      <c r="J58" s="3">
        <v>17.082579312811301</v>
      </c>
      <c r="K58" s="3">
        <v>14.050319453255399</v>
      </c>
      <c r="L58" s="3">
        <v>15.6549099849285</v>
      </c>
      <c r="M58" s="3">
        <v>14.923714595186</v>
      </c>
      <c r="N58" s="3">
        <v>11.338724133689499</v>
      </c>
    </row>
    <row r="59" spans="1:14" x14ac:dyDescent="0.35">
      <c r="A59" s="2">
        <v>43448</v>
      </c>
      <c r="B59" s="3">
        <v>22.611389310036099</v>
      </c>
      <c r="C59" s="3">
        <v>14.596807754415</v>
      </c>
      <c r="D59" s="3">
        <v>13.490435769897999</v>
      </c>
      <c r="E59" s="3">
        <v>12.481084226430699</v>
      </c>
      <c r="F59" s="3">
        <v>12.279519883749099</v>
      </c>
      <c r="G59" s="3">
        <v>16.975746100762802</v>
      </c>
      <c r="H59" s="3">
        <v>12.1910621665007</v>
      </c>
      <c r="I59" s="3">
        <v>19.603827326047501</v>
      </c>
      <c r="J59" s="3">
        <v>16.2170730943309</v>
      </c>
      <c r="K59" s="3">
        <v>13.350372378239101</v>
      </c>
      <c r="L59" s="3">
        <v>14.906782510017999</v>
      </c>
      <c r="M59" s="3">
        <v>14.382028335430601</v>
      </c>
      <c r="N59" s="3">
        <v>10.8737477659887</v>
      </c>
    </row>
    <row r="60" spans="1:14" x14ac:dyDescent="0.35">
      <c r="A60" s="2">
        <v>43479</v>
      </c>
      <c r="B60" s="3">
        <v>23.274468077262998</v>
      </c>
      <c r="C60" s="3">
        <v>14.984592440588701</v>
      </c>
      <c r="D60" s="3">
        <v>13.763806682399901</v>
      </c>
      <c r="E60" s="3">
        <v>12.3862610023761</v>
      </c>
      <c r="F60" s="3">
        <v>11.791230734095301</v>
      </c>
      <c r="G60" s="3">
        <v>16.8546707824806</v>
      </c>
      <c r="H60" s="3">
        <v>12.229163714542601</v>
      </c>
      <c r="I60" s="3">
        <v>19.357524850718701</v>
      </c>
      <c r="J60" s="3">
        <v>15.9653443037577</v>
      </c>
      <c r="K60" s="3">
        <v>13.0619824134114</v>
      </c>
      <c r="L60" s="3">
        <v>14.5355808991335</v>
      </c>
      <c r="M60" s="3">
        <v>14.846173245441699</v>
      </c>
      <c r="N60" s="3">
        <v>10.856818239943699</v>
      </c>
    </row>
    <row r="61" spans="1:14" x14ac:dyDescent="0.35">
      <c r="A61" s="2">
        <v>43510</v>
      </c>
      <c r="B61" s="3">
        <v>23.982757997902201</v>
      </c>
      <c r="C61" s="3">
        <v>15.6560454959259</v>
      </c>
      <c r="D61" s="3">
        <v>14.562974755873601</v>
      </c>
      <c r="E61" s="3">
        <v>12.8054781421051</v>
      </c>
      <c r="F61" s="3">
        <v>12.503071942799901</v>
      </c>
      <c r="G61" s="3">
        <v>17.7504509060992</v>
      </c>
      <c r="H61" s="3">
        <v>12.7379394546846</v>
      </c>
      <c r="I61" s="3">
        <v>20.669359830570301</v>
      </c>
      <c r="J61" s="3">
        <v>16.891858129382701</v>
      </c>
      <c r="K61" s="3">
        <v>13.943637978639799</v>
      </c>
      <c r="L61" s="3">
        <v>15.908762137071299</v>
      </c>
      <c r="M61" s="3">
        <v>18.206953681384299</v>
      </c>
      <c r="N61" s="3">
        <v>11.0025643096315</v>
      </c>
    </row>
    <row r="62" spans="1:14" x14ac:dyDescent="0.35">
      <c r="A62" s="2">
        <v>43538</v>
      </c>
      <c r="B62" s="3">
        <v>24.077181175184499</v>
      </c>
      <c r="C62" s="3">
        <v>15.865009127135499</v>
      </c>
      <c r="D62" s="3">
        <v>14.728230237494399</v>
      </c>
      <c r="E62" s="3">
        <v>13.21223747028</v>
      </c>
      <c r="F62" s="3">
        <v>12.6810740270971</v>
      </c>
      <c r="G62" s="3">
        <v>18.322547507080301</v>
      </c>
      <c r="H62" s="3">
        <v>12.947737995758899</v>
      </c>
      <c r="I62" s="3">
        <v>20.949423035803701</v>
      </c>
      <c r="J62" s="3">
        <v>17.1137417073279</v>
      </c>
      <c r="K62" s="3">
        <v>14.581558403881701</v>
      </c>
      <c r="L62" s="3">
        <v>16.145931130812201</v>
      </c>
      <c r="M62" s="3">
        <v>18.045066738800799</v>
      </c>
      <c r="N62" s="3">
        <v>11.283340298459899</v>
      </c>
    </row>
    <row r="63" spans="1:14" x14ac:dyDescent="0.35">
      <c r="A63" s="2">
        <v>43567</v>
      </c>
      <c r="B63" s="3">
        <v>24.077491238826799</v>
      </c>
      <c r="C63" s="3">
        <v>15.8579386987641</v>
      </c>
      <c r="D63" s="3">
        <v>14.7010571244936</v>
      </c>
      <c r="E63" s="3">
        <v>13.2891373410779</v>
      </c>
      <c r="F63" s="3">
        <v>12.7270649391396</v>
      </c>
      <c r="G63" s="3">
        <v>18.2895294226761</v>
      </c>
      <c r="H63" s="3">
        <v>13.023160989523801</v>
      </c>
      <c r="I63" s="3">
        <v>21.237585178393299</v>
      </c>
      <c r="J63" s="3">
        <v>17.251035663369599</v>
      </c>
      <c r="K63" s="3">
        <v>14.635346883748101</v>
      </c>
      <c r="L63" s="3">
        <v>16.251727639303802</v>
      </c>
      <c r="M63" s="3">
        <v>17.862511879150102</v>
      </c>
      <c r="N63" s="3">
        <v>11.350617872666099</v>
      </c>
    </row>
    <row r="64" spans="1:14" x14ac:dyDescent="0.35">
      <c r="A64" s="2">
        <v>43599</v>
      </c>
      <c r="B64" s="3">
        <v>24.215685438107901</v>
      </c>
      <c r="C64" s="3">
        <v>15.7796117347335</v>
      </c>
      <c r="D64" s="3">
        <v>14.4910415693674</v>
      </c>
      <c r="E64" s="3">
        <v>13.248733385555701</v>
      </c>
      <c r="F64" s="3">
        <v>12.5854728943222</v>
      </c>
      <c r="G64" s="3">
        <v>18.0422350160657</v>
      </c>
      <c r="H64" s="3">
        <v>12.867710003218001</v>
      </c>
      <c r="I64" s="3">
        <v>21.099398972930501</v>
      </c>
      <c r="J64" s="3">
        <v>17.089207120999301</v>
      </c>
      <c r="K64" s="3">
        <v>14.48332493108</v>
      </c>
      <c r="L64" s="3">
        <v>16.156108531733</v>
      </c>
      <c r="M64" s="3">
        <v>17.479564269383001</v>
      </c>
      <c r="N64" s="3">
        <v>11.139565928792299</v>
      </c>
    </row>
    <row r="65" spans="1:14" x14ac:dyDescent="0.35">
      <c r="A65" s="2">
        <v>43630</v>
      </c>
      <c r="B65" s="3">
        <v>24.336943849170101</v>
      </c>
      <c r="C65" s="3">
        <v>16.097412184265401</v>
      </c>
      <c r="D65" s="3">
        <v>14.451540644941099</v>
      </c>
      <c r="E65" s="3">
        <v>13.192677448707199</v>
      </c>
      <c r="F65" s="3">
        <v>12.7774068883139</v>
      </c>
      <c r="G65" s="3">
        <v>18.2649458859688</v>
      </c>
      <c r="H65" s="3">
        <v>12.9374450235495</v>
      </c>
      <c r="I65" s="3">
        <v>21.259323536434302</v>
      </c>
      <c r="J65" s="3">
        <v>17.215534801208001</v>
      </c>
      <c r="K65" s="3">
        <v>14.468564088719599</v>
      </c>
      <c r="L65" s="3">
        <v>16.2267686134815</v>
      </c>
      <c r="M65" s="3">
        <v>17.131585949526301</v>
      </c>
      <c r="N65" s="3">
        <v>11.009924892361299</v>
      </c>
    </row>
    <row r="66" spans="1:14" x14ac:dyDescent="0.35">
      <c r="A66" s="2">
        <v>43658</v>
      </c>
      <c r="B66" s="3">
        <v>25.0577862933579</v>
      </c>
      <c r="C66" s="3">
        <v>16.265298083520602</v>
      </c>
      <c r="D66" s="3">
        <v>14.483195724719399</v>
      </c>
      <c r="E66" s="3">
        <v>13.4989856607263</v>
      </c>
      <c r="F66" s="3">
        <v>12.984454086225799</v>
      </c>
      <c r="G66" s="3">
        <v>18.245574163258201</v>
      </c>
      <c r="H66" s="3">
        <v>13.111456586889901</v>
      </c>
      <c r="I66" s="3">
        <v>22.071574185996599</v>
      </c>
      <c r="J66" s="3">
        <v>17.6891546597349</v>
      </c>
      <c r="K66" s="3">
        <v>14.7922855422054</v>
      </c>
      <c r="L66" s="3">
        <v>16.4380431841224</v>
      </c>
      <c r="M66" s="3">
        <v>17.087573933061201</v>
      </c>
      <c r="N66" s="3">
        <v>11.3631178857439</v>
      </c>
    </row>
    <row r="67" spans="1:14" x14ac:dyDescent="0.35">
      <c r="A67" s="2">
        <v>43691</v>
      </c>
      <c r="B67" s="3">
        <v>25.383604576123201</v>
      </c>
      <c r="C67" s="3">
        <v>16.293463501730201</v>
      </c>
      <c r="D67" s="3">
        <v>14.225744112937999</v>
      </c>
      <c r="E67" s="3">
        <v>13.188383112537901</v>
      </c>
      <c r="F67" s="3">
        <v>12.715513251884399</v>
      </c>
      <c r="G67" s="3">
        <v>18.038572713884701</v>
      </c>
      <c r="H67" s="3">
        <v>12.6635310489898</v>
      </c>
      <c r="I67" s="3">
        <v>21.422516936875599</v>
      </c>
      <c r="J67" s="3">
        <v>17.182458510435399</v>
      </c>
      <c r="K67" s="3">
        <v>14.3811748184901</v>
      </c>
      <c r="L67" s="3">
        <v>16.081088665263302</v>
      </c>
      <c r="M67" s="3">
        <v>15.692681754975499</v>
      </c>
      <c r="N67" s="3">
        <v>10.704668047571399</v>
      </c>
    </row>
    <row r="68" spans="1:14" x14ac:dyDescent="0.35">
      <c r="A68" s="2">
        <v>43721</v>
      </c>
      <c r="B68" s="3">
        <v>28.559821367191901</v>
      </c>
      <c r="C68" s="3">
        <v>16.7062563116354</v>
      </c>
      <c r="D68" s="3">
        <v>14.640082243663301</v>
      </c>
      <c r="E68" s="3">
        <v>14.068447523148301</v>
      </c>
      <c r="F68" s="3">
        <v>13.514227701569199</v>
      </c>
      <c r="G68" s="3">
        <v>18.465557327479999</v>
      </c>
      <c r="H68" s="3">
        <v>13.1259522146345</v>
      </c>
      <c r="I68" s="3">
        <v>22.294234821539501</v>
      </c>
      <c r="J68" s="3">
        <v>17.904649289860799</v>
      </c>
      <c r="K68" s="3">
        <v>15.1215960425264</v>
      </c>
      <c r="L68" s="3">
        <v>17.1385577800331</v>
      </c>
      <c r="M68" s="3">
        <v>16.4187051448082</v>
      </c>
      <c r="N68" s="3">
        <v>11.3828438390413</v>
      </c>
    </row>
    <row r="69" spans="1:14" x14ac:dyDescent="0.35">
      <c r="A69" s="2">
        <v>43752</v>
      </c>
      <c r="B69" s="3">
        <v>29.012954581247499</v>
      </c>
      <c r="C69" s="3">
        <v>16.874087087357601</v>
      </c>
      <c r="D69" s="3">
        <v>14.561483627343801</v>
      </c>
      <c r="E69" s="3">
        <v>14.213265849698599</v>
      </c>
      <c r="F69" s="3">
        <v>13.511479716829401</v>
      </c>
      <c r="G69" s="3">
        <v>18.339525812967199</v>
      </c>
      <c r="H69" s="3">
        <v>13.0278018778633</v>
      </c>
      <c r="I69" s="3">
        <v>22.3669791265905</v>
      </c>
      <c r="J69" s="3">
        <v>17.915612087305401</v>
      </c>
      <c r="K69" s="3">
        <v>15.213886715572499</v>
      </c>
      <c r="L69" s="3">
        <v>17.185839909948701</v>
      </c>
      <c r="M69" s="3">
        <v>16.403726811699698</v>
      </c>
      <c r="N69" s="3">
        <v>11.385888221913</v>
      </c>
    </row>
    <row r="70" spans="1:14" x14ac:dyDescent="0.35">
      <c r="A70" s="2">
        <v>43783</v>
      </c>
      <c r="B70" s="3">
        <v>29.101747566968701</v>
      </c>
      <c r="C70" s="3">
        <v>17.4265986902493</v>
      </c>
      <c r="D70" s="3">
        <v>15.0892731212539</v>
      </c>
      <c r="E70" s="3">
        <v>15.0777899817357</v>
      </c>
      <c r="F70" s="3">
        <v>14.3685754104084</v>
      </c>
      <c r="G70" s="3">
        <v>18.775298022012301</v>
      </c>
      <c r="H70" s="3">
        <v>13.3330923582828</v>
      </c>
      <c r="I70" s="3">
        <v>23.474784829214599</v>
      </c>
      <c r="J70" s="3">
        <v>18.709057330810101</v>
      </c>
      <c r="K70" s="3">
        <v>15.9908638200694</v>
      </c>
      <c r="L70" s="3">
        <v>17.878652898795998</v>
      </c>
      <c r="M70" s="3">
        <v>16.210189997573501</v>
      </c>
      <c r="N70" s="3">
        <v>11.9657119288171</v>
      </c>
    </row>
    <row r="71" spans="1:14" x14ac:dyDescent="0.35">
      <c r="A71" s="2">
        <v>43812</v>
      </c>
      <c r="B71" s="3">
        <v>31.372991129871199</v>
      </c>
      <c r="C71" s="3">
        <v>17.691391181435002</v>
      </c>
      <c r="D71" s="3">
        <v>15.158617801813</v>
      </c>
      <c r="E71" s="3">
        <v>15.4104144504806</v>
      </c>
      <c r="F71" s="3">
        <v>15.301918985600601</v>
      </c>
      <c r="G71" s="3">
        <v>19.178793750258802</v>
      </c>
      <c r="H71" s="3">
        <v>13.787266526146301</v>
      </c>
      <c r="I71" s="3">
        <v>24.511009997593899</v>
      </c>
      <c r="J71" s="3">
        <v>19.338120896406199</v>
      </c>
      <c r="K71" s="3">
        <v>16.225610009386401</v>
      </c>
      <c r="L71" s="3">
        <v>18.461589692337</v>
      </c>
      <c r="M71" s="3">
        <v>16.095335466506501</v>
      </c>
      <c r="N71" s="3">
        <v>11.967960341724201</v>
      </c>
    </row>
    <row r="72" spans="1:14" x14ac:dyDescent="0.35">
      <c r="A72" s="2">
        <v>43844</v>
      </c>
      <c r="B72" s="3">
        <v>32.488941211703803</v>
      </c>
      <c r="C72" s="3">
        <v>18.3811514125371</v>
      </c>
      <c r="D72" s="3">
        <v>15.462184700513699</v>
      </c>
      <c r="E72" s="3">
        <v>15.7306715883892</v>
      </c>
      <c r="F72" s="3">
        <v>15.5309955558658</v>
      </c>
      <c r="G72" s="3">
        <v>19.6981112702641</v>
      </c>
      <c r="H72" s="3">
        <v>14.220966375372701</v>
      </c>
      <c r="I72" s="3">
        <v>26.2275816283775</v>
      </c>
      <c r="J72" s="3">
        <v>20.164966628375399</v>
      </c>
      <c r="K72" s="3">
        <v>16.647836881339298</v>
      </c>
      <c r="L72" s="3">
        <v>18.734126858299501</v>
      </c>
      <c r="M72" s="3">
        <v>16.651947230967401</v>
      </c>
      <c r="N72" s="3">
        <v>12.2650915338206</v>
      </c>
    </row>
    <row r="73" spans="1:14" x14ac:dyDescent="0.35">
      <c r="A73" s="2">
        <v>43875</v>
      </c>
      <c r="B73" s="3">
        <v>33.323888385085198</v>
      </c>
      <c r="C73" s="3">
        <v>18.8899791188243</v>
      </c>
      <c r="D73" s="3">
        <v>15.734423015637701</v>
      </c>
      <c r="E73" s="3">
        <v>16.272088288727701</v>
      </c>
      <c r="F73" s="3">
        <v>15.3906451381308</v>
      </c>
      <c r="G73" s="3">
        <v>20.079681645562701</v>
      </c>
      <c r="H73" s="3">
        <v>13.852430312727</v>
      </c>
      <c r="I73" s="3">
        <v>27.203944389819402</v>
      </c>
      <c r="J73" s="3">
        <v>20.521563856038199</v>
      </c>
      <c r="K73" s="3">
        <v>16.723766909179101</v>
      </c>
      <c r="L73" s="3">
        <v>20.069006190110098</v>
      </c>
      <c r="M73" s="3">
        <v>14.4317921552556</v>
      </c>
      <c r="N73" s="3">
        <v>12.738684257548099</v>
      </c>
    </row>
    <row r="74" spans="1:14" x14ac:dyDescent="0.35">
      <c r="A74" s="2">
        <v>43903</v>
      </c>
      <c r="B74" s="3">
        <v>30.223776917972401</v>
      </c>
      <c r="C74" s="3">
        <v>16.500958625637299</v>
      </c>
      <c r="D74" s="3">
        <v>14.0171229787097</v>
      </c>
      <c r="E74" s="3">
        <v>13.4496531080948</v>
      </c>
      <c r="F74" s="3">
        <v>13.5416688661305</v>
      </c>
      <c r="G74" s="3">
        <v>17.4283298288154</v>
      </c>
      <c r="H74" s="3">
        <v>11.9795855851686</v>
      </c>
      <c r="I74" s="3">
        <v>23.529123029893999</v>
      </c>
      <c r="J74" s="3">
        <v>17.644633738554301</v>
      </c>
      <c r="K74" s="3">
        <v>14.1193430769386</v>
      </c>
      <c r="L74" s="3">
        <v>16.553100876770301</v>
      </c>
      <c r="M74" s="3">
        <v>12.428111062204801</v>
      </c>
      <c r="N74" s="3">
        <v>10.8037466285777</v>
      </c>
    </row>
    <row r="75" spans="1:14" x14ac:dyDescent="0.35">
      <c r="A75" s="2">
        <v>43935</v>
      </c>
      <c r="B75" s="3">
        <v>30.943059934269499</v>
      </c>
      <c r="C75" s="3">
        <v>16.9108898150794</v>
      </c>
      <c r="D75" s="3">
        <v>14.884514700155099</v>
      </c>
      <c r="E75" s="3">
        <v>14.3550877210543</v>
      </c>
      <c r="F75" s="3">
        <v>13.9917505609627</v>
      </c>
      <c r="G75" s="3">
        <v>18.164485295415901</v>
      </c>
      <c r="H75" s="3">
        <v>12.838498949100501</v>
      </c>
      <c r="I75" s="3">
        <v>24.369384232581101</v>
      </c>
      <c r="J75" s="3">
        <v>18.528134582624698</v>
      </c>
      <c r="K75" s="3">
        <v>15.0650111919847</v>
      </c>
      <c r="L75" s="3">
        <v>17.2187354961025</v>
      </c>
      <c r="M75" s="3">
        <v>13.8433541517536</v>
      </c>
      <c r="N75" s="3">
        <v>11.538724569367201</v>
      </c>
    </row>
    <row r="76" spans="1:14" x14ac:dyDescent="0.35">
      <c r="A76" s="2">
        <v>43965</v>
      </c>
      <c r="B76" s="3">
        <v>32.144391030325004</v>
      </c>
      <c r="C76" s="3">
        <v>17.273733915973899</v>
      </c>
      <c r="D76" s="3">
        <v>16.306616213536199</v>
      </c>
      <c r="E76" s="3">
        <v>15.0980255874187</v>
      </c>
      <c r="F76" s="3">
        <v>14.4519061291426</v>
      </c>
      <c r="G76" s="3">
        <v>18.5910157834968</v>
      </c>
      <c r="H76" s="3">
        <v>13.760715791339599</v>
      </c>
      <c r="I76" s="3">
        <v>25.606479991588099</v>
      </c>
      <c r="J76" s="3">
        <v>19.5795650913774</v>
      </c>
      <c r="K76" s="3">
        <v>15.868395845226701</v>
      </c>
      <c r="L76" s="3">
        <v>17.723862381404999</v>
      </c>
      <c r="M76" s="3">
        <v>14.6297706902507</v>
      </c>
      <c r="N76" s="3">
        <v>13.3931027730263</v>
      </c>
    </row>
    <row r="77" spans="1:14" x14ac:dyDescent="0.35">
      <c r="A77" s="2">
        <v>43994</v>
      </c>
      <c r="B77" s="3">
        <v>32.077754467608798</v>
      </c>
      <c r="C77" s="3">
        <v>18.298232114856098</v>
      </c>
      <c r="D77" s="3">
        <v>17.0070582743184</v>
      </c>
      <c r="E77" s="3">
        <v>16.8837185007981</v>
      </c>
      <c r="F77" s="3">
        <v>16.313471509596798</v>
      </c>
      <c r="G77" s="3">
        <v>19.039990521072099</v>
      </c>
      <c r="H77" s="3">
        <v>14.8368077384867</v>
      </c>
      <c r="I77" s="3">
        <v>26.846078097810501</v>
      </c>
      <c r="J77" s="3">
        <v>20.652926901794999</v>
      </c>
      <c r="K77" s="3">
        <v>17.636580795129198</v>
      </c>
      <c r="L77" s="3">
        <v>18.938327999694099</v>
      </c>
      <c r="M77" s="3">
        <v>16.099106104841798</v>
      </c>
      <c r="N77" s="3">
        <v>15.4533738878511</v>
      </c>
    </row>
    <row r="78" spans="1:14" x14ac:dyDescent="0.35">
      <c r="A78" s="2">
        <v>44026</v>
      </c>
      <c r="B78" s="3">
        <v>33.443463914491097</v>
      </c>
      <c r="C78" s="3">
        <v>18.6289691549499</v>
      </c>
      <c r="D78" s="3">
        <v>17.7180658772199</v>
      </c>
      <c r="E78" s="3">
        <v>18.556589878450101</v>
      </c>
      <c r="F78" s="3">
        <v>17.385624055985101</v>
      </c>
      <c r="G78" s="3">
        <v>19.928786732089399</v>
      </c>
      <c r="H78" s="3">
        <v>15.365372143459</v>
      </c>
      <c r="I78" s="3">
        <v>28.780171695600799</v>
      </c>
      <c r="J78" s="3">
        <v>21.942956123439298</v>
      </c>
      <c r="K78" s="3">
        <v>19.6227507182309</v>
      </c>
      <c r="L78" s="3">
        <v>20.1077968836167</v>
      </c>
      <c r="M78" s="3">
        <v>18.066556436369801</v>
      </c>
      <c r="N78" s="3">
        <v>17.014261287468599</v>
      </c>
    </row>
    <row r="79" spans="1:14" x14ac:dyDescent="0.35">
      <c r="A79" s="2">
        <v>44057</v>
      </c>
      <c r="B79" s="3">
        <v>33.644167655666799</v>
      </c>
      <c r="C79" s="3">
        <v>19.568668056704698</v>
      </c>
      <c r="D79" s="3">
        <v>18.1787020406619</v>
      </c>
      <c r="E79" s="3">
        <v>19.480872517180799</v>
      </c>
      <c r="F79" s="3">
        <v>18.158482495624401</v>
      </c>
      <c r="G79" s="3">
        <v>20.326375807613399</v>
      </c>
      <c r="H79" s="3">
        <v>16.280979754996601</v>
      </c>
      <c r="I79" s="3">
        <v>29.2795952245304</v>
      </c>
      <c r="J79" s="3">
        <v>22.772794908800002</v>
      </c>
      <c r="K79" s="3">
        <v>22.003135486992601</v>
      </c>
      <c r="L79" s="3">
        <v>20.8266747708089</v>
      </c>
      <c r="M79" s="3">
        <v>17.542707628966799</v>
      </c>
      <c r="N79" s="3">
        <v>17.7453990965437</v>
      </c>
    </row>
    <row r="80" spans="1:14" x14ac:dyDescent="0.35">
      <c r="A80" s="2">
        <v>44088</v>
      </c>
      <c r="B80" s="3">
        <v>33.8498873407544</v>
      </c>
      <c r="C80" s="3">
        <v>19.335042035516398</v>
      </c>
      <c r="D80" s="3">
        <v>18.341906231444</v>
      </c>
      <c r="E80" s="3">
        <v>20.484262631775199</v>
      </c>
      <c r="F80" s="3">
        <v>19.823570599018499</v>
      </c>
      <c r="G80" s="3">
        <v>20.925993356351501</v>
      </c>
      <c r="H80" s="3">
        <v>16.8362463714816</v>
      </c>
      <c r="I80" s="3">
        <v>30.2059988353889</v>
      </c>
      <c r="J80" s="3">
        <v>23.355104491993799</v>
      </c>
      <c r="K80" s="3">
        <v>23.401353246325201</v>
      </c>
      <c r="L80" s="3">
        <v>21.5609853649831</v>
      </c>
      <c r="M80" s="3">
        <v>17.7139628746122</v>
      </c>
      <c r="N80" s="3">
        <v>18.2548682027982</v>
      </c>
    </row>
    <row r="81" spans="1:14" x14ac:dyDescent="0.35">
      <c r="A81" s="2">
        <v>44118</v>
      </c>
      <c r="B81" s="3">
        <v>35.456556877714398</v>
      </c>
      <c r="C81" s="3">
        <v>20.0705326579792</v>
      </c>
      <c r="D81" s="3">
        <v>18.8115074190254</v>
      </c>
      <c r="E81" s="3">
        <v>20.793330946598001</v>
      </c>
      <c r="F81" s="3">
        <v>20.5751106596834</v>
      </c>
      <c r="G81" s="3">
        <v>21.054393268996598</v>
      </c>
      <c r="H81" s="3">
        <v>17.0591041972637</v>
      </c>
      <c r="I81" s="3">
        <v>32.418714244728797</v>
      </c>
      <c r="J81" s="3">
        <v>24.3644305718766</v>
      </c>
      <c r="K81" s="3">
        <v>24.1729498708902</v>
      </c>
      <c r="L81" s="3">
        <v>22.773625800441302</v>
      </c>
      <c r="M81" s="3">
        <v>18.338082488945901</v>
      </c>
      <c r="N81" s="3">
        <v>19.0791122281735</v>
      </c>
    </row>
    <row r="82" spans="1:14" x14ac:dyDescent="0.35">
      <c r="A82" s="2">
        <v>44148</v>
      </c>
      <c r="B82" s="3">
        <v>36.0651831936691</v>
      </c>
      <c r="C82" s="3">
        <v>21.158367907748399</v>
      </c>
      <c r="D82" s="3">
        <v>19.1834456162841</v>
      </c>
      <c r="E82" s="3">
        <v>20.534644057143701</v>
      </c>
      <c r="F82" s="3">
        <v>21.715572658125598</v>
      </c>
      <c r="G82" s="3">
        <v>21.188411295297801</v>
      </c>
      <c r="H82" s="3">
        <v>18.300762254294</v>
      </c>
      <c r="I82" s="3">
        <v>32.000507923938599</v>
      </c>
      <c r="J82" s="3">
        <v>24.860021516739899</v>
      </c>
      <c r="K82" s="3">
        <v>26.7590689990115</v>
      </c>
      <c r="L82" s="3">
        <v>24.561623645161902</v>
      </c>
      <c r="M82" s="3">
        <v>16.348404593092901</v>
      </c>
      <c r="N82" s="3">
        <v>20.529622003030202</v>
      </c>
    </row>
    <row r="83" spans="1:14" x14ac:dyDescent="0.35">
      <c r="A83" s="2">
        <v>44179</v>
      </c>
      <c r="B83" s="3">
        <v>36.807978043280599</v>
      </c>
      <c r="C83" s="3">
        <v>22.650095771502698</v>
      </c>
      <c r="D83" s="3">
        <v>20.083762654785801</v>
      </c>
      <c r="E83" s="3">
        <v>20.926481610851798</v>
      </c>
      <c r="F83" s="3">
        <v>22.857617892285599</v>
      </c>
      <c r="G83" s="3">
        <v>21.092734390396501</v>
      </c>
      <c r="H83" s="3">
        <v>19.346178341385802</v>
      </c>
      <c r="I83" s="3">
        <v>34.013105458572802</v>
      </c>
      <c r="J83" s="3">
        <v>25.762531193547002</v>
      </c>
      <c r="K83" s="3">
        <v>28.0946912631407</v>
      </c>
      <c r="L83" s="3">
        <v>26.054452883398199</v>
      </c>
      <c r="M83" s="3">
        <v>17.129173445939902</v>
      </c>
      <c r="N83" s="3">
        <v>22.507156887593499</v>
      </c>
    </row>
    <row r="84" spans="1:14" x14ac:dyDescent="0.35">
      <c r="A84" s="2">
        <v>44210</v>
      </c>
      <c r="B84" s="3">
        <v>37.888300469140503</v>
      </c>
      <c r="C84" s="3">
        <v>23.357635389321601</v>
      </c>
      <c r="D84" s="3">
        <v>21.195952122586998</v>
      </c>
      <c r="E84" s="3">
        <v>22.196035264687001</v>
      </c>
      <c r="F84" s="3">
        <v>24.152726344401</v>
      </c>
      <c r="G84" s="3">
        <v>22.0063220277673</v>
      </c>
      <c r="H84" s="3">
        <v>20.430756417409899</v>
      </c>
      <c r="I84" s="3">
        <v>34.988183812053798</v>
      </c>
      <c r="J84" s="3">
        <v>27.458288945152599</v>
      </c>
      <c r="K84" s="3">
        <v>29.1691301648132</v>
      </c>
      <c r="L84" s="3">
        <v>28.751159075695799</v>
      </c>
      <c r="M84" s="3">
        <v>18.726589881234599</v>
      </c>
      <c r="N84" s="3">
        <v>23.710860071963101</v>
      </c>
    </row>
    <row r="85" spans="1:14" x14ac:dyDescent="0.35">
      <c r="A85" s="2">
        <v>44239</v>
      </c>
      <c r="B85" s="3">
        <v>34.9563876207825</v>
      </c>
      <c r="C85" s="3">
        <v>22.937427705351102</v>
      </c>
      <c r="D85" s="3">
        <v>20.976142993367901</v>
      </c>
      <c r="E85" s="3">
        <v>21.463581985619399</v>
      </c>
      <c r="F85" s="3">
        <v>23.700848477279099</v>
      </c>
      <c r="G85" s="3">
        <v>21.246912300408098</v>
      </c>
      <c r="H85" s="3">
        <v>19.5026366790681</v>
      </c>
      <c r="I85" s="3">
        <v>35.596468553824401</v>
      </c>
      <c r="J85" s="3">
        <v>27.430274726354501</v>
      </c>
      <c r="K85" s="3">
        <v>27.390050074833699</v>
      </c>
      <c r="L85" s="3">
        <v>29.898961082610999</v>
      </c>
      <c r="M85" s="3">
        <v>17.5824013459771</v>
      </c>
      <c r="N85" s="3">
        <v>20.6366449810922</v>
      </c>
    </row>
    <row r="86" spans="1:14" x14ac:dyDescent="0.35">
      <c r="A86" s="2">
        <v>44267</v>
      </c>
      <c r="B86" s="3">
        <v>34.442354958063603</v>
      </c>
      <c r="C86" s="3">
        <v>21.652438995592899</v>
      </c>
      <c r="D86" s="3">
        <v>19.8566267002582</v>
      </c>
      <c r="E86" s="3">
        <v>20.2176550639544</v>
      </c>
      <c r="F86" s="3">
        <v>21.592603319235302</v>
      </c>
      <c r="G86" s="3">
        <v>20.464076937312399</v>
      </c>
      <c r="H86" s="3">
        <v>18.663367254134599</v>
      </c>
      <c r="I86" s="3">
        <v>32.743857583947097</v>
      </c>
      <c r="J86" s="3">
        <v>26.215167708247701</v>
      </c>
      <c r="K86" s="3">
        <v>26.834776043294902</v>
      </c>
      <c r="L86" s="3">
        <v>28.7582833699093</v>
      </c>
      <c r="M86" s="3">
        <v>17.9164240982048</v>
      </c>
      <c r="N86" s="3">
        <v>20.130979384569301</v>
      </c>
    </row>
    <row r="87" spans="1:14" x14ac:dyDescent="0.35">
      <c r="A87" s="2">
        <v>44300</v>
      </c>
      <c r="B87" s="3">
        <v>34.630069477358298</v>
      </c>
      <c r="C87" s="3">
        <v>21.260084341123701</v>
      </c>
      <c r="D87" s="3">
        <v>19.450672341782798</v>
      </c>
      <c r="E87" s="3">
        <v>19.893399581152199</v>
      </c>
      <c r="F87" s="3">
        <v>21.122455256185798</v>
      </c>
      <c r="G87" s="3">
        <v>20.582262929006198</v>
      </c>
      <c r="H87" s="3">
        <v>18.010976283252099</v>
      </c>
      <c r="I87" s="3">
        <v>32.803444349871199</v>
      </c>
      <c r="J87" s="3">
        <v>25.966326672242399</v>
      </c>
      <c r="K87" s="3">
        <v>25.951234292328699</v>
      </c>
      <c r="L87" s="3">
        <v>28.431259848172001</v>
      </c>
      <c r="M87" s="3">
        <v>18.339624978776399</v>
      </c>
      <c r="N87" s="3">
        <v>19.516346346935201</v>
      </c>
    </row>
    <row r="88" spans="1:14" x14ac:dyDescent="0.35">
      <c r="A88" s="2">
        <v>44330</v>
      </c>
      <c r="B88" s="3">
        <v>34.680917917397402</v>
      </c>
      <c r="C88" s="3">
        <v>20.767569135073</v>
      </c>
      <c r="D88" s="3">
        <v>18.991606527611001</v>
      </c>
      <c r="E88" s="3">
        <v>19.0535854672247</v>
      </c>
      <c r="F88" s="3">
        <v>20.350829710271299</v>
      </c>
      <c r="G88" s="3">
        <v>20.437777155956699</v>
      </c>
      <c r="H88" s="3">
        <v>17.4369715305291</v>
      </c>
      <c r="I88" s="3">
        <v>31.563439832711801</v>
      </c>
      <c r="J88" s="3">
        <v>25.304447391429001</v>
      </c>
      <c r="K88" s="3">
        <v>25.028927712129999</v>
      </c>
      <c r="L88" s="3">
        <v>27.362220699248201</v>
      </c>
      <c r="M88" s="3">
        <v>17.560911331861799</v>
      </c>
      <c r="N88" s="3">
        <v>18.7722002440644</v>
      </c>
    </row>
    <row r="89" spans="1:14" x14ac:dyDescent="0.35">
      <c r="A89" s="2">
        <v>44361</v>
      </c>
      <c r="B89" s="3">
        <v>35.360914717541299</v>
      </c>
      <c r="C89" s="3">
        <v>20.556043101994302</v>
      </c>
      <c r="D89" s="3">
        <v>18.649971276045001</v>
      </c>
      <c r="E89" s="3">
        <v>18.699073705906301</v>
      </c>
      <c r="F89" s="3">
        <v>20.105436994714001</v>
      </c>
      <c r="G89" s="3">
        <v>20.878208026444899</v>
      </c>
      <c r="H89" s="3">
        <v>16.9232089755942</v>
      </c>
      <c r="I89" s="3">
        <v>31.637222529654998</v>
      </c>
      <c r="J89" s="3">
        <v>24.976718866903902</v>
      </c>
      <c r="K89" s="3">
        <v>24.381043631704099</v>
      </c>
      <c r="L89" s="3">
        <v>27.006352706505801</v>
      </c>
      <c r="M89" s="3">
        <v>17.933492930670202</v>
      </c>
      <c r="N89" s="3">
        <v>18.475823761133999</v>
      </c>
    </row>
    <row r="90" spans="1:14" x14ac:dyDescent="0.35">
      <c r="A90" s="2">
        <v>44391</v>
      </c>
      <c r="B90" s="3">
        <v>36.539677612122901</v>
      </c>
      <c r="C90" s="3">
        <v>19.592971024135899</v>
      </c>
      <c r="D90" s="3">
        <v>18.111111308582799</v>
      </c>
      <c r="E90" s="3">
        <v>18.1437452084668</v>
      </c>
      <c r="F90" s="3">
        <v>19.6222460307335</v>
      </c>
      <c r="G90" s="3">
        <v>21.0149034360916</v>
      </c>
      <c r="H90" s="3">
        <v>16.029801611619401</v>
      </c>
      <c r="I90" s="3">
        <v>32.075046569672502</v>
      </c>
      <c r="J90" s="3">
        <v>24.737280975919301</v>
      </c>
      <c r="K90" s="3">
        <v>23.128286140482</v>
      </c>
      <c r="L90" s="3">
        <v>26.466138745955998</v>
      </c>
      <c r="M90" s="3">
        <v>17.852195405454999</v>
      </c>
      <c r="N90" s="3">
        <v>17.639849697516201</v>
      </c>
    </row>
    <row r="91" spans="1:14" x14ac:dyDescent="0.35">
      <c r="A91" s="2">
        <v>44421</v>
      </c>
      <c r="B91" s="3">
        <v>36.969383869873397</v>
      </c>
      <c r="C91" s="3">
        <v>19.328353597446</v>
      </c>
      <c r="D91" s="3">
        <v>17.555177023669401</v>
      </c>
      <c r="E91" s="3">
        <v>17.3488624325988</v>
      </c>
      <c r="F91" s="3">
        <v>18.898375682423701</v>
      </c>
      <c r="G91" s="3">
        <v>21.2130667008635</v>
      </c>
      <c r="H91" s="3">
        <v>15.250818946095199</v>
      </c>
      <c r="I91" s="3">
        <v>31.3416059519543</v>
      </c>
      <c r="J91" s="3">
        <v>24.1138366716552</v>
      </c>
      <c r="K91" s="3">
        <v>21.995529492076901</v>
      </c>
      <c r="L91" s="3">
        <v>26.055263469398501</v>
      </c>
      <c r="M91" s="3">
        <v>17.658816257936198</v>
      </c>
      <c r="N91" s="3">
        <v>16.415875083514401</v>
      </c>
    </row>
    <row r="92" spans="1:14" x14ac:dyDescent="0.35">
      <c r="A92" s="2">
        <v>44453</v>
      </c>
      <c r="B92" s="3">
        <v>38.397546407903299</v>
      </c>
      <c r="C92" s="3">
        <v>18.7670076770473</v>
      </c>
      <c r="D92" s="3">
        <v>16.892579674786699</v>
      </c>
      <c r="E92" s="3">
        <v>16.597412553279099</v>
      </c>
      <c r="F92" s="3">
        <v>18.922765822690501</v>
      </c>
      <c r="G92" s="3">
        <v>20.798290620600699</v>
      </c>
      <c r="H92" s="3">
        <v>14.353853133302501</v>
      </c>
      <c r="I92" s="3">
        <v>31.327797216999802</v>
      </c>
      <c r="J92" s="3">
        <v>23.5544587597856</v>
      </c>
      <c r="K92" s="3">
        <v>20.541086173175</v>
      </c>
      <c r="L92" s="3">
        <v>25.713980325738699</v>
      </c>
      <c r="M92" s="3">
        <v>17.487373544190401</v>
      </c>
      <c r="N92" s="3">
        <v>15.1545138342344</v>
      </c>
    </row>
    <row r="93" spans="1:14" x14ac:dyDescent="0.35">
      <c r="A93" s="2">
        <v>44483</v>
      </c>
      <c r="B93" s="3">
        <v>38.673033727613998</v>
      </c>
      <c r="C93" s="3">
        <v>18.575257881522901</v>
      </c>
      <c r="D93" s="3">
        <v>16.651207499188999</v>
      </c>
      <c r="E93" s="3">
        <v>15.936654998243601</v>
      </c>
      <c r="F93" s="3">
        <v>17.652873226631101</v>
      </c>
      <c r="G93" s="3">
        <v>20.432496951155098</v>
      </c>
      <c r="H93" s="3">
        <v>13.8892995773735</v>
      </c>
      <c r="I93" s="3">
        <v>30.591424575849299</v>
      </c>
      <c r="J93" s="3">
        <v>23.1095263078168</v>
      </c>
      <c r="K93" s="3">
        <v>19.257060422688699</v>
      </c>
      <c r="L93" s="3">
        <v>24.2740115618702</v>
      </c>
      <c r="M93" s="3">
        <v>17.3121253797576</v>
      </c>
      <c r="N93" s="3">
        <v>14.4448678784946</v>
      </c>
    </row>
    <row r="94" spans="1:14" x14ac:dyDescent="0.35">
      <c r="A94" s="2">
        <v>44512</v>
      </c>
      <c r="B94" s="3">
        <v>38.760488051300399</v>
      </c>
      <c r="C94" s="3">
        <v>18.422684118165598</v>
      </c>
      <c r="D94" s="3">
        <v>16.611924486979898</v>
      </c>
      <c r="E94" s="3">
        <v>15.3798783449365</v>
      </c>
      <c r="F94" s="3">
        <v>17.592117629799699</v>
      </c>
      <c r="G94" s="3">
        <v>21.0671234391185</v>
      </c>
      <c r="H94" s="3">
        <v>13.293780110158901</v>
      </c>
      <c r="I94" s="3">
        <v>31.914019875857502</v>
      </c>
      <c r="J94" s="3">
        <v>23.411955676716101</v>
      </c>
      <c r="K94" s="3">
        <v>18.6450927033782</v>
      </c>
      <c r="L94" s="3">
        <v>24.556316530953701</v>
      </c>
      <c r="M94" s="3">
        <v>16.9247204735053</v>
      </c>
      <c r="N94" s="3">
        <v>13.9049102710615</v>
      </c>
    </row>
    <row r="95" spans="1:14" x14ac:dyDescent="0.35">
      <c r="A95" s="2">
        <v>44544</v>
      </c>
      <c r="B95" s="3">
        <v>39.065594801580502</v>
      </c>
      <c r="C95" s="3">
        <v>17.731423777414701</v>
      </c>
      <c r="D95" s="3">
        <v>15.367152098689701</v>
      </c>
      <c r="E95" s="3">
        <v>14.1957304254276</v>
      </c>
      <c r="F95" s="3">
        <v>16.269404801137298</v>
      </c>
      <c r="G95" s="3">
        <v>20.786523566546599</v>
      </c>
      <c r="H95" s="3">
        <v>12.335755948956599</v>
      </c>
      <c r="I95" s="3">
        <v>31.097157744796998</v>
      </c>
      <c r="J95" s="3">
        <v>22.756196602521499</v>
      </c>
      <c r="K95" s="3">
        <v>17.146871589476198</v>
      </c>
      <c r="L95" s="3">
        <v>22.1437754950833</v>
      </c>
      <c r="M95" s="3">
        <v>16.5759959104827</v>
      </c>
      <c r="N95" s="3">
        <v>12.1534415759408</v>
      </c>
    </row>
    <row r="96" spans="1:14" x14ac:dyDescent="0.35">
      <c r="A96" s="2">
        <v>44575</v>
      </c>
      <c r="B96" s="3">
        <v>38.129272964544597</v>
      </c>
      <c r="C96" s="3">
        <v>17.698889495439101</v>
      </c>
      <c r="D96" s="3">
        <v>15.5671639505639</v>
      </c>
      <c r="E96" s="3">
        <v>14.093461459479901</v>
      </c>
      <c r="F96" s="3">
        <v>15.8660230156558</v>
      </c>
      <c r="G96" s="3">
        <v>20.8293094697787</v>
      </c>
      <c r="H96" s="3">
        <v>12.7048407343751</v>
      </c>
      <c r="I96" s="3">
        <v>30.390409047821599</v>
      </c>
      <c r="J96" s="3">
        <v>22.607789474232899</v>
      </c>
      <c r="K96" s="3">
        <v>16.9769968040804</v>
      </c>
      <c r="L96" s="3">
        <v>21.820992227686698</v>
      </c>
      <c r="M96" s="3">
        <v>15.8856713893919</v>
      </c>
      <c r="N96" s="3">
        <v>12.125775004066099</v>
      </c>
    </row>
    <row r="97" spans="1:14" x14ac:dyDescent="0.35">
      <c r="A97" s="2">
        <v>44606</v>
      </c>
      <c r="B97" s="3">
        <v>36.421884170714897</v>
      </c>
      <c r="C97" s="3">
        <v>16.1536534290113</v>
      </c>
      <c r="D97" s="3">
        <v>15.524385511465599</v>
      </c>
      <c r="E97" s="3">
        <v>13.055659029325099</v>
      </c>
      <c r="F97" s="3">
        <v>15.1173232599083</v>
      </c>
      <c r="G97" s="3">
        <v>18.361496897747202</v>
      </c>
      <c r="H97" s="3">
        <v>12.6317689710793</v>
      </c>
      <c r="I97" s="3">
        <v>26.8858012228423</v>
      </c>
      <c r="J97" s="3">
        <v>20.950312729391499</v>
      </c>
      <c r="K97" s="3">
        <v>15.7420388833582</v>
      </c>
      <c r="L97" s="3">
        <v>19.702446996713899</v>
      </c>
      <c r="M97" s="3">
        <v>12.088661739692901</v>
      </c>
      <c r="N97" s="3">
        <v>11.5302218027701</v>
      </c>
    </row>
    <row r="98" spans="1:14" x14ac:dyDescent="0.35">
      <c r="A98" s="2">
        <v>44634</v>
      </c>
      <c r="B98" s="3">
        <v>35.001188283116697</v>
      </c>
      <c r="C98" s="3">
        <v>15.6763275123126</v>
      </c>
      <c r="D98" s="3">
        <v>15.0765765439325</v>
      </c>
      <c r="E98" s="3">
        <v>12.4116047974249</v>
      </c>
      <c r="F98" s="3">
        <v>14.505709567943599</v>
      </c>
      <c r="G98" s="3">
        <v>18.387306436122699</v>
      </c>
      <c r="H98" s="3">
        <v>12.4022690257289</v>
      </c>
      <c r="I98" s="3">
        <v>26.209115574590498</v>
      </c>
      <c r="J98" s="3">
        <v>20.452421122573899</v>
      </c>
      <c r="K98" s="3">
        <v>15.2839440281011</v>
      </c>
      <c r="L98" s="3">
        <v>18.1700257751306</v>
      </c>
      <c r="M98" s="3">
        <v>11.801066490561199</v>
      </c>
      <c r="N98" s="3">
        <v>10.5255377319648</v>
      </c>
    </row>
    <row r="99" spans="1:14" x14ac:dyDescent="0.35">
      <c r="A99" s="2">
        <v>44665</v>
      </c>
      <c r="B99" s="3">
        <v>34.4962054461311</v>
      </c>
      <c r="C99" s="3">
        <v>15.662555774154299</v>
      </c>
      <c r="D99" s="3">
        <v>14.9320499078101</v>
      </c>
      <c r="E99" s="3">
        <v>12.343954709135501</v>
      </c>
      <c r="F99" s="3">
        <v>14.480912234075999</v>
      </c>
      <c r="G99" s="3">
        <v>18.682428267338899</v>
      </c>
      <c r="H99" s="3">
        <v>12.245860588015701</v>
      </c>
      <c r="I99" s="3">
        <v>26.337275148012399</v>
      </c>
      <c r="J99" s="3">
        <v>20.455318908811499</v>
      </c>
      <c r="K99" s="3">
        <v>15.0698735136985</v>
      </c>
      <c r="L99" s="3">
        <v>18.423579924086901</v>
      </c>
      <c r="M99" s="3">
        <v>12.204546937606599</v>
      </c>
      <c r="N99" s="3">
        <v>10.5267190562693</v>
      </c>
    </row>
    <row r="100" spans="1:14" x14ac:dyDescent="0.35">
      <c r="A100" s="2">
        <v>44694</v>
      </c>
      <c r="B100" s="3">
        <v>34.0650854945549</v>
      </c>
      <c r="C100" s="3">
        <v>15.0694966852221</v>
      </c>
      <c r="D100" s="3">
        <v>14.310868739581901</v>
      </c>
      <c r="E100" s="3">
        <v>12.0748639764708</v>
      </c>
      <c r="F100" s="3">
        <v>14.2150291888616</v>
      </c>
      <c r="G100" s="3">
        <v>18.1588891094123</v>
      </c>
      <c r="H100" s="3">
        <v>11.7572441318259</v>
      </c>
      <c r="I100" s="3">
        <v>25.360270409933701</v>
      </c>
      <c r="J100" s="3">
        <v>19.726582571762599</v>
      </c>
      <c r="K100" s="3">
        <v>14.506170866295699</v>
      </c>
      <c r="L100" s="3">
        <v>17.999477048688401</v>
      </c>
      <c r="M100" s="3">
        <v>13.2915983149638</v>
      </c>
      <c r="N100" s="3">
        <v>10.259286006882499</v>
      </c>
    </row>
    <row r="101" spans="1:14" x14ac:dyDescent="0.35">
      <c r="A101" s="2">
        <v>44726</v>
      </c>
      <c r="B101" s="3">
        <v>32.700992508541503</v>
      </c>
      <c r="C101" s="3">
        <v>14.338044292971199</v>
      </c>
      <c r="D101" s="3">
        <v>13.825118185282401</v>
      </c>
      <c r="E101" s="3">
        <v>11.6890792471476</v>
      </c>
      <c r="F101" s="3">
        <v>13.9810815853462</v>
      </c>
      <c r="G101" s="3">
        <v>17.4306809314525</v>
      </c>
      <c r="H101" s="3">
        <v>11.3108383500887</v>
      </c>
      <c r="I101" s="3">
        <v>24.101251404538701</v>
      </c>
      <c r="J101" s="3">
        <v>18.818388791645202</v>
      </c>
      <c r="K101" s="3">
        <v>13.774360524853799</v>
      </c>
      <c r="L101" s="3">
        <v>17.8315485025255</v>
      </c>
      <c r="M101" s="3">
        <v>13.2594679542858</v>
      </c>
      <c r="N101" s="3">
        <v>9.5459257014199608</v>
      </c>
    </row>
    <row r="102" spans="1:14" x14ac:dyDescent="0.35">
      <c r="A102" s="2">
        <v>44756</v>
      </c>
      <c r="B102" s="3">
        <v>33.189845731311003</v>
      </c>
      <c r="C102" s="3">
        <v>14.0276372002917</v>
      </c>
      <c r="D102" s="3">
        <v>13.009046358537899</v>
      </c>
      <c r="E102" s="3">
        <v>11.167993925847901</v>
      </c>
      <c r="F102" s="3">
        <v>13.835440097784801</v>
      </c>
      <c r="G102" s="3">
        <v>17.558416790744701</v>
      </c>
      <c r="H102" s="3">
        <v>10.7932470286566</v>
      </c>
      <c r="I102" s="3">
        <v>24.2018539309258</v>
      </c>
      <c r="J102" s="3">
        <v>18.594282078362301</v>
      </c>
      <c r="K102" s="3">
        <v>13.200038689208199</v>
      </c>
      <c r="L102" s="3">
        <v>18.056949345350699</v>
      </c>
      <c r="M102" s="3">
        <v>13.7001123430631</v>
      </c>
      <c r="N102" s="3">
        <v>9.0057348937434494</v>
      </c>
    </row>
    <row r="103" spans="1:14" x14ac:dyDescent="0.35">
      <c r="A103" s="2">
        <v>44785</v>
      </c>
      <c r="B103" s="3">
        <v>33.346232087366502</v>
      </c>
      <c r="C103" s="3">
        <v>14.619092881656099</v>
      </c>
      <c r="D103" s="3">
        <v>13.346798907314501</v>
      </c>
      <c r="E103" s="3">
        <v>11.3225370901876</v>
      </c>
      <c r="F103" s="3">
        <v>14.039278770317299</v>
      </c>
      <c r="G103" s="3">
        <v>18.371616356872</v>
      </c>
      <c r="H103" s="3">
        <v>10.823356200374301</v>
      </c>
      <c r="I103" s="3">
        <v>26.440938739784698</v>
      </c>
      <c r="J103" s="3">
        <v>19.7058387573659</v>
      </c>
      <c r="K103" s="3">
        <v>13.247263322311801</v>
      </c>
      <c r="L103" s="3">
        <v>19.735495071058399</v>
      </c>
      <c r="M103" s="3">
        <v>14.8741791137374</v>
      </c>
      <c r="N103" s="3">
        <v>8.7859305006205997</v>
      </c>
    </row>
    <row r="104" spans="1:14" x14ac:dyDescent="0.35">
      <c r="A104" s="2">
        <v>44818</v>
      </c>
      <c r="B104" s="3">
        <v>34.040139177612801</v>
      </c>
      <c r="C104" s="3">
        <v>13.9648914140577</v>
      </c>
      <c r="D104" s="3">
        <v>12.8354542473158</v>
      </c>
      <c r="E104" s="3">
        <v>10.798078160527901</v>
      </c>
      <c r="F104" s="3">
        <v>13.6433911592122</v>
      </c>
      <c r="G104" s="3">
        <v>17.790576498314799</v>
      </c>
      <c r="H104" s="3">
        <v>10.164163470558</v>
      </c>
      <c r="I104" s="3">
        <v>24.417948982558102</v>
      </c>
      <c r="J104" s="3">
        <v>18.500125893487599</v>
      </c>
      <c r="K104" s="3">
        <v>12.4479262841425</v>
      </c>
      <c r="L104" s="3">
        <v>18.373954102068399</v>
      </c>
      <c r="M104" s="3">
        <v>14.746232613233101</v>
      </c>
      <c r="N104" s="3">
        <v>8.5215929575924108</v>
      </c>
    </row>
    <row r="105" spans="1:14" x14ac:dyDescent="0.35">
      <c r="A105" s="2">
        <v>44848</v>
      </c>
      <c r="B105" s="3">
        <v>31.058113125081601</v>
      </c>
      <c r="C105" s="3">
        <v>13.3955053427908</v>
      </c>
      <c r="D105" s="3">
        <v>11.9861223582625</v>
      </c>
      <c r="E105" s="3">
        <v>10.130643764240199</v>
      </c>
      <c r="F105" s="3">
        <v>13.176137807513401</v>
      </c>
      <c r="G105" s="3">
        <v>17.018413551991699</v>
      </c>
      <c r="H105" s="3">
        <v>9.3999338222829802</v>
      </c>
      <c r="I105" s="3">
        <v>22.1476503641879</v>
      </c>
      <c r="J105" s="3">
        <v>17.131423227327499</v>
      </c>
      <c r="K105" s="3">
        <v>11.5013563609984</v>
      </c>
      <c r="L105" s="3">
        <v>16.699435771699701</v>
      </c>
      <c r="M105" s="3">
        <v>14.648694458419101</v>
      </c>
      <c r="N105" s="3">
        <v>7.9156788744197204</v>
      </c>
    </row>
    <row r="106" spans="1:14" x14ac:dyDescent="0.35">
      <c r="A106" s="2">
        <v>44879</v>
      </c>
      <c r="B106" s="3">
        <v>31.031768448894599</v>
      </c>
      <c r="C106" s="3">
        <v>14.209639214605399</v>
      </c>
      <c r="D106" s="3">
        <v>12.585655316472501</v>
      </c>
      <c r="E106" s="3">
        <v>11.0689823756694</v>
      </c>
      <c r="F106" s="3">
        <v>13.437188870956</v>
      </c>
      <c r="G106" s="3">
        <v>19.572142307262201</v>
      </c>
      <c r="H106" s="3">
        <v>9.7262135270209402</v>
      </c>
      <c r="I106" s="3">
        <v>23.701214980080099</v>
      </c>
      <c r="J106" s="3">
        <v>18.297391935332602</v>
      </c>
      <c r="K106" s="3">
        <v>12.201212337445901</v>
      </c>
      <c r="L106" s="3">
        <v>18.5062472146905</v>
      </c>
      <c r="M106" s="3">
        <v>14.2526157484651</v>
      </c>
      <c r="N106" s="3">
        <v>8.4652331005749399</v>
      </c>
    </row>
    <row r="107" spans="1:14" x14ac:dyDescent="0.35">
      <c r="A107" s="2">
        <v>44909</v>
      </c>
      <c r="B107" s="3">
        <v>29.434193946887099</v>
      </c>
      <c r="C107" s="3">
        <v>14.3891610168839</v>
      </c>
      <c r="D107" s="3">
        <v>12.482905825692001</v>
      </c>
      <c r="E107" s="3">
        <v>10.840528875515</v>
      </c>
      <c r="F107" s="3">
        <v>13.4751086026631</v>
      </c>
      <c r="G107" s="3">
        <v>20.6124057391573</v>
      </c>
      <c r="H107" s="3">
        <v>9.9224509271721004</v>
      </c>
      <c r="I107" s="3">
        <v>23.450636184265701</v>
      </c>
      <c r="J107" s="3">
        <v>18.218932903038699</v>
      </c>
      <c r="K107" s="3">
        <v>12.1156346283448</v>
      </c>
      <c r="L107" s="3">
        <v>18.782381098075</v>
      </c>
      <c r="M107" s="3">
        <v>15.996507669993701</v>
      </c>
      <c r="N107" s="3">
        <v>7.7678597914968996</v>
      </c>
    </row>
    <row r="108" spans="1:14" x14ac:dyDescent="0.35">
      <c r="A108" s="2">
        <v>44939</v>
      </c>
      <c r="B108" s="3">
        <v>29.640046548625602</v>
      </c>
      <c r="C108" s="3">
        <v>14.5110175390165</v>
      </c>
      <c r="D108" s="3">
        <v>12.632659695047</v>
      </c>
      <c r="E108" s="3">
        <v>11.391369627602399</v>
      </c>
      <c r="F108" s="3">
        <v>12.889100625609601</v>
      </c>
      <c r="G108" s="3">
        <v>21.384247861151</v>
      </c>
      <c r="H108" s="3">
        <v>10.1921051480166</v>
      </c>
      <c r="I108" s="3">
        <v>23.933709384047599</v>
      </c>
      <c r="J108" s="3">
        <v>18.130431905413399</v>
      </c>
      <c r="K108" s="3">
        <v>12.603831064910199</v>
      </c>
      <c r="L108" s="3">
        <v>19.390270328397499</v>
      </c>
      <c r="M108" s="3">
        <v>16.636478274566102</v>
      </c>
      <c r="N108" s="3">
        <v>8.0386208158185504</v>
      </c>
    </row>
    <row r="109" spans="1:14" x14ac:dyDescent="0.35">
      <c r="A109" s="2">
        <v>44971</v>
      </c>
      <c r="B109" s="3">
        <v>29.775264202247001</v>
      </c>
      <c r="C109" s="3">
        <v>14.7572341397175</v>
      </c>
      <c r="D109" s="3">
        <v>12.9047180099484</v>
      </c>
      <c r="E109" s="3">
        <v>11.5934756693557</v>
      </c>
      <c r="F109" s="3">
        <v>13.5310837354772</v>
      </c>
      <c r="G109" s="3">
        <v>21.3909929672602</v>
      </c>
      <c r="H109" s="3">
        <v>10.261820502608</v>
      </c>
      <c r="I109" s="3">
        <v>26.219806732111699</v>
      </c>
      <c r="J109" s="3">
        <v>18.785299715542401</v>
      </c>
      <c r="K109" s="3">
        <v>12.799770853641199</v>
      </c>
      <c r="L109" s="3">
        <v>20.7972285289515</v>
      </c>
      <c r="M109" s="3">
        <v>26.156291840524101</v>
      </c>
      <c r="N109" s="3">
        <v>8.2928700069119099</v>
      </c>
    </row>
    <row r="110" spans="1:14" x14ac:dyDescent="0.35">
      <c r="A110" s="2">
        <v>44999</v>
      </c>
      <c r="B110" s="3">
        <v>29.101705784126999</v>
      </c>
      <c r="C110" s="3">
        <v>14.157958411051499</v>
      </c>
      <c r="D110" s="3">
        <v>12.5400261409678</v>
      </c>
      <c r="E110" s="3">
        <v>11.321436581984401</v>
      </c>
      <c r="F110" s="3">
        <v>13.586137600730501</v>
      </c>
      <c r="G110" s="3">
        <v>20.480606926596199</v>
      </c>
      <c r="H110" s="3">
        <v>10.2081535590348</v>
      </c>
      <c r="I110" s="3">
        <v>25.237746910830602</v>
      </c>
      <c r="J110" s="3">
        <v>17.9984285176483</v>
      </c>
      <c r="K110" s="3">
        <v>12.893088728501301</v>
      </c>
      <c r="L110" s="3">
        <v>20.410416375194</v>
      </c>
      <c r="M110" s="3">
        <v>25.069257277038002</v>
      </c>
      <c r="N110" s="3">
        <v>8.2665981599925296</v>
      </c>
    </row>
    <row r="111" spans="1:14" x14ac:dyDescent="0.35">
      <c r="A111" s="2">
        <v>45030</v>
      </c>
      <c r="B111" s="3">
        <v>28.664048062803801</v>
      </c>
      <c r="C111" s="3">
        <v>14.363366161459499</v>
      </c>
      <c r="D111" s="3">
        <v>12.7615777286765</v>
      </c>
      <c r="E111" s="3">
        <v>11.4250553409291</v>
      </c>
      <c r="F111" s="3">
        <v>13.687554157178299</v>
      </c>
      <c r="G111" s="3">
        <v>20.409473621665299</v>
      </c>
      <c r="H111" s="3">
        <v>10.397149182829301</v>
      </c>
      <c r="I111" s="3">
        <v>25.663989828792399</v>
      </c>
      <c r="J111" s="3">
        <v>18.290908729934699</v>
      </c>
      <c r="K111" s="3">
        <v>13.139861643347301</v>
      </c>
      <c r="L111" s="3">
        <v>20.1749445094447</v>
      </c>
      <c r="M111" s="3">
        <v>23.941697017760099</v>
      </c>
      <c r="N111" s="3">
        <v>8.3997539823471605</v>
      </c>
    </row>
    <row r="112" spans="1:14" x14ac:dyDescent="0.35">
      <c r="A112" s="2">
        <v>45058</v>
      </c>
      <c r="B112" s="3">
        <v>28.272840077489899</v>
      </c>
      <c r="C112" s="3">
        <v>14.3444266458699</v>
      </c>
      <c r="D112" s="3">
        <v>12.850250355686599</v>
      </c>
      <c r="E112" s="3">
        <v>11.330344772528401</v>
      </c>
      <c r="F112" s="3">
        <v>13.8766420500067</v>
      </c>
      <c r="G112" s="3">
        <v>20.195594599358699</v>
      </c>
      <c r="H112" s="3">
        <v>10.3497110067704</v>
      </c>
      <c r="I112" s="3">
        <v>25.739248352446701</v>
      </c>
      <c r="J112" s="3">
        <v>18.2951491597439</v>
      </c>
      <c r="K112" s="3">
        <v>13.1467648938547</v>
      </c>
      <c r="L112" s="3">
        <v>19.604267119360799</v>
      </c>
      <c r="M112" s="3">
        <v>22.7751047976557</v>
      </c>
      <c r="N112" s="3">
        <v>8.3060522317683994</v>
      </c>
    </row>
    <row r="113" spans="1:25" x14ac:dyDescent="0.35">
      <c r="A113" s="2">
        <v>45091</v>
      </c>
      <c r="B113" s="3">
        <v>26.320862071784301</v>
      </c>
      <c r="C113" s="3">
        <v>14.4974419590541</v>
      </c>
      <c r="D113" s="3">
        <v>12.9414822716816</v>
      </c>
      <c r="E113" s="3">
        <v>11.347361528410399</v>
      </c>
      <c r="F113" s="3">
        <v>14.5429574994342</v>
      </c>
      <c r="G113" s="3">
        <v>19.4724077310292</v>
      </c>
      <c r="H113" s="3">
        <v>10.352939549996799</v>
      </c>
      <c r="I113" s="3">
        <v>27.0983510430151</v>
      </c>
      <c r="J113" s="3">
        <v>18.837919774439701</v>
      </c>
      <c r="K113" s="3">
        <v>13.220852959760901</v>
      </c>
      <c r="L113" s="3">
        <v>19.452530481973199</v>
      </c>
      <c r="M113" s="3">
        <v>21.6195878706381</v>
      </c>
      <c r="N113" s="3">
        <v>8.5395995825282807</v>
      </c>
    </row>
    <row r="114" spans="1:25" x14ac:dyDescent="0.35">
      <c r="A114" s="2">
        <v>45121</v>
      </c>
      <c r="B114" s="3">
        <v>25.8381185940531</v>
      </c>
      <c r="C114" s="3">
        <v>14.872112769604501</v>
      </c>
      <c r="D114" s="3">
        <v>13.277176607832301</v>
      </c>
      <c r="E114" s="3">
        <v>11.2803055681378</v>
      </c>
      <c r="F114" s="3">
        <v>14.450457148701799</v>
      </c>
      <c r="G114" s="3">
        <v>19.235683344392601</v>
      </c>
      <c r="H114" s="3">
        <v>10.4247879196603</v>
      </c>
      <c r="I114" s="3">
        <v>27.784042116594499</v>
      </c>
      <c r="J114" s="3">
        <v>19.3815665041577</v>
      </c>
      <c r="K114" s="3">
        <v>13.342216521582699</v>
      </c>
      <c r="L114" s="3">
        <v>19.348304798011299</v>
      </c>
      <c r="M114" s="3">
        <v>20.265501254752301</v>
      </c>
      <c r="N114" s="3">
        <v>8.6578893550374207</v>
      </c>
    </row>
    <row r="115" spans="1:25" x14ac:dyDescent="0.35">
      <c r="A115" s="2">
        <v>45152</v>
      </c>
      <c r="B115" s="3">
        <v>24.756345923054901</v>
      </c>
      <c r="C115" s="3">
        <v>14.9189301808384</v>
      </c>
      <c r="D115" s="3">
        <v>13.4389387863888</v>
      </c>
      <c r="E115" s="3">
        <v>11.228582599602699</v>
      </c>
      <c r="F115" s="3">
        <v>14.5668381418397</v>
      </c>
      <c r="G115" s="3">
        <v>18.924442737426698</v>
      </c>
      <c r="H115" s="3">
        <v>10.519052357441399</v>
      </c>
      <c r="I115" s="3">
        <v>26.540278574300199</v>
      </c>
      <c r="J115" s="3">
        <v>19.450868414136298</v>
      </c>
      <c r="K115" s="3">
        <v>13.3307202941547</v>
      </c>
      <c r="L115" s="3">
        <v>18.3368735284742</v>
      </c>
      <c r="M115" s="3">
        <v>18.828594888158602</v>
      </c>
      <c r="N115" s="3">
        <v>8.2410398410565708</v>
      </c>
    </row>
    <row r="116" spans="1:25" x14ac:dyDescent="0.35">
      <c r="A116" s="2">
        <v>45183</v>
      </c>
      <c r="B116" s="3">
        <v>23.9701324956464</v>
      </c>
      <c r="C116" s="3">
        <v>15.0153349895935</v>
      </c>
      <c r="D116" s="3">
        <v>13.7553569026303</v>
      </c>
      <c r="E116" s="3">
        <v>11.249830787475601</v>
      </c>
      <c r="F116" s="3">
        <v>15.168996651637</v>
      </c>
      <c r="G116" s="3">
        <v>18.803379192457701</v>
      </c>
      <c r="H116" s="3">
        <v>10.674785453785599</v>
      </c>
      <c r="I116" s="3">
        <v>26.8283613735729</v>
      </c>
      <c r="J116" s="3">
        <v>19.636488572994399</v>
      </c>
      <c r="K116" s="3">
        <v>13.2486876109327</v>
      </c>
      <c r="L116" s="3">
        <v>17.321502539218301</v>
      </c>
      <c r="M116" s="3">
        <v>17.449754366671801</v>
      </c>
      <c r="N116" s="3">
        <v>8.4256504672277099</v>
      </c>
    </row>
    <row r="117" spans="1:25" x14ac:dyDescent="0.35">
      <c r="A117" s="2">
        <v>45212</v>
      </c>
      <c r="B117" s="3">
        <v>23.360001052797799</v>
      </c>
      <c r="C117" s="3">
        <v>14.681287045611599</v>
      </c>
      <c r="D117" s="3">
        <v>13.248889558353399</v>
      </c>
      <c r="E117" s="3">
        <v>10.9290196500916</v>
      </c>
      <c r="F117" s="3">
        <v>14.795517130317201</v>
      </c>
      <c r="G117" s="3">
        <v>18.342082232029199</v>
      </c>
      <c r="H117" s="3">
        <v>10.5651257834785</v>
      </c>
      <c r="I117" s="3">
        <v>26.394033648960399</v>
      </c>
      <c r="J117" s="3">
        <v>19.223331739276301</v>
      </c>
      <c r="K117" s="3">
        <v>12.749286622593299</v>
      </c>
      <c r="L117" s="3">
        <v>16.4034953277814</v>
      </c>
      <c r="M117" s="3">
        <v>16.339171165068802</v>
      </c>
      <c r="N117" s="3">
        <v>8.2127689275918492</v>
      </c>
    </row>
    <row r="118" spans="1:25" x14ac:dyDescent="0.35">
      <c r="A118" s="2">
        <v>45244</v>
      </c>
      <c r="B118" s="3">
        <v>22.7088989544269</v>
      </c>
      <c r="C118" s="3">
        <v>14.917813916593399</v>
      </c>
      <c r="D118" s="3">
        <v>13.589353712998999</v>
      </c>
      <c r="E118" s="3">
        <v>11.2088085127791</v>
      </c>
      <c r="F118" s="3">
        <v>15.067320182890599</v>
      </c>
      <c r="G118" s="3">
        <v>17.8553992988309</v>
      </c>
      <c r="H118" s="3">
        <v>10.616829800558399</v>
      </c>
      <c r="I118" s="3">
        <v>27.446960828836001</v>
      </c>
      <c r="J118" s="3">
        <v>20.077671831427001</v>
      </c>
      <c r="K118" s="3">
        <v>13.156508411109799</v>
      </c>
      <c r="L118" s="3">
        <v>16.4909669384114</v>
      </c>
      <c r="M118" s="3">
        <v>15.809349570782199</v>
      </c>
      <c r="N118" s="3">
        <v>8.2863930316574699</v>
      </c>
    </row>
    <row r="119" spans="1:25" x14ac:dyDescent="0.35">
      <c r="A119" s="2">
        <v>45274</v>
      </c>
      <c r="B119" s="3">
        <v>24.048923240524999</v>
      </c>
      <c r="C119" s="3">
        <v>15.8821006440039</v>
      </c>
      <c r="D119" s="3">
        <v>14.3376313654919</v>
      </c>
      <c r="E119" s="3">
        <v>11.9488414575719</v>
      </c>
      <c r="F119" s="3">
        <v>14.925360685709499</v>
      </c>
      <c r="G119" s="3">
        <v>18.4700035598723</v>
      </c>
      <c r="H119" s="3">
        <v>11.1461326642189</v>
      </c>
      <c r="I119" s="3">
        <v>28.553670424874401</v>
      </c>
      <c r="J119" s="3">
        <v>21.2434436423029</v>
      </c>
      <c r="K119" s="3">
        <v>14.0473298988703</v>
      </c>
      <c r="L119" s="3">
        <v>16.918057700519601</v>
      </c>
      <c r="M119" s="3">
        <v>18.054954778714599</v>
      </c>
      <c r="N119" s="3">
        <v>8.8149655359748706</v>
      </c>
    </row>
    <row r="120" spans="1:25" x14ac:dyDescent="0.35">
      <c r="A120" s="2">
        <v>45303</v>
      </c>
      <c r="B120" s="3">
        <v>24.056602542084502</v>
      </c>
      <c r="C120" s="3">
        <v>16.2673596155824</v>
      </c>
      <c r="D120" s="3">
        <v>14.595242895602</v>
      </c>
      <c r="E120" s="3">
        <v>11.8855013811955</v>
      </c>
      <c r="F120" s="3">
        <v>16.2127511908202</v>
      </c>
      <c r="G120" s="3">
        <v>18.4583991509618</v>
      </c>
      <c r="H120" s="3">
        <v>11.253758593542701</v>
      </c>
      <c r="I120" s="3">
        <v>29.065623425609601</v>
      </c>
      <c r="J120" s="3">
        <v>21.819476718739502</v>
      </c>
      <c r="K120" s="3">
        <v>14.061122402654799</v>
      </c>
      <c r="L120" s="3">
        <v>16.420194967707499</v>
      </c>
      <c r="M120" s="3">
        <v>17.419041050661999</v>
      </c>
      <c r="N120" s="3">
        <v>8.9871310472507293</v>
      </c>
    </row>
    <row r="121" spans="1:25" x14ac:dyDescent="0.35">
      <c r="A121" s="2">
        <v>45336</v>
      </c>
      <c r="B121" s="3">
        <v>22.8727402320621</v>
      </c>
      <c r="C121" s="3">
        <v>16.245262691654201</v>
      </c>
      <c r="D121" s="3">
        <v>14.5069282904497</v>
      </c>
      <c r="E121" s="3">
        <v>12.0332069177938</v>
      </c>
      <c r="F121" s="3">
        <v>16.502703667918599</v>
      </c>
      <c r="G121" s="3">
        <v>18.8292711125927</v>
      </c>
      <c r="H121" s="3">
        <v>11.1379079096067</v>
      </c>
      <c r="I121" s="3">
        <v>30.131492876397299</v>
      </c>
      <c r="J121" s="3">
        <v>22.444098995317098</v>
      </c>
      <c r="K121" s="3">
        <v>14.724674526036299</v>
      </c>
      <c r="L121" s="3">
        <v>17.638292855340602</v>
      </c>
      <c r="M121" s="3">
        <v>15.292292320965601</v>
      </c>
      <c r="N121" s="3">
        <v>9.1339435313064996</v>
      </c>
    </row>
    <row r="122" spans="1:25" x14ac:dyDescent="0.35">
      <c r="A122" s="2">
        <v>45364</v>
      </c>
      <c r="B122" s="3">
        <v>23.778605658339501</v>
      </c>
      <c r="C122" s="3">
        <v>16.62195570019</v>
      </c>
      <c r="D122" s="3">
        <v>14.942032758589299</v>
      </c>
      <c r="E122" s="3">
        <v>12.544241808006101</v>
      </c>
      <c r="F122" s="3">
        <v>16.9399777480746</v>
      </c>
      <c r="G122" s="3">
        <v>19.2352179019083</v>
      </c>
      <c r="H122" s="3">
        <v>11.4714269776909</v>
      </c>
      <c r="I122" s="3">
        <v>30.149678251074199</v>
      </c>
      <c r="J122" s="3">
        <v>22.730184632142699</v>
      </c>
      <c r="K122" s="3">
        <v>15.531311280257899</v>
      </c>
      <c r="L122" s="3">
        <v>18.516324510129401</v>
      </c>
      <c r="M122" s="3">
        <v>16.0389060439799</v>
      </c>
      <c r="N122" s="3">
        <v>9.4153983637725105</v>
      </c>
    </row>
    <row r="124" spans="1:25" x14ac:dyDescent="0.35">
      <c r="A124" s="2" t="s">
        <v>95</v>
      </c>
      <c r="B124" s="3" cm="1">
        <f t="array" ref="B124">MIN(_xlfn._xlws.FILTER(B1:B122, ISNUMBER(B1:B122)))</f>
        <v>17.624855067308399</v>
      </c>
      <c r="C124" s="3" cm="1">
        <f t="array" ref="C124">MIN(_xlfn._xlws.FILTER(C1:C122, ISNUMBER(C1:C122)))</f>
        <v>13.3955053427908</v>
      </c>
      <c r="D124" s="3" cm="1">
        <f t="array" ref="D124">MIN(_xlfn._xlws.FILTER(D1:D122, ISNUMBER(D1:D122)))</f>
        <v>11.9861223582625</v>
      </c>
      <c r="E124" s="3" cm="1">
        <f t="array" ref="E124">MIN(_xlfn._xlws.FILTER(E1:E122, ISNUMBER(E1:E122)))</f>
        <v>10.130643764240199</v>
      </c>
      <c r="F124" s="3" cm="1">
        <f t="array" ref="F124">MIN(_xlfn._xlws.FILTER(F1:F122, ISNUMBER(F1:F122)))</f>
        <v>11.791230734095301</v>
      </c>
      <c r="G124" s="3" cm="1">
        <f t="array" ref="G124">MIN(_xlfn._xlws.FILTER(G1:G122, ISNUMBER(G1:G122)))</f>
        <v>16.1151152552656</v>
      </c>
      <c r="H124" s="3" cm="1">
        <f t="array" ref="H124">MIN(_xlfn._xlws.FILTER(H1:H122, ISNUMBER(H1:H122)))</f>
        <v>9.3999338222829802</v>
      </c>
      <c r="I124" s="3" cm="1">
        <f t="array" ref="I124">MIN(_xlfn._xlws.FILTER(I1:I122, ISNUMBER(I1:I122)))</f>
        <v>17.6074768266086</v>
      </c>
      <c r="J124" s="3" cm="1">
        <f t="array" ref="J124">MIN(_xlfn._xlws.FILTER(J1:J122, ISNUMBER(J1:J122)))</f>
        <v>15.7879949147533</v>
      </c>
      <c r="K124" s="3" cm="1">
        <f t="array" ref="K124">MIN(_xlfn._xlws.FILTER(K1:K122, ISNUMBER(K1:K122)))</f>
        <v>11.5013563609984</v>
      </c>
      <c r="L124" s="3" cm="1">
        <f t="array" ref="L124">MIN(_xlfn._xlws.FILTER(L1:L122, ISNUMBER(L1:L122)))</f>
        <v>14.5355808991335</v>
      </c>
      <c r="M124" s="3" cm="1">
        <f t="array" ref="M124">MIN(_xlfn._xlws.FILTER(M1:M122, ISNUMBER(M1:M122)))</f>
        <v>11.801066490561199</v>
      </c>
      <c r="N124" s="3" cm="1">
        <f t="array" ref="N124">MIN(_xlfn._xlws.FILTER(N1:N122, ISNUMBER(N1:N122)))</f>
        <v>7.7678597914968996</v>
      </c>
    </row>
    <row r="125" spans="1:25" x14ac:dyDescent="0.35">
      <c r="A125" s="2" t="s">
        <v>96</v>
      </c>
      <c r="B125" s="3" cm="1">
        <f t="array" ref="B125">MAX(_xlfn._xlws.FILTER(B1:B122, ISNUMBER(B1:B122)))</f>
        <v>39.065594801580502</v>
      </c>
      <c r="C125" s="3" cm="1">
        <f t="array" ref="C125">MAX(_xlfn._xlws.FILTER(C1:C122, ISNUMBER(C1:C122)))</f>
        <v>23.357635389321601</v>
      </c>
      <c r="D125" s="3" cm="1">
        <f t="array" ref="D125">MAX(_xlfn._xlws.FILTER(D1:D122, ISNUMBER(D1:D122)))</f>
        <v>21.195952122586998</v>
      </c>
      <c r="E125" s="3" cm="1">
        <f t="array" ref="E125">MAX(_xlfn._xlws.FILTER(E1:E122, ISNUMBER(E1:E122)))</f>
        <v>22.196035264687001</v>
      </c>
      <c r="F125" s="3" cm="1">
        <f t="array" ref="F125">MAX(_xlfn._xlws.FILTER(F1:F122, ISNUMBER(F1:F122)))</f>
        <v>24.152726344401</v>
      </c>
      <c r="G125" s="3" cm="1">
        <f t="array" ref="G125">MAX(_xlfn._xlws.FILTER(G1:G122, ISNUMBER(G1:G122)))</f>
        <v>22.0063220277673</v>
      </c>
      <c r="H125" s="3" cm="1">
        <f t="array" ref="H125">MAX(_xlfn._xlws.FILTER(H1:H122, ISNUMBER(H1:H122)))</f>
        <v>20.430756417409899</v>
      </c>
      <c r="I125" s="3" cm="1">
        <f t="array" ref="I125">MAX(_xlfn._xlws.FILTER(I1:I122, ISNUMBER(I1:I122)))</f>
        <v>35.596468553824401</v>
      </c>
      <c r="J125" s="3" cm="1">
        <f t="array" ref="J125">MAX(_xlfn._xlws.FILTER(J1:J122, ISNUMBER(J1:J122)))</f>
        <v>27.458288945152599</v>
      </c>
      <c r="K125" s="3" cm="1">
        <f t="array" ref="K125">MAX(_xlfn._xlws.FILTER(K1:K122, ISNUMBER(K1:K122)))</f>
        <v>29.1691301648132</v>
      </c>
      <c r="L125" s="3" cm="1">
        <f t="array" ref="L125">MAX(_xlfn._xlws.FILTER(L1:L122, ISNUMBER(L1:L122)))</f>
        <v>29.898961082610999</v>
      </c>
      <c r="M125" s="3" cm="1">
        <f t="array" ref="M125">MAX(_xlfn._xlws.FILTER(M1:M122, ISNUMBER(M1:M122)))</f>
        <v>26.156291840524101</v>
      </c>
      <c r="N125" s="3" cm="1">
        <f t="array" ref="N125">MAX(_xlfn._xlws.FILTER(N1:N122, ISNUMBER(N1:N122)))</f>
        <v>82.727662057643997</v>
      </c>
    </row>
    <row r="127" spans="1:25" x14ac:dyDescent="0.35">
      <c r="A127" s="2" t="s">
        <v>97</v>
      </c>
      <c r="B127" s="9" cm="1">
        <f t="array" ref="B127">_xlfn.PERCENTRANK.EXC(_xlfn._xlws.FILTER(B1:B122, ISNUMBER(B1:B122)),B121)</f>
        <v>0.46700000000000003</v>
      </c>
      <c r="C127" s="9" cm="1">
        <f t="array" ref="C127">_xlfn.PERCENTRANK.EXC(_xlfn._xlws.FILTER(C1:C122, ISNUMBER(C1:C122)),C121)</f>
        <v>0.52400000000000002</v>
      </c>
      <c r="D127" s="9" cm="1">
        <f t="array" ref="D127">_xlfn.PERCENTRANK.EXC(_xlfn._xlws.FILTER(D1:D122, ISNUMBER(D1:D122)),D121)</f>
        <v>0.23699999999999999</v>
      </c>
      <c r="E127" s="9" cm="1">
        <f t="array" ref="E127">_xlfn.PERCENTRANK.EXC(_xlfn._xlws.FILTER(E1:E122, ISNUMBER(E1:E122)),E121)</f>
        <v>0.18</v>
      </c>
      <c r="F127" s="9" cm="1">
        <f t="array" ref="F127">_xlfn.PERCENTRANK.EXC(_xlfn._xlws.FILTER(F1:F122, ISNUMBER(F1:F122)),F121)</f>
        <v>0.77</v>
      </c>
      <c r="G127" s="9" cm="1">
        <f t="array" ref="G127">_xlfn.PERCENTRANK.EXC(_xlfn._xlws.FILTER(G1:G122, ISNUMBER(G1:G122)),G121)</f>
        <v>0.55700000000000005</v>
      </c>
      <c r="H127" s="9" cm="1">
        <f t="array" ref="H127">_xlfn.PERCENTRANK.EXC(_xlfn._xlws.FILTER(H1:H122, ISNUMBER(H1:H122)),H121)</f>
        <v>0.14699999999999999</v>
      </c>
      <c r="I127" s="9" cm="1">
        <f t="array" ref="I127">_xlfn.PERCENTRANK.EXC(_xlfn._xlws.FILTER(I1:I122, ISNUMBER(I1:I122)),I121)</f>
        <v>0.84399999999999997</v>
      </c>
      <c r="J127" s="9" cm="1">
        <f t="array" ref="J127">_xlfn.PERCENTRANK.EXC(_xlfn._xlws.FILTER(J1:J122, ISNUMBER(J1:J122)),J121)</f>
        <v>0.83599999999999997</v>
      </c>
      <c r="K127" s="9" cm="1">
        <f t="array" ref="K127">_xlfn.PERCENTRANK.EXC(_xlfn._xlws.FILTER(K1:K122, ISNUMBER(K1:K122)),K121)</f>
        <v>0.311</v>
      </c>
      <c r="L127" s="9" cm="1">
        <f t="array" ref="L127">_xlfn.PERCENTRANK.EXC(_xlfn._xlws.FILTER(L1:L122, ISNUMBER(L1:L122)),L121)</f>
        <v>0.55700000000000005</v>
      </c>
      <c r="M127" s="9" cm="1">
        <f t="array" ref="M127">_xlfn.PERCENTRANK.EXC(_xlfn._xlws.FILTER(M1:M122, ISNUMBER(M1:M122)),M121)</f>
        <v>0.18</v>
      </c>
      <c r="N127" s="9" cm="1">
        <f t="array" ref="N127">_xlfn.PERCENTRANK.EXC(_xlfn._xlws.FILTER(N1:N122, ISNUMBER(N1:N122)),N121)</f>
        <v>0.16300000000000001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14" x14ac:dyDescent="0.35">
      <c r="B1" t="s">
        <v>435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x14ac:dyDescent="0.35">
      <c r="A2" s="2" cm="1">
        <f t="array" ref="A2:A122">_xll.FDS(B1,"JULIAN(FMA_DIV_YLD(NTMA,-10AY,0,AM,""PORTAGG"",""MEANR"").dates)")</f>
        <v>41712</v>
      </c>
      <c r="B2" s="3" cm="1">
        <f t="array" ref="B2:B122">_xll.FDS(B1,"FMA_PE(NTMA,-10AY,0,AM,""PORTAGG"",""MEANR"")")</f>
        <v>17.277150640691399</v>
      </c>
      <c r="C2" s="3" cm="1">
        <f t="array" ref="C2:C122">_xll.FDS(C1,"FMA_PE(NTMA,-10AY,0,AM,""PORTAGG"",""MEANR"")")</f>
        <v>13.8783776584335</v>
      </c>
      <c r="D2" s="3" cm="1">
        <f t="array" ref="D2:D122">_xll.FDS(D1,"FMA_PE(NTMA,-10AY,0,AM,""PORTAGG"",""MEANR"")")</f>
        <v>15.065999866506999</v>
      </c>
      <c r="E2" s="3" cm="1">
        <f t="array" ref="E2:E122">_xll.FDS(E1,"FMA_PE(NTMA,-10AY,0,AM,""PORTAGG"",""MEANR"")")</f>
        <v>12.489918161547401</v>
      </c>
      <c r="F2" s="3" cm="1">
        <f t="array" ref="F2:F122">_xll.FDS(F1,"FMA_PE(NTMA,-10AY,0,AM,""PORTAGG"",""MEANR"")")</f>
        <v>12.891424349685501</v>
      </c>
      <c r="G2" s="3" cm="1">
        <f t="array" ref="G2:G122">_xll.FDS(G1,"FMA_PE(NTMA,-10AY,0,AM,""PORTAGG"",""MEANR"")")</f>
        <v>15.4927569289015</v>
      </c>
      <c r="H2" s="3" cm="1">
        <f t="array" ref="H2:H122">_xll.FDS(H1,"FMA_PE(NTMA,-10AY,0,AM,""PORTAGG"",""MEANR"")")</f>
        <v>12.8094128426658</v>
      </c>
      <c r="I2" s="3" cm="1">
        <f t="array" ref="I2:I122">_xll.FDS(I1,"FMA_PE(NTMA,-10AY,0,AM,""PORTAGG"",""MEANR"")")</f>
        <v>17.360831050969601</v>
      </c>
      <c r="J2" s="3" cm="1">
        <f t="array" ref="J2:J122">_xll.FDS(J1,"FMA_PE(NTMA,-10AY,0,AM,""PORTAGG"",""MEANR"")")</f>
        <v>14.835532963145299</v>
      </c>
      <c r="K2" s="3" cm="1">
        <f t="array" ref="K2:K122">_xll.FDS(K1,"FMA_PE(NTMA,-10AY,0,AM,""PORTAGG"",""MEANR"")")</f>
        <v>13.279383497069601</v>
      </c>
      <c r="L2" s="3" cm="1">
        <f t="array" ref="L2:L122">_xll.FDS(L1,"FMA_PE(NTMA,-10AY,0,AM,""PORTAGG"",""MEANR"")")</f>
        <v>13.7074385943418</v>
      </c>
      <c r="M2" s="3" cm="1">
        <f t="array" ref="M2:M122">_xll.FDS(M1,"FMA_PE(NTMA,-10AY,0,AM,""PORTAGG"",""MEANR"")")</f>
        <v>15.4859609843661</v>
      </c>
      <c r="N2" s="3" cm="1">
        <f t="array" ref="N2:N122">_xll.FDS(N1,"FMA_PE(NTMA,-10AY,0,AM,""PORTAGG"",""MEANR"")")</f>
        <v>12.9778502255185</v>
      </c>
    </row>
    <row r="3" spans="1:14" x14ac:dyDescent="0.35">
      <c r="A3" s="2">
        <v>41743</v>
      </c>
      <c r="B3" s="3">
        <v>17.0578243710188</v>
      </c>
      <c r="C3" s="3">
        <v>14.178415233694199</v>
      </c>
      <c r="D3" s="3">
        <v>14.723903623178099</v>
      </c>
      <c r="E3" s="3">
        <v>12.722296560362199</v>
      </c>
      <c r="F3" s="3">
        <v>12.5142846150365</v>
      </c>
      <c r="G3" s="3">
        <v>15.7744398610961</v>
      </c>
      <c r="H3" s="3">
        <v>13.123691638454099</v>
      </c>
      <c r="I3" s="3">
        <v>16.510769671453499</v>
      </c>
      <c r="J3" s="3">
        <v>14.7150655036006</v>
      </c>
      <c r="K3" s="3">
        <v>13.716799133331801</v>
      </c>
      <c r="L3" s="3">
        <v>13.9461586141512</v>
      </c>
      <c r="M3" s="3">
        <v>15.5334737460445</v>
      </c>
      <c r="N3" s="3">
        <v>13.5734962197466</v>
      </c>
    </row>
    <row r="4" spans="1:14" x14ac:dyDescent="0.35">
      <c r="A4" s="2">
        <v>41773</v>
      </c>
      <c r="B4" s="3">
        <v>17.549516624695901</v>
      </c>
      <c r="C4" s="3">
        <v>14.342246413471701</v>
      </c>
      <c r="D4" s="3">
        <v>14.8638836311386</v>
      </c>
      <c r="E4" s="3">
        <v>13.169769808842499</v>
      </c>
      <c r="F4" s="3">
        <v>13.033316403551099</v>
      </c>
      <c r="G4" s="3">
        <v>16.333052008282799</v>
      </c>
      <c r="H4" s="3">
        <v>13.713299054712</v>
      </c>
      <c r="I4" s="3">
        <v>16.642595392476402</v>
      </c>
      <c r="J4" s="3">
        <v>14.9773354617365</v>
      </c>
      <c r="K4" s="3">
        <v>14.1342344188173</v>
      </c>
      <c r="L4" s="3">
        <v>14.179426800562901</v>
      </c>
      <c r="M4" s="3">
        <v>15.8329206506506</v>
      </c>
      <c r="N4" s="3">
        <v>13.7754011372725</v>
      </c>
    </row>
    <row r="5" spans="1:14" x14ac:dyDescent="0.35">
      <c r="A5" s="2">
        <v>41803</v>
      </c>
      <c r="B5" s="3">
        <v>17.254251503368401</v>
      </c>
      <c r="C5" s="3">
        <v>14.2249325725567</v>
      </c>
      <c r="D5" s="3">
        <v>14.9419446970441</v>
      </c>
      <c r="E5" s="3">
        <v>13.293977908284401</v>
      </c>
      <c r="F5" s="3">
        <v>13.6718209818312</v>
      </c>
      <c r="G5" s="3">
        <v>16.246940422041099</v>
      </c>
      <c r="H5" s="3">
        <v>13.6281941834329</v>
      </c>
      <c r="I5" s="3">
        <v>17.219650037921799</v>
      </c>
      <c r="J5" s="3">
        <v>15.220867106123499</v>
      </c>
      <c r="K5" s="3">
        <v>14.325964218380999</v>
      </c>
      <c r="L5" s="3">
        <v>14.5116842271613</v>
      </c>
      <c r="M5" s="3">
        <v>15.714576122562301</v>
      </c>
      <c r="N5" s="3">
        <v>14.5888732738745</v>
      </c>
    </row>
    <row r="6" spans="1:14" x14ac:dyDescent="0.35">
      <c r="A6" s="2">
        <v>41834</v>
      </c>
      <c r="B6" s="3">
        <v>17.189764534319799</v>
      </c>
      <c r="C6" s="3">
        <v>14.6932840484448</v>
      </c>
      <c r="D6" s="3">
        <v>15.0076886882821</v>
      </c>
      <c r="E6" s="3">
        <v>12.989673217175699</v>
      </c>
      <c r="F6" s="3">
        <v>13.7409236200759</v>
      </c>
      <c r="G6" s="3">
        <v>16.057432483551299</v>
      </c>
      <c r="H6" s="3">
        <v>13.566157900488101</v>
      </c>
      <c r="I6" s="3">
        <v>17.692572716007</v>
      </c>
      <c r="J6" s="3">
        <v>15.3947909210726</v>
      </c>
      <c r="K6" s="3">
        <v>13.6952835930463</v>
      </c>
      <c r="L6" s="3">
        <v>14.176958453909499</v>
      </c>
      <c r="M6" s="3">
        <v>15.495731066738101</v>
      </c>
      <c r="N6" s="3">
        <v>13.8460168795323</v>
      </c>
    </row>
    <row r="7" spans="1:14" x14ac:dyDescent="0.35">
      <c r="A7" s="2">
        <v>41865</v>
      </c>
      <c r="B7" s="3">
        <v>16.9809123234634</v>
      </c>
      <c r="C7" s="3">
        <v>14.714169538327599</v>
      </c>
      <c r="D7" s="3">
        <v>14.9824547941178</v>
      </c>
      <c r="E7" s="3">
        <v>12.3102771047948</v>
      </c>
      <c r="F7" s="3">
        <v>13.6205984266201</v>
      </c>
      <c r="G7" s="3">
        <v>15.879606042945699</v>
      </c>
      <c r="H7" s="3">
        <v>13.350094944634399</v>
      </c>
      <c r="I7" s="3">
        <v>17.477571787456402</v>
      </c>
      <c r="J7" s="3">
        <v>15.0445158617306</v>
      </c>
      <c r="K7" s="3">
        <v>13.2201632846572</v>
      </c>
      <c r="L7" s="3">
        <v>13.8105026279211</v>
      </c>
      <c r="M7" s="3">
        <v>15.064683424255399</v>
      </c>
      <c r="N7" s="3">
        <v>13.0560077498886</v>
      </c>
    </row>
    <row r="8" spans="1:14" x14ac:dyDescent="0.35">
      <c r="A8" s="2">
        <v>41894</v>
      </c>
      <c r="B8" s="3">
        <v>17.165981647242798</v>
      </c>
      <c r="C8" s="3">
        <v>14.5786822689824</v>
      </c>
      <c r="D8" s="3">
        <v>15.133128947654701</v>
      </c>
      <c r="E8" s="3">
        <v>12.764031224693101</v>
      </c>
      <c r="F8" s="3">
        <v>13.940713611507199</v>
      </c>
      <c r="G8" s="3">
        <v>16.141875232568701</v>
      </c>
      <c r="H8" s="3">
        <v>13.37645788891</v>
      </c>
      <c r="I8" s="3">
        <v>17.676768685200301</v>
      </c>
      <c r="J8" s="3">
        <v>15.173142977187799</v>
      </c>
      <c r="K8" s="3">
        <v>13.776792837184001</v>
      </c>
      <c r="L8" s="3">
        <v>14.620206365386201</v>
      </c>
      <c r="M8" s="3">
        <v>14.072498731329199</v>
      </c>
      <c r="N8" s="3">
        <v>14.0367275641081</v>
      </c>
    </row>
    <row r="9" spans="1:14" x14ac:dyDescent="0.35">
      <c r="A9" s="2">
        <v>41926</v>
      </c>
      <c r="B9" s="3">
        <v>16.7443382065427</v>
      </c>
      <c r="C9" s="3">
        <v>13.6961915199582</v>
      </c>
      <c r="D9" s="3">
        <v>13.539044773063999</v>
      </c>
      <c r="E9" s="3">
        <v>11.649099801940901</v>
      </c>
      <c r="F9" s="3">
        <v>12.8248077967044</v>
      </c>
      <c r="G9" s="3">
        <v>15.040660376073699</v>
      </c>
      <c r="H9" s="3">
        <v>12.5708449764282</v>
      </c>
      <c r="I9" s="3">
        <v>16.319755112307</v>
      </c>
      <c r="J9" s="3">
        <v>14.315702097999401</v>
      </c>
      <c r="K9" s="3">
        <v>12.655578616304901</v>
      </c>
      <c r="L9" s="3">
        <v>13.695499364704499</v>
      </c>
      <c r="M9" s="3">
        <v>13.5860518461596</v>
      </c>
      <c r="N9" s="3">
        <v>12.464262741688101</v>
      </c>
    </row>
    <row r="10" spans="1:14" x14ac:dyDescent="0.35">
      <c r="A10" s="2">
        <v>41957</v>
      </c>
      <c r="B10" s="3">
        <v>18.088770087435599</v>
      </c>
      <c r="C10" s="3">
        <v>14.3732068651079</v>
      </c>
      <c r="D10" s="3">
        <v>14.656949438132999</v>
      </c>
      <c r="E10" s="3">
        <v>12.2076243999072</v>
      </c>
      <c r="F10" s="3">
        <v>14.6319284028082</v>
      </c>
      <c r="G10" s="3">
        <v>16.014286017292001</v>
      </c>
      <c r="H10" s="3">
        <v>13.359123205152001</v>
      </c>
      <c r="I10" s="3">
        <v>17.9690043435943</v>
      </c>
      <c r="J10" s="3">
        <v>15.6408499114879</v>
      </c>
      <c r="K10" s="3">
        <v>13.1655248503178</v>
      </c>
      <c r="L10" s="3">
        <v>14.7453221406543</v>
      </c>
      <c r="M10" s="3">
        <v>15.281563447189001</v>
      </c>
      <c r="N10" s="3">
        <v>12.566323629492</v>
      </c>
    </row>
    <row r="11" spans="1:14" x14ac:dyDescent="0.35">
      <c r="A11" s="2">
        <v>41985</v>
      </c>
      <c r="B11" s="3">
        <v>18.0288878184422</v>
      </c>
      <c r="C11" s="3">
        <v>13.8352476645141</v>
      </c>
      <c r="D11" s="3">
        <v>14.4756396890698</v>
      </c>
      <c r="E11" s="3">
        <v>12.614054551302299</v>
      </c>
      <c r="F11" s="3">
        <v>14.2531287900094</v>
      </c>
      <c r="G11" s="3">
        <v>15.648985072416499</v>
      </c>
      <c r="H11" s="3">
        <v>13.206753128807399</v>
      </c>
      <c r="I11" s="3">
        <v>17.5899395414054</v>
      </c>
      <c r="J11" s="3">
        <v>15.4666051675582</v>
      </c>
      <c r="K11" s="3">
        <v>13.245095502051401</v>
      </c>
      <c r="L11" s="3">
        <v>14.5120042300371</v>
      </c>
      <c r="M11" s="3">
        <v>15.2689985606935</v>
      </c>
      <c r="N11" s="3">
        <v>12.2693076711912</v>
      </c>
    </row>
    <row r="12" spans="1:14" x14ac:dyDescent="0.35">
      <c r="A12" s="2">
        <v>42018</v>
      </c>
      <c r="B12" s="3">
        <v>18.659198960689299</v>
      </c>
      <c r="C12" s="3">
        <v>14.5229798465177</v>
      </c>
      <c r="D12" s="3">
        <v>15.1648760839653</v>
      </c>
      <c r="E12" s="3">
        <v>12.8785811076913</v>
      </c>
      <c r="F12" s="3">
        <v>13.670623566286499</v>
      </c>
      <c r="G12" s="3">
        <v>15.8691666466701</v>
      </c>
      <c r="H12" s="3">
        <v>13.754206605014099</v>
      </c>
      <c r="I12" s="3">
        <v>16.983810805842602</v>
      </c>
      <c r="J12" s="3">
        <v>15.8467147505662</v>
      </c>
      <c r="K12" s="3">
        <v>13.8362395720929</v>
      </c>
      <c r="L12" s="3">
        <v>14.734964127839399</v>
      </c>
      <c r="M12" s="3">
        <v>15.2749074083469</v>
      </c>
      <c r="N12" s="3">
        <v>12.041067034889499</v>
      </c>
    </row>
    <row r="13" spans="1:14" x14ac:dyDescent="0.35">
      <c r="A13" s="2">
        <v>42048</v>
      </c>
      <c r="B13" s="3">
        <v>19.115692959157698</v>
      </c>
      <c r="C13" s="3">
        <v>16.075489149283399</v>
      </c>
      <c r="D13" s="3">
        <v>17.4078061118425</v>
      </c>
      <c r="E13" s="3">
        <v>14.288685581226501</v>
      </c>
      <c r="F13" s="3">
        <v>14.409245604621599</v>
      </c>
      <c r="G13" s="3">
        <v>17.009273524289402</v>
      </c>
      <c r="H13" s="3">
        <v>15.503670268042599</v>
      </c>
      <c r="I13" s="3">
        <v>17.916132680944401</v>
      </c>
      <c r="J13" s="3">
        <v>16.8655024277584</v>
      </c>
      <c r="K13" s="3">
        <v>15.848858426504099</v>
      </c>
      <c r="L13" s="3">
        <v>16.1618023240271</v>
      </c>
      <c r="M13" s="3">
        <v>16.760723561582001</v>
      </c>
      <c r="N13" s="3">
        <v>14.62394735332</v>
      </c>
    </row>
    <row r="14" spans="1:14" x14ac:dyDescent="0.35">
      <c r="A14" s="2">
        <v>42076</v>
      </c>
      <c r="B14" s="3">
        <v>19.108178841114199</v>
      </c>
      <c r="C14" s="3">
        <v>15.869290462108699</v>
      </c>
      <c r="D14" s="3">
        <v>16.888998636169301</v>
      </c>
      <c r="E14" s="3">
        <v>15.434962636623199</v>
      </c>
      <c r="F14" s="3">
        <v>15.413577592077299</v>
      </c>
      <c r="G14" s="3">
        <v>17.540699984586499</v>
      </c>
      <c r="H14" s="3">
        <v>15.161945669855999</v>
      </c>
      <c r="I14" s="3">
        <v>17.577480660067302</v>
      </c>
      <c r="J14" s="3">
        <v>16.471570039773599</v>
      </c>
      <c r="K14" s="3">
        <v>16.481842422714202</v>
      </c>
      <c r="L14" s="3">
        <v>17.521537880729401</v>
      </c>
      <c r="M14" s="3">
        <v>17.0897756019165</v>
      </c>
      <c r="N14" s="3">
        <v>15.5851339871113</v>
      </c>
    </row>
    <row r="15" spans="1:14" x14ac:dyDescent="0.35">
      <c r="A15" s="2">
        <v>42108</v>
      </c>
      <c r="B15" s="3">
        <v>18.514051830067501</v>
      </c>
      <c r="C15" s="3">
        <v>16.551592735365901</v>
      </c>
      <c r="D15" s="3">
        <v>17.406527121295799</v>
      </c>
      <c r="E15" s="3">
        <v>15.6916592768264</v>
      </c>
      <c r="F15" s="3">
        <v>15.635500535371399</v>
      </c>
      <c r="G15" s="3">
        <v>18.231290603860799</v>
      </c>
      <c r="H15" s="3">
        <v>16.089078779259602</v>
      </c>
      <c r="I15" s="3">
        <v>17.8610866757605</v>
      </c>
      <c r="J15" s="3">
        <v>16.6814026446282</v>
      </c>
      <c r="K15" s="3">
        <v>17.021424415264999</v>
      </c>
      <c r="L15" s="3">
        <v>17.6847510900181</v>
      </c>
      <c r="M15" s="3">
        <v>17.124847016024301</v>
      </c>
      <c r="N15" s="3">
        <v>16.1369155551393</v>
      </c>
    </row>
    <row r="16" spans="1:14" x14ac:dyDescent="0.35">
      <c r="A16" s="2">
        <v>42138</v>
      </c>
      <c r="B16" s="3">
        <v>18.0861748718748</v>
      </c>
      <c r="C16" s="3">
        <v>16.0740554836614</v>
      </c>
      <c r="D16" s="3">
        <v>16.731009268987801</v>
      </c>
      <c r="E16" s="3">
        <v>14.425228689717899</v>
      </c>
      <c r="F16" s="3">
        <v>15.711766401276799</v>
      </c>
      <c r="G16" s="3">
        <v>17.544942499872</v>
      </c>
      <c r="H16" s="3">
        <v>16.176049606983199</v>
      </c>
      <c r="I16" s="3">
        <v>18.043065588670402</v>
      </c>
      <c r="J16" s="3">
        <v>16.7204479790711</v>
      </c>
      <c r="K16" s="3">
        <v>16.280127755946999</v>
      </c>
      <c r="L16" s="3">
        <v>16.8563295988262</v>
      </c>
      <c r="M16" s="3">
        <v>15.8832830317034</v>
      </c>
      <c r="N16" s="3">
        <v>15.953450683144901</v>
      </c>
    </row>
    <row r="17" spans="1:14" x14ac:dyDescent="0.35">
      <c r="A17" s="2">
        <v>42167</v>
      </c>
      <c r="B17" s="3">
        <v>18.250751116659899</v>
      </c>
      <c r="C17" s="3">
        <v>15.284057379595801</v>
      </c>
      <c r="D17" s="3">
        <v>16.209828486425799</v>
      </c>
      <c r="E17" s="3">
        <v>13.7275961497461</v>
      </c>
      <c r="F17" s="3">
        <v>15.9038899955519</v>
      </c>
      <c r="G17" s="3">
        <v>17.325664182119901</v>
      </c>
      <c r="H17" s="3">
        <v>15.5874338361336</v>
      </c>
      <c r="I17" s="3">
        <v>17.759923722691799</v>
      </c>
      <c r="J17" s="3">
        <v>16.3842740921224</v>
      </c>
      <c r="K17" s="3">
        <v>15.714823225082201</v>
      </c>
      <c r="L17" s="3">
        <v>16.377076051090199</v>
      </c>
      <c r="M17" s="3">
        <v>15.923576783166</v>
      </c>
      <c r="N17" s="3">
        <v>15.202325145966901</v>
      </c>
    </row>
    <row r="18" spans="1:14" x14ac:dyDescent="0.35">
      <c r="A18" s="2">
        <v>42199</v>
      </c>
      <c r="B18" s="3">
        <v>17.8701366071252</v>
      </c>
      <c r="C18" s="3">
        <v>15.367425845616401</v>
      </c>
      <c r="D18" s="3">
        <v>15.8049316622078</v>
      </c>
      <c r="E18" s="3">
        <v>13.980231409597099</v>
      </c>
      <c r="F18" s="3">
        <v>15.418217345398901</v>
      </c>
      <c r="G18" s="3">
        <v>17.615558669437998</v>
      </c>
      <c r="H18" s="3">
        <v>15.445537497661499</v>
      </c>
      <c r="I18" s="3">
        <v>17.904072650947999</v>
      </c>
      <c r="J18" s="3">
        <v>16.423303121295302</v>
      </c>
      <c r="K18" s="3">
        <v>15.8459206666731</v>
      </c>
      <c r="L18" s="3">
        <v>16.853541166148101</v>
      </c>
      <c r="M18" s="3">
        <v>16.129636504457501</v>
      </c>
      <c r="N18" s="3">
        <v>15.065208008257899</v>
      </c>
    </row>
    <row r="19" spans="1:14" x14ac:dyDescent="0.35">
      <c r="A19" s="2">
        <v>42230</v>
      </c>
      <c r="B19" s="3">
        <v>17.6332274882663</v>
      </c>
      <c r="C19" s="3">
        <v>14.9346261878317</v>
      </c>
      <c r="D19" s="3">
        <v>15.4507964870292</v>
      </c>
      <c r="E19" s="3">
        <v>13.274454697858699</v>
      </c>
      <c r="F19" s="3">
        <v>15.434675539156</v>
      </c>
      <c r="G19" s="3">
        <v>17.3889131770669</v>
      </c>
      <c r="H19" s="3">
        <v>15.112124067125499</v>
      </c>
      <c r="I19" s="3">
        <v>18.3615253723083</v>
      </c>
      <c r="J19" s="3">
        <v>16.311671170007902</v>
      </c>
      <c r="K19" s="3">
        <v>15.317193874288201</v>
      </c>
      <c r="L19" s="3">
        <v>15.8954448349697</v>
      </c>
      <c r="M19" s="3">
        <v>15.8671863887204</v>
      </c>
      <c r="N19" s="3">
        <v>15.2929084118395</v>
      </c>
    </row>
    <row r="20" spans="1:14" x14ac:dyDescent="0.35">
      <c r="A20" s="2">
        <v>42261</v>
      </c>
      <c r="B20" s="3">
        <v>17.472171705696599</v>
      </c>
      <c r="C20" s="3">
        <v>14.398937952319001</v>
      </c>
      <c r="D20" s="3">
        <v>14.5158527366361</v>
      </c>
      <c r="E20" s="3">
        <v>12.234976637722299</v>
      </c>
      <c r="F20" s="3">
        <v>13.466511133000299</v>
      </c>
      <c r="G20" s="3">
        <v>16.307679489991301</v>
      </c>
      <c r="H20" s="3">
        <v>14.253495702433501</v>
      </c>
      <c r="I20" s="3">
        <v>17.347322684468601</v>
      </c>
      <c r="J20" s="3">
        <v>15.2111145017789</v>
      </c>
      <c r="K20" s="3">
        <v>14.022524959974501</v>
      </c>
      <c r="L20" s="3">
        <v>14.468377915849899</v>
      </c>
      <c r="M20" s="3">
        <v>14.5822671901477</v>
      </c>
      <c r="N20" s="3">
        <v>14.2200947994526</v>
      </c>
    </row>
    <row r="21" spans="1:14" x14ac:dyDescent="0.35">
      <c r="A21" s="2">
        <v>42291</v>
      </c>
      <c r="B21" s="3">
        <v>17.2984276113907</v>
      </c>
      <c r="C21" s="3">
        <v>14.8855133209142</v>
      </c>
      <c r="D21" s="3">
        <v>15.140866776008499</v>
      </c>
      <c r="E21" s="3">
        <v>12.200315977352901</v>
      </c>
      <c r="F21" s="3">
        <v>13.5418585351691</v>
      </c>
      <c r="G21" s="3">
        <v>16.320095714339502</v>
      </c>
      <c r="H21" s="3">
        <v>15.0207809377812</v>
      </c>
      <c r="I21" s="3">
        <v>17.454249810744699</v>
      </c>
      <c r="J21" s="3">
        <v>15.602002052812299</v>
      </c>
      <c r="K21" s="3">
        <v>14.372289791179201</v>
      </c>
      <c r="L21" s="3">
        <v>14.7458630621135</v>
      </c>
      <c r="M21" s="3">
        <v>14.6836315025476</v>
      </c>
      <c r="N21" s="3">
        <v>14.360877421772599</v>
      </c>
    </row>
    <row r="22" spans="1:14" x14ac:dyDescent="0.35">
      <c r="A22" s="2">
        <v>42321</v>
      </c>
      <c r="B22" s="3">
        <v>17.884830369299799</v>
      </c>
      <c r="C22" s="3">
        <v>14.5676168893394</v>
      </c>
      <c r="D22" s="3">
        <v>14.264365466439299</v>
      </c>
      <c r="E22" s="3">
        <v>13.3288568991972</v>
      </c>
      <c r="F22" s="3">
        <v>14.6459822527216</v>
      </c>
      <c r="G22" s="3">
        <v>16.649590576157401</v>
      </c>
      <c r="H22" s="3">
        <v>14.828904546221599</v>
      </c>
      <c r="I22" s="3">
        <v>18.049144294626402</v>
      </c>
      <c r="J22" s="3">
        <v>15.8518400680542</v>
      </c>
      <c r="K22" s="3">
        <v>14.9247815566812</v>
      </c>
      <c r="L22" s="3">
        <v>15.884369217038801</v>
      </c>
      <c r="M22" s="3">
        <v>15.0614441361468</v>
      </c>
      <c r="N22" s="3">
        <v>14.5157390606785</v>
      </c>
    </row>
    <row r="23" spans="1:14" x14ac:dyDescent="0.35">
      <c r="A23" s="2">
        <v>42352</v>
      </c>
      <c r="B23" s="3">
        <v>17.842135645161701</v>
      </c>
      <c r="C23" s="3">
        <v>14.482997400740601</v>
      </c>
      <c r="D23" s="3">
        <v>13.878726228917399</v>
      </c>
      <c r="E23" s="3">
        <v>12.639871712784499</v>
      </c>
      <c r="F23" s="3">
        <v>13.946480204839601</v>
      </c>
      <c r="G23" s="3">
        <v>16.172642782453099</v>
      </c>
      <c r="H23" s="3">
        <v>14.3605389664224</v>
      </c>
      <c r="I23" s="3">
        <v>18.247881096747399</v>
      </c>
      <c r="J23" s="3">
        <v>15.810304005242299</v>
      </c>
      <c r="K23" s="3">
        <v>14.0452829407325</v>
      </c>
      <c r="L23" s="3">
        <v>14.961725567804701</v>
      </c>
      <c r="M23" s="3">
        <v>14.3277518874504</v>
      </c>
      <c r="N23" s="3">
        <v>13.5576625654789</v>
      </c>
    </row>
    <row r="24" spans="1:14" x14ac:dyDescent="0.35">
      <c r="A24" s="2">
        <v>42383</v>
      </c>
      <c r="B24" s="3">
        <v>17.607160115400799</v>
      </c>
      <c r="C24" s="3">
        <v>14.656363661058499</v>
      </c>
      <c r="D24" s="3">
        <v>13.6441526377108</v>
      </c>
      <c r="E24" s="3">
        <v>12.148457248996101</v>
      </c>
      <c r="F24" s="3">
        <v>12.7697352241119</v>
      </c>
      <c r="G24" s="3">
        <v>16.0005169191462</v>
      </c>
      <c r="H24" s="3">
        <v>14.930758366419999</v>
      </c>
      <c r="I24" s="3">
        <v>17.1581107216542</v>
      </c>
      <c r="J24" s="3">
        <v>15.129410388238499</v>
      </c>
      <c r="K24" s="3">
        <v>13.755395838928999</v>
      </c>
      <c r="L24" s="3">
        <v>14.4626856827912</v>
      </c>
      <c r="M24" s="3">
        <v>13.992231394766</v>
      </c>
      <c r="N24" s="3">
        <v>13.337804662118099</v>
      </c>
    </row>
    <row r="25" spans="1:14" x14ac:dyDescent="0.35">
      <c r="A25" s="2">
        <v>42412</v>
      </c>
      <c r="B25" s="3">
        <v>16.738014946543199</v>
      </c>
      <c r="C25" s="3">
        <v>14.593803173919399</v>
      </c>
      <c r="D25" s="3">
        <v>14.208987653995701</v>
      </c>
      <c r="E25" s="3">
        <v>11.3732567940769</v>
      </c>
      <c r="F25" s="3">
        <v>11.0013808009965</v>
      </c>
      <c r="G25" s="3">
        <v>15.677969354621601</v>
      </c>
      <c r="H25" s="3">
        <v>14.8392059698641</v>
      </c>
      <c r="I25" s="3">
        <v>16.233587473453799</v>
      </c>
      <c r="J25" s="3">
        <v>15.5099438140132</v>
      </c>
      <c r="K25" s="3">
        <v>13.072435578571399</v>
      </c>
      <c r="L25" s="3">
        <v>13.605002475377001</v>
      </c>
      <c r="M25" s="3">
        <v>14.1745717619362</v>
      </c>
      <c r="N25" s="3">
        <v>11.894123018802301</v>
      </c>
    </row>
    <row r="26" spans="1:14" x14ac:dyDescent="0.35">
      <c r="A26" s="2">
        <v>42443</v>
      </c>
      <c r="B26" s="3">
        <v>18.299913806589998</v>
      </c>
      <c r="C26" s="3">
        <v>16.151529117523701</v>
      </c>
      <c r="D26" s="3">
        <v>15.692714537656199</v>
      </c>
      <c r="E26" s="3">
        <v>12.731774107482901</v>
      </c>
      <c r="F26" s="3">
        <v>13.138122922812</v>
      </c>
      <c r="G26" s="3">
        <v>16.7042218552591</v>
      </c>
      <c r="H26" s="3">
        <v>16.078415597947</v>
      </c>
      <c r="I26" s="3">
        <v>17.439118489574501</v>
      </c>
      <c r="J26" s="3">
        <v>15.516736353630501</v>
      </c>
      <c r="K26" s="3">
        <v>14.716467354799001</v>
      </c>
      <c r="L26" s="3">
        <v>15.366691754940501</v>
      </c>
      <c r="M26" s="3">
        <v>15.683003554681701</v>
      </c>
      <c r="N26" s="3">
        <v>13.717286254360999</v>
      </c>
    </row>
    <row r="27" spans="1:14" x14ac:dyDescent="0.35">
      <c r="A27" s="2">
        <v>42474</v>
      </c>
      <c r="B27" s="3">
        <v>18.815813793073001</v>
      </c>
      <c r="C27" s="3">
        <v>15.8441441098309</v>
      </c>
      <c r="D27" s="3">
        <v>16.208970174447099</v>
      </c>
      <c r="E27" s="3">
        <v>12.8738224329256</v>
      </c>
      <c r="F27" s="3">
        <v>13.142108916639099</v>
      </c>
      <c r="G27" s="3">
        <v>16.852708366652902</v>
      </c>
      <c r="H27" s="3">
        <v>16.483317641214299</v>
      </c>
      <c r="I27" s="3">
        <v>18.107060612414401</v>
      </c>
      <c r="J27" s="3">
        <v>16.500463546018398</v>
      </c>
      <c r="K27" s="3">
        <v>14.7341294164834</v>
      </c>
      <c r="L27" s="3">
        <v>15.3966806941605</v>
      </c>
      <c r="M27" s="3">
        <v>15.3160405277529</v>
      </c>
      <c r="N27" s="3">
        <v>13.3306627712923</v>
      </c>
    </row>
    <row r="28" spans="1:14" x14ac:dyDescent="0.35">
      <c r="A28" s="2">
        <v>42503</v>
      </c>
      <c r="B28" s="3">
        <v>19.252474781493401</v>
      </c>
      <c r="C28" s="3">
        <v>16.393474212573398</v>
      </c>
      <c r="D28" s="3">
        <v>16.475189759295301</v>
      </c>
      <c r="E28" s="3">
        <v>12.437001243873301</v>
      </c>
      <c r="F28" s="3">
        <v>12.8965821603457</v>
      </c>
      <c r="G28" s="3">
        <v>16.629149853837099</v>
      </c>
      <c r="H28" s="3">
        <v>15.6788972623022</v>
      </c>
      <c r="I28" s="3">
        <v>17.3670650173386</v>
      </c>
      <c r="J28" s="3">
        <v>16.522677016730398</v>
      </c>
      <c r="K28" s="3">
        <v>14.1462465728977</v>
      </c>
      <c r="L28" s="3">
        <v>14.737338381324699</v>
      </c>
      <c r="M28" s="3">
        <v>14.5829935872032</v>
      </c>
      <c r="N28" s="3">
        <v>13.5082172291081</v>
      </c>
    </row>
    <row r="29" spans="1:14" x14ac:dyDescent="0.35">
      <c r="A29" s="2">
        <v>42535</v>
      </c>
      <c r="B29" s="3">
        <v>18.874153419507198</v>
      </c>
      <c r="C29" s="3">
        <v>15.8868285292133</v>
      </c>
      <c r="D29" s="3">
        <v>16.309488519093598</v>
      </c>
      <c r="E29" s="3">
        <v>11.749362805553</v>
      </c>
      <c r="F29" s="3">
        <v>12.775415943246101</v>
      </c>
      <c r="G29" s="3">
        <v>16.065363396209801</v>
      </c>
      <c r="H29" s="3">
        <v>14.8677035443715</v>
      </c>
      <c r="I29" s="3">
        <v>17.561965388153101</v>
      </c>
      <c r="J29" s="3">
        <v>16.345189344713798</v>
      </c>
      <c r="K29" s="3">
        <v>13.270297430318401</v>
      </c>
      <c r="L29" s="3">
        <v>13.985630271425499</v>
      </c>
      <c r="M29" s="3">
        <v>13.979751340915699</v>
      </c>
      <c r="N29" s="3">
        <v>11.869018736641401</v>
      </c>
    </row>
    <row r="30" spans="1:14" x14ac:dyDescent="0.35">
      <c r="A30" s="2">
        <v>42565</v>
      </c>
      <c r="B30" s="3">
        <v>19.5281882906886</v>
      </c>
      <c r="C30" s="3">
        <v>16.342218419473099</v>
      </c>
      <c r="D30" s="3">
        <v>16.6193016284255</v>
      </c>
      <c r="E30" s="3">
        <v>12.415332124176301</v>
      </c>
      <c r="F30" s="3">
        <v>13.398575209817601</v>
      </c>
      <c r="G30" s="3">
        <v>17.039718942257299</v>
      </c>
      <c r="H30" s="3">
        <v>16.100263169637099</v>
      </c>
      <c r="I30" s="3">
        <v>18.293072189467999</v>
      </c>
      <c r="J30" s="3">
        <v>16.973364225042999</v>
      </c>
      <c r="K30" s="3">
        <v>14.0253738762007</v>
      </c>
      <c r="L30" s="3">
        <v>14.5413393129505</v>
      </c>
      <c r="M30" s="3">
        <v>14.9789450487753</v>
      </c>
      <c r="N30" s="3">
        <v>12.429387220636</v>
      </c>
    </row>
    <row r="31" spans="1:14" x14ac:dyDescent="0.35">
      <c r="A31" s="2">
        <v>42594</v>
      </c>
      <c r="B31" s="3">
        <v>20.317411840701599</v>
      </c>
      <c r="C31" s="3">
        <v>16.804036204235501</v>
      </c>
      <c r="D31" s="3">
        <v>16.546496731309698</v>
      </c>
      <c r="E31" s="3">
        <v>13.1512439580967</v>
      </c>
      <c r="F31" s="3">
        <v>13.4356193501105</v>
      </c>
      <c r="G31" s="3">
        <v>17.6160580413198</v>
      </c>
      <c r="H31" s="3">
        <v>16.325565105227</v>
      </c>
      <c r="I31" s="3">
        <v>18.825070724436099</v>
      </c>
      <c r="J31" s="3">
        <v>16.989361544477401</v>
      </c>
      <c r="K31" s="3">
        <v>14.211056381815901</v>
      </c>
      <c r="L31" s="3">
        <v>15.0113317918091</v>
      </c>
      <c r="M31" s="3">
        <v>15.535038698418999</v>
      </c>
      <c r="N31" s="3">
        <v>12.7699715220756</v>
      </c>
    </row>
    <row r="32" spans="1:14" x14ac:dyDescent="0.35">
      <c r="A32" s="2">
        <v>42627</v>
      </c>
      <c r="B32" s="3">
        <v>20.124632846412698</v>
      </c>
      <c r="C32" s="3">
        <v>15.675271466444601</v>
      </c>
      <c r="D32" s="3">
        <v>15.8432977221324</v>
      </c>
      <c r="E32" s="3">
        <v>12.7509539324969</v>
      </c>
      <c r="F32" s="3">
        <v>13.299959441223701</v>
      </c>
      <c r="G32" s="3">
        <v>17.164294297392601</v>
      </c>
      <c r="H32" s="3">
        <v>15.420110055814</v>
      </c>
      <c r="I32" s="3">
        <v>18.3040637907012</v>
      </c>
      <c r="J32" s="3">
        <v>16.403241227049101</v>
      </c>
      <c r="K32" s="3">
        <v>13.712350148942599</v>
      </c>
      <c r="L32" s="3">
        <v>14.592847005914701</v>
      </c>
      <c r="M32" s="3">
        <v>15.343484371743401</v>
      </c>
      <c r="N32" s="3">
        <v>11.9424489512518</v>
      </c>
    </row>
    <row r="33" spans="1:14" x14ac:dyDescent="0.35">
      <c r="A33" s="2">
        <v>42657</v>
      </c>
      <c r="B33" s="3">
        <v>19.5570707349898</v>
      </c>
      <c r="C33" s="3">
        <v>16.1307986646665</v>
      </c>
      <c r="D33" s="3">
        <v>15.883960448553101</v>
      </c>
      <c r="E33" s="3">
        <v>12.9261583050711</v>
      </c>
      <c r="F33" s="3">
        <v>13.4380329423782</v>
      </c>
      <c r="G33" s="3">
        <v>16.873542204024201</v>
      </c>
      <c r="H33" s="3">
        <v>15.2921689664295</v>
      </c>
      <c r="I33" s="3">
        <v>18.321873353777399</v>
      </c>
      <c r="J33" s="3">
        <v>16.337477737956299</v>
      </c>
      <c r="K33" s="3">
        <v>13.8918054533823</v>
      </c>
      <c r="L33" s="3">
        <v>14.7400104948729</v>
      </c>
      <c r="M33" s="3">
        <v>16.0690224409378</v>
      </c>
      <c r="N33" s="3">
        <v>11.782998294188401</v>
      </c>
    </row>
    <row r="34" spans="1:14" x14ac:dyDescent="0.35">
      <c r="A34" s="2">
        <v>42688</v>
      </c>
      <c r="B34" s="3">
        <v>18.399692456852499</v>
      </c>
      <c r="C34" s="3">
        <v>15.839290493463899</v>
      </c>
      <c r="D34" s="3">
        <v>15.6765335947669</v>
      </c>
      <c r="E34" s="3">
        <v>12.823240242241599</v>
      </c>
      <c r="F34" s="3">
        <v>13.885319355140201</v>
      </c>
      <c r="G34" s="3">
        <v>16.4287491412571</v>
      </c>
      <c r="H34" s="3">
        <v>14.343966197885701</v>
      </c>
      <c r="I34" s="3">
        <v>17.735102342151599</v>
      </c>
      <c r="J34" s="3">
        <v>16.507058929477999</v>
      </c>
      <c r="K34" s="3">
        <v>13.704055392944801</v>
      </c>
      <c r="L34" s="3">
        <v>14.425369345183499</v>
      </c>
      <c r="M34" s="3">
        <v>15.8645731941949</v>
      </c>
      <c r="N34" s="3">
        <v>11.701495327781601</v>
      </c>
    </row>
    <row r="35" spans="1:14" x14ac:dyDescent="0.35">
      <c r="A35" s="2">
        <v>42718</v>
      </c>
      <c r="B35" s="3">
        <v>18.247118931643801</v>
      </c>
      <c r="C35" s="3">
        <v>15.9043597193398</v>
      </c>
      <c r="D35" s="3">
        <v>15.841810601312099</v>
      </c>
      <c r="E35" s="3">
        <v>13.425164001760599</v>
      </c>
      <c r="F35" s="3">
        <v>15.020401914549399</v>
      </c>
      <c r="G35" s="3">
        <v>16.6985994994332</v>
      </c>
      <c r="H35" s="3">
        <v>14.385618982364599</v>
      </c>
      <c r="I35" s="3">
        <v>18.357916228560299</v>
      </c>
      <c r="J35" s="3">
        <v>17.0005023630975</v>
      </c>
      <c r="K35" s="3">
        <v>14.3996496875668</v>
      </c>
      <c r="L35" s="3">
        <v>14.8115599188039</v>
      </c>
      <c r="M35" s="3">
        <v>16.658426382078499</v>
      </c>
      <c r="N35" s="3">
        <v>13.219140160508401</v>
      </c>
    </row>
    <row r="36" spans="1:14" x14ac:dyDescent="0.35">
      <c r="A36" s="2">
        <v>42748</v>
      </c>
      <c r="B36" s="3">
        <v>18.884632883527502</v>
      </c>
      <c r="C36" s="3">
        <v>15.9297274751967</v>
      </c>
      <c r="D36" s="3">
        <v>15.9586827809231</v>
      </c>
      <c r="E36" s="3">
        <v>13.770702033100701</v>
      </c>
      <c r="F36" s="3">
        <v>14.8336948170236</v>
      </c>
      <c r="G36" s="3">
        <v>17.252759195478301</v>
      </c>
      <c r="H36" s="3">
        <v>14.496697551694201</v>
      </c>
      <c r="I36" s="3">
        <v>18.705200777041799</v>
      </c>
      <c r="J36" s="3">
        <v>16.986601319680702</v>
      </c>
      <c r="K36" s="3">
        <v>14.7056745434906</v>
      </c>
      <c r="L36" s="3">
        <v>15.0630903257718</v>
      </c>
      <c r="M36" s="3">
        <v>16.554741834569398</v>
      </c>
      <c r="N36" s="3">
        <v>13.455355395250599</v>
      </c>
    </row>
    <row r="37" spans="1:14" x14ac:dyDescent="0.35">
      <c r="A37" s="2">
        <v>42780</v>
      </c>
      <c r="B37" s="3">
        <v>19.272058220246699</v>
      </c>
      <c r="C37" s="3">
        <v>15.884281524550801</v>
      </c>
      <c r="D37" s="3">
        <v>16.2950674272405</v>
      </c>
      <c r="E37" s="3">
        <v>13.7503865369021</v>
      </c>
      <c r="F37" s="3">
        <v>14.385343524901799</v>
      </c>
      <c r="G37" s="3">
        <v>17.275033273244699</v>
      </c>
      <c r="H37" s="3">
        <v>14.498951238369701</v>
      </c>
      <c r="I37" s="3">
        <v>19.901824121638601</v>
      </c>
      <c r="J37" s="3">
        <v>17.498640124240499</v>
      </c>
      <c r="K37" s="3">
        <v>14.3845239157354</v>
      </c>
      <c r="L37" s="3">
        <v>15.386809219468301</v>
      </c>
      <c r="M37" s="3">
        <v>16.810104189023701</v>
      </c>
      <c r="N37" s="3">
        <v>13.2343182577071</v>
      </c>
    </row>
    <row r="38" spans="1:14" x14ac:dyDescent="0.35">
      <c r="A38" s="2">
        <v>42808</v>
      </c>
      <c r="B38" s="3">
        <v>18.899555084764302</v>
      </c>
      <c r="C38" s="3">
        <v>15.699143938300701</v>
      </c>
      <c r="D38" s="3">
        <v>15.7763987450871</v>
      </c>
      <c r="E38" s="3">
        <v>13.871046617239299</v>
      </c>
      <c r="F38" s="3">
        <v>14.3761185713015</v>
      </c>
      <c r="G38" s="3">
        <v>17.627207989041501</v>
      </c>
      <c r="H38" s="3">
        <v>14.3565377546192</v>
      </c>
      <c r="I38" s="3">
        <v>20.087871954020599</v>
      </c>
      <c r="J38" s="3">
        <v>17.612810312435901</v>
      </c>
      <c r="K38" s="3">
        <v>14.454768141336301</v>
      </c>
      <c r="L38" s="3">
        <v>15.9885702172457</v>
      </c>
      <c r="M38" s="3">
        <v>16.821483055444101</v>
      </c>
      <c r="N38" s="3">
        <v>13.1694909483257</v>
      </c>
    </row>
    <row r="39" spans="1:14" x14ac:dyDescent="0.35">
      <c r="A39" s="2">
        <v>42838</v>
      </c>
      <c r="B39" s="3">
        <v>19.134478557734901</v>
      </c>
      <c r="C39" s="3">
        <v>15.9096511088234</v>
      </c>
      <c r="D39" s="3">
        <v>15.7418719508532</v>
      </c>
      <c r="E39" s="3">
        <v>13.804441353195999</v>
      </c>
      <c r="F39" s="3">
        <v>13.328188661552099</v>
      </c>
      <c r="G39" s="3">
        <v>17.389278372815301</v>
      </c>
      <c r="H39" s="3">
        <v>14.4367506231128</v>
      </c>
      <c r="I39" s="3">
        <v>19.752047592905299</v>
      </c>
      <c r="J39" s="3">
        <v>17.1920351489964</v>
      </c>
      <c r="K39" s="3">
        <v>14.7212955994013</v>
      </c>
      <c r="L39" s="3">
        <v>16.115731773968001</v>
      </c>
      <c r="M39" s="3">
        <v>16.885848337865198</v>
      </c>
      <c r="N39" s="3">
        <v>12.9901808620348</v>
      </c>
    </row>
    <row r="40" spans="1:14" x14ac:dyDescent="0.35">
      <c r="A40" s="2">
        <v>42867</v>
      </c>
      <c r="B40" s="3">
        <v>19.6615443414974</v>
      </c>
      <c r="C40" s="3">
        <v>15.6329438891962</v>
      </c>
      <c r="D40" s="3">
        <v>15.615759298034099</v>
      </c>
      <c r="E40" s="3">
        <v>14.044322509529101</v>
      </c>
      <c r="F40" s="3">
        <v>14.311627698809501</v>
      </c>
      <c r="G40" s="3">
        <v>18.092399088533799</v>
      </c>
      <c r="H40" s="3">
        <v>14.680801803858399</v>
      </c>
      <c r="I40" s="3">
        <v>20.711133212477201</v>
      </c>
      <c r="J40" s="3">
        <v>17.4302331447348</v>
      </c>
      <c r="K40" s="3">
        <v>15.4449960293393</v>
      </c>
      <c r="L40" s="3">
        <v>16.509277233762798</v>
      </c>
      <c r="M40" s="3">
        <v>17.102609970025899</v>
      </c>
      <c r="N40" s="3">
        <v>13.8504926056749</v>
      </c>
    </row>
    <row r="41" spans="1:14" x14ac:dyDescent="0.35">
      <c r="A41" s="2">
        <v>42900</v>
      </c>
      <c r="B41" s="3">
        <v>19.4168830185662</v>
      </c>
      <c r="C41" s="3">
        <v>15.644630420806401</v>
      </c>
      <c r="D41" s="3">
        <v>15.20070489133</v>
      </c>
      <c r="E41" s="3">
        <v>13.841867211355799</v>
      </c>
      <c r="F41" s="3">
        <v>14.309229214705301</v>
      </c>
      <c r="G41" s="3">
        <v>17.858443069523599</v>
      </c>
      <c r="H41" s="3">
        <v>14.620227345943</v>
      </c>
      <c r="I41" s="3">
        <v>20.552149093451799</v>
      </c>
      <c r="J41" s="3">
        <v>17.608018857925401</v>
      </c>
      <c r="K41" s="3">
        <v>14.924768771648701</v>
      </c>
      <c r="L41" s="3">
        <v>16.1337813478996</v>
      </c>
      <c r="M41" s="3">
        <v>16.772602843216202</v>
      </c>
      <c r="N41" s="3">
        <v>13.3217177521307</v>
      </c>
    </row>
    <row r="42" spans="1:14" x14ac:dyDescent="0.35">
      <c r="A42" s="2">
        <v>42930</v>
      </c>
      <c r="B42" s="3">
        <v>19.540657642848402</v>
      </c>
      <c r="C42" s="3">
        <v>15.661415234749599</v>
      </c>
      <c r="D42" s="3">
        <v>15.3516295187364</v>
      </c>
      <c r="E42" s="3">
        <v>13.6201731117836</v>
      </c>
      <c r="F42" s="3">
        <v>14.3062999319394</v>
      </c>
      <c r="G42" s="3">
        <v>17.929562415761499</v>
      </c>
      <c r="H42" s="3">
        <v>14.642887266517199</v>
      </c>
      <c r="I42" s="3">
        <v>20.6994070110152</v>
      </c>
      <c r="J42" s="3">
        <v>17.651181050328599</v>
      </c>
      <c r="K42" s="3">
        <v>14.9215579661956</v>
      </c>
      <c r="L42" s="3">
        <v>15.9960624979577</v>
      </c>
      <c r="M42" s="3">
        <v>16.856705716358199</v>
      </c>
      <c r="N42" s="3">
        <v>13.575924804625901</v>
      </c>
    </row>
    <row r="43" spans="1:14" x14ac:dyDescent="0.35">
      <c r="A43" s="2">
        <v>42961</v>
      </c>
      <c r="B43" s="3">
        <v>19.939818840704501</v>
      </c>
      <c r="C43" s="3">
        <v>15.640657822050199</v>
      </c>
      <c r="D43" s="3">
        <v>15.5297045430537</v>
      </c>
      <c r="E43" s="3">
        <v>13.065141832891801</v>
      </c>
      <c r="F43" s="3">
        <v>13.7489015538162</v>
      </c>
      <c r="G43" s="3">
        <v>17.657241901335802</v>
      </c>
      <c r="H43" s="3">
        <v>14.5040549755039</v>
      </c>
      <c r="I43" s="3">
        <v>20.592857991702299</v>
      </c>
      <c r="J43" s="3">
        <v>17.531536970080499</v>
      </c>
      <c r="K43" s="3">
        <v>14.5337257315106</v>
      </c>
      <c r="L43" s="3">
        <v>15.8251251605005</v>
      </c>
      <c r="M43" s="3">
        <v>15.912031354595699</v>
      </c>
      <c r="N43" s="3">
        <v>13.3551831423087</v>
      </c>
    </row>
    <row r="44" spans="1:14" x14ac:dyDescent="0.35">
      <c r="A44" s="2">
        <v>42992</v>
      </c>
      <c r="B44" s="3">
        <v>19.7793181578072</v>
      </c>
      <c r="C44" s="3">
        <v>15.644845048397601</v>
      </c>
      <c r="D44" s="3">
        <v>15.308711367612201</v>
      </c>
      <c r="E44" s="3">
        <v>13.396000766271801</v>
      </c>
      <c r="F44" s="3">
        <v>13.674906912551499</v>
      </c>
      <c r="G44" s="3">
        <v>17.674045437344098</v>
      </c>
      <c r="H44" s="3">
        <v>14.486801602243499</v>
      </c>
      <c r="I44" s="3">
        <v>20.5179861964778</v>
      </c>
      <c r="J44" s="3">
        <v>17.6169971599899</v>
      </c>
      <c r="K44" s="3">
        <v>14.854899542268001</v>
      </c>
      <c r="L44" s="3">
        <v>15.894137362273799</v>
      </c>
      <c r="M44" s="3">
        <v>16.246082667806299</v>
      </c>
      <c r="N44" s="3">
        <v>13.4371587784693</v>
      </c>
    </row>
    <row r="45" spans="1:14" x14ac:dyDescent="0.35">
      <c r="A45" s="2">
        <v>43021</v>
      </c>
      <c r="B45" s="3">
        <v>20.051564504365999</v>
      </c>
      <c r="C45" s="3">
        <v>15.668422050120901</v>
      </c>
      <c r="D45" s="3">
        <v>15.755410501515099</v>
      </c>
      <c r="E45" s="3">
        <v>13.820926765048601</v>
      </c>
      <c r="F45" s="3">
        <v>14.1903557112306</v>
      </c>
      <c r="G45" s="3">
        <v>18.038506179863099</v>
      </c>
      <c r="H45" s="3">
        <v>14.6816732470311</v>
      </c>
      <c r="I45" s="3">
        <v>20.645902767987899</v>
      </c>
      <c r="J45" s="3">
        <v>17.906277625245501</v>
      </c>
      <c r="K45" s="3">
        <v>15.1514289187621</v>
      </c>
      <c r="L45" s="3">
        <v>16.2009077344754</v>
      </c>
      <c r="M45" s="3">
        <v>16.824947327152501</v>
      </c>
      <c r="N45" s="3">
        <v>13.5552089361186</v>
      </c>
    </row>
    <row r="46" spans="1:14" x14ac:dyDescent="0.35">
      <c r="A46" s="2">
        <v>43053</v>
      </c>
      <c r="B46" s="3">
        <v>20.1209587723258</v>
      </c>
      <c r="C46" s="3">
        <v>15.9176576301754</v>
      </c>
      <c r="D46" s="3">
        <v>15.795657581234799</v>
      </c>
      <c r="E46" s="3">
        <v>13.856231440259499</v>
      </c>
      <c r="F46" s="3">
        <v>14.6476581399916</v>
      </c>
      <c r="G46" s="3">
        <v>17.553880907872198</v>
      </c>
      <c r="H46" s="3">
        <v>14.261545958195599</v>
      </c>
      <c r="I46" s="3">
        <v>20.7952223402608</v>
      </c>
      <c r="J46" s="3">
        <v>17.874537461073398</v>
      </c>
      <c r="K46" s="3">
        <v>14.8245896022518</v>
      </c>
      <c r="L46" s="3">
        <v>15.987733196874499</v>
      </c>
      <c r="M46" s="3">
        <v>16.801572260911001</v>
      </c>
      <c r="N46" s="3">
        <v>13.251213110790101</v>
      </c>
    </row>
    <row r="47" spans="1:14" x14ac:dyDescent="0.35">
      <c r="A47" s="2">
        <v>43083</v>
      </c>
      <c r="B47" s="3">
        <v>20.768125016101401</v>
      </c>
      <c r="C47" s="3">
        <v>15.8945194636834</v>
      </c>
      <c r="D47" s="3">
        <v>15.8561101805234</v>
      </c>
      <c r="E47" s="3">
        <v>13.9460959930191</v>
      </c>
      <c r="F47" s="3">
        <v>14.6565436790564</v>
      </c>
      <c r="G47" s="3">
        <v>17.701633432110199</v>
      </c>
      <c r="H47" s="3">
        <v>14.3764424691263</v>
      </c>
      <c r="I47" s="3">
        <v>20.8323268675273</v>
      </c>
      <c r="J47" s="3">
        <v>18.178032974721301</v>
      </c>
      <c r="K47" s="3">
        <v>14.9375854917671</v>
      </c>
      <c r="L47" s="3">
        <v>16.049992430338801</v>
      </c>
      <c r="M47" s="3">
        <v>16.3967869761644</v>
      </c>
      <c r="N47" s="3">
        <v>13.2600648787736</v>
      </c>
    </row>
    <row r="48" spans="1:14" x14ac:dyDescent="0.35">
      <c r="A48" s="2">
        <v>43112</v>
      </c>
      <c r="B48" s="3">
        <v>20.408788925883499</v>
      </c>
      <c r="C48" s="3">
        <v>15.986736024856601</v>
      </c>
      <c r="D48" s="3">
        <v>15.8605221565807</v>
      </c>
      <c r="E48" s="3">
        <v>14.0563175615472</v>
      </c>
      <c r="F48" s="3">
        <v>15.229473369846399</v>
      </c>
      <c r="G48" s="3">
        <v>17.899311178304099</v>
      </c>
      <c r="H48" s="3">
        <v>14.8397820257274</v>
      </c>
      <c r="I48" s="3">
        <v>21.771960725705501</v>
      </c>
      <c r="J48" s="3">
        <v>18.4026634406931</v>
      </c>
      <c r="K48" s="3">
        <v>15.261020562490399</v>
      </c>
      <c r="L48" s="3">
        <v>16.2257148449815</v>
      </c>
      <c r="M48" s="3">
        <v>16.634871061704601</v>
      </c>
      <c r="N48" s="3">
        <v>13.644318413260899</v>
      </c>
    </row>
    <row r="49" spans="1:14" x14ac:dyDescent="0.35">
      <c r="A49" s="2">
        <v>43145</v>
      </c>
      <c r="B49" s="3">
        <v>20.102848306562802</v>
      </c>
      <c r="C49" s="3">
        <v>15.139298765015999</v>
      </c>
      <c r="D49" s="3">
        <v>14.52632223278</v>
      </c>
      <c r="E49" s="3">
        <v>13.0577732316787</v>
      </c>
      <c r="F49" s="3">
        <v>13.4598658637301</v>
      </c>
      <c r="G49" s="3">
        <v>16.6786880366231</v>
      </c>
      <c r="H49" s="3">
        <v>13.609816261386401</v>
      </c>
      <c r="I49" s="3">
        <v>20.419875318539798</v>
      </c>
      <c r="J49" s="3">
        <v>16.9008955448401</v>
      </c>
      <c r="K49" s="3">
        <v>14.279944817387801</v>
      </c>
      <c r="L49" s="3">
        <v>15.2509013999455</v>
      </c>
      <c r="M49" s="3">
        <v>15.9091510443792</v>
      </c>
      <c r="N49" s="3">
        <v>12.5076503357347</v>
      </c>
    </row>
    <row r="50" spans="1:14" x14ac:dyDescent="0.35">
      <c r="A50" s="2">
        <v>43173</v>
      </c>
      <c r="B50" s="3">
        <v>20.546410948998499</v>
      </c>
      <c r="C50" s="3">
        <v>15.3271158227329</v>
      </c>
      <c r="D50" s="3">
        <v>14.511504203612899</v>
      </c>
      <c r="E50" s="3">
        <v>12.9274174818453</v>
      </c>
      <c r="F50" s="3">
        <v>13.035120794788501</v>
      </c>
      <c r="G50" s="3">
        <v>16.357531089285601</v>
      </c>
      <c r="H50" s="3">
        <v>13.3879265014449</v>
      </c>
      <c r="I50" s="3">
        <v>21.256557352722599</v>
      </c>
      <c r="J50" s="3">
        <v>17.0420807368445</v>
      </c>
      <c r="K50" s="3">
        <v>14.440203607383101</v>
      </c>
      <c r="L50" s="3">
        <v>15.5616648391936</v>
      </c>
      <c r="M50" s="3">
        <v>16.325454833199899</v>
      </c>
      <c r="N50" s="3">
        <v>12.532428313409801</v>
      </c>
    </row>
    <row r="51" spans="1:14" x14ac:dyDescent="0.35">
      <c r="A51" s="2">
        <v>43203</v>
      </c>
      <c r="B51" s="3">
        <v>20.130228245311699</v>
      </c>
      <c r="C51" s="3">
        <v>14.927285916368</v>
      </c>
      <c r="D51" s="3">
        <v>13.951902358779501</v>
      </c>
      <c r="E51" s="3">
        <v>13.0612487600414</v>
      </c>
      <c r="F51" s="3">
        <v>12.8753621804691</v>
      </c>
      <c r="G51" s="3">
        <v>16.081632112418099</v>
      </c>
      <c r="H51" s="3">
        <v>13.5914747108807</v>
      </c>
      <c r="I51" s="3">
        <v>19.832218086232</v>
      </c>
      <c r="J51" s="3">
        <v>16.337057151277602</v>
      </c>
      <c r="K51" s="3">
        <v>14.498496886502799</v>
      </c>
      <c r="L51" s="3">
        <v>15.659494151343701</v>
      </c>
      <c r="M51" s="3">
        <v>15.581146193555099</v>
      </c>
      <c r="N51" s="3">
        <v>12.795542656183599</v>
      </c>
    </row>
    <row r="52" spans="1:14" x14ac:dyDescent="0.35">
      <c r="A52" s="2">
        <v>43234</v>
      </c>
      <c r="B52" s="3">
        <v>20.618696902698399</v>
      </c>
      <c r="C52" s="3">
        <v>15.564919726547</v>
      </c>
      <c r="D52" s="3">
        <v>14.413537648207599</v>
      </c>
      <c r="E52" s="3">
        <v>13.405179564503801</v>
      </c>
      <c r="F52" s="3">
        <v>13.442474646414601</v>
      </c>
      <c r="G52" s="3">
        <v>16.336327618285999</v>
      </c>
      <c r="H52" s="3">
        <v>13.9734106777137</v>
      </c>
      <c r="I52" s="3">
        <v>20.201349844105401</v>
      </c>
      <c r="J52" s="3">
        <v>16.4450307272493</v>
      </c>
      <c r="K52" s="3">
        <v>14.8263821835328</v>
      </c>
      <c r="L52" s="3">
        <v>15.8165063097559</v>
      </c>
      <c r="M52" s="3">
        <v>15.977063032068999</v>
      </c>
      <c r="N52" s="3">
        <v>12.9067184455301</v>
      </c>
    </row>
    <row r="53" spans="1:14" x14ac:dyDescent="0.35">
      <c r="A53" s="2">
        <v>43265</v>
      </c>
      <c r="B53" s="3">
        <v>21.3065570207491</v>
      </c>
      <c r="C53" s="3">
        <v>14.980849018789799</v>
      </c>
      <c r="D53" s="3">
        <v>14.4276816847667</v>
      </c>
      <c r="E53" s="3">
        <v>13.5536612788291</v>
      </c>
      <c r="F53" s="3">
        <v>13.1675870114407</v>
      </c>
      <c r="G53" s="3">
        <v>15.801536970536</v>
      </c>
      <c r="H53" s="3">
        <v>13.638779863881799</v>
      </c>
      <c r="I53" s="3">
        <v>20.8480677370632</v>
      </c>
      <c r="J53" s="3">
        <v>16.587833998600299</v>
      </c>
      <c r="K53" s="3">
        <v>14.544226120966099</v>
      </c>
      <c r="L53" s="3">
        <v>16.025146770206401</v>
      </c>
      <c r="M53" s="3">
        <v>15.562321597956201</v>
      </c>
      <c r="N53" s="3">
        <v>11.857841202924</v>
      </c>
    </row>
    <row r="54" spans="1:14" x14ac:dyDescent="0.35">
      <c r="A54" s="2">
        <v>43294</v>
      </c>
      <c r="B54" s="3">
        <v>21.2359422087086</v>
      </c>
      <c r="C54" s="3">
        <v>15.589717335739801</v>
      </c>
      <c r="D54" s="3">
        <v>14.3758713952182</v>
      </c>
      <c r="E54" s="3">
        <v>12.9864254568374</v>
      </c>
      <c r="F54" s="3">
        <v>12.8050528997419</v>
      </c>
      <c r="G54" s="3">
        <v>15.964079556418101</v>
      </c>
      <c r="H54" s="3">
        <v>13.235342999822199</v>
      </c>
      <c r="I54" s="3">
        <v>20.974145305014801</v>
      </c>
      <c r="J54" s="3">
        <v>16.5410134438428</v>
      </c>
      <c r="K54" s="3">
        <v>14.144683461028499</v>
      </c>
      <c r="L54" s="3">
        <v>15.7128073876759</v>
      </c>
      <c r="M54" s="3">
        <v>15.375436644277199</v>
      </c>
      <c r="N54" s="3">
        <v>11.430672613502299</v>
      </c>
    </row>
    <row r="55" spans="1:14" x14ac:dyDescent="0.35">
      <c r="A55" s="2">
        <v>43326</v>
      </c>
      <c r="B55" s="3">
        <v>21.1936909929493</v>
      </c>
      <c r="C55" s="3">
        <v>15.616760985056301</v>
      </c>
      <c r="D55" s="3">
        <v>14.0397552161661</v>
      </c>
      <c r="E55" s="3">
        <v>12.790729536139001</v>
      </c>
      <c r="F55" s="3">
        <v>12.581886703337</v>
      </c>
      <c r="G55" s="3">
        <v>15.9943805523269</v>
      </c>
      <c r="H55" s="3">
        <v>12.9189292227416</v>
      </c>
      <c r="I55" s="3">
        <v>20.668185113235101</v>
      </c>
      <c r="J55" s="3">
        <v>16.525477732538299</v>
      </c>
      <c r="K55" s="3">
        <v>13.8054919710794</v>
      </c>
      <c r="L55" s="3">
        <v>15.5713132236309</v>
      </c>
      <c r="M55" s="3">
        <v>15.456377389086899</v>
      </c>
      <c r="N55" s="3">
        <v>10.966613188356201</v>
      </c>
    </row>
    <row r="56" spans="1:14" x14ac:dyDescent="0.35">
      <c r="A56" s="2">
        <v>43357</v>
      </c>
      <c r="B56" s="3">
        <v>21.631476573571199</v>
      </c>
      <c r="C56" s="3">
        <v>15.184740839658801</v>
      </c>
      <c r="D56" s="3">
        <v>13.5207625926032</v>
      </c>
      <c r="E56" s="3">
        <v>12.586204196486699</v>
      </c>
      <c r="F56" s="3">
        <v>12.6494566729728</v>
      </c>
      <c r="G56" s="3">
        <v>16.003017747266899</v>
      </c>
      <c r="H56" s="3">
        <v>12.4504938608424</v>
      </c>
      <c r="I56" s="3">
        <v>20.711374337463401</v>
      </c>
      <c r="J56" s="3">
        <v>16.7577243542326</v>
      </c>
      <c r="K56" s="3">
        <v>13.603015978634801</v>
      </c>
      <c r="L56" s="3">
        <v>14.9539043284919</v>
      </c>
      <c r="M56" s="3">
        <v>15.616841914855099</v>
      </c>
      <c r="N56" s="3">
        <v>10.726025570936599</v>
      </c>
    </row>
    <row r="57" spans="1:14" x14ac:dyDescent="0.35">
      <c r="A57" s="2">
        <v>43385</v>
      </c>
      <c r="B57" s="3">
        <v>20.3722606214412</v>
      </c>
      <c r="C57" s="3">
        <v>14.414879646285501</v>
      </c>
      <c r="D57" s="3">
        <v>12.8759536274433</v>
      </c>
      <c r="E57" s="3">
        <v>11.8801994813437</v>
      </c>
      <c r="F57" s="3">
        <v>12.421521541262001</v>
      </c>
      <c r="G57" s="3">
        <v>15.131997722184501</v>
      </c>
      <c r="H57" s="3">
        <v>11.836603631962401</v>
      </c>
      <c r="I57" s="3">
        <v>19.534810913679099</v>
      </c>
      <c r="J57" s="3">
        <v>15.873322767038299</v>
      </c>
      <c r="K57" s="3">
        <v>12.769606352826299</v>
      </c>
      <c r="L57" s="3">
        <v>14.018787325754399</v>
      </c>
      <c r="M57" s="3">
        <v>14.5692607356763</v>
      </c>
      <c r="N57" s="3">
        <v>9.8707187418646907</v>
      </c>
    </row>
    <row r="58" spans="1:14" x14ac:dyDescent="0.35">
      <c r="A58" s="2">
        <v>43418</v>
      </c>
      <c r="B58" s="3">
        <v>20.1574388397656</v>
      </c>
      <c r="C58" s="3">
        <v>14.142536810626</v>
      </c>
      <c r="D58" s="3">
        <v>12.589784870395899</v>
      </c>
      <c r="E58" s="3">
        <v>11.7155820507163</v>
      </c>
      <c r="F58" s="3">
        <v>12.0079052358416</v>
      </c>
      <c r="G58" s="3">
        <v>15.5020906129142</v>
      </c>
      <c r="H58" s="3">
        <v>11.8540072279089</v>
      </c>
      <c r="I58" s="3">
        <v>18.312416433613301</v>
      </c>
      <c r="J58" s="3">
        <v>15.421105358797901</v>
      </c>
      <c r="K58" s="3">
        <v>12.7159081988449</v>
      </c>
      <c r="L58" s="3">
        <v>14.323941373822301</v>
      </c>
      <c r="M58" s="3">
        <v>14.1056411955672</v>
      </c>
      <c r="N58" s="3">
        <v>9.6882723395735706</v>
      </c>
    </row>
    <row r="59" spans="1:14" x14ac:dyDescent="0.35">
      <c r="A59" s="2">
        <v>43448</v>
      </c>
      <c r="B59" s="3">
        <v>19.803634243368201</v>
      </c>
      <c r="C59" s="3">
        <v>13.8695968703289</v>
      </c>
      <c r="D59" s="3">
        <v>12.352738425262601</v>
      </c>
      <c r="E59" s="3">
        <v>11.273842873834001</v>
      </c>
      <c r="F59" s="3">
        <v>11.7721150439616</v>
      </c>
      <c r="G59" s="3">
        <v>15.0404707209747</v>
      </c>
      <c r="H59" s="3">
        <v>11.5319316797168</v>
      </c>
      <c r="I59" s="3">
        <v>17.832488129953902</v>
      </c>
      <c r="J59" s="3">
        <v>14.8681503657254</v>
      </c>
      <c r="K59" s="3">
        <v>12.2094578569747</v>
      </c>
      <c r="L59" s="3">
        <v>13.639348658963801</v>
      </c>
      <c r="M59" s="3">
        <v>13.8125056883614</v>
      </c>
      <c r="N59" s="3">
        <v>9.4930968649954508</v>
      </c>
    </row>
    <row r="60" spans="1:14" x14ac:dyDescent="0.35">
      <c r="A60" s="2">
        <v>43479</v>
      </c>
      <c r="B60" s="3">
        <v>20.358969328562601</v>
      </c>
      <c r="C60" s="3">
        <v>14.4141464541547</v>
      </c>
      <c r="D60" s="3">
        <v>12.948356656463901</v>
      </c>
      <c r="E60" s="3">
        <v>11.2897856107754</v>
      </c>
      <c r="F60" s="3">
        <v>11.523333279571199</v>
      </c>
      <c r="G60" s="3">
        <v>15.117413625764399</v>
      </c>
      <c r="H60" s="3">
        <v>11.7996067411997</v>
      </c>
      <c r="I60" s="3">
        <v>17.950006415194899</v>
      </c>
      <c r="J60" s="3">
        <v>14.9873726121851</v>
      </c>
      <c r="K60" s="3">
        <v>12.1648162152828</v>
      </c>
      <c r="L60" s="3">
        <v>13.2670286849251</v>
      </c>
      <c r="M60" s="3">
        <v>13.355026873099099</v>
      </c>
      <c r="N60" s="3">
        <v>9.6213582203939403</v>
      </c>
    </row>
    <row r="61" spans="1:14" x14ac:dyDescent="0.35">
      <c r="A61" s="2">
        <v>43510</v>
      </c>
      <c r="B61" s="3">
        <v>21.1628779060702</v>
      </c>
      <c r="C61" s="3">
        <v>15.0520380778578</v>
      </c>
      <c r="D61" s="3">
        <v>13.820763631391101</v>
      </c>
      <c r="E61" s="3">
        <v>11.6962975909269</v>
      </c>
      <c r="F61" s="3">
        <v>12.211570446778399</v>
      </c>
      <c r="G61" s="3">
        <v>15.748033469993</v>
      </c>
      <c r="H61" s="3">
        <v>12.3903638719596</v>
      </c>
      <c r="I61" s="3">
        <v>19.396677355026</v>
      </c>
      <c r="J61" s="3">
        <v>15.9929110337089</v>
      </c>
      <c r="K61" s="3">
        <v>12.980988749231299</v>
      </c>
      <c r="L61" s="3">
        <v>14.6893474255779</v>
      </c>
      <c r="M61" s="3">
        <v>14.7302757490678</v>
      </c>
      <c r="N61" s="3">
        <v>10.2312576681016</v>
      </c>
    </row>
    <row r="62" spans="1:14" x14ac:dyDescent="0.35">
      <c r="A62" s="2">
        <v>43538</v>
      </c>
      <c r="B62" s="3">
        <v>21.543925780752598</v>
      </c>
      <c r="C62" s="3">
        <v>15.2162406649418</v>
      </c>
      <c r="D62" s="3">
        <v>14.1799664270454</v>
      </c>
      <c r="E62" s="3">
        <v>12.2415676495909</v>
      </c>
      <c r="F62" s="3">
        <v>12.4473522194652</v>
      </c>
      <c r="G62" s="3">
        <v>16.526100487266</v>
      </c>
      <c r="H62" s="3">
        <v>12.5222547998781</v>
      </c>
      <c r="I62" s="3">
        <v>20.0063786868694</v>
      </c>
      <c r="J62" s="3">
        <v>16.307793467656399</v>
      </c>
      <c r="K62" s="3">
        <v>13.6709932266014</v>
      </c>
      <c r="L62" s="3">
        <v>15.041814689799001</v>
      </c>
      <c r="M62" s="3">
        <v>14.9361116078345</v>
      </c>
      <c r="N62" s="3">
        <v>10.5512842527427</v>
      </c>
    </row>
    <row r="63" spans="1:14" x14ac:dyDescent="0.35">
      <c r="A63" s="2">
        <v>43567</v>
      </c>
      <c r="B63" s="3">
        <v>22.137219462676299</v>
      </c>
      <c r="C63" s="3">
        <v>15.3265918464317</v>
      </c>
      <c r="D63" s="3">
        <v>14.0674127514822</v>
      </c>
      <c r="E63" s="3">
        <v>12.6627812798449</v>
      </c>
      <c r="F63" s="3">
        <v>12.6040045673112</v>
      </c>
      <c r="G63" s="3">
        <v>16.7920948899664</v>
      </c>
      <c r="H63" s="3">
        <v>12.788576107157599</v>
      </c>
      <c r="I63" s="3">
        <v>20.950458030927699</v>
      </c>
      <c r="J63" s="3">
        <v>16.816955861471499</v>
      </c>
      <c r="K63" s="3">
        <v>13.981951993068099</v>
      </c>
      <c r="L63" s="3">
        <v>15.542130708954501</v>
      </c>
      <c r="M63" s="3">
        <v>15.2689007622812</v>
      </c>
      <c r="N63" s="3">
        <v>10.929320099998399</v>
      </c>
    </row>
    <row r="64" spans="1:14" x14ac:dyDescent="0.35">
      <c r="A64" s="2">
        <v>43599</v>
      </c>
      <c r="B64" s="3">
        <v>22.804170251281601</v>
      </c>
      <c r="C64" s="3">
        <v>15.1672134907424</v>
      </c>
      <c r="D64" s="3">
        <v>13.5603040456018</v>
      </c>
      <c r="E64" s="3">
        <v>12.4879174321966</v>
      </c>
      <c r="F64" s="3">
        <v>12.1346035165889</v>
      </c>
      <c r="G64" s="3">
        <v>16.338349116129699</v>
      </c>
      <c r="H64" s="3">
        <v>12.2643892410007</v>
      </c>
      <c r="I64" s="3">
        <v>20.187070198060201</v>
      </c>
      <c r="J64" s="3">
        <v>16.226474414171602</v>
      </c>
      <c r="K64" s="3">
        <v>13.534586007946</v>
      </c>
      <c r="L64" s="3">
        <v>15.187978096581601</v>
      </c>
      <c r="M64" s="3">
        <v>14.8729954304732</v>
      </c>
      <c r="N64" s="3">
        <v>10.3747316524049</v>
      </c>
    </row>
    <row r="65" spans="1:14" x14ac:dyDescent="0.35">
      <c r="A65" s="2">
        <v>43630</v>
      </c>
      <c r="B65" s="3">
        <v>23.070682757581601</v>
      </c>
      <c r="C65" s="3">
        <v>15.9141492288457</v>
      </c>
      <c r="D65" s="3">
        <v>13.5589115892928</v>
      </c>
      <c r="E65" s="3">
        <v>12.3427111688941</v>
      </c>
      <c r="F65" s="3">
        <v>12.586700909197299</v>
      </c>
      <c r="G65" s="3">
        <v>16.9755995114709</v>
      </c>
      <c r="H65" s="3">
        <v>12.391581813924301</v>
      </c>
      <c r="I65" s="3">
        <v>20.286776596893201</v>
      </c>
      <c r="J65" s="3">
        <v>16.430570134429299</v>
      </c>
      <c r="K65" s="3">
        <v>13.504612871802101</v>
      </c>
      <c r="L65" s="3">
        <v>15.2225768393764</v>
      </c>
      <c r="M65" s="3">
        <v>14.7336645684705</v>
      </c>
      <c r="N65" s="3">
        <v>10.1996098077383</v>
      </c>
    </row>
    <row r="66" spans="1:14" x14ac:dyDescent="0.35">
      <c r="A66" s="2">
        <v>43658</v>
      </c>
      <c r="B66" s="3">
        <v>24.3683662054496</v>
      </c>
      <c r="C66" s="3">
        <v>16.129652036631999</v>
      </c>
      <c r="D66" s="3">
        <v>13.6863297284055</v>
      </c>
      <c r="E66" s="3">
        <v>12.8080491134829</v>
      </c>
      <c r="F66" s="3">
        <v>12.925204357765701</v>
      </c>
      <c r="G66" s="3">
        <v>16.9318110130903</v>
      </c>
      <c r="H66" s="3">
        <v>12.640403544174699</v>
      </c>
      <c r="I66" s="3">
        <v>21.4580699956696</v>
      </c>
      <c r="J66" s="3">
        <v>17.143858750564899</v>
      </c>
      <c r="K66" s="3">
        <v>14.000503148272999</v>
      </c>
      <c r="L66" s="3">
        <v>15.5320361131098</v>
      </c>
      <c r="M66" s="3">
        <v>15.093948095418799</v>
      </c>
      <c r="N66" s="3">
        <v>10.9466900290377</v>
      </c>
    </row>
    <row r="67" spans="1:14" x14ac:dyDescent="0.35">
      <c r="A67" s="2">
        <v>43691</v>
      </c>
      <c r="B67" s="3">
        <v>24.5436261597245</v>
      </c>
      <c r="C67" s="3">
        <v>15.985589302549499</v>
      </c>
      <c r="D67" s="3">
        <v>13.329329281247</v>
      </c>
      <c r="E67" s="3">
        <v>12.1411649728349</v>
      </c>
      <c r="F67" s="3">
        <v>12.359394879224199</v>
      </c>
      <c r="G67" s="3">
        <v>16.6148460980219</v>
      </c>
      <c r="H67" s="3">
        <v>11.847056108737601</v>
      </c>
      <c r="I67" s="3">
        <v>20.021718878438602</v>
      </c>
      <c r="J67" s="3">
        <v>16.1339966456963</v>
      </c>
      <c r="K67" s="3">
        <v>13.270716675953</v>
      </c>
      <c r="L67" s="3">
        <v>14.837393337754101</v>
      </c>
      <c r="M67" s="3">
        <v>13.3353067982559</v>
      </c>
      <c r="N67" s="3">
        <v>9.8547807031710004</v>
      </c>
    </row>
    <row r="68" spans="1:14" x14ac:dyDescent="0.35">
      <c r="A68" s="2">
        <v>43721</v>
      </c>
      <c r="B68" s="3">
        <v>25.926819030685699</v>
      </c>
      <c r="C68" s="3">
        <v>16.553884982319602</v>
      </c>
      <c r="D68" s="3">
        <v>13.9564269021485</v>
      </c>
      <c r="E68" s="3">
        <v>13.1471170088523</v>
      </c>
      <c r="F68" s="3">
        <v>13.4384653972499</v>
      </c>
      <c r="G68" s="3">
        <v>17.190042058637999</v>
      </c>
      <c r="H68" s="3">
        <v>12.431698678111401</v>
      </c>
      <c r="I68" s="3">
        <v>20.897130232002102</v>
      </c>
      <c r="J68" s="3">
        <v>16.972664534906599</v>
      </c>
      <c r="K68" s="3">
        <v>14.2115092913557</v>
      </c>
      <c r="L68" s="3">
        <v>16.118121322608999</v>
      </c>
      <c r="M68" s="3">
        <v>14.787942593871</v>
      </c>
      <c r="N68" s="3">
        <v>10.8849673323702</v>
      </c>
    </row>
    <row r="69" spans="1:14" x14ac:dyDescent="0.35">
      <c r="A69" s="2">
        <v>43752</v>
      </c>
      <c r="B69" s="3">
        <v>25.512949837647799</v>
      </c>
      <c r="C69" s="3">
        <v>16.562998448789902</v>
      </c>
      <c r="D69" s="3">
        <v>13.766132951078401</v>
      </c>
      <c r="E69" s="3">
        <v>13.1014010742</v>
      </c>
      <c r="F69" s="3">
        <v>13.2624010209468</v>
      </c>
      <c r="G69" s="3">
        <v>16.9672096775741</v>
      </c>
      <c r="H69" s="3">
        <v>12.3315274567834</v>
      </c>
      <c r="I69" s="3">
        <v>20.5837408199687</v>
      </c>
      <c r="J69" s="3">
        <v>16.7547230346741</v>
      </c>
      <c r="K69" s="3">
        <v>14.1797871818116</v>
      </c>
      <c r="L69" s="3">
        <v>16.150302896167901</v>
      </c>
      <c r="M69" s="3">
        <v>15.0362317955093</v>
      </c>
      <c r="N69" s="3">
        <v>10.815357556410101</v>
      </c>
    </row>
    <row r="70" spans="1:14" x14ac:dyDescent="0.35">
      <c r="A70" s="2">
        <v>43783</v>
      </c>
      <c r="B70" s="3">
        <v>24.618100731818199</v>
      </c>
      <c r="C70" s="3">
        <v>17.077291750114998</v>
      </c>
      <c r="D70" s="3">
        <v>14.3462750865204</v>
      </c>
      <c r="E70" s="3">
        <v>13.8607597217528</v>
      </c>
      <c r="F70" s="3">
        <v>14.021565506117801</v>
      </c>
      <c r="G70" s="3">
        <v>17.2863261322934</v>
      </c>
      <c r="H70" s="3">
        <v>12.7707002198374</v>
      </c>
      <c r="I70" s="3">
        <v>21.525669187703901</v>
      </c>
      <c r="J70" s="3">
        <v>17.472181915023299</v>
      </c>
      <c r="K70" s="3">
        <v>14.744248723428401</v>
      </c>
      <c r="L70" s="3">
        <v>16.650719355821799</v>
      </c>
      <c r="M70" s="3">
        <v>15.839288482568501</v>
      </c>
      <c r="N70" s="3">
        <v>11.3365243199604</v>
      </c>
    </row>
    <row r="71" spans="1:14" x14ac:dyDescent="0.35">
      <c r="A71" s="2">
        <v>43812</v>
      </c>
      <c r="B71" s="3">
        <v>25.5440818691918</v>
      </c>
      <c r="C71" s="3">
        <v>17.200338565573102</v>
      </c>
      <c r="D71" s="3">
        <v>14.3742179183141</v>
      </c>
      <c r="E71" s="3">
        <v>14.171335737556699</v>
      </c>
      <c r="F71" s="3">
        <v>14.714560928656899</v>
      </c>
      <c r="G71" s="3">
        <v>17.5061231896488</v>
      </c>
      <c r="H71" s="3">
        <v>13.1988558943915</v>
      </c>
      <c r="I71" s="3">
        <v>22.119904528842401</v>
      </c>
      <c r="J71" s="3">
        <v>17.830092913426199</v>
      </c>
      <c r="K71" s="3">
        <v>14.780567184382599</v>
      </c>
      <c r="L71" s="3">
        <v>16.9839683349906</v>
      </c>
      <c r="M71" s="3">
        <v>15.992447523385099</v>
      </c>
      <c r="N71" s="3">
        <v>11.334018475065401</v>
      </c>
    </row>
    <row r="72" spans="1:14" x14ac:dyDescent="0.35">
      <c r="A72" s="2">
        <v>43844</v>
      </c>
      <c r="B72" s="3">
        <v>25.903706503943901</v>
      </c>
      <c r="C72" s="3">
        <v>17.7651493187279</v>
      </c>
      <c r="D72" s="3">
        <v>14.544062217956</v>
      </c>
      <c r="E72" s="3">
        <v>14.3375493641496</v>
      </c>
      <c r="F72" s="3">
        <v>14.7112760644336</v>
      </c>
      <c r="G72" s="3">
        <v>17.871214786977301</v>
      </c>
      <c r="H72" s="3">
        <v>13.5072746067087</v>
      </c>
      <c r="I72" s="3">
        <v>23.393698704462199</v>
      </c>
      <c r="J72" s="3">
        <v>18.387350951723199</v>
      </c>
      <c r="K72" s="3">
        <v>15.0236944505801</v>
      </c>
      <c r="L72" s="3">
        <v>17.160549268312501</v>
      </c>
      <c r="M72" s="3">
        <v>16.3641272576887</v>
      </c>
      <c r="N72" s="3">
        <v>11.573035444635901</v>
      </c>
    </row>
    <row r="73" spans="1:14" x14ac:dyDescent="0.35">
      <c r="A73" s="2">
        <v>43875</v>
      </c>
      <c r="B73" s="3">
        <v>26.962356529590402</v>
      </c>
      <c r="C73" s="3">
        <v>18.295100008265401</v>
      </c>
      <c r="D73" s="3">
        <v>15.041156050748601</v>
      </c>
      <c r="E73" s="3">
        <v>14.543382728318599</v>
      </c>
      <c r="F73" s="3">
        <v>14.363900356377</v>
      </c>
      <c r="G73" s="3">
        <v>18.479282265281999</v>
      </c>
      <c r="H73" s="3">
        <v>13.323362755510599</v>
      </c>
      <c r="I73" s="3">
        <v>24.352441860662001</v>
      </c>
      <c r="J73" s="3">
        <v>18.953323972410701</v>
      </c>
      <c r="K73" s="3">
        <v>15.2160122704363</v>
      </c>
      <c r="L73" s="3">
        <v>18.228601075693099</v>
      </c>
      <c r="M73" s="3">
        <v>17.011102091998598</v>
      </c>
      <c r="N73" s="3">
        <v>11.843322728852099</v>
      </c>
    </row>
    <row r="74" spans="1:14" x14ac:dyDescent="0.35">
      <c r="A74" s="2">
        <v>43903</v>
      </c>
      <c r="B74" s="3">
        <v>22.455839832550001</v>
      </c>
      <c r="C74" s="3">
        <v>14.313927787306501</v>
      </c>
      <c r="D74" s="3">
        <v>12.1382675883925</v>
      </c>
      <c r="E74" s="3">
        <v>9.9786503878062103</v>
      </c>
      <c r="F74" s="3">
        <v>10.9717310958284</v>
      </c>
      <c r="G74" s="3">
        <v>14.1581434761179</v>
      </c>
      <c r="H74" s="3">
        <v>10.1413136316744</v>
      </c>
      <c r="I74" s="3">
        <v>20.339233377878202</v>
      </c>
      <c r="J74" s="3">
        <v>15.451851314032099</v>
      </c>
      <c r="K74" s="3">
        <v>10.998381570670499</v>
      </c>
      <c r="L74" s="3">
        <v>12.728171610875901</v>
      </c>
      <c r="M74" s="3">
        <v>12.2641123876178</v>
      </c>
      <c r="N74" s="3">
        <v>7.9326352342541897</v>
      </c>
    </row>
    <row r="75" spans="1:14" x14ac:dyDescent="0.35">
      <c r="A75" s="2">
        <v>43935</v>
      </c>
      <c r="B75" s="3">
        <v>27.0623721578459</v>
      </c>
      <c r="C75" s="3">
        <v>16.363076610315701</v>
      </c>
      <c r="D75" s="3">
        <v>15.1065264670543</v>
      </c>
      <c r="E75" s="3">
        <v>13.707128491450799</v>
      </c>
      <c r="F75" s="3">
        <v>13.210481083587201</v>
      </c>
      <c r="G75" s="3">
        <v>17.516151382324001</v>
      </c>
      <c r="H75" s="3">
        <v>13.270487881962</v>
      </c>
      <c r="I75" s="3">
        <v>23.5991274621326</v>
      </c>
      <c r="J75" s="3">
        <v>18.645742389202798</v>
      </c>
      <c r="K75" s="3">
        <v>14.736679893144</v>
      </c>
      <c r="L75" s="3">
        <v>15.976352616608001</v>
      </c>
      <c r="M75" s="3">
        <v>16.108335657209899</v>
      </c>
      <c r="N75" s="3">
        <v>11.10253065473</v>
      </c>
    </row>
    <row r="76" spans="1:14" x14ac:dyDescent="0.35">
      <c r="A76" s="2">
        <v>43965</v>
      </c>
      <c r="B76" s="3">
        <v>30.555293928586099</v>
      </c>
      <c r="C76" s="3">
        <v>16.976291282171299</v>
      </c>
      <c r="D76" s="3">
        <v>17.449266787405499</v>
      </c>
      <c r="E76" s="3">
        <v>14.7723467562521</v>
      </c>
      <c r="F76" s="3">
        <v>14.1995745868415</v>
      </c>
      <c r="G76" s="3">
        <v>18.169164668795901</v>
      </c>
      <c r="H76" s="3">
        <v>14.6515506998183</v>
      </c>
      <c r="I76" s="3">
        <v>26.041705204291201</v>
      </c>
      <c r="J76" s="3">
        <v>20.344095886805501</v>
      </c>
      <c r="K76" s="3">
        <v>15.8612235505048</v>
      </c>
      <c r="L76" s="3">
        <v>17.011787760712501</v>
      </c>
      <c r="M76" s="3">
        <v>16.7485941284441</v>
      </c>
      <c r="N76" s="3">
        <v>14.4709869064245</v>
      </c>
    </row>
    <row r="77" spans="1:14" x14ac:dyDescent="0.35">
      <c r="A77" s="2">
        <v>43994</v>
      </c>
      <c r="B77" s="3">
        <v>29.977485489925201</v>
      </c>
      <c r="C77" s="3">
        <v>18.895941818929</v>
      </c>
      <c r="D77" s="3">
        <v>17.698490819762</v>
      </c>
      <c r="E77" s="3">
        <v>17.328867000686198</v>
      </c>
      <c r="F77" s="3">
        <v>17.257985619393299</v>
      </c>
      <c r="G77" s="3">
        <v>18.776659693464701</v>
      </c>
      <c r="H77" s="3">
        <v>15.9019814241868</v>
      </c>
      <c r="I77" s="3">
        <v>27.4277932948509</v>
      </c>
      <c r="J77" s="3">
        <v>21.4402587711939</v>
      </c>
      <c r="K77" s="3">
        <v>18.298959680418498</v>
      </c>
      <c r="L77" s="3">
        <v>18.975530457225499</v>
      </c>
      <c r="M77" s="3">
        <v>18.411596603301099</v>
      </c>
      <c r="N77" s="3">
        <v>17.003373998970101</v>
      </c>
    </row>
    <row r="78" spans="1:14" x14ac:dyDescent="0.35">
      <c r="A78" s="2">
        <v>44026</v>
      </c>
      <c r="B78" s="3">
        <v>31.880491651085698</v>
      </c>
      <c r="C78" s="3">
        <v>18.886230220129999</v>
      </c>
      <c r="D78" s="3">
        <v>17.702417858028198</v>
      </c>
      <c r="E78" s="3">
        <v>18.316727279556599</v>
      </c>
      <c r="F78" s="3">
        <v>17.780113291567201</v>
      </c>
      <c r="G78" s="3">
        <v>19.659799073264999</v>
      </c>
      <c r="H78" s="3">
        <v>15.7040573082371</v>
      </c>
      <c r="I78" s="3">
        <v>29.570597197012301</v>
      </c>
      <c r="J78" s="3">
        <v>22.2320553410045</v>
      </c>
      <c r="K78" s="3">
        <v>19.3936282601004</v>
      </c>
      <c r="L78" s="3">
        <v>20.166914063471399</v>
      </c>
      <c r="M78" s="3">
        <v>19.865351799719001</v>
      </c>
      <c r="N78" s="3">
        <v>17.371049299267799</v>
      </c>
    </row>
    <row r="79" spans="1:14" x14ac:dyDescent="0.35">
      <c r="A79" s="2">
        <v>44057</v>
      </c>
      <c r="B79" s="3">
        <v>31.647177311407599</v>
      </c>
      <c r="C79" s="3">
        <v>19.645024713893999</v>
      </c>
      <c r="D79" s="3">
        <v>17.458318700875299</v>
      </c>
      <c r="E79" s="3">
        <v>17.9807394843818</v>
      </c>
      <c r="F79" s="3">
        <v>17.986856330923398</v>
      </c>
      <c r="G79" s="3">
        <v>19.504439383691</v>
      </c>
      <c r="H79" s="3">
        <v>15.6042544111649</v>
      </c>
      <c r="I79" s="3">
        <v>29.2731358448595</v>
      </c>
      <c r="J79" s="3">
        <v>22.352520668358601</v>
      </c>
      <c r="K79" s="3">
        <v>19.773981873937998</v>
      </c>
      <c r="L79" s="3">
        <v>19.896879119513098</v>
      </c>
      <c r="M79" s="3">
        <v>18.561006187694002</v>
      </c>
      <c r="N79" s="3">
        <v>16.514051810434101</v>
      </c>
    </row>
    <row r="80" spans="1:14" x14ac:dyDescent="0.35">
      <c r="A80" s="2">
        <v>44088</v>
      </c>
      <c r="B80" s="3">
        <v>32.166115058006802</v>
      </c>
      <c r="C80" s="3">
        <v>18.586335102165201</v>
      </c>
      <c r="D80" s="3">
        <v>16.794026704166999</v>
      </c>
      <c r="E80" s="3">
        <v>17.673297112968701</v>
      </c>
      <c r="F80" s="3">
        <v>18.563172983740099</v>
      </c>
      <c r="G80" s="3">
        <v>19.5772251028204</v>
      </c>
      <c r="H80" s="3">
        <v>15.0031110161923</v>
      </c>
      <c r="I80" s="3">
        <v>29.089553488096499</v>
      </c>
      <c r="J80" s="3">
        <v>21.885099528921501</v>
      </c>
      <c r="K80" s="3">
        <v>19.259676883971299</v>
      </c>
      <c r="L80" s="3">
        <v>19.568711029909299</v>
      </c>
      <c r="M80" s="3">
        <v>18.253869810421701</v>
      </c>
      <c r="N80" s="3">
        <v>15.601463234832</v>
      </c>
    </row>
    <row r="81" spans="1:14" x14ac:dyDescent="0.35">
      <c r="A81" s="2">
        <v>44118</v>
      </c>
      <c r="B81" s="3">
        <v>33.431897585258397</v>
      </c>
      <c r="C81" s="3">
        <v>18.8876035277517</v>
      </c>
      <c r="D81" s="3">
        <v>16.293603015931001</v>
      </c>
      <c r="E81" s="3">
        <v>16.882367063844701</v>
      </c>
      <c r="F81" s="3">
        <v>18.088190836827501</v>
      </c>
      <c r="G81" s="3">
        <v>19.099296769820601</v>
      </c>
      <c r="H81" s="3">
        <v>14.292026836877801</v>
      </c>
      <c r="I81" s="3">
        <v>30.399673927079402</v>
      </c>
      <c r="J81" s="3">
        <v>22.034121760948999</v>
      </c>
      <c r="K81" s="3">
        <v>18.349112771087299</v>
      </c>
      <c r="L81" s="3">
        <v>20.153538972968299</v>
      </c>
      <c r="M81" s="3">
        <v>18.211865032506399</v>
      </c>
      <c r="N81" s="3">
        <v>14.8194015434583</v>
      </c>
    </row>
    <row r="82" spans="1:14" x14ac:dyDescent="0.35">
      <c r="A82" s="2">
        <v>44148</v>
      </c>
      <c r="B82" s="3">
        <v>33.1558479683695</v>
      </c>
      <c r="C82" s="3">
        <v>19.027696439201801</v>
      </c>
      <c r="D82" s="3">
        <v>15.981643607663599</v>
      </c>
      <c r="E82" s="3">
        <v>16.10004981814</v>
      </c>
      <c r="F82" s="3">
        <v>18.244039859321799</v>
      </c>
      <c r="G82" s="3">
        <v>18.977057114398999</v>
      </c>
      <c r="H82" s="3">
        <v>14.697320486352099</v>
      </c>
      <c r="I82" s="3">
        <v>29.189078065536801</v>
      </c>
      <c r="J82" s="3">
        <v>21.8795328682119</v>
      </c>
      <c r="K82" s="3">
        <v>18.908663227022402</v>
      </c>
      <c r="L82" s="3">
        <v>20.620615573778501</v>
      </c>
      <c r="M82" s="3">
        <v>17.053862982535001</v>
      </c>
      <c r="N82" s="3">
        <v>14.7260320543259</v>
      </c>
    </row>
    <row r="83" spans="1:14" x14ac:dyDescent="0.35">
      <c r="A83" s="2">
        <v>44179</v>
      </c>
      <c r="B83" s="3">
        <v>32.861040444457998</v>
      </c>
      <c r="C83" s="3">
        <v>19.286345082662699</v>
      </c>
      <c r="D83" s="3">
        <v>15.9732052633736</v>
      </c>
      <c r="E83" s="3">
        <v>15.765740827718499</v>
      </c>
      <c r="F83" s="3">
        <v>18.4653286945993</v>
      </c>
      <c r="G83" s="3">
        <v>18.3588344808065</v>
      </c>
      <c r="H83" s="3">
        <v>14.7224253469094</v>
      </c>
      <c r="I83" s="3">
        <v>29.754523088201999</v>
      </c>
      <c r="J83" s="3">
        <v>21.690962714079301</v>
      </c>
      <c r="K83" s="3">
        <v>18.388392421804198</v>
      </c>
      <c r="L83" s="3">
        <v>20.167363372693998</v>
      </c>
      <c r="M83" s="3">
        <v>17.221219655173499</v>
      </c>
      <c r="N83" s="3">
        <v>14.816499223532899</v>
      </c>
    </row>
    <row r="84" spans="1:14" x14ac:dyDescent="0.35">
      <c r="A84" s="2">
        <v>44210</v>
      </c>
      <c r="B84" s="3">
        <v>33.928214704377403</v>
      </c>
      <c r="C84" s="3">
        <v>19.289066202258699</v>
      </c>
      <c r="D84" s="3">
        <v>16.127072829975202</v>
      </c>
      <c r="E84" s="3">
        <v>16.210947338463001</v>
      </c>
      <c r="F84" s="3">
        <v>18.877918577142001</v>
      </c>
      <c r="G84" s="3">
        <v>19.023971854116201</v>
      </c>
      <c r="H84" s="3">
        <v>14.699888287628101</v>
      </c>
      <c r="I84" s="3">
        <v>29.8472749346416</v>
      </c>
      <c r="J84" s="3">
        <v>22.4184212640134</v>
      </c>
      <c r="K84" s="3">
        <v>18.076818656978698</v>
      </c>
      <c r="L84" s="3">
        <v>21.465452920343001</v>
      </c>
      <c r="M84" s="3">
        <v>18.903805877740599</v>
      </c>
      <c r="N84" s="3">
        <v>14.878257267992399</v>
      </c>
    </row>
    <row r="85" spans="1:14" x14ac:dyDescent="0.35">
      <c r="A85" s="2">
        <v>44239</v>
      </c>
      <c r="B85" s="3">
        <v>31.978803887686201</v>
      </c>
      <c r="C85" s="3">
        <v>19.051631457552499</v>
      </c>
      <c r="D85" s="3">
        <v>16.287975662363301</v>
      </c>
      <c r="E85" s="3">
        <v>15.8623919642842</v>
      </c>
      <c r="F85" s="3">
        <v>18.915367771322099</v>
      </c>
      <c r="G85" s="3">
        <v>19.000922289717</v>
      </c>
      <c r="H85" s="3">
        <v>14.083638871737801</v>
      </c>
      <c r="I85" s="3">
        <v>30.331384170679598</v>
      </c>
      <c r="J85" s="3">
        <v>22.272524621837</v>
      </c>
      <c r="K85" s="3">
        <v>17.883586317688302</v>
      </c>
      <c r="L85" s="3">
        <v>22.649830864751799</v>
      </c>
      <c r="M85" s="3">
        <v>18.8113422544853</v>
      </c>
      <c r="N85" s="3">
        <v>14.364211016786101</v>
      </c>
    </row>
    <row r="86" spans="1:14" x14ac:dyDescent="0.35">
      <c r="A86" s="2">
        <v>44267</v>
      </c>
      <c r="B86" s="3">
        <v>32.202541837906097</v>
      </c>
      <c r="C86" s="3">
        <v>18.058742089098999</v>
      </c>
      <c r="D86" s="3">
        <v>15.4849233659695</v>
      </c>
      <c r="E86" s="3">
        <v>15.8913177921663</v>
      </c>
      <c r="F86" s="3">
        <v>17.962679578018001</v>
      </c>
      <c r="G86" s="3">
        <v>18.536474957220001</v>
      </c>
      <c r="H86" s="3">
        <v>14.075155715638701</v>
      </c>
      <c r="I86" s="3">
        <v>27.7459490459471</v>
      </c>
      <c r="J86" s="3">
        <v>21.902108676981999</v>
      </c>
      <c r="K86" s="3">
        <v>18.4692729448882</v>
      </c>
      <c r="L86" s="3">
        <v>21.7226901035616</v>
      </c>
      <c r="M86" s="3">
        <v>20.108655920872501</v>
      </c>
      <c r="N86" s="3">
        <v>13.9810237556395</v>
      </c>
    </row>
    <row r="87" spans="1:14" x14ac:dyDescent="0.35">
      <c r="A87" s="2">
        <v>44300</v>
      </c>
      <c r="B87" s="3">
        <v>32.743387077720101</v>
      </c>
      <c r="C87" s="3">
        <v>18.099969107507601</v>
      </c>
      <c r="D87" s="3">
        <v>15.5351446331955</v>
      </c>
      <c r="E87" s="3">
        <v>16.058746817492199</v>
      </c>
      <c r="F87" s="3">
        <v>17.352786017098801</v>
      </c>
      <c r="G87" s="3">
        <v>19.282431020920999</v>
      </c>
      <c r="H87" s="3">
        <v>13.4641004341127</v>
      </c>
      <c r="I87" s="3">
        <v>29.272746949281299</v>
      </c>
      <c r="J87" s="3">
        <v>22.275011657934499</v>
      </c>
      <c r="K87" s="3">
        <v>18.2255338103149</v>
      </c>
      <c r="L87" s="3">
        <v>22.664054363272299</v>
      </c>
      <c r="M87" s="3">
        <v>20.3363002665746</v>
      </c>
      <c r="N87" s="3">
        <v>13.8765306962895</v>
      </c>
    </row>
    <row r="88" spans="1:14" x14ac:dyDescent="0.35">
      <c r="A88" s="2">
        <v>44330</v>
      </c>
      <c r="B88" s="3">
        <v>32.2486049547337</v>
      </c>
      <c r="C88" s="3">
        <v>17.729199938355801</v>
      </c>
      <c r="D88" s="3">
        <v>15.362889674906199</v>
      </c>
      <c r="E88" s="3">
        <v>14.8377992008927</v>
      </c>
      <c r="F88" s="3">
        <v>16.2251686397118</v>
      </c>
      <c r="G88" s="3">
        <v>18.923964193882</v>
      </c>
      <c r="H88" s="3">
        <v>13.293279484749901</v>
      </c>
      <c r="I88" s="3">
        <v>26.618891411813799</v>
      </c>
      <c r="J88" s="3">
        <v>21.323902027510702</v>
      </c>
      <c r="K88" s="3">
        <v>17.828636509038901</v>
      </c>
      <c r="L88" s="3">
        <v>21.156463172585401</v>
      </c>
      <c r="M88" s="3">
        <v>18.122443799558202</v>
      </c>
      <c r="N88" s="3">
        <v>13.3196482716872</v>
      </c>
    </row>
    <row r="89" spans="1:14" x14ac:dyDescent="0.35">
      <c r="A89" s="2">
        <v>44361</v>
      </c>
      <c r="B89" s="3">
        <v>33.056090541456598</v>
      </c>
      <c r="C89" s="3">
        <v>18.174695625477899</v>
      </c>
      <c r="D89" s="3">
        <v>15.5885651510747</v>
      </c>
      <c r="E89" s="3">
        <v>14.997777958826299</v>
      </c>
      <c r="F89" s="3">
        <v>16.527735277778302</v>
      </c>
      <c r="G89" s="3">
        <v>19.899022295774</v>
      </c>
      <c r="H89" s="3">
        <v>13.2532900583808</v>
      </c>
      <c r="I89" s="3">
        <v>27.631139658439899</v>
      </c>
      <c r="J89" s="3">
        <v>21.3399313984579</v>
      </c>
      <c r="K89" s="3">
        <v>18.058124677088099</v>
      </c>
      <c r="L89" s="3">
        <v>21.606606668805998</v>
      </c>
      <c r="M89" s="3">
        <v>18.7323687603945</v>
      </c>
      <c r="N89" s="3">
        <v>13.8195695235478</v>
      </c>
    </row>
    <row r="90" spans="1:14" x14ac:dyDescent="0.35">
      <c r="A90" s="2">
        <v>44391</v>
      </c>
      <c r="B90" s="3">
        <v>34.369254524210497</v>
      </c>
      <c r="C90" s="3">
        <v>17.074365701215399</v>
      </c>
      <c r="D90" s="3">
        <v>15.212439458611501</v>
      </c>
      <c r="E90" s="3">
        <v>14.736472216226399</v>
      </c>
      <c r="F90" s="3">
        <v>16.271403901560198</v>
      </c>
      <c r="G90" s="3">
        <v>19.905205836717599</v>
      </c>
      <c r="H90" s="3">
        <v>12.567939373601</v>
      </c>
      <c r="I90" s="3">
        <v>28.826127483177199</v>
      </c>
      <c r="J90" s="3">
        <v>21.498307743680201</v>
      </c>
      <c r="K90" s="3">
        <v>17.1789792643476</v>
      </c>
      <c r="L90" s="3">
        <v>21.423323386722998</v>
      </c>
      <c r="M90" s="3">
        <v>18.8141376069945</v>
      </c>
      <c r="N90" s="3">
        <v>13.1758674612345</v>
      </c>
    </row>
    <row r="91" spans="1:14" x14ac:dyDescent="0.35">
      <c r="A91" s="2">
        <v>44421</v>
      </c>
      <c r="B91" s="3">
        <v>33.878479231554799</v>
      </c>
      <c r="C91" s="3">
        <v>17.301448318318698</v>
      </c>
      <c r="D91" s="3">
        <v>15.070826504876001</v>
      </c>
      <c r="E91" s="3">
        <v>14.4278366041525</v>
      </c>
      <c r="F91" s="3">
        <v>15.6944564996077</v>
      </c>
      <c r="G91" s="3">
        <v>20.052572155462698</v>
      </c>
      <c r="H91" s="3">
        <v>12.4290976310856</v>
      </c>
      <c r="I91" s="3">
        <v>28.000262644806298</v>
      </c>
      <c r="J91" s="3">
        <v>21.124787779472602</v>
      </c>
      <c r="K91" s="3">
        <v>16.921004017333502</v>
      </c>
      <c r="L91" s="3">
        <v>21.693653554175899</v>
      </c>
      <c r="M91" s="3">
        <v>18.733371195829498</v>
      </c>
      <c r="N91" s="3">
        <v>12.4683343205807</v>
      </c>
    </row>
    <row r="92" spans="1:14" x14ac:dyDescent="0.35">
      <c r="A92" s="2">
        <v>44453</v>
      </c>
      <c r="B92" s="3">
        <v>34.673641434693103</v>
      </c>
      <c r="C92" s="3">
        <v>17.068810713783801</v>
      </c>
      <c r="D92" s="3">
        <v>14.772036125293999</v>
      </c>
      <c r="E92" s="3">
        <v>14.0908086946026</v>
      </c>
      <c r="F92" s="3">
        <v>16.290092663165598</v>
      </c>
      <c r="G92" s="3">
        <v>19.262720964778602</v>
      </c>
      <c r="H92" s="3">
        <v>11.994183498899799</v>
      </c>
      <c r="I92" s="3">
        <v>28.108160756187999</v>
      </c>
      <c r="J92" s="3">
        <v>20.7592566235124</v>
      </c>
      <c r="K92" s="3">
        <v>16.142253668504399</v>
      </c>
      <c r="L92" s="3">
        <v>21.888225908508801</v>
      </c>
      <c r="M92" s="3">
        <v>18.535449411663699</v>
      </c>
      <c r="N92" s="3">
        <v>11.771493342884799</v>
      </c>
    </row>
    <row r="93" spans="1:14" x14ac:dyDescent="0.35">
      <c r="A93" s="2">
        <v>44483</v>
      </c>
      <c r="B93" s="3">
        <v>33.767679973413202</v>
      </c>
      <c r="C93" s="3">
        <v>17.227110306505001</v>
      </c>
      <c r="D93" s="3">
        <v>14.817258873685899</v>
      </c>
      <c r="E93" s="3">
        <v>13.6902648967049</v>
      </c>
      <c r="F93" s="3">
        <v>15.1267102236444</v>
      </c>
      <c r="G93" s="3">
        <v>18.675450378156501</v>
      </c>
      <c r="H93" s="3">
        <v>12.235290601074301</v>
      </c>
      <c r="I93" s="3">
        <v>27.430301559150401</v>
      </c>
      <c r="J93" s="3">
        <v>20.570535474101099</v>
      </c>
      <c r="K93" s="3">
        <v>15.58526804621</v>
      </c>
      <c r="L93" s="3">
        <v>20.5846041103148</v>
      </c>
      <c r="M93" s="3">
        <v>18.253437339921099</v>
      </c>
      <c r="N93" s="3">
        <v>11.6910532573936</v>
      </c>
    </row>
    <row r="94" spans="1:14" x14ac:dyDescent="0.35">
      <c r="A94" s="2">
        <v>44512</v>
      </c>
      <c r="B94" s="3">
        <v>33.029382751822197</v>
      </c>
      <c r="C94" s="3">
        <v>17.530593516099199</v>
      </c>
      <c r="D94" s="3">
        <v>15.0832653452175</v>
      </c>
      <c r="E94" s="3">
        <v>13.8013495034117</v>
      </c>
      <c r="F94" s="3">
        <v>15.404434589989799</v>
      </c>
      <c r="G94" s="3">
        <v>19.446203568192601</v>
      </c>
      <c r="H94" s="3">
        <v>12.123013957713599</v>
      </c>
      <c r="I94" s="3">
        <v>29.397466571455901</v>
      </c>
      <c r="J94" s="3">
        <v>21.366131137464201</v>
      </c>
      <c r="K94" s="3">
        <v>15.924968978719299</v>
      </c>
      <c r="L94" s="3">
        <v>21.616029496162</v>
      </c>
      <c r="M94" s="3">
        <v>18.9637387996831</v>
      </c>
      <c r="N94" s="3">
        <v>11.7934113909717</v>
      </c>
    </row>
    <row r="95" spans="1:14" x14ac:dyDescent="0.35">
      <c r="A95" s="2">
        <v>44544</v>
      </c>
      <c r="B95" s="3">
        <v>32.6327481656717</v>
      </c>
      <c r="C95" s="3">
        <v>17.210229476299101</v>
      </c>
      <c r="D95" s="3">
        <v>14.0930946849279</v>
      </c>
      <c r="E95" s="3">
        <v>13.143975939287101</v>
      </c>
      <c r="F95" s="3">
        <v>14.465043941581801</v>
      </c>
      <c r="G95" s="3">
        <v>19.099519846143501</v>
      </c>
      <c r="H95" s="3">
        <v>11.831814038255001</v>
      </c>
      <c r="I95" s="3">
        <v>28.4229737678723</v>
      </c>
      <c r="J95" s="3">
        <v>20.825370623747201</v>
      </c>
      <c r="K95" s="3">
        <v>15.327638044202899</v>
      </c>
      <c r="L95" s="3">
        <v>19.823541404255799</v>
      </c>
      <c r="M95" s="3">
        <v>18.996050005810801</v>
      </c>
      <c r="N95" s="3">
        <v>10.7872370054603</v>
      </c>
    </row>
    <row r="96" spans="1:14" x14ac:dyDescent="0.35">
      <c r="A96" s="2">
        <v>44575</v>
      </c>
      <c r="B96" s="3">
        <v>31.155760820540699</v>
      </c>
      <c r="C96" s="3">
        <v>17.456264536873501</v>
      </c>
      <c r="D96" s="3">
        <v>14.3824611150688</v>
      </c>
      <c r="E96" s="3">
        <v>13.3450077522965</v>
      </c>
      <c r="F96" s="3">
        <v>14.3255593852813</v>
      </c>
      <c r="G96" s="3">
        <v>18.9367884259307</v>
      </c>
      <c r="H96" s="3">
        <v>12.417689762986599</v>
      </c>
      <c r="I96" s="3">
        <v>27.7465202880656</v>
      </c>
      <c r="J96" s="3">
        <v>20.7518253992605</v>
      </c>
      <c r="K96" s="3">
        <v>15.533639286687899</v>
      </c>
      <c r="L96" s="3">
        <v>19.789749512552699</v>
      </c>
      <c r="M96" s="3">
        <v>17.508578061421701</v>
      </c>
      <c r="N96" s="3">
        <v>11.077434246241999</v>
      </c>
    </row>
    <row r="97" spans="1:14" x14ac:dyDescent="0.35">
      <c r="A97" s="2">
        <v>44606</v>
      </c>
      <c r="B97" s="3">
        <v>29.634105755307701</v>
      </c>
      <c r="C97" s="3">
        <v>16.020561919559501</v>
      </c>
      <c r="D97" s="3">
        <v>14.183403973950499</v>
      </c>
      <c r="E97" s="3">
        <v>12.4848898240291</v>
      </c>
      <c r="F97" s="3">
        <v>13.639739430616499</v>
      </c>
      <c r="G97" s="3">
        <v>18.028762901945001</v>
      </c>
      <c r="H97" s="3">
        <v>12.1429274370545</v>
      </c>
      <c r="I97" s="3">
        <v>25.039689227813</v>
      </c>
      <c r="J97" s="3">
        <v>19.3111345133931</v>
      </c>
      <c r="K97" s="3">
        <v>14.326442377691301</v>
      </c>
      <c r="L97" s="3">
        <v>18.0811550347671</v>
      </c>
      <c r="M97" s="3">
        <v>16.0351343476467</v>
      </c>
      <c r="N97" s="3">
        <v>10.447814871106701</v>
      </c>
    </row>
    <row r="98" spans="1:14" x14ac:dyDescent="0.35">
      <c r="A98" s="2">
        <v>44634</v>
      </c>
      <c r="B98" s="3">
        <v>28.5348033035737</v>
      </c>
      <c r="C98" s="3">
        <v>15.5929520732693</v>
      </c>
      <c r="D98" s="3">
        <v>13.368843352808399</v>
      </c>
      <c r="E98" s="3">
        <v>11.3325726958324</v>
      </c>
      <c r="F98" s="3">
        <v>12.377745499129199</v>
      </c>
      <c r="G98" s="3">
        <v>17.495289841665201</v>
      </c>
      <c r="H98" s="3">
        <v>11.3221115399295</v>
      </c>
      <c r="I98" s="3">
        <v>22.583770691082599</v>
      </c>
      <c r="J98" s="3">
        <v>18.036373790899599</v>
      </c>
      <c r="K98" s="3">
        <v>13.217726862438001</v>
      </c>
      <c r="L98" s="3">
        <v>16.698744278901199</v>
      </c>
      <c r="M98" s="3">
        <v>14.967706159454201</v>
      </c>
      <c r="N98" s="3">
        <v>9.3563874136943408</v>
      </c>
    </row>
    <row r="99" spans="1:14" x14ac:dyDescent="0.35">
      <c r="A99" s="2">
        <v>44665</v>
      </c>
      <c r="B99" s="3">
        <v>28.210262612245099</v>
      </c>
      <c r="C99" s="3">
        <v>15.6660050718392</v>
      </c>
      <c r="D99" s="3">
        <v>13.3947497629698</v>
      </c>
      <c r="E99" s="3">
        <v>11.320385958728901</v>
      </c>
      <c r="F99" s="3">
        <v>12.983270607743499</v>
      </c>
      <c r="G99" s="3">
        <v>18.552737473723699</v>
      </c>
      <c r="H99" s="3">
        <v>11.2003150824142</v>
      </c>
      <c r="I99" s="3">
        <v>23.892941188342402</v>
      </c>
      <c r="J99" s="3">
        <v>18.674645082029102</v>
      </c>
      <c r="K99" s="3">
        <v>13.1565561464288</v>
      </c>
      <c r="L99" s="3">
        <v>17.662155151590699</v>
      </c>
      <c r="M99" s="3">
        <v>15.0156689294086</v>
      </c>
      <c r="N99" s="3">
        <v>9.7331044742382105</v>
      </c>
    </row>
    <row r="100" spans="1:14" x14ac:dyDescent="0.35">
      <c r="A100" s="2">
        <v>44694</v>
      </c>
      <c r="B100" s="3">
        <v>27.436236924377599</v>
      </c>
      <c r="C100" s="3">
        <v>14.1023480797516</v>
      </c>
      <c r="D100" s="3">
        <v>12.117086516932501</v>
      </c>
      <c r="E100" s="3">
        <v>10.7558131576644</v>
      </c>
      <c r="F100" s="3">
        <v>12.593910936717499</v>
      </c>
      <c r="G100" s="3">
        <v>16.883512923002801</v>
      </c>
      <c r="H100" s="3">
        <v>10.213034303308801</v>
      </c>
      <c r="I100" s="3">
        <v>21.4935467705821</v>
      </c>
      <c r="J100" s="3">
        <v>16.988037000458299</v>
      </c>
      <c r="K100" s="3">
        <v>12.2351875437038</v>
      </c>
      <c r="L100" s="3">
        <v>16.345122418469298</v>
      </c>
      <c r="M100" s="3">
        <v>15.9344201086223</v>
      </c>
      <c r="N100" s="3">
        <v>9.1537600247610396</v>
      </c>
    </row>
    <row r="101" spans="1:14" x14ac:dyDescent="0.35">
      <c r="A101" s="2">
        <v>44726</v>
      </c>
      <c r="B101" s="3">
        <v>24.9980422121657</v>
      </c>
      <c r="C101" s="3">
        <v>12.8705844931812</v>
      </c>
      <c r="D101" s="3">
        <v>11.6547173254194</v>
      </c>
      <c r="E101" s="3">
        <v>10.142520204961601</v>
      </c>
      <c r="F101" s="3">
        <v>12.430404537382399</v>
      </c>
      <c r="G101" s="3">
        <v>15.332415951769599</v>
      </c>
      <c r="H101" s="3">
        <v>9.6817760460847797</v>
      </c>
      <c r="I101" s="3">
        <v>19.4541204991285</v>
      </c>
      <c r="J101" s="3">
        <v>15.586025713792999</v>
      </c>
      <c r="K101" s="3">
        <v>11.260020566211599</v>
      </c>
      <c r="L101" s="3">
        <v>15.671734128049399</v>
      </c>
      <c r="M101" s="3">
        <v>14.6326825856305</v>
      </c>
      <c r="N101" s="3">
        <v>7.9309082525618804</v>
      </c>
    </row>
    <row r="102" spans="1:14" x14ac:dyDescent="0.35">
      <c r="A102" s="2">
        <v>44756</v>
      </c>
      <c r="B102" s="3">
        <v>26.235754612925501</v>
      </c>
      <c r="C102" s="3">
        <v>12.8411457152246</v>
      </c>
      <c r="D102" s="3">
        <v>10.7197630789796</v>
      </c>
      <c r="E102" s="3">
        <v>9.5455500077565105</v>
      </c>
      <c r="F102" s="3">
        <v>12.454079603849699</v>
      </c>
      <c r="G102" s="3">
        <v>15.788248835272</v>
      </c>
      <c r="H102" s="3">
        <v>9.2412597025104102</v>
      </c>
      <c r="I102" s="3">
        <v>20.427687738715999</v>
      </c>
      <c r="J102" s="3">
        <v>15.8383728430587</v>
      </c>
      <c r="K102" s="3">
        <v>10.936646378308801</v>
      </c>
      <c r="L102" s="3">
        <v>15.8458009925992</v>
      </c>
      <c r="M102" s="3">
        <v>14.351516978736999</v>
      </c>
      <c r="N102" s="3">
        <v>7.3654795515958398</v>
      </c>
    </row>
    <row r="103" spans="1:14" x14ac:dyDescent="0.35">
      <c r="A103" s="2">
        <v>44785</v>
      </c>
      <c r="B103" s="3">
        <v>26.4242316214815</v>
      </c>
      <c r="C103" s="3">
        <v>14.116580475957401</v>
      </c>
      <c r="D103" s="3">
        <v>11.8424093117307</v>
      </c>
      <c r="E103" s="3">
        <v>10.343549623547499</v>
      </c>
      <c r="F103" s="3">
        <v>12.9635297716022</v>
      </c>
      <c r="G103" s="3">
        <v>16.9119963255214</v>
      </c>
      <c r="H103" s="3">
        <v>9.8182662478716605</v>
      </c>
      <c r="I103" s="3">
        <v>24.195076911884701</v>
      </c>
      <c r="J103" s="3">
        <v>18.069953072686001</v>
      </c>
      <c r="K103" s="3">
        <v>11.843444724006501</v>
      </c>
      <c r="L103" s="3">
        <v>17.886921416005801</v>
      </c>
      <c r="M103" s="3">
        <v>15.100841715597999</v>
      </c>
      <c r="N103" s="3">
        <v>7.7368714259239502</v>
      </c>
    </row>
    <row r="104" spans="1:14" x14ac:dyDescent="0.35">
      <c r="A104" s="2">
        <v>44818</v>
      </c>
      <c r="B104" s="3">
        <v>26.615449323844999</v>
      </c>
      <c r="C104" s="3">
        <v>13.414293967139001</v>
      </c>
      <c r="D104" s="3">
        <v>11.554813395858799</v>
      </c>
      <c r="E104" s="3">
        <v>9.7310920460525701</v>
      </c>
      <c r="F104" s="3">
        <v>12.7084530101531</v>
      </c>
      <c r="G104" s="3">
        <v>15.952866679839399</v>
      </c>
      <c r="H104" s="3">
        <v>9.2278354382901107</v>
      </c>
      <c r="I104" s="3">
        <v>21.479212245514798</v>
      </c>
      <c r="J104" s="3">
        <v>16.570128573091399</v>
      </c>
      <c r="K104" s="3">
        <v>11.2197308243531</v>
      </c>
      <c r="L104" s="3">
        <v>15.841163000971701</v>
      </c>
      <c r="M104" s="3">
        <v>13.925324428899399</v>
      </c>
      <c r="N104" s="3">
        <v>7.7859271449902998</v>
      </c>
    </row>
    <row r="105" spans="1:14" x14ac:dyDescent="0.35">
      <c r="A105" s="2">
        <v>44848</v>
      </c>
      <c r="B105" s="3">
        <v>23.341906984668501</v>
      </c>
      <c r="C105" s="3">
        <v>12.991404230077</v>
      </c>
      <c r="D105" s="3">
        <v>10.747137995753199</v>
      </c>
      <c r="E105" s="3">
        <v>9.2333185970520599</v>
      </c>
      <c r="F105" s="3">
        <v>12.2793186445071</v>
      </c>
      <c r="G105" s="3">
        <v>14.979906310873201</v>
      </c>
      <c r="H105" s="3">
        <v>8.5943310851804107</v>
      </c>
      <c r="I105" s="3">
        <v>19.119962256776301</v>
      </c>
      <c r="J105" s="3">
        <v>15.2019820928396</v>
      </c>
      <c r="K105" s="3">
        <v>10.5206998865338</v>
      </c>
      <c r="L105" s="3">
        <v>14.0284099398273</v>
      </c>
      <c r="M105" s="3">
        <v>13.1502188076369</v>
      </c>
      <c r="N105" s="3">
        <v>7.3022610913447403</v>
      </c>
    </row>
    <row r="106" spans="1:14" x14ac:dyDescent="0.35">
      <c r="A106" s="2">
        <v>44879</v>
      </c>
      <c r="B106" s="3">
        <v>23.291448409474</v>
      </c>
      <c r="C106" s="3">
        <v>14.290049439051799</v>
      </c>
      <c r="D106" s="3">
        <v>11.858267460784001</v>
      </c>
      <c r="E106" s="3">
        <v>10.7865737451949</v>
      </c>
      <c r="F106" s="3">
        <v>12.7279877587195</v>
      </c>
      <c r="G106" s="3">
        <v>16.850033172459899</v>
      </c>
      <c r="H106" s="3">
        <v>9.4762899195992691</v>
      </c>
      <c r="I106" s="3">
        <v>21.7844483402537</v>
      </c>
      <c r="J106" s="3">
        <v>17.148496571752201</v>
      </c>
      <c r="K106" s="3">
        <v>11.8993208364081</v>
      </c>
      <c r="L106" s="3">
        <v>16.3532645043847</v>
      </c>
      <c r="M106" s="3">
        <v>13.165885122554</v>
      </c>
      <c r="N106" s="3">
        <v>8.3086992141125897</v>
      </c>
    </row>
    <row r="107" spans="1:14" x14ac:dyDescent="0.35">
      <c r="A107" s="2">
        <v>44909</v>
      </c>
      <c r="B107" s="3">
        <v>23.216198610894299</v>
      </c>
      <c r="C107" s="3">
        <v>14.472816491777699</v>
      </c>
      <c r="D107" s="3">
        <v>12.1198808473345</v>
      </c>
      <c r="E107" s="3">
        <v>10.771294475260699</v>
      </c>
      <c r="F107" s="3">
        <v>12.8372689194063</v>
      </c>
      <c r="G107" s="3">
        <v>16.967854382543901</v>
      </c>
      <c r="H107" s="3">
        <v>9.9969591851927699</v>
      </c>
      <c r="I107" s="3">
        <v>21.799581563405201</v>
      </c>
      <c r="J107" s="3">
        <v>17.292530812370501</v>
      </c>
      <c r="K107" s="3">
        <v>12.2625406624524</v>
      </c>
      <c r="L107" s="3">
        <v>16.477912576179801</v>
      </c>
      <c r="M107" s="3">
        <v>13.4009408657467</v>
      </c>
      <c r="N107" s="3">
        <v>7.8913550330155404</v>
      </c>
    </row>
    <row r="108" spans="1:14" x14ac:dyDescent="0.35">
      <c r="A108" s="2">
        <v>44939</v>
      </c>
      <c r="B108" s="3">
        <v>23.599551255676101</v>
      </c>
      <c r="C108" s="3">
        <v>14.5858706406704</v>
      </c>
      <c r="D108" s="3">
        <v>12.6686151277673</v>
      </c>
      <c r="E108" s="3">
        <v>11.4048337696508</v>
      </c>
      <c r="F108" s="3">
        <v>12.366481987409401</v>
      </c>
      <c r="G108" s="3">
        <v>17.2338498725642</v>
      </c>
      <c r="H108" s="3">
        <v>10.4369494192175</v>
      </c>
      <c r="I108" s="3">
        <v>22.046034715592999</v>
      </c>
      <c r="J108" s="3">
        <v>17.430028388660599</v>
      </c>
      <c r="K108" s="3">
        <v>12.947486646182799</v>
      </c>
      <c r="L108" s="3">
        <v>16.977389004741799</v>
      </c>
      <c r="M108" s="3">
        <v>13.6589371762959</v>
      </c>
      <c r="N108" s="3">
        <v>8.2154269201635994</v>
      </c>
    </row>
    <row r="109" spans="1:14" x14ac:dyDescent="0.35">
      <c r="A109" s="2">
        <v>44971</v>
      </c>
      <c r="B109" s="3">
        <v>24.225649329009599</v>
      </c>
      <c r="C109" s="3">
        <v>14.922258116577201</v>
      </c>
      <c r="D109" s="3">
        <v>12.944830787821401</v>
      </c>
      <c r="E109" s="3">
        <v>11.653059117509599</v>
      </c>
      <c r="F109" s="3">
        <v>13.070214301178501</v>
      </c>
      <c r="G109" s="3">
        <v>17.4308597373239</v>
      </c>
      <c r="H109" s="3">
        <v>10.669635798018801</v>
      </c>
      <c r="I109" s="3">
        <v>24.326868077166498</v>
      </c>
      <c r="J109" s="3">
        <v>18.2386812193173</v>
      </c>
      <c r="K109" s="3">
        <v>13.251038364394599</v>
      </c>
      <c r="L109" s="3">
        <v>17.020326569849999</v>
      </c>
      <c r="M109" s="3">
        <v>14.1308297731787</v>
      </c>
      <c r="N109" s="3">
        <v>8.4407629488180795</v>
      </c>
    </row>
    <row r="110" spans="1:14" x14ac:dyDescent="0.35">
      <c r="A110" s="2">
        <v>44999</v>
      </c>
      <c r="B110" s="3">
        <v>22.617085969029802</v>
      </c>
      <c r="C110" s="3">
        <v>13.904172433206</v>
      </c>
      <c r="D110" s="3">
        <v>12.4080779185644</v>
      </c>
      <c r="E110" s="3">
        <v>11.2816199304305</v>
      </c>
      <c r="F110" s="3">
        <v>12.798916908545699</v>
      </c>
      <c r="G110" s="3">
        <v>16.649712447898501</v>
      </c>
      <c r="H110" s="3">
        <v>10.190751444197</v>
      </c>
      <c r="I110" s="3">
        <v>23.266336475465899</v>
      </c>
      <c r="J110" s="3">
        <v>17.199564496613</v>
      </c>
      <c r="K110" s="3">
        <v>13.0181963732448</v>
      </c>
      <c r="L110" s="3">
        <v>16.008172969469001</v>
      </c>
      <c r="M110" s="3">
        <v>13.7069618345307</v>
      </c>
      <c r="N110" s="3">
        <v>8.4049452478287492</v>
      </c>
    </row>
    <row r="111" spans="1:14" x14ac:dyDescent="0.35">
      <c r="A111" s="2">
        <v>45030</v>
      </c>
      <c r="B111" s="3">
        <v>23.270838009337801</v>
      </c>
      <c r="C111" s="3">
        <v>14.7295083666579</v>
      </c>
      <c r="D111" s="3">
        <v>13.040996255805901</v>
      </c>
      <c r="E111" s="3">
        <v>11.4565428165154</v>
      </c>
      <c r="F111" s="3">
        <v>13.274932652591</v>
      </c>
      <c r="G111" s="3">
        <v>17.4960596194177</v>
      </c>
      <c r="H111" s="3">
        <v>10.794737748253601</v>
      </c>
      <c r="I111" s="3">
        <v>24.765238308669002</v>
      </c>
      <c r="J111" s="3">
        <v>18.1842479024581</v>
      </c>
      <c r="K111" s="3">
        <v>13.643937289225599</v>
      </c>
      <c r="L111" s="3">
        <v>16.3798625393298</v>
      </c>
      <c r="M111" s="3">
        <v>13.9201950823294</v>
      </c>
      <c r="N111" s="3">
        <v>8.7730186302121798</v>
      </c>
    </row>
    <row r="112" spans="1:14" x14ac:dyDescent="0.35">
      <c r="A112" s="2">
        <v>45058</v>
      </c>
      <c r="B112" s="3">
        <v>23.5461593745766</v>
      </c>
      <c r="C112" s="3">
        <v>14.5721761784515</v>
      </c>
      <c r="D112" s="3">
        <v>13.0603870933842</v>
      </c>
      <c r="E112" s="3">
        <v>11.0472285877559</v>
      </c>
      <c r="F112" s="3">
        <v>13.749474324783399</v>
      </c>
      <c r="G112" s="3">
        <v>17.528634055255601</v>
      </c>
      <c r="H112" s="3">
        <v>10.495948211477099</v>
      </c>
      <c r="I112" s="3">
        <v>24.596914279104599</v>
      </c>
      <c r="J112" s="3">
        <v>17.939071947117402</v>
      </c>
      <c r="K112" s="3">
        <v>13.369143812145699</v>
      </c>
      <c r="L112" s="3">
        <v>15.5731470072406</v>
      </c>
      <c r="M112" s="3">
        <v>13.480798581470999</v>
      </c>
      <c r="N112" s="3">
        <v>8.3926924831218894</v>
      </c>
    </row>
    <row r="113" spans="1:25" x14ac:dyDescent="0.35">
      <c r="A113" s="2">
        <v>45091</v>
      </c>
      <c r="B113" s="3">
        <v>20.6215407331322</v>
      </c>
      <c r="C113" s="3">
        <v>14.8135837268913</v>
      </c>
      <c r="D113" s="3">
        <v>12.944925018969199</v>
      </c>
      <c r="E113" s="3">
        <v>11.001463332369299</v>
      </c>
      <c r="F113" s="3">
        <v>15.0198144617325</v>
      </c>
      <c r="G113" s="3">
        <v>16.565603912536499</v>
      </c>
      <c r="H113" s="3">
        <v>10.3994498776333</v>
      </c>
      <c r="I113" s="3">
        <v>26.874090784658001</v>
      </c>
      <c r="J113" s="3">
        <v>18.797587084016801</v>
      </c>
      <c r="K113" s="3">
        <v>13.2375454340992</v>
      </c>
      <c r="L113" s="3">
        <v>15.9802192953395</v>
      </c>
      <c r="M113" s="3">
        <v>13.8110727078974</v>
      </c>
      <c r="N113" s="3">
        <v>8.7801352042030292</v>
      </c>
    </row>
    <row r="114" spans="1:25" x14ac:dyDescent="0.35">
      <c r="A114" s="2">
        <v>45121</v>
      </c>
      <c r="B114" s="3">
        <v>21.109196103277899</v>
      </c>
      <c r="C114" s="3">
        <v>15.398555016562099</v>
      </c>
      <c r="D114" s="3">
        <v>13.2747436270659</v>
      </c>
      <c r="E114" s="3">
        <v>10.785002489899099</v>
      </c>
      <c r="F114" s="3">
        <v>14.4659054693794</v>
      </c>
      <c r="G114" s="3">
        <v>16.6306143927291</v>
      </c>
      <c r="H114" s="3">
        <v>10.448760832878101</v>
      </c>
      <c r="I114" s="3">
        <v>27.214903190969402</v>
      </c>
      <c r="J114" s="3">
        <v>19.342726404313598</v>
      </c>
      <c r="K114" s="3">
        <v>13.283250900203701</v>
      </c>
      <c r="L114" s="3">
        <v>16.226607941643699</v>
      </c>
      <c r="M114" s="3">
        <v>13.386592161181699</v>
      </c>
      <c r="N114" s="3">
        <v>8.8277055155484199</v>
      </c>
    </row>
    <row r="115" spans="1:25" x14ac:dyDescent="0.35">
      <c r="A115" s="2">
        <v>45152</v>
      </c>
      <c r="B115" s="3">
        <v>20.433722964901801</v>
      </c>
      <c r="C115" s="3">
        <v>15.247773597364301</v>
      </c>
      <c r="D115" s="3">
        <v>13.1623483397555</v>
      </c>
      <c r="E115" s="3">
        <v>10.6754444204553</v>
      </c>
      <c r="F115" s="3">
        <v>14.3672831617725</v>
      </c>
      <c r="G115" s="3">
        <v>16.602802445424899</v>
      </c>
      <c r="H115" s="3">
        <v>10.4632074740082</v>
      </c>
      <c r="I115" s="3">
        <v>24.701287745424501</v>
      </c>
      <c r="J115" s="3">
        <v>18.9949568468728</v>
      </c>
      <c r="K115" s="3">
        <v>13.062169865108601</v>
      </c>
      <c r="L115" s="3">
        <v>15.3130945995405</v>
      </c>
      <c r="M115" s="3">
        <v>13.098667582834601</v>
      </c>
      <c r="N115" s="3">
        <v>8.2940836900833297</v>
      </c>
    </row>
    <row r="116" spans="1:25" x14ac:dyDescent="0.35">
      <c r="A116" s="2">
        <v>45183</v>
      </c>
      <c r="B116" s="3">
        <v>20.210638536322701</v>
      </c>
      <c r="C116" s="3">
        <v>15.27329282727</v>
      </c>
      <c r="D116" s="3">
        <v>13.3142363713538</v>
      </c>
      <c r="E116" s="3">
        <v>10.6136397673834</v>
      </c>
      <c r="F116" s="3">
        <v>14.9725264844866</v>
      </c>
      <c r="G116" s="3">
        <v>16.589638385002299</v>
      </c>
      <c r="H116" s="3">
        <v>10.572865820578301</v>
      </c>
      <c r="I116" s="3">
        <v>24.472808709747301</v>
      </c>
      <c r="J116" s="3">
        <v>18.769334159156902</v>
      </c>
      <c r="K116" s="3">
        <v>12.8576219755923</v>
      </c>
      <c r="L116" s="3">
        <v>14.171561376258699</v>
      </c>
      <c r="M116" s="3">
        <v>13.0373964167786</v>
      </c>
      <c r="N116" s="3">
        <v>8.51861930517423</v>
      </c>
    </row>
    <row r="117" spans="1:25" x14ac:dyDescent="0.35">
      <c r="A117" s="2">
        <v>45212</v>
      </c>
      <c r="B117" s="3">
        <v>19.8057004111295</v>
      </c>
      <c r="C117" s="3">
        <v>14.698931050412</v>
      </c>
      <c r="D117" s="3">
        <v>12.512649532908901</v>
      </c>
      <c r="E117" s="3">
        <v>10.1579974909546</v>
      </c>
      <c r="F117" s="3">
        <v>14.268223506422601</v>
      </c>
      <c r="G117" s="3">
        <v>16.1190760988368</v>
      </c>
      <c r="H117" s="3">
        <v>10.3448752921969</v>
      </c>
      <c r="I117" s="3">
        <v>23.500819991891099</v>
      </c>
      <c r="J117" s="3">
        <v>17.937398384854902</v>
      </c>
      <c r="K117" s="3">
        <v>12.225129247878799</v>
      </c>
      <c r="L117" s="3">
        <v>13.463647804402999</v>
      </c>
      <c r="M117" s="3">
        <v>13.0898076390889</v>
      </c>
      <c r="N117" s="3">
        <v>8.1760961453326697</v>
      </c>
    </row>
    <row r="118" spans="1:25" x14ac:dyDescent="0.35">
      <c r="A118" s="2">
        <v>45244</v>
      </c>
      <c r="B118" s="3">
        <v>20.2841089658044</v>
      </c>
      <c r="C118" s="3">
        <v>14.9222755353436</v>
      </c>
      <c r="D118" s="3">
        <v>12.7019835971739</v>
      </c>
      <c r="E118" s="3">
        <v>10.5371323800575</v>
      </c>
      <c r="F118" s="3">
        <v>14.2598075645272</v>
      </c>
      <c r="G118" s="3">
        <v>16.034750136205599</v>
      </c>
      <c r="H118" s="3">
        <v>10.299833409688</v>
      </c>
      <c r="I118" s="3">
        <v>24.368048652132899</v>
      </c>
      <c r="J118" s="3">
        <v>18.5715751923818</v>
      </c>
      <c r="K118" s="3">
        <v>12.7202889053669</v>
      </c>
      <c r="L118" s="3">
        <v>14.533059458250101</v>
      </c>
      <c r="M118" s="3">
        <v>13.182165846418901</v>
      </c>
      <c r="N118" s="3">
        <v>8.3224198322835701</v>
      </c>
    </row>
    <row r="119" spans="1:25" x14ac:dyDescent="0.35">
      <c r="A119" s="2">
        <v>45274</v>
      </c>
      <c r="B119" s="3">
        <v>22.704441359321699</v>
      </c>
      <c r="C119" s="3">
        <v>15.8506957990049</v>
      </c>
      <c r="D119" s="3">
        <v>13.4565023238693</v>
      </c>
      <c r="E119" s="3">
        <v>11.229796053443399</v>
      </c>
      <c r="F119" s="3">
        <v>13.851507220099901</v>
      </c>
      <c r="G119" s="3">
        <v>16.826750400876101</v>
      </c>
      <c r="H119" s="3">
        <v>10.841326522784</v>
      </c>
      <c r="I119" s="3">
        <v>24.834055920063999</v>
      </c>
      <c r="J119" s="3">
        <v>19.329574939911701</v>
      </c>
      <c r="K119" s="3">
        <v>13.4586032543694</v>
      </c>
      <c r="L119" s="3">
        <v>15.2569906203921</v>
      </c>
      <c r="M119" s="3">
        <v>15.472509981103</v>
      </c>
      <c r="N119" s="3">
        <v>8.84561977964837</v>
      </c>
    </row>
    <row r="120" spans="1:25" x14ac:dyDescent="0.35">
      <c r="A120" s="2">
        <v>45303</v>
      </c>
      <c r="B120" s="3">
        <v>22.952035526695099</v>
      </c>
      <c r="C120" s="3">
        <v>16.177027584588199</v>
      </c>
      <c r="D120" s="3">
        <v>13.630396564080399</v>
      </c>
      <c r="E120" s="3">
        <v>11.1084540077934</v>
      </c>
      <c r="F120" s="3">
        <v>14.810571996700601</v>
      </c>
      <c r="G120" s="3">
        <v>17.025320829921</v>
      </c>
      <c r="H120" s="3">
        <v>10.9927384530653</v>
      </c>
      <c r="I120" s="3">
        <v>24.978857723899502</v>
      </c>
      <c r="J120" s="3">
        <v>19.556197749033299</v>
      </c>
      <c r="K120" s="3">
        <v>13.324581707219201</v>
      </c>
      <c r="L120" s="3">
        <v>14.8053711394143</v>
      </c>
      <c r="M120" s="3">
        <v>15.4258960455709</v>
      </c>
      <c r="N120" s="3">
        <v>8.9826794021793201</v>
      </c>
    </row>
    <row r="121" spans="1:25" x14ac:dyDescent="0.35">
      <c r="A121" s="2">
        <v>45336</v>
      </c>
      <c r="B121" s="3">
        <v>21.846612223825701</v>
      </c>
      <c r="C121" s="3">
        <v>16.197523734297501</v>
      </c>
      <c r="D121" s="3">
        <v>13.813326793444901</v>
      </c>
      <c r="E121" s="3">
        <v>11.5121454321323</v>
      </c>
      <c r="F121" s="3">
        <v>15.119279387917301</v>
      </c>
      <c r="G121" s="3">
        <v>17.2257177738088</v>
      </c>
      <c r="H121" s="3">
        <v>10.970269464995599</v>
      </c>
      <c r="I121" s="3">
        <v>26.106485566991999</v>
      </c>
      <c r="J121" s="3">
        <v>20.238163901770399</v>
      </c>
      <c r="K121" s="3">
        <v>13.825575128154901</v>
      </c>
      <c r="L121" s="3">
        <v>16.0741705860469</v>
      </c>
      <c r="M121" s="3">
        <v>15.7034714197701</v>
      </c>
      <c r="N121" s="3">
        <v>9.0376986057117694</v>
      </c>
    </row>
    <row r="122" spans="1:25" x14ac:dyDescent="0.35">
      <c r="A122" s="2">
        <v>45364</v>
      </c>
      <c r="B122" s="3">
        <v>24.639757864768299</v>
      </c>
      <c r="C122" s="3">
        <v>16.6193384530605</v>
      </c>
      <c r="D122" s="3">
        <v>14.603137299534</v>
      </c>
      <c r="E122" s="3">
        <v>12.1825679319545</v>
      </c>
      <c r="F122" s="3">
        <v>15.2504713833785</v>
      </c>
      <c r="G122" s="3">
        <v>17.864966132391999</v>
      </c>
      <c r="H122" s="3">
        <v>11.3487384521514</v>
      </c>
      <c r="I122" s="3">
        <v>25.992266197238401</v>
      </c>
      <c r="J122" s="3">
        <v>20.585457141106101</v>
      </c>
      <c r="K122" s="3">
        <v>14.653892215908099</v>
      </c>
      <c r="L122" s="3">
        <v>16.1467016282411</v>
      </c>
      <c r="M122" s="3">
        <v>16.677857546191099</v>
      </c>
      <c r="N122" s="3">
        <v>9.5952746189439004</v>
      </c>
    </row>
    <row r="124" spans="1:25" x14ac:dyDescent="0.35">
      <c r="A124" s="2" t="s">
        <v>95</v>
      </c>
      <c r="B124" s="3" cm="1">
        <f t="array" ref="B124">MIN(_xlfn._xlws.FILTER(B1:B122, ISNUMBER(B1:B122)))</f>
        <v>16.738014946543199</v>
      </c>
      <c r="C124" s="3" cm="1">
        <f t="array" ref="C124">MIN(_xlfn._xlws.FILTER(C1:C122, ISNUMBER(C1:C122)))</f>
        <v>12.8411457152246</v>
      </c>
      <c r="D124" s="3" cm="1">
        <f t="array" ref="D124">MIN(_xlfn._xlws.FILTER(D1:D122, ISNUMBER(D1:D122)))</f>
        <v>10.7197630789796</v>
      </c>
      <c r="E124" s="3" cm="1">
        <f t="array" ref="E124">MIN(_xlfn._xlws.FILTER(E1:E122, ISNUMBER(E1:E122)))</f>
        <v>9.2333185970520599</v>
      </c>
      <c r="F124" s="3" cm="1">
        <f t="array" ref="F124">MIN(_xlfn._xlws.FILTER(F1:F122, ISNUMBER(F1:F122)))</f>
        <v>10.9717310958284</v>
      </c>
      <c r="G124" s="3" cm="1">
        <f t="array" ref="G124">MIN(_xlfn._xlws.FILTER(G1:G122, ISNUMBER(G1:G122)))</f>
        <v>14.1581434761179</v>
      </c>
      <c r="H124" s="3" cm="1">
        <f t="array" ref="H124">MIN(_xlfn._xlws.FILTER(H1:H122, ISNUMBER(H1:H122)))</f>
        <v>8.5943310851804107</v>
      </c>
      <c r="I124" s="3" cm="1">
        <f t="array" ref="I124">MIN(_xlfn._xlws.FILTER(I1:I122, ISNUMBER(I1:I122)))</f>
        <v>16.233587473453799</v>
      </c>
      <c r="J124" s="3" cm="1">
        <f t="array" ref="J124">MIN(_xlfn._xlws.FILTER(J1:J122, ISNUMBER(J1:J122)))</f>
        <v>14.315702097999401</v>
      </c>
      <c r="K124" s="3" cm="1">
        <f t="array" ref="K124">MIN(_xlfn._xlws.FILTER(K1:K122, ISNUMBER(K1:K122)))</f>
        <v>10.5206998865338</v>
      </c>
      <c r="L124" s="3" cm="1">
        <f t="array" ref="L124">MIN(_xlfn._xlws.FILTER(L1:L122, ISNUMBER(L1:L122)))</f>
        <v>12.728171610875901</v>
      </c>
      <c r="M124" s="3" cm="1">
        <f t="array" ref="M124">MIN(_xlfn._xlws.FILTER(M1:M122, ISNUMBER(M1:M122)))</f>
        <v>12.2641123876178</v>
      </c>
      <c r="N124" s="3" cm="1">
        <f t="array" ref="N124">MIN(_xlfn._xlws.FILTER(N1:N122, ISNUMBER(N1:N122)))</f>
        <v>7.3022610913447403</v>
      </c>
    </row>
    <row r="125" spans="1:25" x14ac:dyDescent="0.35">
      <c r="A125" s="2" t="s">
        <v>96</v>
      </c>
      <c r="B125" s="3" cm="1">
        <f t="array" ref="B125">MAX(_xlfn._xlws.FILTER(B1:B122, ISNUMBER(B1:B122)))</f>
        <v>34.673641434693103</v>
      </c>
      <c r="C125" s="3" cm="1">
        <f t="array" ref="C125">MAX(_xlfn._xlws.FILTER(C1:C122, ISNUMBER(C1:C122)))</f>
        <v>19.645024713893999</v>
      </c>
      <c r="D125" s="3" cm="1">
        <f t="array" ref="D125">MAX(_xlfn._xlws.FILTER(D1:D122, ISNUMBER(D1:D122)))</f>
        <v>17.702417858028198</v>
      </c>
      <c r="E125" s="3" cm="1">
        <f t="array" ref="E125">MAX(_xlfn._xlws.FILTER(E1:E122, ISNUMBER(E1:E122)))</f>
        <v>18.316727279556599</v>
      </c>
      <c r="F125" s="3" cm="1">
        <f t="array" ref="F125">MAX(_xlfn._xlws.FILTER(F1:F122, ISNUMBER(F1:F122)))</f>
        <v>18.915367771322099</v>
      </c>
      <c r="G125" s="3" cm="1">
        <f t="array" ref="G125">MAX(_xlfn._xlws.FILTER(G1:G122, ISNUMBER(G1:G122)))</f>
        <v>20.052572155462698</v>
      </c>
      <c r="H125" s="3" cm="1">
        <f t="array" ref="H125">MAX(_xlfn._xlws.FILTER(H1:H122, ISNUMBER(H1:H122)))</f>
        <v>16.483317641214299</v>
      </c>
      <c r="I125" s="3" cm="1">
        <f t="array" ref="I125">MAX(_xlfn._xlws.FILTER(I1:I122, ISNUMBER(I1:I122)))</f>
        <v>30.399673927079402</v>
      </c>
      <c r="J125" s="3" cm="1">
        <f t="array" ref="J125">MAX(_xlfn._xlws.FILTER(J1:J122, ISNUMBER(J1:J122)))</f>
        <v>22.4184212640134</v>
      </c>
      <c r="K125" s="3" cm="1">
        <f t="array" ref="K125">MAX(_xlfn._xlws.FILTER(K1:K122, ISNUMBER(K1:K122)))</f>
        <v>19.773981873937998</v>
      </c>
      <c r="L125" s="3" cm="1">
        <f t="array" ref="L125">MAX(_xlfn._xlws.FILTER(L1:L122, ISNUMBER(L1:L122)))</f>
        <v>22.664054363272299</v>
      </c>
      <c r="M125" s="3" cm="1">
        <f t="array" ref="M125">MAX(_xlfn._xlws.FILTER(M1:M122, ISNUMBER(M1:M122)))</f>
        <v>20.3363002665746</v>
      </c>
      <c r="N125" s="3" cm="1">
        <f t="array" ref="N125">MAX(_xlfn._xlws.FILTER(N1:N122, ISNUMBER(N1:N122)))</f>
        <v>17.371049299267799</v>
      </c>
    </row>
    <row r="127" spans="1:25" x14ac:dyDescent="0.35">
      <c r="A127" s="2" t="s">
        <v>97</v>
      </c>
      <c r="B127" s="9" cm="1">
        <f t="array" ref="B127">_xlfn.PERCENTRANK.EXC(_xlfn._xlws.FILTER(B1:B122, ISNUMBER(B1:B122)),B122)</f>
        <v>0.70399999999999996</v>
      </c>
      <c r="C127" s="9" cm="1">
        <f t="array" ref="C127">_xlfn.PERCENTRANK.EXC(_xlfn._xlws.FILTER(C1:C122, ISNUMBER(C1:C122)),C122)</f>
        <v>0.77800000000000002</v>
      </c>
      <c r="D127" s="9" cm="1">
        <f t="array" ref="D127">_xlfn.PERCENTRANK.EXC(_xlfn._xlws.FILTER(D1:D122, ISNUMBER(D1:D122)),D122)</f>
        <v>0.49099999999999999</v>
      </c>
      <c r="E127" s="9" cm="1">
        <f t="array" ref="E127">_xlfn.PERCENTRANK.EXC(_xlfn._xlws.FILTER(E1:E122, ISNUMBER(E1:E122)),E122)</f>
        <v>0.29499999999999998</v>
      </c>
      <c r="F127" s="9" cm="1">
        <f t="array" ref="F127">_xlfn.PERCENTRANK.EXC(_xlfn._xlws.FILTER(F1:F122, ISNUMBER(F1:F122)),F122)</f>
        <v>0.80300000000000005</v>
      </c>
      <c r="G127" s="9" cm="1">
        <f t="array" ref="G127">_xlfn.PERCENTRANK.EXC(_xlfn._xlws.FILTER(G1:G122, ISNUMBER(G1:G122)),G122)</f>
        <v>0.745</v>
      </c>
      <c r="H127" s="9" cm="1">
        <f t="array" ref="H127">_xlfn.PERCENTRANK.EXC(_xlfn._xlws.FILTER(H1:H122, ISNUMBER(H1:H122)),H122)</f>
        <v>0.21299999999999999</v>
      </c>
      <c r="I127" s="9" cm="1">
        <f t="array" ref="I127">_xlfn.PERCENTRANK.EXC(_xlfn._xlws.FILTER(I1:I122, ISNUMBER(I1:I122)),I122)</f>
        <v>0.79500000000000004</v>
      </c>
      <c r="J127" s="9" cm="1">
        <f t="array" ref="J127">_xlfn.PERCENTRANK.EXC(_xlfn._xlws.FILTER(J1:J122, ISNUMBER(J1:J122)),J122)</f>
        <v>0.83599999999999997</v>
      </c>
      <c r="K127" s="9" cm="1">
        <f t="array" ref="K127">_xlfn.PERCENTRANK.EXC(_xlfn._xlws.FILTER(K1:K122, ISNUMBER(K1:K122)),K122)</f>
        <v>0.60599999999999998</v>
      </c>
      <c r="L127" s="9" cm="1">
        <f t="array" ref="L127">_xlfn.PERCENTRANK.EXC(_xlfn._xlws.FILTER(L1:L122, ISNUMBER(L1:L122)),L122)</f>
        <v>0.61399999999999999</v>
      </c>
      <c r="M127" s="9" cm="1">
        <f t="array" ref="M127">_xlfn.PERCENTRANK.EXC(_xlfn._xlws.FILTER(M1:M122, ISNUMBER(M1:M122)),M122)</f>
        <v>0.72099999999999997</v>
      </c>
      <c r="N127" s="9" cm="1">
        <f t="array" ref="N127">_xlfn.PERCENTRANK.EXC(_xlfn._xlws.FILTER(N1:N122, ISNUMBER(N1:N122)),N122)</f>
        <v>0.21299999999999999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14" x14ac:dyDescent="0.35">
      <c r="B1" s="3" t="s">
        <v>435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x14ac:dyDescent="0.35">
      <c r="A2" s="2" cm="1">
        <f t="array" ref="A2:A122">_xll.FDS(B1,"JULIAN(FMA_DIV_YLD(NTMA,-10AY,0,AM,""PORTAGG"",""MEANR"").dates)")</f>
        <v>41712</v>
      </c>
      <c r="B2" s="3" cm="1">
        <f t="array" ref="B2:B122">_xll.FDS(B1,"FMA_DIV_YLD(NTMA,-10AY,0,AM,""PORTAGG"",""MEANR"")")</f>
        <v>4.0637505312066198</v>
      </c>
      <c r="C2" s="3" cm="1">
        <f t="array" ref="C2:C122">_xll.FDS(C1,"FMA_DIV_YLD(NTMA,-10AY,0,AM,""PORTAGG"",""MEANR"")")</f>
        <v>4.9118400808445699</v>
      </c>
      <c r="D2" s="3" cm="1">
        <f t="array" ref="D2:D122">_xll.FDS(D1,"FMA_DIV_YLD(NTMA,-10AY,0,AM,""PORTAGG"",""MEANR"")")</f>
        <v>2.91311916678313</v>
      </c>
      <c r="E2" s="3" cm="1">
        <f t="array" ref="E2:E122">_xll.FDS(E1,"FMA_DIV_YLD(NTMA,-10AY,0,AM,""PORTAGG"",""MEANR"")")</f>
        <v>3.0954207711103998</v>
      </c>
      <c r="F2" s="3" cm="1">
        <f t="array" ref="F2:F122">_xll.FDS(F1,"FMA_DIV_YLD(NTMA,-10AY,0,AM,""PORTAGG"",""MEANR"")")</f>
        <v>2.1669762028149502</v>
      </c>
      <c r="G2" s="3" cm="1">
        <f t="array" ref="G2:G122">_xll.FDS(G1,"FMA_DIV_YLD(NTMA,-10AY,0,AM,""PORTAGG"",""MEANR"")")</f>
        <v>3.3030664239279801</v>
      </c>
      <c r="H2" s="3" cm="1">
        <f t="array" ref="H2:H122">_xll.FDS(H1,"FMA_DIV_YLD(NTMA,-10AY,0,AM,""PORTAGG"",""MEANR"")")</f>
        <v>4.0023564036474299</v>
      </c>
      <c r="I2" s="3" cm="1">
        <f t="array" ref="I2:I122">_xll.FDS(I1,"FMA_DIV_YLD(NTMA,-10AY,0,AM,""PORTAGG"",""MEANR"")")</f>
        <v>1.39414067432917</v>
      </c>
      <c r="J2" s="3" cm="1">
        <f t="array" ref="J2:J122">_xll.FDS(J1,"FMA_DIV_YLD(NTMA,-10AY,0,AM,""PORTAGG"",""MEANR"")")</f>
        <v>2.19877647118388</v>
      </c>
      <c r="K2" s="3" cm="1">
        <f t="array" ref="K2:K122">_xll.FDS(K1,"FMA_DIV_YLD(NTMA,-10AY,0,AM,""PORTAGG"",""MEANR"")")</f>
        <v>3.6265428483756401</v>
      </c>
      <c r="L2" s="3" cm="1">
        <f t="array" ref="L2:L122">_xll.FDS(L1,"FMA_DIV_YLD(NTMA,-10AY,0,AM,""PORTAGG"",""MEANR"")")</f>
        <v>2.8147405959388698</v>
      </c>
      <c r="M2" s="3" cm="1">
        <f t="array" ref="M2:M122">_xll.FDS(M1,"FMA_DIV_YLD(NTMA,-10AY,0,AM,""PORTAGG"",""MEANR"")")</f>
        <v>4.1018545608067596</v>
      </c>
      <c r="N2" s="3" cm="1">
        <f t="array" ref="N2:N122">_xll.FDS(N1,"FMA_DIV_YLD(NTMA,-10AY,0,AM,""PORTAGG"",""MEANR"")")</f>
        <v>3.5507188994670398</v>
      </c>
    </row>
    <row r="3" spans="1:14" x14ac:dyDescent="0.35">
      <c r="A3" s="2">
        <v>41743</v>
      </c>
      <c r="B3" s="3">
        <v>4.1435850954730196</v>
      </c>
      <c r="C3" s="3">
        <v>4.8415176539069398</v>
      </c>
      <c r="D3" s="3">
        <v>2.94308630735194</v>
      </c>
      <c r="E3" s="3">
        <v>3.0535520735569701</v>
      </c>
      <c r="F3" s="3">
        <v>2.2366736904776698</v>
      </c>
      <c r="G3" s="3">
        <v>3.2619886676282901</v>
      </c>
      <c r="H3" s="3">
        <v>3.9516833883084401</v>
      </c>
      <c r="I3" s="3">
        <v>1.45054955120242</v>
      </c>
      <c r="J3" s="3">
        <v>2.2205939590303099</v>
      </c>
      <c r="K3" s="3">
        <v>3.5313093302984302</v>
      </c>
      <c r="L3" s="3">
        <v>2.7909760210634902</v>
      </c>
      <c r="M3" s="3">
        <v>4.0786671198238897</v>
      </c>
      <c r="N3" s="3">
        <v>3.4501137318656401</v>
      </c>
    </row>
    <row r="4" spans="1:14" x14ac:dyDescent="0.35">
      <c r="A4" s="2">
        <v>41773</v>
      </c>
      <c r="B4" s="3">
        <v>4.0726391091805496</v>
      </c>
      <c r="C4" s="3">
        <v>4.7469540210391603</v>
      </c>
      <c r="D4" s="3">
        <v>2.8715202487779199</v>
      </c>
      <c r="E4" s="3">
        <v>2.9818191717131</v>
      </c>
      <c r="F4" s="3">
        <v>2.1816902204673601</v>
      </c>
      <c r="G4" s="3">
        <v>3.1806679988213302</v>
      </c>
      <c r="H4" s="3">
        <v>3.8096702473978201</v>
      </c>
      <c r="I4" s="3">
        <v>1.3589533943330201</v>
      </c>
      <c r="J4" s="3">
        <v>2.1559462668565201</v>
      </c>
      <c r="K4" s="3">
        <v>3.4386654147232298</v>
      </c>
      <c r="L4" s="3">
        <v>2.8085030234890902</v>
      </c>
      <c r="M4" s="3">
        <v>4.0611462882986897</v>
      </c>
      <c r="N4" s="3">
        <v>3.49628064872052</v>
      </c>
    </row>
    <row r="5" spans="1:14" x14ac:dyDescent="0.35">
      <c r="A5" s="2">
        <v>41803</v>
      </c>
      <c r="B5" s="3">
        <v>4.1988969722148397</v>
      </c>
      <c r="C5" s="3">
        <v>4.8403852918491301</v>
      </c>
      <c r="D5" s="3">
        <v>2.82850573881603</v>
      </c>
      <c r="E5" s="3">
        <v>2.9803736568239301</v>
      </c>
      <c r="F5" s="3">
        <v>2.0927519834322901</v>
      </c>
      <c r="G5" s="3">
        <v>3.2338235495564698</v>
      </c>
      <c r="H5" s="3">
        <v>3.85984902929679</v>
      </c>
      <c r="I5" s="3">
        <v>1.3024450327616599</v>
      </c>
      <c r="J5" s="3">
        <v>2.1156816090425998</v>
      </c>
      <c r="K5" s="3">
        <v>3.3817006016443898</v>
      </c>
      <c r="L5" s="3">
        <v>2.7983317028032202</v>
      </c>
      <c r="M5" s="3">
        <v>4.0998538999681502</v>
      </c>
      <c r="N5" s="3">
        <v>3.3913630444484402</v>
      </c>
    </row>
    <row r="6" spans="1:14" x14ac:dyDescent="0.35">
      <c r="A6" s="2">
        <v>41834</v>
      </c>
      <c r="B6" s="3">
        <v>4.4551259729107597</v>
      </c>
      <c r="C6" s="3">
        <v>4.73008204192005</v>
      </c>
      <c r="D6" s="3">
        <v>2.7972687907322098</v>
      </c>
      <c r="E6" s="3">
        <v>3.0693987374218299</v>
      </c>
      <c r="F6" s="3">
        <v>2.0768151115709301</v>
      </c>
      <c r="G6" s="3">
        <v>3.3177122366868699</v>
      </c>
      <c r="H6" s="3">
        <v>3.8783384684466902</v>
      </c>
      <c r="I6" s="3">
        <v>1.2457581334427399</v>
      </c>
      <c r="J6" s="3">
        <v>2.0911073967990701</v>
      </c>
      <c r="K6" s="3">
        <v>3.5015984615131801</v>
      </c>
      <c r="L6" s="3">
        <v>2.8849046064244499</v>
      </c>
      <c r="M6" s="3">
        <v>4.1640475389448603</v>
      </c>
      <c r="N6" s="3">
        <v>3.4992963625342601</v>
      </c>
    </row>
    <row r="7" spans="1:14" x14ac:dyDescent="0.35">
      <c r="A7" s="2">
        <v>41865</v>
      </c>
      <c r="B7" s="3">
        <v>4.5464454462467199</v>
      </c>
      <c r="C7" s="3">
        <v>4.7437952691898397</v>
      </c>
      <c r="D7" s="3">
        <v>2.79839343556975</v>
      </c>
      <c r="E7" s="3">
        <v>3.24648147568606</v>
      </c>
      <c r="F7" s="3">
        <v>2.08360102858944</v>
      </c>
      <c r="G7" s="3">
        <v>3.38894043419198</v>
      </c>
      <c r="H7" s="3">
        <v>3.9679109063284499</v>
      </c>
      <c r="I7" s="3">
        <v>1.2430588632901001</v>
      </c>
      <c r="J7" s="3">
        <v>2.13079264374755</v>
      </c>
      <c r="K7" s="3">
        <v>3.65513773625996</v>
      </c>
      <c r="L7" s="3">
        <v>3.0859031403371202</v>
      </c>
      <c r="M7" s="3">
        <v>4.30763263191146</v>
      </c>
      <c r="N7" s="3">
        <v>3.7485255659397798</v>
      </c>
    </row>
    <row r="8" spans="1:14" x14ac:dyDescent="0.35">
      <c r="A8" s="2">
        <v>41894</v>
      </c>
      <c r="B8" s="3">
        <v>4.5676055635010702</v>
      </c>
      <c r="C8" s="3">
        <v>4.8052723800259001</v>
      </c>
      <c r="D8" s="3">
        <v>2.7596606447101601</v>
      </c>
      <c r="E8" s="3">
        <v>3.1205693910368701</v>
      </c>
      <c r="F8" s="3">
        <v>2.0308791185977499</v>
      </c>
      <c r="G8" s="3">
        <v>3.2935726973873201</v>
      </c>
      <c r="H8" s="3">
        <v>3.9298068696583699</v>
      </c>
      <c r="I8" s="3">
        <v>1.2189939630636299</v>
      </c>
      <c r="J8" s="3">
        <v>2.11026912673755</v>
      </c>
      <c r="K8" s="3">
        <v>3.5081793260688099</v>
      </c>
      <c r="L8" s="3">
        <v>3.0031278540719799</v>
      </c>
      <c r="M8" s="3">
        <v>4.2204737792437799</v>
      </c>
      <c r="N8" s="3">
        <v>3.51543329623409</v>
      </c>
    </row>
    <row r="9" spans="1:14" x14ac:dyDescent="0.35">
      <c r="A9" s="2">
        <v>41926</v>
      </c>
      <c r="B9" s="3">
        <v>4.6934987178873797</v>
      </c>
      <c r="C9" s="3">
        <v>5.1448872759598796</v>
      </c>
      <c r="D9" s="3">
        <v>3.0842384074973999</v>
      </c>
      <c r="E9" s="3">
        <v>3.4323118899646001</v>
      </c>
      <c r="F9" s="3">
        <v>2.2154492835368602</v>
      </c>
      <c r="G9" s="3">
        <v>3.5216168229192402</v>
      </c>
      <c r="H9" s="3">
        <v>4.2292083249657901</v>
      </c>
      <c r="I9" s="3">
        <v>1.3202233635479499</v>
      </c>
      <c r="J9" s="3">
        <v>2.2460129572648899</v>
      </c>
      <c r="K9" s="3">
        <v>3.83628889219416</v>
      </c>
      <c r="L9" s="3">
        <v>3.2206897750197201</v>
      </c>
      <c r="M9" s="3">
        <v>4.5127949331241899</v>
      </c>
      <c r="N9" s="3">
        <v>3.98801583681067</v>
      </c>
    </row>
    <row r="10" spans="1:14" x14ac:dyDescent="0.35">
      <c r="A10" s="2">
        <v>41957</v>
      </c>
      <c r="B10" s="3">
        <v>4.4244514939290402</v>
      </c>
      <c r="C10" s="3">
        <v>4.9111884511422597</v>
      </c>
      <c r="D10" s="3">
        <v>2.9268320540286101</v>
      </c>
      <c r="E10" s="3">
        <v>3.35375031000128</v>
      </c>
      <c r="F10" s="3">
        <v>1.93525354744567</v>
      </c>
      <c r="G10" s="3">
        <v>3.2790066892827001</v>
      </c>
      <c r="H10" s="3">
        <v>4.0653336061506797</v>
      </c>
      <c r="I10" s="3">
        <v>1.2114283904646399</v>
      </c>
      <c r="J10" s="3">
        <v>2.08981761912827</v>
      </c>
      <c r="K10" s="3">
        <v>3.7181695299950599</v>
      </c>
      <c r="L10" s="3">
        <v>3.10996616655944</v>
      </c>
      <c r="M10" s="3">
        <v>4.1826895670471202</v>
      </c>
      <c r="N10" s="3">
        <v>4.0229099252850196</v>
      </c>
    </row>
    <row r="11" spans="1:14" x14ac:dyDescent="0.35">
      <c r="A11" s="2">
        <v>41985</v>
      </c>
      <c r="B11" s="3">
        <v>4.4753136967227203</v>
      </c>
      <c r="C11" s="3">
        <v>5.1456233007019803</v>
      </c>
      <c r="D11" s="3">
        <v>3.12805441277927</v>
      </c>
      <c r="E11" s="3">
        <v>3.2547166401805199</v>
      </c>
      <c r="F11" s="3">
        <v>1.98230305646273</v>
      </c>
      <c r="G11" s="3">
        <v>3.3225763224154501</v>
      </c>
      <c r="H11" s="3">
        <v>4.2916347328779798</v>
      </c>
      <c r="I11" s="3">
        <v>1.2343405232944999</v>
      </c>
      <c r="J11" s="3">
        <v>2.14980447837433</v>
      </c>
      <c r="K11" s="3">
        <v>3.7712441059499899</v>
      </c>
      <c r="L11" s="3">
        <v>3.1347547337368602</v>
      </c>
      <c r="M11" s="3">
        <v>4.1874569909075596</v>
      </c>
      <c r="N11" s="3">
        <v>4.1307611629082404</v>
      </c>
    </row>
    <row r="12" spans="1:14" x14ac:dyDescent="0.35">
      <c r="A12" s="2">
        <v>42018</v>
      </c>
      <c r="B12" s="3">
        <v>4.3711090532384</v>
      </c>
      <c r="C12" s="3">
        <v>5.0412121288708303</v>
      </c>
      <c r="D12" s="3">
        <v>3.0696663017869001</v>
      </c>
      <c r="E12" s="3">
        <v>3.19205410646404</v>
      </c>
      <c r="F12" s="3">
        <v>2.0646635560956201</v>
      </c>
      <c r="G12" s="3">
        <v>3.2696668500724901</v>
      </c>
      <c r="H12" s="3">
        <v>4.28519284074933</v>
      </c>
      <c r="I12" s="3">
        <v>1.2334497096124499</v>
      </c>
      <c r="J12" s="3">
        <v>2.1580655321504598</v>
      </c>
      <c r="K12" s="3">
        <v>3.6774161951545001</v>
      </c>
      <c r="L12" s="3">
        <v>3.1103102058681702</v>
      </c>
      <c r="M12" s="3">
        <v>4.1903189872585402</v>
      </c>
      <c r="N12" s="3">
        <v>4.2268859498896099</v>
      </c>
    </row>
    <row r="13" spans="1:14" x14ac:dyDescent="0.35">
      <c r="A13" s="2">
        <v>42048</v>
      </c>
      <c r="B13" s="3">
        <v>4.2731662926377503</v>
      </c>
      <c r="C13" s="3">
        <v>4.618311590846</v>
      </c>
      <c r="D13" s="3">
        <v>2.8391956931415301</v>
      </c>
      <c r="E13" s="3">
        <v>2.8751486200418199</v>
      </c>
      <c r="F13" s="3">
        <v>1.9646430271835</v>
      </c>
      <c r="G13" s="3">
        <v>3.2718520708071401</v>
      </c>
      <c r="H13" s="3">
        <v>3.9692103981939102</v>
      </c>
      <c r="I13" s="3">
        <v>1.2239397486927199</v>
      </c>
      <c r="J13" s="3">
        <v>2.10604062913922</v>
      </c>
      <c r="K13" s="3">
        <v>3.2350853269501401</v>
      </c>
      <c r="L13" s="3">
        <v>2.8318097955811501</v>
      </c>
      <c r="M13" s="3">
        <v>3.6914398080282198</v>
      </c>
      <c r="N13" s="3">
        <v>3.6323437124620899</v>
      </c>
    </row>
    <row r="14" spans="1:14" x14ac:dyDescent="0.35">
      <c r="A14" s="2">
        <v>42076</v>
      </c>
      <c r="B14" s="3">
        <v>4.2823892248316202</v>
      </c>
      <c r="C14" s="3">
        <v>4.6818715874594403</v>
      </c>
      <c r="D14" s="3">
        <v>2.94728738109468</v>
      </c>
      <c r="E14" s="3">
        <v>2.6770236484233401</v>
      </c>
      <c r="F14" s="3">
        <v>1.8498009923156</v>
      </c>
      <c r="G14" s="3">
        <v>3.15842228343829</v>
      </c>
      <c r="H14" s="3">
        <v>4.0691744998633501</v>
      </c>
      <c r="I14" s="3">
        <v>1.2770310211224001</v>
      </c>
      <c r="J14" s="3">
        <v>2.1923735946659302</v>
      </c>
      <c r="K14" s="3">
        <v>3.2056997346562799</v>
      </c>
      <c r="L14" s="3">
        <v>2.6280685807077799</v>
      </c>
      <c r="M14" s="3">
        <v>3.6696163247992599</v>
      </c>
      <c r="N14" s="3">
        <v>3.24224568698529</v>
      </c>
    </row>
    <row r="15" spans="1:14" x14ac:dyDescent="0.35">
      <c r="A15" s="2">
        <v>42108</v>
      </c>
      <c r="B15" s="3">
        <v>4.4055261126967196</v>
      </c>
      <c r="C15" s="3">
        <v>4.5666815536535497</v>
      </c>
      <c r="D15" s="3">
        <v>2.8244524307254499</v>
      </c>
      <c r="E15" s="3">
        <v>2.6404502342670502</v>
      </c>
      <c r="F15" s="3">
        <v>1.84293804629947</v>
      </c>
      <c r="G15" s="3">
        <v>3.0295067554275699</v>
      </c>
      <c r="H15" s="3">
        <v>3.8872330426984898</v>
      </c>
      <c r="I15" s="3">
        <v>1.2616025514304301</v>
      </c>
      <c r="J15" s="3">
        <v>2.1552351170410202</v>
      </c>
      <c r="K15" s="3">
        <v>3.0974363675825902</v>
      </c>
      <c r="L15" s="3">
        <v>2.5999319075018099</v>
      </c>
      <c r="M15" s="3">
        <v>3.60154601991829</v>
      </c>
      <c r="N15" s="3">
        <v>3.0957522215383602</v>
      </c>
    </row>
    <row r="16" spans="1:14" x14ac:dyDescent="0.35">
      <c r="A16" s="2">
        <v>42138</v>
      </c>
      <c r="B16" s="3">
        <v>4.4936930396010402</v>
      </c>
      <c r="C16" s="3">
        <v>4.7005970898141003</v>
      </c>
      <c r="D16" s="3">
        <v>2.8917348129164799</v>
      </c>
      <c r="E16" s="3">
        <v>2.8745229944291601</v>
      </c>
      <c r="F16" s="3">
        <v>1.89419450096731</v>
      </c>
      <c r="G16" s="3">
        <v>3.1253956892314601</v>
      </c>
      <c r="H16" s="3">
        <v>3.86881018796264</v>
      </c>
      <c r="I16" s="3">
        <v>1.2376959846104101</v>
      </c>
      <c r="J16" s="3">
        <v>2.1424890868745701</v>
      </c>
      <c r="K16" s="3">
        <v>3.25800078890226</v>
      </c>
      <c r="L16" s="3">
        <v>2.7442928267334001</v>
      </c>
      <c r="M16" s="3">
        <v>3.8422007033701702</v>
      </c>
      <c r="N16" s="3">
        <v>3.1454561545873001</v>
      </c>
    </row>
    <row r="17" spans="1:14" x14ac:dyDescent="0.35">
      <c r="A17" s="2">
        <v>42167</v>
      </c>
      <c r="B17" s="3">
        <v>4.4610760635103199</v>
      </c>
      <c r="C17" s="3">
        <v>4.9094973594937397</v>
      </c>
      <c r="D17" s="3">
        <v>2.9567975774014599</v>
      </c>
      <c r="E17" s="3">
        <v>3.0107943646808799</v>
      </c>
      <c r="F17" s="3">
        <v>1.88186802131432</v>
      </c>
      <c r="G17" s="3">
        <v>3.1774357939092899</v>
      </c>
      <c r="H17" s="3">
        <v>4.0176739246803903</v>
      </c>
      <c r="I17" s="3">
        <v>1.25645393428369</v>
      </c>
      <c r="J17" s="3">
        <v>2.17634430099422</v>
      </c>
      <c r="K17" s="3">
        <v>3.3637895868183598</v>
      </c>
      <c r="L17" s="3">
        <v>2.9217944385362302</v>
      </c>
      <c r="M17" s="3">
        <v>3.9202496924816801</v>
      </c>
      <c r="N17" s="3">
        <v>3.30007642644915</v>
      </c>
    </row>
    <row r="18" spans="1:14" x14ac:dyDescent="0.35">
      <c r="A18" s="2">
        <v>42199</v>
      </c>
      <c r="B18" s="3">
        <v>4.6876437515450204</v>
      </c>
      <c r="C18" s="3">
        <v>4.89082590452327</v>
      </c>
      <c r="D18" s="3">
        <v>3.0164349842670601</v>
      </c>
      <c r="E18" s="3">
        <v>2.9503836021530701</v>
      </c>
      <c r="F18" s="3">
        <v>1.91835992934058</v>
      </c>
      <c r="G18" s="3">
        <v>3.13254680615491</v>
      </c>
      <c r="H18" s="3">
        <v>4.07943708403233</v>
      </c>
      <c r="I18" s="3">
        <v>1.2401074086649</v>
      </c>
      <c r="J18" s="3">
        <v>2.1634420271694301</v>
      </c>
      <c r="K18" s="3">
        <v>3.3059329328947298</v>
      </c>
      <c r="L18" s="3">
        <v>2.8528040196178002</v>
      </c>
      <c r="M18" s="3">
        <v>3.9133454805396402</v>
      </c>
      <c r="N18" s="3">
        <v>3.2576641884969399</v>
      </c>
    </row>
    <row r="19" spans="1:14" x14ac:dyDescent="0.35">
      <c r="A19" s="2">
        <v>42230</v>
      </c>
      <c r="B19" s="3">
        <v>4.7486042432436602</v>
      </c>
      <c r="C19" s="3">
        <v>5.1079115938668496</v>
      </c>
      <c r="D19" s="3">
        <v>3.0687813602244498</v>
      </c>
      <c r="E19" s="3">
        <v>3.1071143406150998</v>
      </c>
      <c r="F19" s="3">
        <v>1.90734367392337</v>
      </c>
      <c r="G19" s="3">
        <v>3.14946789237375</v>
      </c>
      <c r="H19" s="3">
        <v>4.1591614907341397</v>
      </c>
      <c r="I19" s="3">
        <v>1.2810129803343999</v>
      </c>
      <c r="J19" s="3">
        <v>2.2104583090725298</v>
      </c>
      <c r="K19" s="3">
        <v>3.3842496889614502</v>
      </c>
      <c r="L19" s="3">
        <v>3.2074111013526898</v>
      </c>
      <c r="M19" s="3">
        <v>4.0441719103663303</v>
      </c>
      <c r="N19" s="3">
        <v>3.1580510706481699</v>
      </c>
    </row>
    <row r="20" spans="1:14" x14ac:dyDescent="0.35">
      <c r="A20" s="2">
        <v>42261</v>
      </c>
      <c r="B20" s="3">
        <v>5.1308270698520504</v>
      </c>
      <c r="C20" s="3">
        <v>5.4113117125666497</v>
      </c>
      <c r="D20" s="3">
        <v>3.2844550148320302</v>
      </c>
      <c r="E20" s="3">
        <v>3.3718974641783599</v>
      </c>
      <c r="F20" s="3">
        <v>2.1815658811148699</v>
      </c>
      <c r="G20" s="3">
        <v>3.3744099793467299</v>
      </c>
      <c r="H20" s="3">
        <v>4.5147566021978802</v>
      </c>
      <c r="I20" s="3">
        <v>1.3546584761576801</v>
      </c>
      <c r="J20" s="3">
        <v>2.3796006297452901</v>
      </c>
      <c r="K20" s="3">
        <v>3.7231541326186499</v>
      </c>
      <c r="L20" s="3">
        <v>3.5251512705532702</v>
      </c>
      <c r="M20" s="3">
        <v>4.3985966081114096</v>
      </c>
      <c r="N20" s="3">
        <v>3.4503426477036601</v>
      </c>
    </row>
    <row r="21" spans="1:14" x14ac:dyDescent="0.35">
      <c r="A21" s="2">
        <v>42291</v>
      </c>
      <c r="B21" s="3">
        <v>5.1675529709900703</v>
      </c>
      <c r="C21" s="3">
        <v>5.2490640988114396</v>
      </c>
      <c r="D21" s="3">
        <v>3.1731834160613102</v>
      </c>
      <c r="E21" s="3">
        <v>3.3691972593460799</v>
      </c>
      <c r="F21" s="3">
        <v>2.1716844600135499</v>
      </c>
      <c r="G21" s="3">
        <v>3.3807003783689402</v>
      </c>
      <c r="H21" s="3">
        <v>4.3024774475636001</v>
      </c>
      <c r="I21" s="3">
        <v>1.34601402334946</v>
      </c>
      <c r="J21" s="3">
        <v>2.33525910802671</v>
      </c>
      <c r="K21" s="3">
        <v>3.6187670170578801</v>
      </c>
      <c r="L21" s="3">
        <v>3.51432805038759</v>
      </c>
      <c r="M21" s="3">
        <v>4.42477513394378</v>
      </c>
      <c r="N21" s="3">
        <v>3.62870665525586</v>
      </c>
    </row>
    <row r="22" spans="1:14" x14ac:dyDescent="0.35">
      <c r="A22" s="2">
        <v>42321</v>
      </c>
      <c r="B22" s="3">
        <v>4.9132537701142702</v>
      </c>
      <c r="C22" s="3">
        <v>5.41668061144677</v>
      </c>
      <c r="D22" s="3">
        <v>3.38484276603167</v>
      </c>
      <c r="E22" s="3">
        <v>3.02524501940281</v>
      </c>
      <c r="F22" s="3">
        <v>2.0225739995946399</v>
      </c>
      <c r="G22" s="3">
        <v>3.3094698701807799</v>
      </c>
      <c r="H22" s="3">
        <v>4.3971141811779502</v>
      </c>
      <c r="I22" s="3">
        <v>1.3167436507427901</v>
      </c>
      <c r="J22" s="3">
        <v>2.3344833045258602</v>
      </c>
      <c r="K22" s="3">
        <v>3.5031476057184201</v>
      </c>
      <c r="L22" s="3">
        <v>3.24652605435845</v>
      </c>
      <c r="M22" s="3">
        <v>4.2717188129716899</v>
      </c>
      <c r="N22" s="3">
        <v>3.6858353651983</v>
      </c>
    </row>
    <row r="23" spans="1:14" x14ac:dyDescent="0.35">
      <c r="A23" s="2">
        <v>42352</v>
      </c>
      <c r="B23" s="3">
        <v>4.8694194781516797</v>
      </c>
      <c r="C23" s="3">
        <v>5.5136217849005504</v>
      </c>
      <c r="D23" s="3">
        <v>3.4740869254312301</v>
      </c>
      <c r="E23" s="3">
        <v>3.2083725821986699</v>
      </c>
      <c r="F23" s="3">
        <v>2.1121346710076501</v>
      </c>
      <c r="G23" s="3">
        <v>3.42508089662905</v>
      </c>
      <c r="H23" s="3">
        <v>4.53713356345013</v>
      </c>
      <c r="I23" s="3">
        <v>1.29908032756749</v>
      </c>
      <c r="J23" s="3">
        <v>2.33221471961502</v>
      </c>
      <c r="K23" s="3">
        <v>3.7315344072166399</v>
      </c>
      <c r="L23" s="3">
        <v>3.4293701652806998</v>
      </c>
      <c r="M23" s="3">
        <v>4.5066631970332898</v>
      </c>
      <c r="N23" s="3">
        <v>3.97315772448031</v>
      </c>
    </row>
    <row r="24" spans="1:14" x14ac:dyDescent="0.35">
      <c r="A24" s="2">
        <v>42383</v>
      </c>
      <c r="B24" s="3">
        <v>4.9027473817752103</v>
      </c>
      <c r="C24" s="3">
        <v>5.5387017908349101</v>
      </c>
      <c r="D24" s="3">
        <v>3.5591037511766199</v>
      </c>
      <c r="E24" s="3">
        <v>3.3373839596412398</v>
      </c>
      <c r="F24" s="3">
        <v>2.3177258089041799</v>
      </c>
      <c r="G24" s="3">
        <v>3.48720724168356</v>
      </c>
      <c r="H24" s="3">
        <v>4.5399747529960397</v>
      </c>
      <c r="I24" s="3">
        <v>1.35512854461238</v>
      </c>
      <c r="J24" s="3">
        <v>2.4700149805320502</v>
      </c>
      <c r="K24" s="3">
        <v>3.8885715358962001</v>
      </c>
      <c r="L24" s="3">
        <v>3.3163217627764801</v>
      </c>
      <c r="M24" s="3">
        <v>4.6204537980010896</v>
      </c>
      <c r="N24" s="3">
        <v>4.1691213240374401</v>
      </c>
    </row>
    <row r="25" spans="1:14" x14ac:dyDescent="0.35">
      <c r="A25" s="2">
        <v>42412</v>
      </c>
      <c r="B25" s="3">
        <v>5.0512043242151101</v>
      </c>
      <c r="C25" s="3">
        <v>5.3109486475608003</v>
      </c>
      <c r="D25" s="3">
        <v>3.4597387151897201</v>
      </c>
      <c r="E25" s="3">
        <v>3.6638117568484101</v>
      </c>
      <c r="F25" s="3">
        <v>2.72611818648658</v>
      </c>
      <c r="G25" s="3">
        <v>3.6480781466079</v>
      </c>
      <c r="H25" s="3">
        <v>4.6594002385105302</v>
      </c>
      <c r="I25" s="3">
        <v>1.4698693982285</v>
      </c>
      <c r="J25" s="3">
        <v>2.4518202590146898</v>
      </c>
      <c r="K25" s="3">
        <v>4.1248390572961497</v>
      </c>
      <c r="L25" s="3">
        <v>3.6652251326370102</v>
      </c>
      <c r="M25" s="3">
        <v>4.6641846002276797</v>
      </c>
      <c r="N25" s="3">
        <v>4.8165483613289597</v>
      </c>
    </row>
    <row r="26" spans="1:14" x14ac:dyDescent="0.35">
      <c r="A26" s="2">
        <v>42443</v>
      </c>
      <c r="B26" s="3">
        <v>4.6520547087955997</v>
      </c>
      <c r="C26" s="3">
        <v>4.7090405026497999</v>
      </c>
      <c r="D26" s="3">
        <v>3.1410305610582201</v>
      </c>
      <c r="E26" s="3">
        <v>3.2861466751484101</v>
      </c>
      <c r="F26" s="3">
        <v>2.3340191808836499</v>
      </c>
      <c r="G26" s="3">
        <v>3.4650640422139301</v>
      </c>
      <c r="H26" s="3">
        <v>4.3579877290070801</v>
      </c>
      <c r="I26" s="3">
        <v>1.3670327078555999</v>
      </c>
      <c r="J26" s="3">
        <v>2.4751977345461702</v>
      </c>
      <c r="K26" s="3">
        <v>3.6811001665079202</v>
      </c>
      <c r="L26" s="3">
        <v>3.2921833840062402</v>
      </c>
      <c r="M26" s="3">
        <v>4.22986081385194</v>
      </c>
      <c r="N26" s="3">
        <v>4.1834991658747196</v>
      </c>
    </row>
    <row r="27" spans="1:14" x14ac:dyDescent="0.35">
      <c r="A27" s="2">
        <v>42474</v>
      </c>
      <c r="B27" s="3">
        <v>4.5519878972748797</v>
      </c>
      <c r="C27" s="3">
        <v>4.7815291553602899</v>
      </c>
      <c r="D27" s="3">
        <v>3.1091647926437802</v>
      </c>
      <c r="E27" s="3">
        <v>3.25822543296522</v>
      </c>
      <c r="F27" s="3">
        <v>2.3426278340632201</v>
      </c>
      <c r="G27" s="3">
        <v>3.47489518055046</v>
      </c>
      <c r="H27" s="3">
        <v>4.2395050084155503</v>
      </c>
      <c r="I27" s="3">
        <v>1.31642517305457</v>
      </c>
      <c r="J27" s="3">
        <v>2.2917987413403398</v>
      </c>
      <c r="K27" s="3">
        <v>3.67732309270477</v>
      </c>
      <c r="L27" s="3">
        <v>3.2446271814410301</v>
      </c>
      <c r="M27" s="3">
        <v>4.32532086737461</v>
      </c>
      <c r="N27" s="3">
        <v>4.3803823949617504</v>
      </c>
    </row>
    <row r="28" spans="1:14" x14ac:dyDescent="0.35">
      <c r="A28" s="2">
        <v>42503</v>
      </c>
      <c r="B28" s="3">
        <v>4.4815571203882598</v>
      </c>
      <c r="C28" s="3">
        <v>4.59766981783266</v>
      </c>
      <c r="D28" s="3">
        <v>3.0941608138626799</v>
      </c>
      <c r="E28" s="3">
        <v>3.3553482244679902</v>
      </c>
      <c r="F28" s="3">
        <v>2.4305459916797201</v>
      </c>
      <c r="G28" s="3">
        <v>3.5553380897978202</v>
      </c>
      <c r="H28" s="3">
        <v>4.3828274113791403</v>
      </c>
      <c r="I28" s="3">
        <v>1.39899173975275</v>
      </c>
      <c r="J28" s="3">
        <v>2.2927014117324598</v>
      </c>
      <c r="K28" s="3">
        <v>3.8142278192704202</v>
      </c>
      <c r="L28" s="3">
        <v>3.4155774193080601</v>
      </c>
      <c r="M28" s="3">
        <v>4.5034203679739901</v>
      </c>
      <c r="N28" s="3">
        <v>4.5273340211172597</v>
      </c>
    </row>
    <row r="29" spans="1:14" x14ac:dyDescent="0.35">
      <c r="A29" s="2">
        <v>42535</v>
      </c>
      <c r="B29" s="3">
        <v>4.4608036204087202</v>
      </c>
      <c r="C29" s="3">
        <v>4.7123823837001</v>
      </c>
      <c r="D29" s="3">
        <v>3.10200181629419</v>
      </c>
      <c r="E29" s="3">
        <v>3.53146340690515</v>
      </c>
      <c r="F29" s="3">
        <v>2.4834211692707</v>
      </c>
      <c r="G29" s="3">
        <v>3.6826656309320001</v>
      </c>
      <c r="H29" s="3">
        <v>4.5592838965769698</v>
      </c>
      <c r="I29" s="3">
        <v>1.3742905261224201</v>
      </c>
      <c r="J29" s="3">
        <v>2.3012094256168401</v>
      </c>
      <c r="K29" s="3">
        <v>4.0201714680967502</v>
      </c>
      <c r="L29" s="3">
        <v>3.3881880499417698</v>
      </c>
      <c r="M29" s="3">
        <v>4.7030290196464604</v>
      </c>
      <c r="N29" s="3">
        <v>5.0158985115173902</v>
      </c>
    </row>
    <row r="30" spans="1:14" x14ac:dyDescent="0.35">
      <c r="A30" s="2">
        <v>42565</v>
      </c>
      <c r="B30" s="3">
        <v>4.2785939914632802</v>
      </c>
      <c r="C30" s="3">
        <v>4.5391766360379302</v>
      </c>
      <c r="D30" s="3">
        <v>2.9911764000609899</v>
      </c>
      <c r="E30" s="3">
        <v>3.3493611147211002</v>
      </c>
      <c r="F30" s="3">
        <v>2.3999461877841499</v>
      </c>
      <c r="G30" s="3">
        <v>3.4915022252116401</v>
      </c>
      <c r="H30" s="3">
        <v>4.1513708171176402</v>
      </c>
      <c r="I30" s="3">
        <v>1.31623325686069</v>
      </c>
      <c r="J30" s="3">
        <v>2.21649861597909</v>
      </c>
      <c r="K30" s="3">
        <v>3.7793879030930801</v>
      </c>
      <c r="L30" s="3">
        <v>3.2472443973231599</v>
      </c>
      <c r="M30" s="3">
        <v>4.3793325822848503</v>
      </c>
      <c r="N30" s="3">
        <v>4.7519757132107703</v>
      </c>
    </row>
    <row r="31" spans="1:14" x14ac:dyDescent="0.35">
      <c r="A31" s="2">
        <v>42594</v>
      </c>
      <c r="B31" s="3">
        <v>4.1361523454272398</v>
      </c>
      <c r="C31" s="3">
        <v>4.4504673193508504</v>
      </c>
      <c r="D31" s="3">
        <v>2.94639855111516</v>
      </c>
      <c r="E31" s="3">
        <v>3.1443917950087399</v>
      </c>
      <c r="F31" s="3">
        <v>2.3806143355878402</v>
      </c>
      <c r="G31" s="3">
        <v>3.4129779845178798</v>
      </c>
      <c r="H31" s="3">
        <v>4.0608585763910101</v>
      </c>
      <c r="I31" s="3">
        <v>1.2755320378691899</v>
      </c>
      <c r="J31" s="3">
        <v>2.2034166415504299</v>
      </c>
      <c r="K31" s="3">
        <v>3.6836035694895202</v>
      </c>
      <c r="L31" s="3">
        <v>3.1389651035289901</v>
      </c>
      <c r="M31" s="3">
        <v>4.2217443683621596</v>
      </c>
      <c r="N31" s="3">
        <v>4.6854083741835204</v>
      </c>
    </row>
    <row r="32" spans="1:14" x14ac:dyDescent="0.35">
      <c r="A32" s="2">
        <v>42627</v>
      </c>
      <c r="B32" s="3">
        <v>4.3267389409619597</v>
      </c>
      <c r="C32" s="3">
        <v>4.7334884540057098</v>
      </c>
      <c r="D32" s="3">
        <v>3.0247692124458099</v>
      </c>
      <c r="E32" s="3">
        <v>3.2371121525595599</v>
      </c>
      <c r="F32" s="3">
        <v>2.4050109237085899</v>
      </c>
      <c r="G32" s="3">
        <v>3.4895377980631999</v>
      </c>
      <c r="H32" s="3">
        <v>4.2407919095892401</v>
      </c>
      <c r="I32" s="3">
        <v>1.2994464821505201</v>
      </c>
      <c r="J32" s="3">
        <v>2.2678208996856499</v>
      </c>
      <c r="K32" s="3">
        <v>3.7850264004171201</v>
      </c>
      <c r="L32" s="3">
        <v>3.2102753189741802</v>
      </c>
      <c r="M32" s="3">
        <v>4.2710068765854201</v>
      </c>
      <c r="N32" s="3">
        <v>4.9086786306245198</v>
      </c>
    </row>
    <row r="33" spans="1:14" x14ac:dyDescent="0.35">
      <c r="A33" s="2">
        <v>42657</v>
      </c>
      <c r="B33" s="3">
        <v>4.4629859409716701</v>
      </c>
      <c r="C33" s="3">
        <v>4.5481550239386799</v>
      </c>
      <c r="D33" s="3">
        <v>2.9636849794428199</v>
      </c>
      <c r="E33" s="3">
        <v>3.13761306977243</v>
      </c>
      <c r="F33" s="3">
        <v>2.37037703564221</v>
      </c>
      <c r="G33" s="3">
        <v>3.53893587347619</v>
      </c>
      <c r="H33" s="3">
        <v>4.2699743183425003</v>
      </c>
      <c r="I33" s="3">
        <v>1.2804010131222301</v>
      </c>
      <c r="J33" s="3">
        <v>2.2589325325331502</v>
      </c>
      <c r="K33" s="3">
        <v>3.7357087045428501</v>
      </c>
      <c r="L33" s="3">
        <v>3.1309973680062999</v>
      </c>
      <c r="M33" s="3">
        <v>4.1109815943533796</v>
      </c>
      <c r="N33" s="3">
        <v>4.9375960449522003</v>
      </c>
    </row>
    <row r="34" spans="1:14" x14ac:dyDescent="0.35">
      <c r="A34" s="2">
        <v>42688</v>
      </c>
      <c r="B34" s="3">
        <v>4.7165692478332097</v>
      </c>
      <c r="C34" s="3">
        <v>4.62161476805157</v>
      </c>
      <c r="D34" s="3">
        <v>2.9608183405216599</v>
      </c>
      <c r="E34" s="3">
        <v>3.1777741828456798</v>
      </c>
      <c r="F34" s="3">
        <v>2.2960715926473698</v>
      </c>
      <c r="G34" s="3">
        <v>3.6374958532291299</v>
      </c>
      <c r="H34" s="3">
        <v>4.4452828213433202</v>
      </c>
      <c r="I34" s="3">
        <v>1.32350022315077</v>
      </c>
      <c r="J34" s="3">
        <v>2.2406777026688598</v>
      </c>
      <c r="K34" s="3">
        <v>3.7328430409817202</v>
      </c>
      <c r="L34" s="3">
        <v>3.1667831441123702</v>
      </c>
      <c r="M34" s="3">
        <v>4.1281528478723102</v>
      </c>
      <c r="N34" s="3">
        <v>4.8044022872790704</v>
      </c>
    </row>
    <row r="35" spans="1:14" x14ac:dyDescent="0.35">
      <c r="A35" s="2">
        <v>42718</v>
      </c>
      <c r="B35" s="3">
        <v>4.6844841727963598</v>
      </c>
      <c r="C35" s="3">
        <v>4.5149938740185904</v>
      </c>
      <c r="D35" s="3">
        <v>2.8521322255702501</v>
      </c>
      <c r="E35" s="3">
        <v>3.0252530540037901</v>
      </c>
      <c r="F35" s="3">
        <v>2.0852475912405799</v>
      </c>
      <c r="G35" s="3">
        <v>3.5797504288323601</v>
      </c>
      <c r="H35" s="3">
        <v>4.3278908928840503</v>
      </c>
      <c r="I35" s="3">
        <v>1.28138275271382</v>
      </c>
      <c r="J35" s="3">
        <v>2.1695899741761</v>
      </c>
      <c r="K35" s="3">
        <v>3.52770061593412</v>
      </c>
      <c r="L35" s="3">
        <v>3.0404481184042602</v>
      </c>
      <c r="M35" s="3">
        <v>3.8478270610855199</v>
      </c>
      <c r="N35" s="3">
        <v>4.4195375823172398</v>
      </c>
    </row>
    <row r="36" spans="1:14" x14ac:dyDescent="0.35">
      <c r="A36" s="2">
        <v>42748</v>
      </c>
      <c r="B36" s="3">
        <v>4.5377171313071099</v>
      </c>
      <c r="C36" s="3">
        <v>4.4768661546895299</v>
      </c>
      <c r="D36" s="3">
        <v>2.8111214219529601</v>
      </c>
      <c r="E36" s="3">
        <v>2.94285311543887</v>
      </c>
      <c r="F36" s="3">
        <v>2.0992942701874999</v>
      </c>
      <c r="G36" s="3">
        <v>3.45879132170879</v>
      </c>
      <c r="H36" s="3">
        <v>4.2231864893938296</v>
      </c>
      <c r="I36" s="3">
        <v>1.2539465508897301</v>
      </c>
      <c r="J36" s="3">
        <v>2.1612069884051999</v>
      </c>
      <c r="K36" s="3">
        <v>3.4232192551169498</v>
      </c>
      <c r="L36" s="3">
        <v>2.9443873993424599</v>
      </c>
      <c r="M36" s="3">
        <v>3.8857211794676298</v>
      </c>
      <c r="N36" s="3">
        <v>4.2890267212605302</v>
      </c>
    </row>
    <row r="37" spans="1:14" x14ac:dyDescent="0.35">
      <c r="A37" s="2">
        <v>42780</v>
      </c>
      <c r="B37" s="3">
        <v>4.4781052694271102</v>
      </c>
      <c r="C37" s="3">
        <v>4.5158918274655404</v>
      </c>
      <c r="D37" s="3">
        <v>2.7875730833830099</v>
      </c>
      <c r="E37" s="3">
        <v>2.9492667114238098</v>
      </c>
      <c r="F37" s="3">
        <v>2.1402619548134898</v>
      </c>
      <c r="G37" s="3">
        <v>3.4338467928007299</v>
      </c>
      <c r="H37" s="3">
        <v>4.25984733011411</v>
      </c>
      <c r="I37" s="3">
        <v>1.2306330209769401</v>
      </c>
      <c r="J37" s="3">
        <v>2.12306754515369</v>
      </c>
      <c r="K37" s="3">
        <v>3.4655238301061599</v>
      </c>
      <c r="L37" s="3">
        <v>2.89338028121424</v>
      </c>
      <c r="M37" s="3">
        <v>3.65334568747486</v>
      </c>
      <c r="N37" s="3">
        <v>4.3899084498856</v>
      </c>
    </row>
    <row r="38" spans="1:14" x14ac:dyDescent="0.35">
      <c r="A38" s="2">
        <v>42808</v>
      </c>
      <c r="B38" s="3">
        <v>4.5689972784621098</v>
      </c>
      <c r="C38" s="3">
        <v>4.5674145300585796</v>
      </c>
      <c r="D38" s="3">
        <v>2.92882392245378</v>
      </c>
      <c r="E38" s="3">
        <v>2.95026822177531</v>
      </c>
      <c r="F38" s="3">
        <v>2.1212543160115498</v>
      </c>
      <c r="G38" s="3">
        <v>3.35145791292656</v>
      </c>
      <c r="H38" s="3">
        <v>4.3347633790408997</v>
      </c>
      <c r="I38" s="3">
        <v>1.2170428807354701</v>
      </c>
      <c r="J38" s="3">
        <v>2.1082623964575902</v>
      </c>
      <c r="K38" s="3">
        <v>3.4403190827066101</v>
      </c>
      <c r="L38" s="3">
        <v>2.7770869863410299</v>
      </c>
      <c r="M38" s="3">
        <v>3.6389183638476701</v>
      </c>
      <c r="N38" s="3">
        <v>4.0902922564054904</v>
      </c>
    </row>
    <row r="39" spans="1:14" x14ac:dyDescent="0.35">
      <c r="A39" s="2">
        <v>42838</v>
      </c>
      <c r="B39" s="3">
        <v>4.5653946379929504</v>
      </c>
      <c r="C39" s="3">
        <v>4.4924185790884401</v>
      </c>
      <c r="D39" s="3">
        <v>2.9366304903018201</v>
      </c>
      <c r="E39" s="3">
        <v>2.9422607726441701</v>
      </c>
      <c r="F39" s="3">
        <v>2.2940428734522702</v>
      </c>
      <c r="G39" s="3">
        <v>3.42841148640405</v>
      </c>
      <c r="H39" s="3">
        <v>4.3426350916115402</v>
      </c>
      <c r="I39" s="3">
        <v>1.2311742904604099</v>
      </c>
      <c r="J39" s="3">
        <v>2.1509395038952501</v>
      </c>
      <c r="K39" s="3">
        <v>3.3903011355108199</v>
      </c>
      <c r="L39" s="3">
        <v>2.7708233946249501</v>
      </c>
      <c r="M39" s="3">
        <v>3.6684849386335001</v>
      </c>
      <c r="N39" s="3">
        <v>4.0534580421906403</v>
      </c>
    </row>
    <row r="40" spans="1:14" x14ac:dyDescent="0.35">
      <c r="A40" s="2">
        <v>42867</v>
      </c>
      <c r="B40" s="3">
        <v>4.4497473643980401</v>
      </c>
      <c r="C40" s="3">
        <v>4.5611845843382604</v>
      </c>
      <c r="D40" s="3">
        <v>2.9531985318957101</v>
      </c>
      <c r="E40" s="3">
        <v>2.8700975950607299</v>
      </c>
      <c r="F40" s="3">
        <v>2.1557088412762999</v>
      </c>
      <c r="G40" s="3">
        <v>3.28749648857413</v>
      </c>
      <c r="H40" s="3">
        <v>4.2579926410826801</v>
      </c>
      <c r="I40" s="3">
        <v>1.1733264450546499</v>
      </c>
      <c r="J40" s="3">
        <v>2.1095299339430098</v>
      </c>
      <c r="K40" s="3">
        <v>3.1964611312576601</v>
      </c>
      <c r="L40" s="3">
        <v>2.6947020024736501</v>
      </c>
      <c r="M40" s="3">
        <v>3.5182825588212499</v>
      </c>
      <c r="N40" s="3">
        <v>3.7632082811986698</v>
      </c>
    </row>
    <row r="41" spans="1:14" x14ac:dyDescent="0.35">
      <c r="A41" s="2">
        <v>42900</v>
      </c>
      <c r="B41" s="3">
        <v>4.4499405037035897</v>
      </c>
      <c r="C41" s="3">
        <v>4.5568231655954001</v>
      </c>
      <c r="D41" s="3">
        <v>3.04125545911926</v>
      </c>
      <c r="E41" s="3">
        <v>2.9114948392084301</v>
      </c>
      <c r="F41" s="3">
        <v>2.1867153321071502</v>
      </c>
      <c r="G41" s="3">
        <v>3.3510046612664102</v>
      </c>
      <c r="H41" s="3">
        <v>4.2764289167943002</v>
      </c>
      <c r="I41" s="3">
        <v>1.17570574160181</v>
      </c>
      <c r="J41" s="3">
        <v>2.0822391400315499</v>
      </c>
      <c r="K41" s="3">
        <v>3.2951039406647502</v>
      </c>
      <c r="L41" s="3">
        <v>2.7325752799109799</v>
      </c>
      <c r="M41" s="3">
        <v>3.56177718370758</v>
      </c>
      <c r="N41" s="3">
        <v>3.79346879758346</v>
      </c>
    </row>
    <row r="42" spans="1:14" x14ac:dyDescent="0.35">
      <c r="A42" s="2">
        <v>42930</v>
      </c>
      <c r="B42" s="3">
        <v>4.4094200680758302</v>
      </c>
      <c r="C42" s="3">
        <v>4.5623175468353097</v>
      </c>
      <c r="D42" s="3">
        <v>3.0407888863195298</v>
      </c>
      <c r="E42" s="3">
        <v>2.9647996620686201</v>
      </c>
      <c r="F42" s="3">
        <v>2.1570170896462399</v>
      </c>
      <c r="G42" s="3">
        <v>3.2601688341729602</v>
      </c>
      <c r="H42" s="3">
        <v>4.2886648005233203</v>
      </c>
      <c r="I42" s="3">
        <v>1.1782833864117701</v>
      </c>
      <c r="J42" s="3">
        <v>2.08852115986716</v>
      </c>
      <c r="K42" s="3">
        <v>3.32210990274986</v>
      </c>
      <c r="L42" s="3">
        <v>2.7706415001481099</v>
      </c>
      <c r="M42" s="3">
        <v>3.5213665862664998</v>
      </c>
      <c r="N42" s="3">
        <v>3.7447647019150301</v>
      </c>
    </row>
    <row r="43" spans="1:14" x14ac:dyDescent="0.35">
      <c r="A43" s="2">
        <v>42961</v>
      </c>
      <c r="B43" s="3">
        <v>4.3940607626002501</v>
      </c>
      <c r="C43" s="3">
        <v>4.6075628324613298</v>
      </c>
      <c r="D43" s="3">
        <v>3.0531729348680101</v>
      </c>
      <c r="E43" s="3">
        <v>3.0951832790789999</v>
      </c>
      <c r="F43" s="3">
        <v>2.2117577482290298</v>
      </c>
      <c r="G43" s="3">
        <v>3.2969403023031498</v>
      </c>
      <c r="H43" s="3">
        <v>4.3434749570776896</v>
      </c>
      <c r="I43" s="3">
        <v>1.17390984859652</v>
      </c>
      <c r="J43" s="3">
        <v>2.09567367083041</v>
      </c>
      <c r="K43" s="3">
        <v>3.4052544907153601</v>
      </c>
      <c r="L43" s="3">
        <v>2.79691927927581</v>
      </c>
      <c r="M43" s="3">
        <v>3.7362579550283201</v>
      </c>
      <c r="N43" s="3">
        <v>3.76864838540097</v>
      </c>
    </row>
    <row r="44" spans="1:14" x14ac:dyDescent="0.35">
      <c r="A44" s="2">
        <v>42992</v>
      </c>
      <c r="B44" s="3">
        <v>4.4123718219209396</v>
      </c>
      <c r="C44" s="3">
        <v>4.5672873613814504</v>
      </c>
      <c r="D44" s="3">
        <v>3.0772863021214301</v>
      </c>
      <c r="E44" s="3">
        <v>3.0429428685211799</v>
      </c>
      <c r="F44" s="3">
        <v>2.2023781540790299</v>
      </c>
      <c r="G44" s="3">
        <v>3.27867889744457</v>
      </c>
      <c r="H44" s="3">
        <v>4.3523206772312797</v>
      </c>
      <c r="I44" s="3">
        <v>1.16565040954465</v>
      </c>
      <c r="J44" s="3">
        <v>2.0789905824924602</v>
      </c>
      <c r="K44" s="3">
        <v>3.3447048659185898</v>
      </c>
      <c r="L44" s="3">
        <v>2.8235731208438901</v>
      </c>
      <c r="M44" s="3">
        <v>3.68776399817957</v>
      </c>
      <c r="N44" s="3">
        <v>3.7223962962464099</v>
      </c>
    </row>
    <row r="45" spans="1:14" x14ac:dyDescent="0.35">
      <c r="A45" s="2">
        <v>43021</v>
      </c>
      <c r="B45" s="3">
        <v>4.3615555252000799</v>
      </c>
      <c r="C45" s="3">
        <v>4.5368551554378698</v>
      </c>
      <c r="D45" s="3">
        <v>2.9507302059102001</v>
      </c>
      <c r="E45" s="3">
        <v>2.9520927513523301</v>
      </c>
      <c r="F45" s="3">
        <v>2.12405738967706</v>
      </c>
      <c r="G45" s="3">
        <v>3.2196129360831298</v>
      </c>
      <c r="H45" s="3">
        <v>4.2509955131102002</v>
      </c>
      <c r="I45" s="3">
        <v>1.14403636962419</v>
      </c>
      <c r="J45" s="3">
        <v>2.03870731281238</v>
      </c>
      <c r="K45" s="3">
        <v>3.2917578612014502</v>
      </c>
      <c r="L45" s="3">
        <v>2.7549358622198001</v>
      </c>
      <c r="M45" s="3">
        <v>3.5588828987518402</v>
      </c>
      <c r="N45" s="3">
        <v>3.8032404663216299</v>
      </c>
    </row>
    <row r="46" spans="1:14" x14ac:dyDescent="0.35">
      <c r="A46" s="2">
        <v>43053</v>
      </c>
      <c r="B46" s="3">
        <v>4.4376334950887504</v>
      </c>
      <c r="C46" s="3">
        <v>4.4717621541655301</v>
      </c>
      <c r="D46" s="3">
        <v>2.93709496706854</v>
      </c>
      <c r="E46" s="3">
        <v>2.94918645415853</v>
      </c>
      <c r="F46" s="3">
        <v>2.0661716892740598</v>
      </c>
      <c r="G46" s="3">
        <v>3.29238156020295</v>
      </c>
      <c r="H46" s="3">
        <v>4.3763012472774996</v>
      </c>
      <c r="I46" s="3">
        <v>1.1167867326409699</v>
      </c>
      <c r="J46" s="3">
        <v>2.0223054220855698</v>
      </c>
      <c r="K46" s="3">
        <v>3.3418528698821</v>
      </c>
      <c r="L46" s="3">
        <v>2.8269449768481301</v>
      </c>
      <c r="M46" s="3">
        <v>3.6210115489063401</v>
      </c>
      <c r="N46" s="3">
        <v>3.8784349969059999</v>
      </c>
    </row>
    <row r="47" spans="1:14" x14ac:dyDescent="0.35">
      <c r="A47" s="2">
        <v>43083</v>
      </c>
      <c r="B47" s="3">
        <v>4.2493261244383103</v>
      </c>
      <c r="C47" s="3">
        <v>4.4913247804966403</v>
      </c>
      <c r="D47" s="3">
        <v>2.9320898526377199</v>
      </c>
      <c r="E47" s="3">
        <v>2.9131861549274598</v>
      </c>
      <c r="F47" s="3">
        <v>2.06234289032929</v>
      </c>
      <c r="G47" s="3">
        <v>3.2203608495062102</v>
      </c>
      <c r="H47" s="3">
        <v>4.3316236102157903</v>
      </c>
      <c r="I47" s="3">
        <v>1.1085960955174099</v>
      </c>
      <c r="J47" s="3">
        <v>1.9734854500799299</v>
      </c>
      <c r="K47" s="3">
        <v>3.2912555613966701</v>
      </c>
      <c r="L47" s="3">
        <v>2.8237325431275901</v>
      </c>
      <c r="M47" s="3">
        <v>3.6977832701815099</v>
      </c>
      <c r="N47" s="3">
        <v>3.9116047990044902</v>
      </c>
    </row>
    <row r="48" spans="1:14" x14ac:dyDescent="0.35">
      <c r="A48" s="2">
        <v>43112</v>
      </c>
      <c r="B48" s="3">
        <v>4.3055583912259596</v>
      </c>
      <c r="C48" s="3">
        <v>4.4572809553015702</v>
      </c>
      <c r="D48" s="3">
        <v>2.8961856155567798</v>
      </c>
      <c r="E48" s="3">
        <v>2.8856312831675002</v>
      </c>
      <c r="F48" s="3">
        <v>1.99754769207599</v>
      </c>
      <c r="G48" s="3">
        <v>3.1654020784094099</v>
      </c>
      <c r="H48" s="3">
        <v>4.1375970516829996</v>
      </c>
      <c r="I48" s="3">
        <v>1.0454487627711899</v>
      </c>
      <c r="J48" s="3">
        <v>1.8900077420686301</v>
      </c>
      <c r="K48" s="3">
        <v>3.2126599284555502</v>
      </c>
      <c r="L48" s="3">
        <v>2.7895539118059101</v>
      </c>
      <c r="M48" s="3">
        <v>3.6464422555198501</v>
      </c>
      <c r="N48" s="3">
        <v>3.7559004832034302</v>
      </c>
    </row>
    <row r="49" spans="1:14" x14ac:dyDescent="0.35">
      <c r="A49" s="2">
        <v>43145</v>
      </c>
      <c r="B49" s="3">
        <v>4.43080224759363</v>
      </c>
      <c r="C49" s="3">
        <v>4.6997117957318197</v>
      </c>
      <c r="D49" s="3">
        <v>3.1357252966886899</v>
      </c>
      <c r="E49" s="3">
        <v>3.1503448692776899</v>
      </c>
      <c r="F49" s="3">
        <v>2.2377846011999298</v>
      </c>
      <c r="G49" s="3">
        <v>3.3773732821455398</v>
      </c>
      <c r="H49" s="3">
        <v>4.4424816533447604</v>
      </c>
      <c r="I49" s="3">
        <v>1.0835735353750799</v>
      </c>
      <c r="J49" s="3">
        <v>1.98503321299076</v>
      </c>
      <c r="K49" s="3">
        <v>3.4414226918692301</v>
      </c>
      <c r="L49" s="3">
        <v>2.98881879861099</v>
      </c>
      <c r="M49" s="3">
        <v>3.94393386565029</v>
      </c>
      <c r="N49" s="3">
        <v>3.9868547926122502</v>
      </c>
    </row>
    <row r="50" spans="1:14" x14ac:dyDescent="0.35">
      <c r="A50" s="2">
        <v>43173</v>
      </c>
      <c r="B50" s="3">
        <v>4.2169617583844303</v>
      </c>
      <c r="C50" s="3">
        <v>4.6688569746770803</v>
      </c>
      <c r="D50" s="3">
        <v>3.1176461465609102</v>
      </c>
      <c r="E50" s="3">
        <v>3.1930243600734398</v>
      </c>
      <c r="F50" s="3">
        <v>2.2247981169937101</v>
      </c>
      <c r="G50" s="3">
        <v>3.4387261194619998</v>
      </c>
      <c r="H50" s="3">
        <v>4.5234688417877598</v>
      </c>
      <c r="I50" s="3">
        <v>1.0423281684468499</v>
      </c>
      <c r="J50" s="3">
        <v>1.9701932638558599</v>
      </c>
      <c r="K50" s="3">
        <v>3.4094646625357501</v>
      </c>
      <c r="L50" s="3">
        <v>2.9467790043144402</v>
      </c>
      <c r="M50" s="3">
        <v>3.8575585418583</v>
      </c>
      <c r="N50" s="3">
        <v>4.0633239852268899</v>
      </c>
    </row>
    <row r="51" spans="1:14" x14ac:dyDescent="0.35">
      <c r="A51" s="2">
        <v>43203</v>
      </c>
      <c r="B51" s="3">
        <v>4.2761684629569601</v>
      </c>
      <c r="C51" s="3">
        <v>4.7832394945170202</v>
      </c>
      <c r="D51" s="3">
        <v>3.21874850736278</v>
      </c>
      <c r="E51" s="3">
        <v>3.18301752127529</v>
      </c>
      <c r="F51" s="3">
        <v>2.2580032793379599</v>
      </c>
      <c r="G51" s="3">
        <v>3.4875735385116999</v>
      </c>
      <c r="H51" s="3">
        <v>4.4222129553762199</v>
      </c>
      <c r="I51" s="3">
        <v>1.1186566154359801</v>
      </c>
      <c r="J51" s="3">
        <v>2.0557594302711499</v>
      </c>
      <c r="K51" s="3">
        <v>3.3868747286420202</v>
      </c>
      <c r="L51" s="3">
        <v>2.93074126161989</v>
      </c>
      <c r="M51" s="3">
        <v>4.1154074508326604</v>
      </c>
      <c r="N51" s="3">
        <v>3.97183940807466</v>
      </c>
    </row>
    <row r="52" spans="1:14" x14ac:dyDescent="0.35">
      <c r="A52" s="2">
        <v>43234</v>
      </c>
      <c r="B52" s="3">
        <v>4.1459373107813402</v>
      </c>
      <c r="C52" s="3">
        <v>4.5876474136180798</v>
      </c>
      <c r="D52" s="3">
        <v>3.06142154993042</v>
      </c>
      <c r="E52" s="3">
        <v>3.1066832818146599</v>
      </c>
      <c r="F52" s="3">
        <v>2.1825530052691899</v>
      </c>
      <c r="G52" s="3">
        <v>3.4200394650613402</v>
      </c>
      <c r="H52" s="3">
        <v>4.2653495642099104</v>
      </c>
      <c r="I52" s="3">
        <v>1.08169633151711</v>
      </c>
      <c r="J52" s="3">
        <v>2.0206825697535402</v>
      </c>
      <c r="K52" s="3">
        <v>3.2835681573038702</v>
      </c>
      <c r="L52" s="3">
        <v>2.8877704371888999</v>
      </c>
      <c r="M52" s="3">
        <v>3.98993013974383</v>
      </c>
      <c r="N52" s="3">
        <v>3.8927376103304199</v>
      </c>
    </row>
    <row r="53" spans="1:14" x14ac:dyDescent="0.35">
      <c r="A53" s="2">
        <v>43265</v>
      </c>
      <c r="B53" s="3">
        <v>4.0147937176213198</v>
      </c>
      <c r="C53" s="3">
        <v>4.7778426555985796</v>
      </c>
      <c r="D53" s="3">
        <v>3.0482581343460202</v>
      </c>
      <c r="E53" s="3">
        <v>3.06715077542423</v>
      </c>
      <c r="F53" s="3">
        <v>2.23570741124189</v>
      </c>
      <c r="G53" s="3">
        <v>3.52393206201761</v>
      </c>
      <c r="H53" s="3">
        <v>4.30750491935538</v>
      </c>
      <c r="I53" s="3">
        <v>1.0412375323360401</v>
      </c>
      <c r="J53" s="3">
        <v>1.99244539964108</v>
      </c>
      <c r="K53" s="3">
        <v>3.3334153359343399</v>
      </c>
      <c r="L53" s="3">
        <v>2.8483001167748601</v>
      </c>
      <c r="M53" s="3">
        <v>4.0906266535657902</v>
      </c>
      <c r="N53" s="3">
        <v>4.3020576589974704</v>
      </c>
    </row>
    <row r="54" spans="1:14" x14ac:dyDescent="0.35">
      <c r="A54" s="2">
        <v>43294</v>
      </c>
      <c r="B54" s="3">
        <v>4.0358404436901996</v>
      </c>
      <c r="C54" s="3">
        <v>4.56211945827358</v>
      </c>
      <c r="D54" s="3">
        <v>3.0292127257213401</v>
      </c>
      <c r="E54" s="3">
        <v>3.21353332551167</v>
      </c>
      <c r="F54" s="3">
        <v>2.2995519237278699</v>
      </c>
      <c r="G54" s="3">
        <v>3.47283507290576</v>
      </c>
      <c r="H54" s="3">
        <v>4.3981123503425401</v>
      </c>
      <c r="I54" s="3">
        <v>1.03205641056176</v>
      </c>
      <c r="J54" s="3">
        <v>2.0032393284576901</v>
      </c>
      <c r="K54" s="3">
        <v>3.394472954806</v>
      </c>
      <c r="L54" s="3">
        <v>2.9291447846056502</v>
      </c>
      <c r="M54" s="3">
        <v>4.1708117541684198</v>
      </c>
      <c r="N54" s="3">
        <v>4.4625730171759601</v>
      </c>
    </row>
    <row r="55" spans="1:14" x14ac:dyDescent="0.35">
      <c r="A55" s="2">
        <v>43326</v>
      </c>
      <c r="B55" s="3">
        <v>4.0784855639683899</v>
      </c>
      <c r="C55" s="3">
        <v>4.5852892880627003</v>
      </c>
      <c r="D55" s="3">
        <v>3.0792476518617802</v>
      </c>
      <c r="E55" s="3">
        <v>3.2696461454626902</v>
      </c>
      <c r="F55" s="3">
        <v>2.3413891357663399</v>
      </c>
      <c r="G55" s="3">
        <v>3.43208326034864</v>
      </c>
      <c r="H55" s="3">
        <v>4.4918922216108097</v>
      </c>
      <c r="I55" s="3">
        <v>1.0730721538136201</v>
      </c>
      <c r="J55" s="3">
        <v>1.99423100631717</v>
      </c>
      <c r="K55" s="3">
        <v>3.4573970540996699</v>
      </c>
      <c r="L55" s="3">
        <v>2.9168867124702098</v>
      </c>
      <c r="M55" s="3">
        <v>4.1258577818222504</v>
      </c>
      <c r="N55" s="3">
        <v>4.6230848626888301</v>
      </c>
    </row>
    <row r="56" spans="1:14" x14ac:dyDescent="0.35">
      <c r="A56" s="2">
        <v>43357</v>
      </c>
      <c r="B56" s="3">
        <v>3.9637479243554101</v>
      </c>
      <c r="C56" s="3">
        <v>4.7694532676868802</v>
      </c>
      <c r="D56" s="3">
        <v>3.1815035609911702</v>
      </c>
      <c r="E56" s="3">
        <v>3.3270890147803001</v>
      </c>
      <c r="F56" s="3">
        <v>2.3234275623554601</v>
      </c>
      <c r="G56" s="3">
        <v>3.4139783836839399</v>
      </c>
      <c r="H56" s="3">
        <v>4.6355165290750202</v>
      </c>
      <c r="I56" s="3">
        <v>1.07000615593036</v>
      </c>
      <c r="J56" s="3">
        <v>1.9585502521131199</v>
      </c>
      <c r="K56" s="3">
        <v>3.49324813213937</v>
      </c>
      <c r="L56" s="3">
        <v>3.03393208312088</v>
      </c>
      <c r="M56" s="3">
        <v>4.0805891606702804</v>
      </c>
      <c r="N56" s="3">
        <v>4.6534055118490398</v>
      </c>
    </row>
    <row r="57" spans="1:14" x14ac:dyDescent="0.35">
      <c r="A57" s="2">
        <v>43385</v>
      </c>
      <c r="B57" s="3">
        <v>4.2311292873705399</v>
      </c>
      <c r="C57" s="3">
        <v>5.0242620473303496</v>
      </c>
      <c r="D57" s="3">
        <v>3.3345056375582698</v>
      </c>
      <c r="E57" s="3">
        <v>3.54638743823307</v>
      </c>
      <c r="F57" s="3">
        <v>2.3726804706326998</v>
      </c>
      <c r="G57" s="3">
        <v>3.6320522222950702</v>
      </c>
      <c r="H57" s="3">
        <v>4.8552155095369098</v>
      </c>
      <c r="I57" s="3">
        <v>1.1354286671092999</v>
      </c>
      <c r="J57" s="3">
        <v>2.0668428899043101</v>
      </c>
      <c r="K57" s="3">
        <v>3.7063942331456698</v>
      </c>
      <c r="L57" s="3">
        <v>3.2226147030557</v>
      </c>
      <c r="M57" s="3">
        <v>4.31993114086404</v>
      </c>
      <c r="N57" s="3">
        <v>5.0451618564659402</v>
      </c>
    </row>
    <row r="58" spans="1:14" x14ac:dyDescent="0.35">
      <c r="A58" s="2">
        <v>43418</v>
      </c>
      <c r="B58" s="3">
        <v>4.2228184390328298</v>
      </c>
      <c r="C58" s="3">
        <v>5.23385059258006</v>
      </c>
      <c r="D58" s="3">
        <v>3.3990351180926899</v>
      </c>
      <c r="E58" s="3">
        <v>3.6108912621627498</v>
      </c>
      <c r="F58" s="3">
        <v>2.48127854970252</v>
      </c>
      <c r="G58" s="3">
        <v>3.5573600922727899</v>
      </c>
      <c r="H58" s="3">
        <v>4.8790529522631996</v>
      </c>
      <c r="I58" s="3">
        <v>1.2123892269898799</v>
      </c>
      <c r="J58" s="3">
        <v>2.1246188712173502</v>
      </c>
      <c r="K58" s="3">
        <v>3.73423327116963</v>
      </c>
      <c r="L58" s="3">
        <v>3.17486778404633</v>
      </c>
      <c r="M58" s="3">
        <v>4.4781414819238901</v>
      </c>
      <c r="N58" s="3">
        <v>5.1211914491882897</v>
      </c>
    </row>
    <row r="59" spans="1:14" x14ac:dyDescent="0.35">
      <c r="A59" s="2">
        <v>43448</v>
      </c>
      <c r="B59" s="3">
        <v>4.2041511031675398</v>
      </c>
      <c r="C59" s="3">
        <v>5.4079156539527498</v>
      </c>
      <c r="D59" s="3">
        <v>3.5240581768219199</v>
      </c>
      <c r="E59" s="3">
        <v>3.8326056264370099</v>
      </c>
      <c r="F59" s="3">
        <v>2.5662940847467999</v>
      </c>
      <c r="G59" s="3">
        <v>3.6327347519763702</v>
      </c>
      <c r="H59" s="3">
        <v>5.1351479527640098</v>
      </c>
      <c r="I59" s="3">
        <v>1.2685079744033501</v>
      </c>
      <c r="J59" s="3">
        <v>2.2246836192969499</v>
      </c>
      <c r="K59" s="3">
        <v>3.9036594287853399</v>
      </c>
      <c r="L59" s="3">
        <v>3.3408448637678099</v>
      </c>
      <c r="M59" s="3">
        <v>4.5619579612679297</v>
      </c>
      <c r="N59" s="3">
        <v>5.2345112784559999</v>
      </c>
    </row>
    <row r="60" spans="1:14" x14ac:dyDescent="0.35">
      <c r="A60" s="2">
        <v>43479</v>
      </c>
      <c r="B60" s="3">
        <v>4.1018559627937003</v>
      </c>
      <c r="C60" s="3">
        <v>5.18558672763674</v>
      </c>
      <c r="D60" s="3">
        <v>3.4488853461950701</v>
      </c>
      <c r="E60" s="3">
        <v>3.8348157801810001</v>
      </c>
      <c r="F60" s="3">
        <v>2.6915992819863801</v>
      </c>
      <c r="G60" s="3">
        <v>3.5622094927424999</v>
      </c>
      <c r="H60" s="3">
        <v>5.2081933086083296</v>
      </c>
      <c r="I60" s="3">
        <v>1.28142999539852</v>
      </c>
      <c r="J60" s="3">
        <v>2.2546003267918202</v>
      </c>
      <c r="K60" s="3">
        <v>3.9725567932083701</v>
      </c>
      <c r="L60" s="3">
        <v>3.4214087498443799</v>
      </c>
      <c r="M60" s="3">
        <v>4.5429748260553104</v>
      </c>
      <c r="N60" s="3">
        <v>5.2043620001793904</v>
      </c>
    </row>
    <row r="61" spans="1:14" x14ac:dyDescent="0.35">
      <c r="A61" s="2">
        <v>43510</v>
      </c>
      <c r="B61" s="3">
        <v>3.9970543443414401</v>
      </c>
      <c r="C61" s="3">
        <v>4.9559269147192797</v>
      </c>
      <c r="D61" s="3">
        <v>3.3082451854599202</v>
      </c>
      <c r="E61" s="3">
        <v>3.7374712728516299</v>
      </c>
      <c r="F61" s="3">
        <v>2.59705243336944</v>
      </c>
      <c r="G61" s="3">
        <v>3.4094809859017401</v>
      </c>
      <c r="H61" s="3">
        <v>4.9819281164625</v>
      </c>
      <c r="I61" s="3">
        <v>1.2028480121254099</v>
      </c>
      <c r="J61" s="3">
        <v>2.1325665121428199</v>
      </c>
      <c r="K61" s="3">
        <v>3.7697915759491201</v>
      </c>
      <c r="L61" s="3">
        <v>3.1584150805882101</v>
      </c>
      <c r="M61" s="3">
        <v>4.17903871529413</v>
      </c>
      <c r="N61" s="3">
        <v>5.0055133667611704</v>
      </c>
    </row>
    <row r="62" spans="1:14" x14ac:dyDescent="0.35">
      <c r="A62" s="2">
        <v>43538</v>
      </c>
      <c r="B62" s="3">
        <v>3.9016538626688702</v>
      </c>
      <c r="C62" s="3">
        <v>4.9647121782159997</v>
      </c>
      <c r="D62" s="3">
        <v>3.27300324110126</v>
      </c>
      <c r="E62" s="3">
        <v>3.59313632325058</v>
      </c>
      <c r="F62" s="3">
        <v>2.5944133602758299</v>
      </c>
      <c r="G62" s="3">
        <v>3.3198673177941198</v>
      </c>
      <c r="H62" s="3">
        <v>4.9269492016870702</v>
      </c>
      <c r="I62" s="3">
        <v>1.1574195001643699</v>
      </c>
      <c r="J62" s="3">
        <v>2.09623135660136</v>
      </c>
      <c r="K62" s="3">
        <v>3.5845568729321502</v>
      </c>
      <c r="L62" s="3">
        <v>3.0902871466401902</v>
      </c>
      <c r="M62" s="3">
        <v>4.1240309335953604</v>
      </c>
      <c r="N62" s="3">
        <v>4.7619145237181897</v>
      </c>
    </row>
    <row r="63" spans="1:14" x14ac:dyDescent="0.35">
      <c r="A63" s="2">
        <v>43567</v>
      </c>
      <c r="B63" s="3">
        <v>3.7909799842309302</v>
      </c>
      <c r="C63" s="3">
        <v>4.8911271202886404</v>
      </c>
      <c r="D63" s="3">
        <v>3.19934838128118</v>
      </c>
      <c r="E63" s="3">
        <v>3.4773489009357501</v>
      </c>
      <c r="F63" s="3">
        <v>2.5835619632293998</v>
      </c>
      <c r="G63" s="3">
        <v>3.2744659340115301</v>
      </c>
      <c r="H63" s="3">
        <v>4.8161906510495696</v>
      </c>
      <c r="I63" s="3">
        <v>1.10470758827079</v>
      </c>
      <c r="J63" s="3">
        <v>2.04401004961559</v>
      </c>
      <c r="K63" s="3">
        <v>3.5067991867858499</v>
      </c>
      <c r="L63" s="3">
        <v>3.0013453018153902</v>
      </c>
      <c r="M63" s="3">
        <v>4.0303148972210101</v>
      </c>
      <c r="N63" s="3">
        <v>4.6057326704985098</v>
      </c>
    </row>
    <row r="64" spans="1:14" x14ac:dyDescent="0.35">
      <c r="A64" s="2">
        <v>43599</v>
      </c>
      <c r="B64" s="3">
        <v>3.6986857408021199</v>
      </c>
      <c r="C64" s="3">
        <v>4.9293652639370098</v>
      </c>
      <c r="D64" s="3">
        <v>3.28614479136125</v>
      </c>
      <c r="E64" s="3">
        <v>3.5402911106710699</v>
      </c>
      <c r="F64" s="3">
        <v>2.6995382113885902</v>
      </c>
      <c r="G64" s="3">
        <v>3.3684386553143901</v>
      </c>
      <c r="H64" s="3">
        <v>4.9846003736818902</v>
      </c>
      <c r="I64" s="3">
        <v>1.1495807605852599</v>
      </c>
      <c r="J64" s="3">
        <v>2.1076619870420901</v>
      </c>
      <c r="K64" s="3">
        <v>3.6281430908237402</v>
      </c>
      <c r="L64" s="3">
        <v>3.0728985394538899</v>
      </c>
      <c r="M64" s="3">
        <v>4.2336547373976101</v>
      </c>
      <c r="N64" s="3">
        <v>4.8685445811774803</v>
      </c>
    </row>
    <row r="65" spans="1:14" x14ac:dyDescent="0.35">
      <c r="A65" s="2">
        <v>43630</v>
      </c>
      <c r="B65" s="3">
        <v>3.6584498722276502</v>
      </c>
      <c r="C65" s="3">
        <v>4.6873764262288899</v>
      </c>
      <c r="D65" s="3">
        <v>3.33309653485574</v>
      </c>
      <c r="E65" s="3">
        <v>3.5803351911534298</v>
      </c>
      <c r="F65" s="3">
        <v>2.6953477855273902</v>
      </c>
      <c r="G65" s="3">
        <v>3.2511860665027399</v>
      </c>
      <c r="H65" s="3">
        <v>4.8441845336635696</v>
      </c>
      <c r="I65" s="3">
        <v>1.1451514234537501</v>
      </c>
      <c r="J65" s="3">
        <v>2.0834778339882298</v>
      </c>
      <c r="K65" s="3">
        <v>3.6287337714253498</v>
      </c>
      <c r="L65" s="3">
        <v>3.0751659402231901</v>
      </c>
      <c r="M65" s="3">
        <v>4.2413389263296404</v>
      </c>
      <c r="N65" s="3">
        <v>4.9608234047029498</v>
      </c>
    </row>
    <row r="66" spans="1:14" x14ac:dyDescent="0.35">
      <c r="A66" s="2">
        <v>43658</v>
      </c>
      <c r="B66" s="3">
        <v>3.44144533023379</v>
      </c>
      <c r="C66" s="3">
        <v>4.6185706388543597</v>
      </c>
      <c r="D66" s="3">
        <v>3.3069269581572698</v>
      </c>
      <c r="E66" s="3">
        <v>3.4841178428112798</v>
      </c>
      <c r="F66" s="3">
        <v>2.6466235929390201</v>
      </c>
      <c r="G66" s="3">
        <v>3.2644182703941298</v>
      </c>
      <c r="H66" s="3">
        <v>4.7830123723997398</v>
      </c>
      <c r="I66" s="3">
        <v>1.0787266771885999</v>
      </c>
      <c r="J66" s="3">
        <v>2.0064232188578202</v>
      </c>
      <c r="K66" s="3">
        <v>3.5184357744381298</v>
      </c>
      <c r="L66" s="3">
        <v>2.9753664044464299</v>
      </c>
      <c r="M66" s="3">
        <v>4.1449582812668</v>
      </c>
      <c r="N66" s="3">
        <v>4.6336357374854797</v>
      </c>
    </row>
    <row r="67" spans="1:14" x14ac:dyDescent="0.35">
      <c r="A67" s="2">
        <v>43691</v>
      </c>
      <c r="B67" s="3">
        <v>3.4139324359516201</v>
      </c>
      <c r="C67" s="3">
        <v>4.6537289780150202</v>
      </c>
      <c r="D67" s="3">
        <v>3.4589625768452299</v>
      </c>
      <c r="E67" s="3">
        <v>3.67420227738149</v>
      </c>
      <c r="F67" s="3">
        <v>2.7830360243005901</v>
      </c>
      <c r="G67" s="3">
        <v>3.3131944263303499</v>
      </c>
      <c r="H67" s="3">
        <v>5.1552592702635502</v>
      </c>
      <c r="I67" s="3">
        <v>1.1463154925980901</v>
      </c>
      <c r="J67" s="3">
        <v>2.1377890038815601</v>
      </c>
      <c r="K67" s="3">
        <v>3.7466024173135302</v>
      </c>
      <c r="L67" s="3">
        <v>3.0708719313045001</v>
      </c>
      <c r="M67" s="3">
        <v>4.3807815437713504</v>
      </c>
      <c r="N67" s="3">
        <v>5.1778804334177497</v>
      </c>
    </row>
    <row r="68" spans="1:14" x14ac:dyDescent="0.35">
      <c r="A68" s="2">
        <v>43721</v>
      </c>
      <c r="B68" s="3">
        <v>3.3516535460079502</v>
      </c>
      <c r="C68" s="3">
        <v>4.4793705432402202</v>
      </c>
      <c r="D68" s="3">
        <v>3.32146467356768</v>
      </c>
      <c r="E68" s="3">
        <v>3.37548867014192</v>
      </c>
      <c r="F68" s="3">
        <v>2.57818337901685</v>
      </c>
      <c r="G68" s="3">
        <v>3.1894728475814902</v>
      </c>
      <c r="H68" s="3">
        <v>4.9081299335261397</v>
      </c>
      <c r="I68" s="3">
        <v>1.09216343096593</v>
      </c>
      <c r="J68" s="3">
        <v>2.02950472899431</v>
      </c>
      <c r="K68" s="3">
        <v>3.4888330416173798</v>
      </c>
      <c r="L68" s="3">
        <v>2.8379726043609699</v>
      </c>
      <c r="M68" s="3">
        <v>3.8634611834172801</v>
      </c>
      <c r="N68" s="3">
        <v>4.7082163591976096</v>
      </c>
    </row>
    <row r="69" spans="1:14" x14ac:dyDescent="0.35">
      <c r="A69" s="2">
        <v>43752</v>
      </c>
      <c r="B69" s="3">
        <v>3.2956762230847598</v>
      </c>
      <c r="C69" s="3">
        <v>4.4629043302105798</v>
      </c>
      <c r="D69" s="3">
        <v>3.3711956335909998</v>
      </c>
      <c r="E69" s="3">
        <v>3.38154747439027</v>
      </c>
      <c r="F69" s="3">
        <v>2.6160025456464</v>
      </c>
      <c r="G69" s="3">
        <v>3.2312731807027499</v>
      </c>
      <c r="H69" s="3">
        <v>4.9567898065681897</v>
      </c>
      <c r="I69" s="3">
        <v>1.10656882041797</v>
      </c>
      <c r="J69" s="3">
        <v>2.06783352064204</v>
      </c>
      <c r="K69" s="3">
        <v>3.5168182109756501</v>
      </c>
      <c r="L69" s="3">
        <v>2.7529441725722701</v>
      </c>
      <c r="M69" s="3">
        <v>3.8921772739292901</v>
      </c>
      <c r="N69" s="3">
        <v>4.7554567596124997</v>
      </c>
    </row>
    <row r="70" spans="1:14" x14ac:dyDescent="0.35">
      <c r="A70" s="2">
        <v>43783</v>
      </c>
      <c r="B70" s="3">
        <v>3.3515939515044502</v>
      </c>
      <c r="C70" s="3">
        <v>4.35577188347537</v>
      </c>
      <c r="D70" s="3">
        <v>3.2551951247464501</v>
      </c>
      <c r="E70" s="3">
        <v>3.1330082945779401</v>
      </c>
      <c r="F70" s="3">
        <v>2.4916960446119099</v>
      </c>
      <c r="G70" s="3">
        <v>3.1542836026140799</v>
      </c>
      <c r="H70" s="3">
        <v>4.8312708439781398</v>
      </c>
      <c r="I70" s="3">
        <v>1.0652176403514</v>
      </c>
      <c r="J70" s="3">
        <v>1.9953134579692799</v>
      </c>
      <c r="K70" s="3">
        <v>3.38105398907472</v>
      </c>
      <c r="L70" s="3">
        <v>2.6650165075080698</v>
      </c>
      <c r="M70" s="3">
        <v>3.65585130433811</v>
      </c>
      <c r="N70" s="3">
        <v>4.5365237836679402</v>
      </c>
    </row>
    <row r="71" spans="1:14" x14ac:dyDescent="0.35">
      <c r="A71" s="2">
        <v>43812</v>
      </c>
      <c r="B71" s="3">
        <v>3.25209090957933</v>
      </c>
      <c r="C71" s="3">
        <v>4.3029217614978998</v>
      </c>
      <c r="D71" s="3">
        <v>3.25862360279777</v>
      </c>
      <c r="E71" s="3">
        <v>3.0852074531354998</v>
      </c>
      <c r="F71" s="3">
        <v>2.4124153485762401</v>
      </c>
      <c r="G71" s="3">
        <v>3.1046202189071499</v>
      </c>
      <c r="H71" s="3">
        <v>4.6701539150600597</v>
      </c>
      <c r="I71" s="3">
        <v>1.0692234450045801</v>
      </c>
      <c r="J71" s="3">
        <v>1.9623116723016101</v>
      </c>
      <c r="K71" s="3">
        <v>3.3788319663069002</v>
      </c>
      <c r="L71" s="3">
        <v>2.6164659727748099</v>
      </c>
      <c r="M71" s="3">
        <v>3.61927085144533</v>
      </c>
      <c r="N71" s="3">
        <v>4.5296015414988098</v>
      </c>
    </row>
    <row r="72" spans="1:14" x14ac:dyDescent="0.35">
      <c r="A72" s="2">
        <v>43844</v>
      </c>
      <c r="B72" s="3">
        <v>3.14310810582093</v>
      </c>
      <c r="C72" s="3">
        <v>4.1759288155630099</v>
      </c>
      <c r="D72" s="3">
        <v>3.2231741980070998</v>
      </c>
      <c r="E72" s="3">
        <v>3.0568056868268099</v>
      </c>
      <c r="F72" s="3">
        <v>2.4196519355388002</v>
      </c>
      <c r="G72" s="3">
        <v>3.03070038352157</v>
      </c>
      <c r="H72" s="3">
        <v>4.5629329170572701</v>
      </c>
      <c r="I72" s="3">
        <v>1.01530889337404</v>
      </c>
      <c r="J72" s="3">
        <v>1.9093310044199501</v>
      </c>
      <c r="K72" s="3">
        <v>3.3241965719605102</v>
      </c>
      <c r="L72" s="3">
        <v>2.5858892511704399</v>
      </c>
      <c r="M72" s="3">
        <v>3.5583337693507202</v>
      </c>
      <c r="N72" s="3">
        <v>4.4555282202370998</v>
      </c>
    </row>
    <row r="73" spans="1:14" x14ac:dyDescent="0.35">
      <c r="A73" s="2">
        <v>43875</v>
      </c>
      <c r="B73" s="3">
        <v>3.0651841095033898</v>
      </c>
      <c r="C73" s="3">
        <v>4.0732789552817303</v>
      </c>
      <c r="D73" s="3">
        <v>3.2083159761728002</v>
      </c>
      <c r="E73" s="3">
        <v>2.9990887449068602</v>
      </c>
      <c r="F73" s="3">
        <v>2.4680309391384898</v>
      </c>
      <c r="G73" s="3">
        <v>2.9320013819229498</v>
      </c>
      <c r="H73" s="3">
        <v>4.7010923698914304</v>
      </c>
      <c r="I73" s="3">
        <v>0.95846533560810498</v>
      </c>
      <c r="J73" s="3">
        <v>1.86880880384791</v>
      </c>
      <c r="K73" s="3">
        <v>3.2817316501903502</v>
      </c>
      <c r="L73" s="3">
        <v>2.4613390062610598</v>
      </c>
      <c r="M73" s="3">
        <v>3.4074436590700898</v>
      </c>
      <c r="N73" s="3">
        <v>4.44293913230754</v>
      </c>
    </row>
    <row r="74" spans="1:14" x14ac:dyDescent="0.35">
      <c r="A74" s="2">
        <v>43903</v>
      </c>
      <c r="B74" s="3">
        <v>3.6527279411444198</v>
      </c>
      <c r="C74" s="3">
        <v>5.2001274340136403</v>
      </c>
      <c r="D74" s="3">
        <v>4.2041531545858897</v>
      </c>
      <c r="E74" s="3">
        <v>4.4465420924241501</v>
      </c>
      <c r="F74" s="3">
        <v>3.29129245237948</v>
      </c>
      <c r="G74" s="3">
        <v>3.86368065777976</v>
      </c>
      <c r="H74" s="3">
        <v>6.6482030641349299</v>
      </c>
      <c r="I74" s="3">
        <v>1.1608659862464801</v>
      </c>
      <c r="J74" s="3">
        <v>2.3341620911609602</v>
      </c>
      <c r="K74" s="3">
        <v>4.7649003094050899</v>
      </c>
      <c r="L74" s="3">
        <v>3.56941216852224</v>
      </c>
      <c r="M74" s="3">
        <v>4.6396311009526201</v>
      </c>
      <c r="N74" s="3">
        <v>6.8262728768737304</v>
      </c>
    </row>
    <row r="75" spans="1:14" x14ac:dyDescent="0.35">
      <c r="A75" s="2">
        <v>43935</v>
      </c>
      <c r="B75" s="3">
        <v>2.9138942096551399</v>
      </c>
      <c r="C75" s="3">
        <v>4.4255749250131604</v>
      </c>
      <c r="D75" s="3">
        <v>4.0472016884963598</v>
      </c>
      <c r="E75" s="3">
        <v>3.53452209622355</v>
      </c>
      <c r="F75" s="3">
        <v>2.8714631238953601</v>
      </c>
      <c r="G75" s="3">
        <v>3.3582568656737699</v>
      </c>
      <c r="H75" s="3">
        <v>5.7464789522300199</v>
      </c>
      <c r="I75" s="3">
        <v>1.0683095660780599</v>
      </c>
      <c r="J75" s="3">
        <v>2.1758868616794498</v>
      </c>
      <c r="K75" s="3">
        <v>3.9075378918837198</v>
      </c>
      <c r="L75" s="3">
        <v>2.8754181142264099</v>
      </c>
      <c r="M75" s="3">
        <v>3.5387346815698901</v>
      </c>
      <c r="N75" s="3">
        <v>5.7045721000874101</v>
      </c>
    </row>
    <row r="76" spans="1:14" x14ac:dyDescent="0.35">
      <c r="A76" s="2">
        <v>43965</v>
      </c>
      <c r="B76" s="3">
        <v>2.6014967915585099</v>
      </c>
      <c r="C76" s="3">
        <v>3.8900763068620998</v>
      </c>
      <c r="D76" s="3">
        <v>3.8366352013280101</v>
      </c>
      <c r="E76" s="3">
        <v>3.48296336004733</v>
      </c>
      <c r="F76" s="3">
        <v>2.8265970374253699</v>
      </c>
      <c r="G76" s="3">
        <v>3.3463501365693502</v>
      </c>
      <c r="H76" s="3">
        <v>4.6118971749462903</v>
      </c>
      <c r="I76" s="3">
        <v>1.0044113051713901</v>
      </c>
      <c r="J76" s="3">
        <v>2.1258490511713601</v>
      </c>
      <c r="K76" s="3">
        <v>3.7052079756921601</v>
      </c>
      <c r="L76" s="3">
        <v>2.69320750930199</v>
      </c>
      <c r="M76" s="3">
        <v>3.49464579855686</v>
      </c>
      <c r="N76" s="3">
        <v>5.1771900932660602</v>
      </c>
    </row>
    <row r="77" spans="1:14" x14ac:dyDescent="0.35">
      <c r="A77" s="2">
        <v>43994</v>
      </c>
      <c r="B77" s="3">
        <v>2.6142356262672002</v>
      </c>
      <c r="C77" s="3">
        <v>3.4665843381530701</v>
      </c>
      <c r="D77" s="3">
        <v>3.6056996308832301</v>
      </c>
      <c r="E77" s="3">
        <v>2.98053909761156</v>
      </c>
      <c r="F77" s="3">
        <v>2.5086080027473998</v>
      </c>
      <c r="G77" s="3">
        <v>3.1760184196918901</v>
      </c>
      <c r="H77" s="3">
        <v>4.1514367597630697</v>
      </c>
      <c r="I77" s="3">
        <v>0.93996094016768095</v>
      </c>
      <c r="J77" s="3">
        <v>1.98159846050906</v>
      </c>
      <c r="K77" s="3">
        <v>3.22340179392994</v>
      </c>
      <c r="L77" s="3">
        <v>2.46502180074497</v>
      </c>
      <c r="M77" s="3">
        <v>3.12958100938874</v>
      </c>
      <c r="N77" s="3">
        <v>4.3719146224741996</v>
      </c>
    </row>
    <row r="78" spans="1:14" x14ac:dyDescent="0.35">
      <c r="A78" s="2">
        <v>44026</v>
      </c>
      <c r="B78" s="3">
        <v>2.4633491844322402</v>
      </c>
      <c r="C78" s="3">
        <v>3.4624050221005498</v>
      </c>
      <c r="D78" s="3">
        <v>3.4613540722939899</v>
      </c>
      <c r="E78" s="3">
        <v>2.8420029305768799</v>
      </c>
      <c r="F78" s="3">
        <v>2.4950160187317998</v>
      </c>
      <c r="G78" s="3">
        <v>3.04744851354423</v>
      </c>
      <c r="H78" s="3">
        <v>4.0657165612849804</v>
      </c>
      <c r="I78" s="3">
        <v>0.85251924570706095</v>
      </c>
      <c r="J78" s="3">
        <v>1.8615324162015101</v>
      </c>
      <c r="K78" s="3">
        <v>3.0984629215573198</v>
      </c>
      <c r="L78" s="3">
        <v>2.3238646862024201</v>
      </c>
      <c r="M78" s="3">
        <v>2.9732060329370902</v>
      </c>
      <c r="N78" s="3">
        <v>4.3007278103573903</v>
      </c>
    </row>
    <row r="79" spans="1:14" x14ac:dyDescent="0.35">
      <c r="A79" s="2">
        <v>44057</v>
      </c>
      <c r="B79" s="3">
        <v>2.4494747271571198</v>
      </c>
      <c r="C79" s="3">
        <v>3.33913985231138</v>
      </c>
      <c r="D79" s="3">
        <v>3.3547414293416198</v>
      </c>
      <c r="E79" s="3">
        <v>2.8277968279672598</v>
      </c>
      <c r="F79" s="3">
        <v>2.38838264678941</v>
      </c>
      <c r="G79" s="3">
        <v>2.9527693845201002</v>
      </c>
      <c r="H79" s="3">
        <v>3.9661561501063498</v>
      </c>
      <c r="I79" s="3">
        <v>0.81850451043934302</v>
      </c>
      <c r="J79" s="3">
        <v>1.7660473370154199</v>
      </c>
      <c r="K79" s="3">
        <v>3.1258146845771999</v>
      </c>
      <c r="L79" s="3">
        <v>2.34938864440447</v>
      </c>
      <c r="M79" s="3">
        <v>3.02495951605587</v>
      </c>
      <c r="N79" s="3">
        <v>3.93919472595609</v>
      </c>
    </row>
    <row r="80" spans="1:14" x14ac:dyDescent="0.35">
      <c r="A80" s="2">
        <v>44088</v>
      </c>
      <c r="B80" s="3">
        <v>2.4179019508272899</v>
      </c>
      <c r="C80" s="3">
        <v>3.58891729897078</v>
      </c>
      <c r="D80" s="3">
        <v>3.3861134146223701</v>
      </c>
      <c r="E80" s="3">
        <v>2.8009615631123599</v>
      </c>
      <c r="F80" s="3">
        <v>2.3408169213420802</v>
      </c>
      <c r="G80" s="3">
        <v>2.8922213355383302</v>
      </c>
      <c r="H80" s="3">
        <v>4.0929970715757698</v>
      </c>
      <c r="I80" s="3">
        <v>0.81153437665181705</v>
      </c>
      <c r="J80" s="3">
        <v>1.76483482438922</v>
      </c>
      <c r="K80" s="3">
        <v>3.1062945545227798</v>
      </c>
      <c r="L80" s="3">
        <v>2.3234095167965498</v>
      </c>
      <c r="M80" s="3">
        <v>2.9797756348822002</v>
      </c>
      <c r="N80" s="3">
        <v>4.0529262313188301</v>
      </c>
    </row>
    <row r="81" spans="1:14" x14ac:dyDescent="0.35">
      <c r="A81" s="2">
        <v>44118</v>
      </c>
      <c r="B81" s="3">
        <v>2.3210157475483499</v>
      </c>
      <c r="C81" s="3">
        <v>3.5422506988467202</v>
      </c>
      <c r="D81" s="3">
        <v>3.3878636466721499</v>
      </c>
      <c r="E81" s="3">
        <v>2.8087467185751702</v>
      </c>
      <c r="F81" s="3">
        <v>2.3627627260478898</v>
      </c>
      <c r="G81" s="3">
        <v>2.9338197256040401</v>
      </c>
      <c r="H81" s="3">
        <v>4.2569474984865101</v>
      </c>
      <c r="I81" s="3">
        <v>0.76706825216421404</v>
      </c>
      <c r="J81" s="3">
        <v>1.7150982357734399</v>
      </c>
      <c r="K81" s="3">
        <v>3.19703258738316</v>
      </c>
      <c r="L81" s="3">
        <v>2.2525962467076299</v>
      </c>
      <c r="M81" s="3">
        <v>3.0060582498037598</v>
      </c>
      <c r="N81" s="3">
        <v>4.07862748795025</v>
      </c>
    </row>
    <row r="82" spans="1:14" x14ac:dyDescent="0.35">
      <c r="A82" s="2">
        <v>44148</v>
      </c>
      <c r="B82" s="3">
        <v>2.35636821420605</v>
      </c>
      <c r="C82" s="3">
        <v>3.5325354993800602</v>
      </c>
      <c r="D82" s="3">
        <v>3.3324373223977202</v>
      </c>
      <c r="E82" s="3">
        <v>2.8455879035599101</v>
      </c>
      <c r="F82" s="3">
        <v>2.28235476162493</v>
      </c>
      <c r="G82" s="3">
        <v>2.89148987521942</v>
      </c>
      <c r="H82" s="3">
        <v>4.0399656851571999</v>
      </c>
      <c r="I82" s="3">
        <v>0.77545136821612404</v>
      </c>
      <c r="J82" s="3">
        <v>1.66991381947957</v>
      </c>
      <c r="K82" s="3">
        <v>2.9664041828938901</v>
      </c>
      <c r="L82" s="3">
        <v>2.1863203593620599</v>
      </c>
      <c r="M82" s="3">
        <v>3.0512584333450699</v>
      </c>
      <c r="N82" s="3">
        <v>4.0238876102294698</v>
      </c>
    </row>
    <row r="83" spans="1:14" x14ac:dyDescent="0.35">
      <c r="A83" s="2">
        <v>44179</v>
      </c>
      <c r="B83" s="3">
        <v>2.4005570143470001</v>
      </c>
      <c r="C83" s="3">
        <v>3.5264854966571901</v>
      </c>
      <c r="D83" s="3">
        <v>3.1416327638041999</v>
      </c>
      <c r="E83" s="3">
        <v>2.80642651573514</v>
      </c>
      <c r="F83" s="3">
        <v>2.1579931678662398</v>
      </c>
      <c r="G83" s="3">
        <v>2.9154682687397901</v>
      </c>
      <c r="H83" s="3">
        <v>3.9168861964853199</v>
      </c>
      <c r="I83" s="3">
        <v>0.74847953895270902</v>
      </c>
      <c r="J83" s="3">
        <v>1.6483762712149601</v>
      </c>
      <c r="K83" s="3">
        <v>2.9323702447924598</v>
      </c>
      <c r="L83" s="3">
        <v>2.0813356299116399</v>
      </c>
      <c r="M83" s="3">
        <v>3.0618090474976398</v>
      </c>
      <c r="N83" s="3">
        <v>3.9785489237988001</v>
      </c>
    </row>
    <row r="84" spans="1:14" x14ac:dyDescent="0.35">
      <c r="A84" s="2">
        <v>44210</v>
      </c>
      <c r="B84" s="3">
        <v>2.4202807426344899</v>
      </c>
      <c r="C84" s="3">
        <v>3.52980852401204</v>
      </c>
      <c r="D84" s="3">
        <v>3.0274499588395898</v>
      </c>
      <c r="E84" s="3">
        <v>2.6976832612661501</v>
      </c>
      <c r="F84" s="3">
        <v>2.0671471748885999</v>
      </c>
      <c r="G84" s="3">
        <v>2.8146001275849999</v>
      </c>
      <c r="H84" s="3">
        <v>3.8292912714064</v>
      </c>
      <c r="I84" s="3">
        <v>0.76532387138209801</v>
      </c>
      <c r="J84" s="3">
        <v>1.5662328122626299</v>
      </c>
      <c r="K84" s="3">
        <v>2.8963155944593399</v>
      </c>
      <c r="L84" s="3">
        <v>1.9201153846758301</v>
      </c>
      <c r="M84" s="3">
        <v>2.9798562847647201</v>
      </c>
      <c r="N84" s="3">
        <v>3.9416263307727402</v>
      </c>
    </row>
    <row r="85" spans="1:14" x14ac:dyDescent="0.35">
      <c r="A85" s="2">
        <v>44239</v>
      </c>
      <c r="B85" s="3">
        <v>2.5682354990121801</v>
      </c>
      <c r="C85" s="3">
        <v>3.6107640548233699</v>
      </c>
      <c r="D85" s="3">
        <v>2.9300447856732501</v>
      </c>
      <c r="E85" s="3">
        <v>2.7271856285240799</v>
      </c>
      <c r="F85" s="3">
        <v>2.0297123743077399</v>
      </c>
      <c r="G85" s="3">
        <v>2.8059191035997899</v>
      </c>
      <c r="H85" s="3">
        <v>3.9849079668285801</v>
      </c>
      <c r="I85" s="3">
        <v>0.72102780911854203</v>
      </c>
      <c r="J85" s="3">
        <v>1.52505351724656</v>
      </c>
      <c r="K85" s="3">
        <v>2.8844862232302102</v>
      </c>
      <c r="L85" s="3">
        <v>1.88278995616925</v>
      </c>
      <c r="M85" s="3">
        <v>2.9852728692400499</v>
      </c>
      <c r="N85" s="3">
        <v>3.9119072288986798</v>
      </c>
    </row>
    <row r="86" spans="1:14" x14ac:dyDescent="0.35">
      <c r="A86" s="2">
        <v>44267</v>
      </c>
      <c r="B86" s="3">
        <v>2.5781791541361399</v>
      </c>
      <c r="C86" s="3">
        <v>3.8938234026468002</v>
      </c>
      <c r="D86" s="3">
        <v>2.84287861092634</v>
      </c>
      <c r="E86" s="3">
        <v>2.75623195068549</v>
      </c>
      <c r="F86" s="3">
        <v>2.0545321404854899</v>
      </c>
      <c r="G86" s="3">
        <v>2.85211612839531</v>
      </c>
      <c r="H86" s="3">
        <v>3.9618428810978301</v>
      </c>
      <c r="I86" s="3">
        <v>0.77519910634785705</v>
      </c>
      <c r="J86" s="3">
        <v>1.5315374435379501</v>
      </c>
      <c r="K86" s="3">
        <v>2.7377224081769498</v>
      </c>
      <c r="L86" s="3">
        <v>2.02377355093157</v>
      </c>
      <c r="M86" s="3">
        <v>2.7742139511655601</v>
      </c>
      <c r="N86" s="3">
        <v>4.0463991019640702</v>
      </c>
    </row>
    <row r="87" spans="1:14" x14ac:dyDescent="0.35">
      <c r="A87" s="2">
        <v>44300</v>
      </c>
      <c r="B87" s="3">
        <v>2.54418037749035</v>
      </c>
      <c r="C87" s="3">
        <v>3.8866403180572102</v>
      </c>
      <c r="D87" s="3">
        <v>2.7645403028500302</v>
      </c>
      <c r="E87" s="3">
        <v>2.7039086781598298</v>
      </c>
      <c r="F87" s="3">
        <v>2.0802695800125801</v>
      </c>
      <c r="G87" s="3">
        <v>2.7488967456809101</v>
      </c>
      <c r="H87" s="3">
        <v>3.9754966933682399</v>
      </c>
      <c r="I87" s="3">
        <v>0.72958475372880605</v>
      </c>
      <c r="J87" s="3">
        <v>1.47335469578822</v>
      </c>
      <c r="K87" s="3">
        <v>2.7073166599209002</v>
      </c>
      <c r="L87" s="3">
        <v>1.91651175873832</v>
      </c>
      <c r="M87" s="3">
        <v>2.74037959605409</v>
      </c>
      <c r="N87" s="3">
        <v>4.0762923383598002</v>
      </c>
    </row>
    <row r="88" spans="1:14" x14ac:dyDescent="0.35">
      <c r="A88" s="2">
        <v>44330</v>
      </c>
      <c r="B88" s="3">
        <v>2.6782986438759999</v>
      </c>
      <c r="C88" s="3">
        <v>3.94546016722028</v>
      </c>
      <c r="D88" s="3">
        <v>2.7304437126706298</v>
      </c>
      <c r="E88" s="3">
        <v>2.8170543435280302</v>
      </c>
      <c r="F88" s="3">
        <v>2.201190562217</v>
      </c>
      <c r="G88" s="3">
        <v>2.77153866730078</v>
      </c>
      <c r="H88" s="3">
        <v>3.9012608752733202</v>
      </c>
      <c r="I88" s="3">
        <v>0.75491596368860203</v>
      </c>
      <c r="J88" s="3">
        <v>1.46399395889851</v>
      </c>
      <c r="K88" s="3">
        <v>2.6974079794406101</v>
      </c>
      <c r="L88" s="3">
        <v>1.9972254473867801</v>
      </c>
      <c r="M88" s="3">
        <v>2.8151663454000699</v>
      </c>
      <c r="N88" s="3">
        <v>4.1706429096372002</v>
      </c>
    </row>
    <row r="89" spans="1:14" x14ac:dyDescent="0.35">
      <c r="A89" s="2">
        <v>44361</v>
      </c>
      <c r="B89" s="3">
        <v>2.6865584006857399</v>
      </c>
      <c r="C89" s="3">
        <v>3.8710357045064798</v>
      </c>
      <c r="D89" s="3">
        <v>2.56642887032891</v>
      </c>
      <c r="E89" s="3">
        <v>2.7805524736532501</v>
      </c>
      <c r="F89" s="3">
        <v>2.15894965533725</v>
      </c>
      <c r="G89" s="3">
        <v>2.6188836681290901</v>
      </c>
      <c r="H89" s="3">
        <v>3.8722465413862102</v>
      </c>
      <c r="I89" s="3">
        <v>0.72297613417848305</v>
      </c>
      <c r="J89" s="3">
        <v>1.4494440246775799</v>
      </c>
      <c r="K89" s="3">
        <v>2.6356232368802899</v>
      </c>
      <c r="L89" s="3">
        <v>1.98378997304378</v>
      </c>
      <c r="M89" s="3">
        <v>2.6765027111320401</v>
      </c>
      <c r="N89" s="3">
        <v>4.0267847051171399</v>
      </c>
    </row>
    <row r="90" spans="1:14" x14ac:dyDescent="0.35">
      <c r="A90" s="2">
        <v>44391</v>
      </c>
      <c r="B90" s="3">
        <v>2.6060301279806102</v>
      </c>
      <c r="C90" s="3">
        <v>4.0615458894551102</v>
      </c>
      <c r="D90" s="3">
        <v>2.72101195033569</v>
      </c>
      <c r="E90" s="3">
        <v>2.7829990949954699</v>
      </c>
      <c r="F90" s="3">
        <v>2.1852485419910201</v>
      </c>
      <c r="G90" s="3">
        <v>2.6104721494476202</v>
      </c>
      <c r="H90" s="3">
        <v>4.0314733672939704</v>
      </c>
      <c r="I90" s="3">
        <v>0.68927247251991097</v>
      </c>
      <c r="J90" s="3">
        <v>1.4307736266279001</v>
      </c>
      <c r="K90" s="3">
        <v>2.6967473122219801</v>
      </c>
      <c r="L90" s="3">
        <v>1.98944608316033</v>
      </c>
      <c r="M90" s="3">
        <v>2.6447088863618902</v>
      </c>
      <c r="N90" s="3">
        <v>4.1754385665826197</v>
      </c>
    </row>
    <row r="91" spans="1:14" x14ac:dyDescent="0.35">
      <c r="A91" s="2">
        <v>44421</v>
      </c>
      <c r="B91" s="3">
        <v>2.6658135152186002</v>
      </c>
      <c r="C91" s="3">
        <v>4.0007663099148099</v>
      </c>
      <c r="D91" s="3">
        <v>2.6916543083607198</v>
      </c>
      <c r="E91" s="3">
        <v>2.81374063466055</v>
      </c>
      <c r="F91" s="3">
        <v>2.2196054413298798</v>
      </c>
      <c r="G91" s="3">
        <v>2.54745794168173</v>
      </c>
      <c r="H91" s="3">
        <v>4.1221973309767801</v>
      </c>
      <c r="I91" s="3">
        <v>0.69851234897183401</v>
      </c>
      <c r="J91" s="3">
        <v>1.4103924760492399</v>
      </c>
      <c r="K91" s="3">
        <v>2.6695552247293599</v>
      </c>
      <c r="L91" s="3">
        <v>1.9465849204940799</v>
      </c>
      <c r="M91" s="3">
        <v>2.68963775416454</v>
      </c>
      <c r="N91" s="3">
        <v>4.22900145640868</v>
      </c>
    </row>
    <row r="92" spans="1:14" x14ac:dyDescent="0.35">
      <c r="A92" s="2">
        <v>44453</v>
      </c>
      <c r="B92" s="3">
        <v>2.6078142724245899</v>
      </c>
      <c r="C92" s="3">
        <v>4.0730670916428604</v>
      </c>
      <c r="D92" s="3">
        <v>2.76106662428796</v>
      </c>
      <c r="E92" s="3">
        <v>2.8615232724634998</v>
      </c>
      <c r="F92" s="3">
        <v>2.1053617616828602</v>
      </c>
      <c r="G92" s="3">
        <v>2.6292723620676601</v>
      </c>
      <c r="H92" s="3">
        <v>4.2319208700317397</v>
      </c>
      <c r="I92" s="3">
        <v>0.69080364388669901</v>
      </c>
      <c r="J92" s="3">
        <v>1.4287319016909299</v>
      </c>
      <c r="K92" s="3">
        <v>2.7832558273100001</v>
      </c>
      <c r="L92" s="3">
        <v>1.84101149114632</v>
      </c>
      <c r="M92" s="3">
        <v>2.7560116728013799</v>
      </c>
      <c r="N92" s="3">
        <v>4.4719735696682799</v>
      </c>
    </row>
    <row r="93" spans="1:14" x14ac:dyDescent="0.35">
      <c r="A93" s="2">
        <v>44483</v>
      </c>
      <c r="B93" s="3">
        <v>2.6616057815615801</v>
      </c>
      <c r="C93" s="3">
        <v>4.0596834498214696</v>
      </c>
      <c r="D93" s="3">
        <v>2.7326222779966698</v>
      </c>
      <c r="E93" s="3">
        <v>2.94570999422672</v>
      </c>
      <c r="F93" s="3">
        <v>2.2518269077896602</v>
      </c>
      <c r="G93" s="3">
        <v>2.70415810052631</v>
      </c>
      <c r="H93" s="3">
        <v>4.0861287849868804</v>
      </c>
      <c r="I93" s="3">
        <v>0.71206738747338905</v>
      </c>
      <c r="J93" s="3">
        <v>1.43848987445069</v>
      </c>
      <c r="K93" s="3">
        <v>2.8340496732849698</v>
      </c>
      <c r="L93" s="3">
        <v>1.9518504753787</v>
      </c>
      <c r="M93" s="3">
        <v>2.8439755041905799</v>
      </c>
      <c r="N93" s="3">
        <v>4.4321499705694301</v>
      </c>
    </row>
    <row r="94" spans="1:14" x14ac:dyDescent="0.35">
      <c r="A94" s="2">
        <v>44512</v>
      </c>
      <c r="B94" s="3">
        <v>2.71152542435697</v>
      </c>
      <c r="C94" s="3">
        <v>3.95580794033634</v>
      </c>
      <c r="D94" s="3">
        <v>2.6632196070697902</v>
      </c>
      <c r="E94" s="3">
        <v>2.9390480125818499</v>
      </c>
      <c r="F94" s="3">
        <v>2.2159991569452</v>
      </c>
      <c r="G94" s="3">
        <v>2.5694766046895898</v>
      </c>
      <c r="H94" s="3">
        <v>4.0189191739911703</v>
      </c>
      <c r="I94" s="3">
        <v>0.66544005352601998</v>
      </c>
      <c r="J94" s="3">
        <v>1.36993187404431</v>
      </c>
      <c r="K94" s="3">
        <v>2.72802900403404</v>
      </c>
      <c r="L94" s="3">
        <v>1.8414794192381201</v>
      </c>
      <c r="M94" s="3">
        <v>2.93576496532472</v>
      </c>
      <c r="N94" s="3">
        <v>4.3040885435483203</v>
      </c>
    </row>
    <row r="95" spans="1:14" x14ac:dyDescent="0.35">
      <c r="A95" s="2">
        <v>44544</v>
      </c>
      <c r="B95" s="3">
        <v>2.7611640923578502</v>
      </c>
      <c r="C95" s="3">
        <v>3.93953978319005</v>
      </c>
      <c r="D95" s="3">
        <v>2.8532087441147298</v>
      </c>
      <c r="E95" s="3">
        <v>3.0802641729817499</v>
      </c>
      <c r="F95" s="3">
        <v>2.3301477245646902</v>
      </c>
      <c r="G95" s="3">
        <v>2.62241271830937</v>
      </c>
      <c r="H95" s="3">
        <v>4.0453931184567002</v>
      </c>
      <c r="I95" s="3">
        <v>0.68372815508389995</v>
      </c>
      <c r="J95" s="3">
        <v>1.39416232878612</v>
      </c>
      <c r="K95" s="3">
        <v>2.8317270137011699</v>
      </c>
      <c r="L95" s="3">
        <v>2.0023333984943399</v>
      </c>
      <c r="M95" s="3">
        <v>2.9259747422679299</v>
      </c>
      <c r="N95" s="3">
        <v>4.6861008053535196</v>
      </c>
    </row>
    <row r="96" spans="1:14" x14ac:dyDescent="0.35">
      <c r="A96" s="2">
        <v>44575</v>
      </c>
      <c r="B96" s="3">
        <v>2.84161436516067</v>
      </c>
      <c r="C96" s="3">
        <v>3.8770080726683398</v>
      </c>
      <c r="D96" s="3">
        <v>2.7647255060042402</v>
      </c>
      <c r="E96" s="3">
        <v>3.05803917487999</v>
      </c>
      <c r="F96" s="3">
        <v>2.3493997070646402</v>
      </c>
      <c r="G96" s="3">
        <v>2.6309461054614198</v>
      </c>
      <c r="H96" s="3">
        <v>3.8205845661709201</v>
      </c>
      <c r="I96" s="3">
        <v>0.70038707213309703</v>
      </c>
      <c r="J96" s="3">
        <v>1.3889502263507101</v>
      </c>
      <c r="K96" s="3">
        <v>2.7681518543958901</v>
      </c>
      <c r="L96" s="3">
        <v>2.00582946910454</v>
      </c>
      <c r="M96" s="3">
        <v>2.96678581008885</v>
      </c>
      <c r="N96" s="3">
        <v>4.59371642495364</v>
      </c>
    </row>
    <row r="97" spans="1:14" x14ac:dyDescent="0.35">
      <c r="A97" s="2">
        <v>44606</v>
      </c>
      <c r="B97" s="3">
        <v>3.01470674250919</v>
      </c>
      <c r="C97" s="3">
        <v>4.2505790032077497</v>
      </c>
      <c r="D97" s="3">
        <v>2.7937422724394501</v>
      </c>
      <c r="E97" s="3">
        <v>3.2762559160587501</v>
      </c>
      <c r="F97" s="3">
        <v>2.4573767305043002</v>
      </c>
      <c r="G97" s="3">
        <v>2.7971882365312202</v>
      </c>
      <c r="H97" s="3">
        <v>3.83399139506521</v>
      </c>
      <c r="I97" s="3">
        <v>0.78105354827032103</v>
      </c>
      <c r="J97" s="3">
        <v>1.4939613049960501</v>
      </c>
      <c r="K97" s="3">
        <v>2.9615992194912399</v>
      </c>
      <c r="L97" s="3">
        <v>2.2494447472617298</v>
      </c>
      <c r="M97" s="3">
        <v>2.9939710576965801</v>
      </c>
      <c r="N97" s="3">
        <v>4.9101273113638104</v>
      </c>
    </row>
    <row r="98" spans="1:14" x14ac:dyDescent="0.35">
      <c r="A98" s="2">
        <v>44634</v>
      </c>
      <c r="B98" s="3">
        <v>3.0971725859732202</v>
      </c>
      <c r="C98" s="3">
        <v>4.3377857093244501</v>
      </c>
      <c r="D98" s="3">
        <v>2.8849092322549201</v>
      </c>
      <c r="E98" s="3">
        <v>3.6037331426427501</v>
      </c>
      <c r="F98" s="3">
        <v>2.69988974101582</v>
      </c>
      <c r="G98" s="3">
        <v>2.9042378493115701</v>
      </c>
      <c r="H98" s="3">
        <v>4.1531756998500704</v>
      </c>
      <c r="I98" s="3">
        <v>0.86237634929569196</v>
      </c>
      <c r="J98" s="3">
        <v>1.58277380250835</v>
      </c>
      <c r="K98" s="3">
        <v>3.2373936103165901</v>
      </c>
      <c r="L98" s="3">
        <v>2.4356643887753</v>
      </c>
      <c r="M98" s="3">
        <v>3.16217200645647</v>
      </c>
      <c r="N98" s="3">
        <v>5.37152380665351</v>
      </c>
    </row>
    <row r="99" spans="1:14" x14ac:dyDescent="0.35">
      <c r="A99" s="2">
        <v>44665</v>
      </c>
      <c r="B99" s="3">
        <v>3.14102107944302</v>
      </c>
      <c r="C99" s="3">
        <v>4.3338887630298597</v>
      </c>
      <c r="D99" s="3">
        <v>2.8443819524663301</v>
      </c>
      <c r="E99" s="3">
        <v>3.6264146504683499</v>
      </c>
      <c r="F99" s="3">
        <v>2.5738578744377998</v>
      </c>
      <c r="G99" s="3">
        <v>2.75022212337241</v>
      </c>
      <c r="H99" s="3">
        <v>3.9312068493163799</v>
      </c>
      <c r="I99" s="3">
        <v>0.81242898081197701</v>
      </c>
      <c r="J99" s="3">
        <v>1.5008506801627599</v>
      </c>
      <c r="K99" s="3">
        <v>3.1295056135921802</v>
      </c>
      <c r="L99" s="3">
        <v>2.31574787712823</v>
      </c>
      <c r="M99" s="3">
        <v>3.1610377583584701</v>
      </c>
      <c r="N99" s="3">
        <v>5.0355833830153802</v>
      </c>
    </row>
    <row r="100" spans="1:14" x14ac:dyDescent="0.35">
      <c r="A100" s="2">
        <v>44694</v>
      </c>
      <c r="B100" s="3">
        <v>3.2276249567122099</v>
      </c>
      <c r="C100" s="3">
        <v>4.7571815948933303</v>
      </c>
      <c r="D100" s="3">
        <v>3.1958902139129899</v>
      </c>
      <c r="E100" s="3">
        <v>3.8316432230392601</v>
      </c>
      <c r="F100" s="3">
        <v>2.6563663035910201</v>
      </c>
      <c r="G100" s="3">
        <v>2.9774686591534198</v>
      </c>
      <c r="H100" s="3">
        <v>4.1781477076384901</v>
      </c>
      <c r="I100" s="3">
        <v>0.91580547747909402</v>
      </c>
      <c r="J100" s="3">
        <v>1.6473665470015399</v>
      </c>
      <c r="K100" s="3">
        <v>3.2689526167564802</v>
      </c>
      <c r="L100" s="3">
        <v>2.5524512028091699</v>
      </c>
      <c r="M100" s="3">
        <v>3.4017116639965601</v>
      </c>
      <c r="N100" s="3">
        <v>5.1828956207796004</v>
      </c>
    </row>
    <row r="101" spans="1:14" x14ac:dyDescent="0.35">
      <c r="A101" s="2">
        <v>44726</v>
      </c>
      <c r="B101" s="3">
        <v>3.4350480686921498</v>
      </c>
      <c r="C101" s="3">
        <v>5.1596761641870703</v>
      </c>
      <c r="D101" s="3">
        <v>3.29893997276664</v>
      </c>
      <c r="E101" s="3">
        <v>4.0503220271748104</v>
      </c>
      <c r="F101" s="3">
        <v>2.6852243354445502</v>
      </c>
      <c r="G101" s="3">
        <v>3.2552538768819201</v>
      </c>
      <c r="H101" s="3">
        <v>4.3548175114448497</v>
      </c>
      <c r="I101" s="3">
        <v>1.01008484276833</v>
      </c>
      <c r="J101" s="3">
        <v>1.78863451900408</v>
      </c>
      <c r="K101" s="3">
        <v>3.5177194165973802</v>
      </c>
      <c r="L101" s="3">
        <v>3.5316044335428698</v>
      </c>
      <c r="M101" s="3">
        <v>3.5198293805805299</v>
      </c>
      <c r="N101" s="3">
        <v>5.7920807590430403</v>
      </c>
    </row>
    <row r="102" spans="1:14" x14ac:dyDescent="0.35">
      <c r="A102" s="2">
        <v>44756</v>
      </c>
      <c r="B102" s="3">
        <v>3.2874146221246998</v>
      </c>
      <c r="C102" s="3">
        <v>5.1964298443996402</v>
      </c>
      <c r="D102" s="3">
        <v>3.5445752792577299</v>
      </c>
      <c r="E102" s="3">
        <v>4.3170762236275104</v>
      </c>
      <c r="F102" s="3">
        <v>2.6762614066701702</v>
      </c>
      <c r="G102" s="3">
        <v>3.2086530853585198</v>
      </c>
      <c r="H102" s="3">
        <v>4.4782284538162296</v>
      </c>
      <c r="I102" s="3">
        <v>0.97936170918516396</v>
      </c>
      <c r="J102" s="3">
        <v>1.7754073646080499</v>
      </c>
      <c r="K102" s="3">
        <v>3.55547303107533</v>
      </c>
      <c r="L102" s="3">
        <v>3.4492251160368101</v>
      </c>
      <c r="M102" s="3">
        <v>3.7513858694261399</v>
      </c>
      <c r="N102" s="3">
        <v>6.1768491188099697</v>
      </c>
    </row>
    <row r="103" spans="1:14" x14ac:dyDescent="0.35">
      <c r="A103" s="2">
        <v>44785</v>
      </c>
      <c r="B103" s="3">
        <v>3.2048321336856</v>
      </c>
      <c r="C103" s="3">
        <v>4.7295192689785202</v>
      </c>
      <c r="D103" s="3">
        <v>3.2578597422834799</v>
      </c>
      <c r="E103" s="3">
        <v>3.9184403499056799</v>
      </c>
      <c r="F103" s="3">
        <v>2.5720347300413802</v>
      </c>
      <c r="G103" s="3">
        <v>3.0642991117194298</v>
      </c>
      <c r="H103" s="3">
        <v>4.1828571206379799</v>
      </c>
      <c r="I103" s="3">
        <v>0.85320076554120095</v>
      </c>
      <c r="J103" s="3">
        <v>1.5862395890968899</v>
      </c>
      <c r="K103" s="3">
        <v>3.2520215455573802</v>
      </c>
      <c r="L103" s="3">
        <v>3.0538014863976399</v>
      </c>
      <c r="M103" s="3">
        <v>3.4754481191589801</v>
      </c>
      <c r="N103" s="3">
        <v>5.5577689778392498</v>
      </c>
    </row>
    <row r="104" spans="1:14" x14ac:dyDescent="0.35">
      <c r="A104" s="2">
        <v>44818</v>
      </c>
      <c r="B104" s="3">
        <v>3.2203471090534599</v>
      </c>
      <c r="C104" s="3">
        <v>4.92440556538563</v>
      </c>
      <c r="D104" s="3">
        <v>3.3918530442225401</v>
      </c>
      <c r="E104" s="3">
        <v>4.1456773245387097</v>
      </c>
      <c r="F104" s="3">
        <v>2.62655965795628</v>
      </c>
      <c r="G104" s="3">
        <v>3.2292722850250701</v>
      </c>
      <c r="H104" s="3">
        <v>4.4452671278365496</v>
      </c>
      <c r="I104" s="3">
        <v>0.96166908946627905</v>
      </c>
      <c r="J104" s="3">
        <v>1.7352320752634001</v>
      </c>
      <c r="K104" s="3">
        <v>3.4726154480645</v>
      </c>
      <c r="L104" s="3">
        <v>3.6957124532516898</v>
      </c>
      <c r="M104" s="3">
        <v>3.6981339981153001</v>
      </c>
      <c r="N104" s="3">
        <v>5.5618688961781304</v>
      </c>
    </row>
    <row r="105" spans="1:14" x14ac:dyDescent="0.35">
      <c r="A105" s="2">
        <v>44848</v>
      </c>
      <c r="B105" s="3">
        <v>3.48236940927434</v>
      </c>
      <c r="C105" s="3">
        <v>5.0892871252807597</v>
      </c>
      <c r="D105" s="3">
        <v>3.6588970398637599</v>
      </c>
      <c r="E105" s="3">
        <v>4.36138687373826</v>
      </c>
      <c r="F105" s="3">
        <v>2.7270434288635301</v>
      </c>
      <c r="G105" s="3">
        <v>3.4284568495068499</v>
      </c>
      <c r="H105" s="3">
        <v>4.6895804815119204</v>
      </c>
      <c r="I105" s="3">
        <v>1.10144420986243</v>
      </c>
      <c r="J105" s="3">
        <v>1.91786159299005</v>
      </c>
      <c r="K105" s="3">
        <v>3.6834547844086698</v>
      </c>
      <c r="L105" s="3">
        <v>3.1576887905405799</v>
      </c>
      <c r="M105" s="3">
        <v>3.7759813790250401</v>
      </c>
      <c r="N105" s="3">
        <v>6.14511238023485</v>
      </c>
    </row>
    <row r="106" spans="1:14" x14ac:dyDescent="0.35">
      <c r="A106" s="2">
        <v>44879</v>
      </c>
      <c r="B106" s="3">
        <v>3.4143865298492999</v>
      </c>
      <c r="C106" s="3">
        <v>4.6210827611283802</v>
      </c>
      <c r="D106" s="3">
        <v>3.3521161037265101</v>
      </c>
      <c r="E106" s="3">
        <v>3.7826126081575802</v>
      </c>
      <c r="F106" s="3">
        <v>2.63129320982023</v>
      </c>
      <c r="G106" s="3">
        <v>3.12040804940768</v>
      </c>
      <c r="H106" s="3">
        <v>4.3447647426352001</v>
      </c>
      <c r="I106" s="3">
        <v>1.0151960502776001</v>
      </c>
      <c r="J106" s="3">
        <v>1.7482858345175101</v>
      </c>
      <c r="K106" s="3">
        <v>3.3143499717100098</v>
      </c>
      <c r="L106" s="3">
        <v>2.7024660564172298</v>
      </c>
      <c r="M106" s="3">
        <v>3.5488898997673699</v>
      </c>
      <c r="N106" s="3">
        <v>5.3979357716136498</v>
      </c>
    </row>
    <row r="107" spans="1:14" x14ac:dyDescent="0.35">
      <c r="A107" s="2">
        <v>44909</v>
      </c>
      <c r="B107" s="3">
        <v>3.4258073571849899</v>
      </c>
      <c r="C107" s="3">
        <v>4.4581921476609203</v>
      </c>
      <c r="D107" s="3">
        <v>3.3835270465463498</v>
      </c>
      <c r="E107" s="3">
        <v>3.72099657602678</v>
      </c>
      <c r="F107" s="3">
        <v>2.62432029631705</v>
      </c>
      <c r="G107" s="3">
        <v>3.0911269523030098</v>
      </c>
      <c r="H107" s="3">
        <v>4.20127145313295</v>
      </c>
      <c r="I107" s="3">
        <v>1.00711856247792</v>
      </c>
      <c r="J107" s="3">
        <v>1.7348065031278299</v>
      </c>
      <c r="K107" s="3">
        <v>3.2518251738567798</v>
      </c>
      <c r="L107" s="3">
        <v>2.6238861510412401</v>
      </c>
      <c r="M107" s="3">
        <v>3.5540406512929601</v>
      </c>
      <c r="N107" s="3">
        <v>5.71347175875822</v>
      </c>
    </row>
    <row r="108" spans="1:14" x14ac:dyDescent="0.35">
      <c r="A108" s="2">
        <v>44939</v>
      </c>
      <c r="B108" s="3">
        <v>3.3925091253044801</v>
      </c>
      <c r="C108" s="3">
        <v>4.3972463231239303</v>
      </c>
      <c r="D108" s="3">
        <v>3.3562682708428202</v>
      </c>
      <c r="E108" s="3">
        <v>3.5378201310830799</v>
      </c>
      <c r="F108" s="3">
        <v>2.7269880732584602</v>
      </c>
      <c r="G108" s="3">
        <v>3.0650610171052999</v>
      </c>
      <c r="H108" s="3">
        <v>4.0501535389533503</v>
      </c>
      <c r="I108" s="3">
        <v>0.98744415282731401</v>
      </c>
      <c r="J108" s="3">
        <v>1.73957406560789</v>
      </c>
      <c r="K108" s="3">
        <v>3.1180347622009101</v>
      </c>
      <c r="L108" s="3">
        <v>2.5713686236584201</v>
      </c>
      <c r="M108" s="3">
        <v>3.4916693433742299</v>
      </c>
      <c r="N108" s="3">
        <v>5.4310801736159204</v>
      </c>
    </row>
    <row r="109" spans="1:14" x14ac:dyDescent="0.35">
      <c r="A109" s="2">
        <v>44971</v>
      </c>
      <c r="B109" s="3">
        <v>3.3087979849797602</v>
      </c>
      <c r="C109" s="3">
        <v>4.2983356435295397</v>
      </c>
      <c r="D109" s="3">
        <v>3.25092965258033</v>
      </c>
      <c r="E109" s="3">
        <v>3.4710742149313498</v>
      </c>
      <c r="F109" s="3">
        <v>2.6011820641832499</v>
      </c>
      <c r="G109" s="3">
        <v>3.0598639295218102</v>
      </c>
      <c r="H109" s="3">
        <v>4.0512421890617798</v>
      </c>
      <c r="I109" s="3">
        <v>0.91675739518517396</v>
      </c>
      <c r="J109" s="3">
        <v>1.6926656039814301</v>
      </c>
      <c r="K109" s="3">
        <v>3.12978143362978</v>
      </c>
      <c r="L109" s="3">
        <v>2.5622374217859898</v>
      </c>
      <c r="M109" s="3">
        <v>3.51780761044248</v>
      </c>
      <c r="N109" s="3">
        <v>5.4035584087097899</v>
      </c>
    </row>
    <row r="110" spans="1:14" x14ac:dyDescent="0.35">
      <c r="A110" s="2">
        <v>44999</v>
      </c>
      <c r="B110" s="3">
        <v>3.5386990675273</v>
      </c>
      <c r="C110" s="3">
        <v>4.6599704690287602</v>
      </c>
      <c r="D110" s="3">
        <v>3.4371727108542802</v>
      </c>
      <c r="E110" s="3">
        <v>3.6035584293604401</v>
      </c>
      <c r="F110" s="3">
        <v>2.6778541193389702</v>
      </c>
      <c r="G110" s="3">
        <v>3.2473743307060499</v>
      </c>
      <c r="H110" s="3">
        <v>4.2664650313789503</v>
      </c>
      <c r="I110" s="3">
        <v>0.95138368526574002</v>
      </c>
      <c r="J110" s="3">
        <v>1.7949048715862099</v>
      </c>
      <c r="K110" s="3">
        <v>3.23559968806883</v>
      </c>
      <c r="L110" s="3">
        <v>2.7295140813468199</v>
      </c>
      <c r="M110" s="3">
        <v>3.6450011294950202</v>
      </c>
      <c r="N110" s="3">
        <v>5.4628454805694098</v>
      </c>
    </row>
    <row r="111" spans="1:14" x14ac:dyDescent="0.35">
      <c r="A111" s="2">
        <v>45030</v>
      </c>
      <c r="B111" s="3">
        <v>3.4201136493734601</v>
      </c>
      <c r="C111" s="3">
        <v>4.3608480151859501</v>
      </c>
      <c r="D111" s="3">
        <v>3.25402756607469</v>
      </c>
      <c r="E111" s="3">
        <v>3.5024725923876501</v>
      </c>
      <c r="F111" s="3">
        <v>2.6019292609667</v>
      </c>
      <c r="G111" s="3">
        <v>3.0970190272254201</v>
      </c>
      <c r="H111" s="3">
        <v>4.1392045403421802</v>
      </c>
      <c r="I111" s="3">
        <v>0.89063403431211197</v>
      </c>
      <c r="J111" s="3">
        <v>1.70731669918574</v>
      </c>
      <c r="K111" s="3">
        <v>3.0987411289892299</v>
      </c>
      <c r="L111" s="3">
        <v>2.6666799816401001</v>
      </c>
      <c r="M111" s="3">
        <v>3.6099668686065498</v>
      </c>
      <c r="N111" s="3">
        <v>5.2932149950037299</v>
      </c>
    </row>
    <row r="112" spans="1:14" x14ac:dyDescent="0.35">
      <c r="A112" s="2">
        <v>45058</v>
      </c>
      <c r="B112" s="3">
        <v>3.48642904628921</v>
      </c>
      <c r="C112" s="3">
        <v>4.4408045288340903</v>
      </c>
      <c r="D112" s="3">
        <v>3.2609623690370499</v>
      </c>
      <c r="E112" s="3">
        <v>3.5832590032582901</v>
      </c>
      <c r="F112" s="3">
        <v>2.5313796283526702</v>
      </c>
      <c r="G112" s="3">
        <v>3.0675376844250799</v>
      </c>
      <c r="H112" s="3">
        <v>4.2730978939924604</v>
      </c>
      <c r="I112" s="3">
        <v>0.85981103951870197</v>
      </c>
      <c r="J112" s="3">
        <v>1.7105600873422699</v>
      </c>
      <c r="K112" s="3">
        <v>3.1881714190724399</v>
      </c>
      <c r="L112" s="3">
        <v>2.7230529756398001</v>
      </c>
      <c r="M112" s="3">
        <v>3.73490842089338</v>
      </c>
      <c r="N112" s="3">
        <v>5.5097410894209604</v>
      </c>
    </row>
    <row r="113" spans="1:25" x14ac:dyDescent="0.35">
      <c r="A113" s="2">
        <v>45091</v>
      </c>
      <c r="B113" s="3">
        <v>3.48498948154801</v>
      </c>
      <c r="C113" s="3">
        <v>4.3654516923525497</v>
      </c>
      <c r="D113" s="3">
        <v>3.2937114819955502</v>
      </c>
      <c r="E113" s="3">
        <v>3.5664293349194498</v>
      </c>
      <c r="F113" s="3">
        <v>2.3094985760445499</v>
      </c>
      <c r="G113" s="3">
        <v>3.1613223085927298</v>
      </c>
      <c r="H113" s="3">
        <v>4.3479105231801798</v>
      </c>
      <c r="I113" s="3">
        <v>0.77109690982782797</v>
      </c>
      <c r="J113" s="3">
        <v>1.62509250264836</v>
      </c>
      <c r="K113" s="3">
        <v>3.2367631019771799</v>
      </c>
      <c r="L113" s="3">
        <v>2.6268806902658501</v>
      </c>
      <c r="M113" s="3">
        <v>3.6767878876753302</v>
      </c>
      <c r="N113" s="3">
        <v>5.3261197125952604</v>
      </c>
    </row>
    <row r="114" spans="1:25" x14ac:dyDescent="0.35">
      <c r="A114" s="2">
        <v>45121</v>
      </c>
      <c r="B114" s="3">
        <v>3.40357821711688</v>
      </c>
      <c r="C114" s="3">
        <v>4.1766672717399098</v>
      </c>
      <c r="D114" s="3">
        <v>3.2163677720981698</v>
      </c>
      <c r="E114" s="3">
        <v>3.65441437488633</v>
      </c>
      <c r="F114" s="3">
        <v>2.39711620346027</v>
      </c>
      <c r="G114" s="3">
        <v>3.1645315794334099</v>
      </c>
      <c r="H114" s="3">
        <v>4.3963499957914003</v>
      </c>
      <c r="I114" s="3">
        <v>0.74715581047507695</v>
      </c>
      <c r="J114" s="3">
        <v>1.58003001650873</v>
      </c>
      <c r="K114" s="3">
        <v>3.2448658295240498</v>
      </c>
      <c r="L114" s="3">
        <v>2.64357432006096</v>
      </c>
      <c r="M114" s="3">
        <v>3.7741078928863301</v>
      </c>
      <c r="N114" s="3">
        <v>5.2476449846292299</v>
      </c>
    </row>
    <row r="115" spans="1:25" x14ac:dyDescent="0.35">
      <c r="A115" s="2">
        <v>45152</v>
      </c>
      <c r="B115" s="3">
        <v>3.4505662272225002</v>
      </c>
      <c r="C115" s="3">
        <v>4.22472624477333</v>
      </c>
      <c r="D115" s="3">
        <v>3.4430166456650602</v>
      </c>
      <c r="E115" s="3">
        <v>3.70808450391071</v>
      </c>
      <c r="F115" s="3">
        <v>2.3890283818238598</v>
      </c>
      <c r="G115" s="3">
        <v>3.2116057247848602</v>
      </c>
      <c r="H115" s="3">
        <v>4.4506218040016501</v>
      </c>
      <c r="I115" s="3">
        <v>0.88798893131615797</v>
      </c>
      <c r="J115" s="3">
        <v>1.5976528176988101</v>
      </c>
      <c r="K115" s="3">
        <v>3.3017284047684901</v>
      </c>
      <c r="L115" s="3">
        <v>2.7685292048890799</v>
      </c>
      <c r="M115" s="3">
        <v>3.8913965646277902</v>
      </c>
      <c r="N115" s="3">
        <v>5.5382282150547804</v>
      </c>
    </row>
    <row r="116" spans="1:25" x14ac:dyDescent="0.35">
      <c r="A116" s="2">
        <v>45183</v>
      </c>
      <c r="B116" s="3">
        <v>3.4358014871788098</v>
      </c>
      <c r="C116" s="3">
        <v>4.2067817098151501</v>
      </c>
      <c r="D116" s="3">
        <v>3.4501060332464601</v>
      </c>
      <c r="E116" s="3">
        <v>3.7381436487434501</v>
      </c>
      <c r="F116" s="3">
        <v>2.2868673106929398</v>
      </c>
      <c r="G116" s="3">
        <v>3.2716990501066299</v>
      </c>
      <c r="H116" s="3">
        <v>4.40898735100376</v>
      </c>
      <c r="I116" s="3">
        <v>0.87637968076520101</v>
      </c>
      <c r="J116" s="3">
        <v>1.5991302386019499</v>
      </c>
      <c r="K116" s="3">
        <v>3.3369507942245402</v>
      </c>
      <c r="L116" s="3">
        <v>2.9572606957474199</v>
      </c>
      <c r="M116" s="3">
        <v>3.95590916663097</v>
      </c>
      <c r="N116" s="3">
        <v>5.3934343094296997</v>
      </c>
    </row>
    <row r="117" spans="1:25" x14ac:dyDescent="0.35">
      <c r="A117" s="2">
        <v>45212</v>
      </c>
      <c r="B117" s="3">
        <v>3.4487987563606</v>
      </c>
      <c r="C117" s="3">
        <v>4.3705118968663799</v>
      </c>
      <c r="D117" s="3">
        <v>3.65759204178765</v>
      </c>
      <c r="E117" s="3">
        <v>3.91213572436178</v>
      </c>
      <c r="F117" s="3">
        <v>2.3953762221636401</v>
      </c>
      <c r="G117" s="3">
        <v>3.3674155123415201</v>
      </c>
      <c r="H117" s="3">
        <v>4.4834614041416696</v>
      </c>
      <c r="I117" s="3">
        <v>0.93142683734147902</v>
      </c>
      <c r="J117" s="3">
        <v>1.6786439325771401</v>
      </c>
      <c r="K117" s="3">
        <v>3.49328278800912</v>
      </c>
      <c r="L117" s="3">
        <v>3.0424413200038001</v>
      </c>
      <c r="M117" s="3">
        <v>3.7571582839358499</v>
      </c>
      <c r="N117" s="3">
        <v>5.5787554659449103</v>
      </c>
    </row>
    <row r="118" spans="1:25" x14ac:dyDescent="0.35">
      <c r="A118" s="2">
        <v>45244</v>
      </c>
      <c r="B118" s="3">
        <v>3.45415241187494</v>
      </c>
      <c r="C118" s="3">
        <v>4.3627379501629502</v>
      </c>
      <c r="D118" s="3">
        <v>3.53227082067162</v>
      </c>
      <c r="E118" s="3">
        <v>3.7829155739298299</v>
      </c>
      <c r="F118" s="3">
        <v>2.3919755164768999</v>
      </c>
      <c r="G118" s="3">
        <v>3.4218874923155198</v>
      </c>
      <c r="H118" s="3">
        <v>4.5320452166258898</v>
      </c>
      <c r="I118" s="3">
        <v>0.894405004601038</v>
      </c>
      <c r="J118" s="3">
        <v>1.62121721033635</v>
      </c>
      <c r="K118" s="3">
        <v>3.38854069540763</v>
      </c>
      <c r="L118" s="3">
        <v>2.83669622296095</v>
      </c>
      <c r="M118" s="3">
        <v>3.7555914448217398</v>
      </c>
      <c r="N118" s="3">
        <v>5.4984165157030196</v>
      </c>
    </row>
    <row r="119" spans="1:25" x14ac:dyDescent="0.35">
      <c r="A119" s="2">
        <v>45274</v>
      </c>
      <c r="B119" s="3">
        <v>3.00258023045272</v>
      </c>
      <c r="C119" s="3">
        <v>4.1213937825820803</v>
      </c>
      <c r="D119" s="3">
        <v>3.3937992112503701</v>
      </c>
      <c r="E119" s="3">
        <v>3.5381665227084702</v>
      </c>
      <c r="F119" s="3">
        <v>2.4657534819898501</v>
      </c>
      <c r="G119" s="3">
        <v>3.27668543021211</v>
      </c>
      <c r="H119" s="3">
        <v>4.3028235605906904</v>
      </c>
      <c r="I119" s="3">
        <v>0.86670174583903603</v>
      </c>
      <c r="J119" s="3">
        <v>1.5505054724712699</v>
      </c>
      <c r="K119" s="3">
        <v>3.2178895192116799</v>
      </c>
      <c r="L119" s="3">
        <v>2.6613022715342001</v>
      </c>
      <c r="M119" s="3">
        <v>2.9705788776639901</v>
      </c>
      <c r="N119" s="3">
        <v>5.4615358387006703</v>
      </c>
    </row>
    <row r="120" spans="1:25" x14ac:dyDescent="0.35">
      <c r="A120" s="2">
        <v>45303</v>
      </c>
      <c r="B120" s="3">
        <v>2.9703014929786602</v>
      </c>
      <c r="C120" s="3">
        <v>4.0480863705386696</v>
      </c>
      <c r="D120" s="3">
        <v>3.35206216040865</v>
      </c>
      <c r="E120" s="3">
        <v>3.5980721565426799</v>
      </c>
      <c r="F120" s="3">
        <v>2.2969671751907699</v>
      </c>
      <c r="G120" s="3">
        <v>3.2755176429322401</v>
      </c>
      <c r="H120" s="3">
        <v>4.3231710556327902</v>
      </c>
      <c r="I120" s="3">
        <v>0.91481629129060904</v>
      </c>
      <c r="J120" s="3">
        <v>1.5416381615933801</v>
      </c>
      <c r="K120" s="3">
        <v>3.2632506773947898</v>
      </c>
      <c r="L120" s="3">
        <v>2.7190191619527702</v>
      </c>
      <c r="M120" s="3">
        <v>2.9934500304708802</v>
      </c>
      <c r="N120" s="3">
        <v>5.4126884883757702</v>
      </c>
    </row>
    <row r="121" spans="1:25" x14ac:dyDescent="0.35">
      <c r="A121" s="2">
        <v>45336</v>
      </c>
      <c r="B121" s="3">
        <v>2.9329422632269999</v>
      </c>
      <c r="C121" s="3">
        <v>4.05078541004921</v>
      </c>
      <c r="D121" s="3">
        <v>3.3468410779758999</v>
      </c>
      <c r="E121" s="3">
        <v>3.5316255281276998</v>
      </c>
      <c r="F121" s="3">
        <v>2.25730806466937</v>
      </c>
      <c r="G121" s="3">
        <v>3.3710408486523602</v>
      </c>
      <c r="H121" s="3">
        <v>4.3217433258299103</v>
      </c>
      <c r="I121" s="3">
        <v>0.88797602955740196</v>
      </c>
      <c r="J121" s="3">
        <v>1.49709228544548</v>
      </c>
      <c r="K121" s="3">
        <v>3.19511867719556</v>
      </c>
      <c r="L121" s="3">
        <v>2.4942385457562599</v>
      </c>
      <c r="M121" s="3">
        <v>3.38885876016221</v>
      </c>
      <c r="N121" s="3">
        <v>5.4918807642183598</v>
      </c>
    </row>
    <row r="122" spans="1:25" x14ac:dyDescent="0.35">
      <c r="A122" s="2">
        <v>45364</v>
      </c>
      <c r="B122" s="3">
        <v>2.7700941321000898</v>
      </c>
      <c r="C122" s="3">
        <v>3.9632821796779099</v>
      </c>
      <c r="D122" s="3">
        <v>3.1344405332659502</v>
      </c>
      <c r="E122" s="3">
        <v>3.2991348567502299</v>
      </c>
      <c r="F122" s="3">
        <v>2.2333591133233601</v>
      </c>
      <c r="G122" s="3">
        <v>3.2188114977845999</v>
      </c>
      <c r="H122" s="3">
        <v>4.1144916583531996</v>
      </c>
      <c r="I122" s="3">
        <v>0.88617193045579501</v>
      </c>
      <c r="J122" s="3">
        <v>1.45974206692317</v>
      </c>
      <c r="K122" s="3">
        <v>3.0612595043707702</v>
      </c>
      <c r="L122" s="3">
        <v>2.5771649221021602</v>
      </c>
      <c r="M122" s="3">
        <v>3.1840074488807999</v>
      </c>
      <c r="N122" s="3">
        <v>5.1458897399820902</v>
      </c>
    </row>
    <row r="125" spans="1:25" x14ac:dyDescent="0.35">
      <c r="A125" s="2" t="s">
        <v>95</v>
      </c>
      <c r="B125" s="3" cm="1">
        <f t="array" ref="B125">MIN(_xlfn._xlws.FILTER(B1:B122, ISNUMBER(B1:B122)))</f>
        <v>2.3210157475483499</v>
      </c>
      <c r="C125" s="3" cm="1">
        <f t="array" ref="C125">MIN(_xlfn._xlws.FILTER(C1:C122, ISNUMBER(C1:C122)))</f>
        <v>3.33913985231138</v>
      </c>
      <c r="D125" s="3" cm="1">
        <f t="array" ref="D125">MIN(_xlfn._xlws.FILTER(D1:D122, ISNUMBER(D1:D122)))</f>
        <v>2.56642887032891</v>
      </c>
      <c r="E125" s="3" cm="1">
        <f t="array" ref="E125">MIN(_xlfn._xlws.FILTER(E1:E122, ISNUMBER(E1:E122)))</f>
        <v>2.6404502342670502</v>
      </c>
      <c r="F125" s="3" cm="1">
        <f t="array" ref="F125">MIN(_xlfn._xlws.FILTER(F1:F122, ISNUMBER(F1:F122)))</f>
        <v>1.84293804629947</v>
      </c>
      <c r="G125" s="3" cm="1">
        <f t="array" ref="G125">MIN(_xlfn._xlws.FILTER(G1:G122, ISNUMBER(G1:G122)))</f>
        <v>2.54745794168173</v>
      </c>
      <c r="H125" s="3" cm="1">
        <f t="array" ref="H125">MIN(_xlfn._xlws.FILTER(H1:H122, ISNUMBER(H1:H122)))</f>
        <v>3.8096702473978201</v>
      </c>
      <c r="I125" s="3" cm="1">
        <f t="array" ref="I125">MIN(_xlfn._xlws.FILTER(I1:I122, ISNUMBER(I1:I122)))</f>
        <v>0.66544005352601998</v>
      </c>
      <c r="J125" s="3" cm="1">
        <f t="array" ref="J125">MIN(_xlfn._xlws.FILTER(J1:J122, ISNUMBER(J1:J122)))</f>
        <v>1.36993187404431</v>
      </c>
      <c r="K125" s="3" cm="1">
        <f t="array" ref="K125">MIN(_xlfn._xlws.FILTER(K1:K122, ISNUMBER(K1:K122)))</f>
        <v>2.6356232368802899</v>
      </c>
      <c r="L125" s="3" cm="1">
        <f t="array" ref="L125">MIN(_xlfn._xlws.FILTER(L1:L122, ISNUMBER(L1:L122)))</f>
        <v>1.84101149114632</v>
      </c>
      <c r="M125" s="3" cm="1">
        <f t="array" ref="M125">MIN(_xlfn._xlws.FILTER(M1:M122, ISNUMBER(M1:M122)))</f>
        <v>2.6447088863618902</v>
      </c>
      <c r="N125" s="3" cm="1">
        <f t="array" ref="N125">MIN(_xlfn._xlws.FILTER(N1:N122, ISNUMBER(N1:N122)))</f>
        <v>3.0957522215383602</v>
      </c>
    </row>
    <row r="126" spans="1:25" x14ac:dyDescent="0.35">
      <c r="A126" s="2" t="s">
        <v>96</v>
      </c>
      <c r="B126" s="3" cm="1">
        <f t="array" ref="B126">MAX(_xlfn._xlws.FILTER(B1:B122, ISNUMBER(B1:B122)))</f>
        <v>5.1675529709900703</v>
      </c>
      <c r="C126" s="3" cm="1">
        <f t="array" ref="C126">MAX(_xlfn._xlws.FILTER(C1:C122, ISNUMBER(C1:C122)))</f>
        <v>5.5387017908349101</v>
      </c>
      <c r="D126" s="3" cm="1">
        <f t="array" ref="D126">MAX(_xlfn._xlws.FILTER(D1:D122, ISNUMBER(D1:D122)))</f>
        <v>4.2041531545858897</v>
      </c>
      <c r="E126" s="3" cm="1">
        <f t="array" ref="E126">MAX(_xlfn._xlws.FILTER(E1:E122, ISNUMBER(E1:E122)))</f>
        <v>4.4465420924241501</v>
      </c>
      <c r="F126" s="3" cm="1">
        <f t="array" ref="F126">MAX(_xlfn._xlws.FILTER(F1:F122, ISNUMBER(F1:F122)))</f>
        <v>3.29129245237948</v>
      </c>
      <c r="G126" s="3" cm="1">
        <f t="array" ref="G126">MAX(_xlfn._xlws.FILTER(G1:G122, ISNUMBER(G1:G122)))</f>
        <v>3.86368065777976</v>
      </c>
      <c r="H126" s="3" cm="1">
        <f t="array" ref="H126">MAX(_xlfn._xlws.FILTER(H1:H122, ISNUMBER(H1:H122)))</f>
        <v>6.6482030641349299</v>
      </c>
      <c r="I126" s="3" cm="1">
        <f t="array" ref="I126">MAX(_xlfn._xlws.FILTER(I1:I122, ISNUMBER(I1:I122)))</f>
        <v>1.4698693982285</v>
      </c>
      <c r="J126" s="3" cm="1">
        <f t="array" ref="J126">MAX(_xlfn._xlws.FILTER(J1:J122, ISNUMBER(J1:J122)))</f>
        <v>2.4751977345461702</v>
      </c>
      <c r="K126" s="3" cm="1">
        <f t="array" ref="K126">MAX(_xlfn._xlws.FILTER(K1:K122, ISNUMBER(K1:K122)))</f>
        <v>4.7649003094050899</v>
      </c>
      <c r="L126" s="3" cm="1">
        <f t="array" ref="L126">MAX(_xlfn._xlws.FILTER(L1:L122, ISNUMBER(L1:L122)))</f>
        <v>3.6957124532516898</v>
      </c>
      <c r="M126" s="3" cm="1">
        <f t="array" ref="M126">MAX(_xlfn._xlws.FILTER(M1:M122, ISNUMBER(M1:M122)))</f>
        <v>4.7030290196464604</v>
      </c>
      <c r="N126" s="3" cm="1">
        <f t="array" ref="N126">MAX(_xlfn._xlws.FILTER(N1:N122, ISNUMBER(N1:N122)))</f>
        <v>6.8262728768737304</v>
      </c>
    </row>
    <row r="128" spans="1:25" x14ac:dyDescent="0.35">
      <c r="A128" s="2" t="s">
        <v>97</v>
      </c>
      <c r="B128" s="9" cm="1">
        <f t="array" ref="B128">_xlfn.PERCENTRANK.EXC(_xlfn._xlws.FILTER(B1:B122, ISNUMBER(B1:B122)),B122)</f>
        <v>0.17199999999999999</v>
      </c>
      <c r="C128" s="9" cm="1">
        <f t="array" ref="C128">_xlfn.PERCENTRANK.EXC(_xlfn._xlws.FILTER(C1:C122, ISNUMBER(C1:C122)),C122)</f>
        <v>0.14699999999999999</v>
      </c>
      <c r="D128" s="9" cm="1">
        <f t="array" ref="D128">_xlfn.PERCENTRANK.EXC(_xlfn._xlws.FILTER(D1:D122, ISNUMBER(D1:D122)),D122)</f>
        <v>0.50800000000000001</v>
      </c>
      <c r="E128" s="9" cm="1">
        <f t="array" ref="E128">_xlfn.PERCENTRANK.EXC(_xlfn._xlws.FILTER(E1:E122, ISNUMBER(E1:E122)),E122)</f>
        <v>0.58099999999999996</v>
      </c>
      <c r="F128" s="9" cm="1">
        <f t="array" ref="F128">_xlfn.PERCENTRANK.EXC(_xlfn._xlws.FILTER(F1:F122, ISNUMBER(F1:F122)),F122)</f>
        <v>0.39300000000000002</v>
      </c>
      <c r="G128" s="9" cm="1">
        <f t="array" ref="G128">_xlfn.PERCENTRANK.EXC(_xlfn._xlws.FILTER(G1:G122, ISNUMBER(G1:G122)),G122)</f>
        <v>0.40100000000000002</v>
      </c>
      <c r="H128" s="9" cm="1">
        <f t="array" ref="H128">_xlfn.PERCENTRANK.EXC(_xlfn._xlws.FILTER(H1:H122, ISNUMBER(H1:H122)),H122)</f>
        <v>0.29499999999999998</v>
      </c>
      <c r="I128" s="9" cm="1">
        <f t="array" ref="I128">_xlfn.PERCENTRANK.EXC(_xlfn._xlws.FILTER(I1:I122, ISNUMBER(I1:I122)),I122)</f>
        <v>0.23699999999999999</v>
      </c>
      <c r="J128" s="9" cm="1">
        <f t="array" ref="J128">_xlfn.PERCENTRANK.EXC(_xlfn._xlws.FILTER(J1:J122, ISNUMBER(J1:J122)),J122)</f>
        <v>7.2999999999999995E-2</v>
      </c>
      <c r="K128" s="9" cm="1">
        <f t="array" ref="K128">_xlfn.PERCENTRANK.EXC(_xlfn._xlws.FILTER(K1:K122, ISNUMBER(K1:K122)),K122)</f>
        <v>0.13900000000000001</v>
      </c>
      <c r="L128" s="9" cm="1">
        <f t="array" ref="L128">_xlfn.PERCENTRANK.EXC(_xlfn._xlws.FILTER(L1:L122, ISNUMBER(L1:L122)),L122)</f>
        <v>0.23699999999999999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0.754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6328125" bestFit="1" customWidth="1"/>
  </cols>
  <sheetData>
    <row r="1" spans="1:26" x14ac:dyDescent="0.35">
      <c r="B1" s="3" t="s">
        <v>435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26" x14ac:dyDescent="0.35">
      <c r="A2" s="2" cm="1">
        <f t="array" ref="A2:A122">_xll.FDS(B1,"JULIAN(FG_TOTAL_RETURNC(-10AY,0,AM).dates)")</f>
        <v>41712</v>
      </c>
      <c r="B2" s="33" cm="1">
        <f t="array" ref="B2:B122">_xll.FDS(B1,"FG_TOTAL_RETURNC(-10AY,0,AM)")/100</f>
        <v>5.659902E-2</v>
      </c>
      <c r="C2" s="33" cm="1">
        <f t="array" ref="C2:C122">_xll.FDS(C1,"FG_TOTAL_RETURNC(-10AY,0,AM)")/100</f>
        <v>-6.4335465000000007E-3</v>
      </c>
      <c r="D2" s="33" cm="1">
        <f t="array" ref="D2:D122">_xll.FDS(D1,"FG_TOTAL_RETURNC(-10AY,0,AM)")/100</f>
        <v>2.4087429E-3</v>
      </c>
      <c r="E2" s="33" cm="1">
        <f t="array" ref="E2:E122">_xll.FDS(E1,"FG_TOTAL_RETURNC(-10AY,0,AM)")/100</f>
        <v>-5.1314535000000001E-2</v>
      </c>
      <c r="F2" s="33" cm="1">
        <f t="array" ref="F2:F122">_xll.FDS(F1,"FG_TOTAL_RETURNC(-10AY,0,AM)")/100</f>
        <v>-2.9877007000000001E-2</v>
      </c>
      <c r="G2" s="33" cm="1">
        <f t="array" ref="G2:G122">_xll.FDS(G1,"FG_TOTAL_RETURNC(-10AY,0,AM)")/100</f>
        <v>-8.3407163999999999E-3</v>
      </c>
      <c r="H2" s="33" cm="1">
        <f t="array" ref="H2:H122">_xll.FDS(H1,"FG_TOTAL_RETURNC(-10AY,0,AM)")/100</f>
        <v>-2.7857840000000002E-2</v>
      </c>
      <c r="I2" s="33" cm="1">
        <f t="array" ref="I2:I122">_xll.FDS(I1,"FG_TOTAL_RETURNC(-10AY,0,AM)")/100</f>
        <v>-8.6200832999999994E-3</v>
      </c>
      <c r="J2" s="33" cm="1">
        <f t="array" ref="J2:J122">_xll.FDS(J1,"FG_TOTAL_RETURNC(-10AY,0,AM)")/100</f>
        <v>3.4779310000000001E-3</v>
      </c>
      <c r="K2" s="33" cm="1">
        <f t="array" ref="K2:K122">_xll.FDS(K1,"FG_TOTAL_RETURNC(-10AY,0,AM)")/100</f>
        <v>-1.1921464999999999E-2</v>
      </c>
      <c r="L2" s="33" cm="1">
        <f t="array" ref="L2:L122">_xll.FDS(L1,"FG_TOTAL_RETURNC(-10AY,0,AM)")/100</f>
        <v>-2.4609386999999996E-2</v>
      </c>
      <c r="M2" s="33" cm="1">
        <f t="array" ref="M2:M122">_xll.FDS(M1,"FG_TOTAL_RETURNC(-10AY,0,AM)")/100</f>
        <v>-4.7605037999999995E-3</v>
      </c>
      <c r="N2" s="33" cm="1">
        <f t="array" ref="N2:N122">_xll.FDS(N1,"FG_TOTAL_RETURNC(-10AY,0,AM)")/100</f>
        <v>4.8105716999999994E-3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35">
      <c r="A3" s="2">
        <v>41743</v>
      </c>
      <c r="B3" s="33">
        <v>1.7055035E-2</v>
      </c>
      <c r="C3" s="33">
        <v>6.1918259999999996E-2</v>
      </c>
      <c r="D3" s="33">
        <v>1.7850995000000001E-2</v>
      </c>
      <c r="E3" s="33">
        <v>2.3372293000000002E-2</v>
      </c>
      <c r="F3" s="33">
        <v>-8.152187E-3</v>
      </c>
      <c r="G3" s="33">
        <v>2.7035117000000001E-2</v>
      </c>
      <c r="H3" s="33">
        <v>1.6798377E-2</v>
      </c>
      <c r="I3" s="33">
        <v>-4.1769860000000006E-2</v>
      </c>
      <c r="J3" s="33">
        <v>-4.9265622999999995E-3</v>
      </c>
      <c r="K3" s="33">
        <v>3.4421563000000002E-2</v>
      </c>
      <c r="L3" s="33">
        <v>1.8021703E-2</v>
      </c>
      <c r="M3" s="33">
        <v>1.2099028000000001E-2</v>
      </c>
      <c r="N3" s="33">
        <v>4.9072503999999996E-2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35">
      <c r="A4" s="2">
        <v>41773</v>
      </c>
      <c r="B4" s="33">
        <v>2.6688694999999998E-2</v>
      </c>
      <c r="C4" s="33">
        <v>1.8292665E-2</v>
      </c>
      <c r="D4" s="33">
        <v>3.575039E-2</v>
      </c>
      <c r="E4" s="33">
        <v>3.1973839000000004E-2</v>
      </c>
      <c r="F4" s="33">
        <v>2.6484013000000001E-2</v>
      </c>
      <c r="G4" s="33">
        <v>2.7200937000000001E-2</v>
      </c>
      <c r="H4" s="33">
        <v>5.7823180000000002E-2</v>
      </c>
      <c r="I4" s="33">
        <v>3.6097765000000004E-2</v>
      </c>
      <c r="J4" s="33">
        <v>3.3452988000000003E-2</v>
      </c>
      <c r="K4" s="33">
        <v>2.8816462000000001E-2</v>
      </c>
      <c r="L4" s="33">
        <v>9.4413759999999996E-3</v>
      </c>
      <c r="M4" s="33">
        <v>2.8357030000000002E-2</v>
      </c>
      <c r="N4" s="33">
        <v>-2.1677195999999999E-2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35">
      <c r="A5" s="2">
        <v>41803</v>
      </c>
      <c r="B5" s="33">
        <v>-1.5182853000000001E-2</v>
      </c>
      <c r="C5" s="33">
        <v>-9.7305775000000004E-3</v>
      </c>
      <c r="D5" s="33">
        <v>2.637577E-2</v>
      </c>
      <c r="E5" s="33">
        <v>4.7423839999999997E-3</v>
      </c>
      <c r="F5" s="33">
        <v>5.2491070000000001E-2</v>
      </c>
      <c r="G5" s="33">
        <v>-5.6948065999999995E-3</v>
      </c>
      <c r="H5" s="33">
        <v>4.5931340000000001E-4</v>
      </c>
      <c r="I5" s="33">
        <v>5.1121473000000001E-2</v>
      </c>
      <c r="J5" s="33">
        <v>2.6816963999999999E-2</v>
      </c>
      <c r="K5" s="33">
        <v>3.3344030000000001E-3</v>
      </c>
      <c r="L5" s="33">
        <v>1.4809132000000001E-2</v>
      </c>
      <c r="M5" s="33">
        <v>-4.5958756999999999E-3</v>
      </c>
      <c r="N5" s="33">
        <v>4.7230243999999998E-2</v>
      </c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35">
      <c r="A6" s="2">
        <v>41834</v>
      </c>
      <c r="B6" s="33">
        <v>5.7703256999999996E-3</v>
      </c>
      <c r="C6" s="33">
        <v>2.3114800000000001E-2</v>
      </c>
      <c r="D6" s="33">
        <v>2.9790998000000003E-2</v>
      </c>
      <c r="E6" s="33">
        <v>-8.7180733999999999E-3</v>
      </c>
      <c r="F6" s="33">
        <v>2.8121470999999999E-2</v>
      </c>
      <c r="G6" s="33">
        <v>1.4498234E-3</v>
      </c>
      <c r="H6" s="33">
        <v>1.9752979999999999E-3</v>
      </c>
      <c r="I6" s="33">
        <v>4.0915727999999998E-2</v>
      </c>
      <c r="J6" s="33">
        <v>2.2740482999999999E-2</v>
      </c>
      <c r="K6" s="33">
        <v>-3.4709631999999997E-2</v>
      </c>
      <c r="L6" s="33">
        <v>-2.5031745000000001E-2</v>
      </c>
      <c r="M6" s="33">
        <v>-2.8358698000000002E-2</v>
      </c>
      <c r="N6" s="33">
        <v>-5.2049820000000004E-2</v>
      </c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35">
      <c r="A7" s="2">
        <v>41865</v>
      </c>
      <c r="B7" s="33">
        <v>-4.6329317000000002E-2</v>
      </c>
      <c r="C7" s="33">
        <v>-1.4998316999999999E-3</v>
      </c>
      <c r="D7" s="33">
        <v>-5.8970450000000001E-3</v>
      </c>
      <c r="E7" s="33">
        <v>-6.8976639999999992E-2</v>
      </c>
      <c r="F7" s="33">
        <v>-1.0761619E-2</v>
      </c>
      <c r="G7" s="33">
        <v>-2.9106437999999998E-2</v>
      </c>
      <c r="H7" s="33">
        <v>-2.7403831E-2</v>
      </c>
      <c r="I7" s="33">
        <v>1.1373162000000001E-2</v>
      </c>
      <c r="J7" s="33">
        <v>-9.3117950000000012E-3</v>
      </c>
      <c r="K7" s="33">
        <v>-5.0615129999999994E-2</v>
      </c>
      <c r="L7" s="33">
        <v>-4.2117953000000007E-2</v>
      </c>
      <c r="M7" s="33">
        <v>-2.4151802E-2</v>
      </c>
      <c r="N7" s="33">
        <v>-7.9213859999999997E-2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35">
      <c r="A8" s="2">
        <v>41894</v>
      </c>
      <c r="B8" s="33">
        <v>-9.9650620000000002E-3</v>
      </c>
      <c r="C8" s="33">
        <v>-2.7037143999999999E-2</v>
      </c>
      <c r="D8" s="33">
        <v>4.6831370000000004E-3</v>
      </c>
      <c r="E8" s="33">
        <v>7.304311E-3</v>
      </c>
      <c r="F8" s="33">
        <v>-1.3389109999999999E-2</v>
      </c>
      <c r="G8" s="33">
        <v>3.3142567E-3</v>
      </c>
      <c r="H8" s="33">
        <v>-9.886265E-3</v>
      </c>
      <c r="I8" s="33">
        <v>2.6307702000000002E-2</v>
      </c>
      <c r="J8" s="33">
        <v>1.7215014000000001E-2</v>
      </c>
      <c r="K8" s="33">
        <v>1.8511652999999999E-2</v>
      </c>
      <c r="L8" s="33">
        <v>3.1406998999999998E-2</v>
      </c>
      <c r="M8" s="33">
        <v>-1.9446075E-2</v>
      </c>
      <c r="N8" s="33">
        <v>4.5278070000000004E-2</v>
      </c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35">
      <c r="A9" s="2">
        <v>41926</v>
      </c>
      <c r="B9" s="33">
        <v>-4.8314095000000001E-2</v>
      </c>
      <c r="C9" s="33">
        <v>-9.2628299999999997E-2</v>
      </c>
      <c r="D9" s="33">
        <v>-0.11280303999999999</v>
      </c>
      <c r="E9" s="33">
        <v>-0.10669881000000001</v>
      </c>
      <c r="F9" s="33">
        <v>-6.7854109999999995E-2</v>
      </c>
      <c r="G9" s="33">
        <v>-8.1081029999999998E-2</v>
      </c>
      <c r="H9" s="33">
        <v>-8.3374919999999991E-2</v>
      </c>
      <c r="I9" s="33">
        <v>-6.3217460000000003E-2</v>
      </c>
      <c r="J9" s="33">
        <v>-5.2988769999999998E-2</v>
      </c>
      <c r="K9" s="33">
        <v>-0.10287165999999999</v>
      </c>
      <c r="L9" s="33">
        <v>-7.7953696000000003E-2</v>
      </c>
      <c r="M9" s="33">
        <v>-8.1129789999999993E-2</v>
      </c>
      <c r="N9" s="33">
        <v>-0.11138617999999999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35">
      <c r="A10" s="2">
        <v>41957</v>
      </c>
      <c r="B10" s="33">
        <v>8.8048699999999994E-2</v>
      </c>
      <c r="C10" s="33">
        <v>6.2526583999999996E-2</v>
      </c>
      <c r="D10" s="33">
        <v>6.1996460000000003E-2</v>
      </c>
      <c r="E10" s="33">
        <v>4.0587543999999996E-2</v>
      </c>
      <c r="F10" s="33">
        <v>7.0973635000000007E-2</v>
      </c>
      <c r="G10" s="33">
        <v>6.6012979999999999E-2</v>
      </c>
      <c r="H10" s="33">
        <v>3.1590462E-2</v>
      </c>
      <c r="I10" s="33">
        <v>0.11025059000000001</v>
      </c>
      <c r="J10" s="33">
        <v>8.8119390000000006E-2</v>
      </c>
      <c r="K10" s="33">
        <v>2.6742340000000003E-2</v>
      </c>
      <c r="L10" s="33">
        <v>5.7243586000000006E-2</v>
      </c>
      <c r="M10" s="33">
        <v>7.1942450000000005E-2</v>
      </c>
      <c r="N10" s="33">
        <v>-6.2673690000000001E-3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35">
      <c r="A11" s="2">
        <v>41985</v>
      </c>
      <c r="B11" s="33">
        <v>-1.9927083999999998E-2</v>
      </c>
      <c r="C11" s="33">
        <v>-0.11008805000000001</v>
      </c>
      <c r="D11" s="33">
        <v>-9.6306089999999997E-2</v>
      </c>
      <c r="E11" s="33">
        <v>2.6745914999999999E-2</v>
      </c>
      <c r="F11" s="33">
        <v>-3.4834385000000002E-2</v>
      </c>
      <c r="G11" s="33">
        <v>-1.7473936000000002E-2</v>
      </c>
      <c r="H11" s="33">
        <v>-6.0718059999999997E-2</v>
      </c>
      <c r="I11" s="33">
        <v>-5.3284763999999997E-3</v>
      </c>
      <c r="J11" s="33">
        <v>-1.6402303999999999E-2</v>
      </c>
      <c r="K11" s="33">
        <v>-2.801901E-2</v>
      </c>
      <c r="L11" s="33">
        <v>-5.4144263000000005E-3</v>
      </c>
      <c r="M11" s="33">
        <v>-1.8608928E-2</v>
      </c>
      <c r="N11" s="33">
        <v>-3.7140906000000001E-2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35">
      <c r="A12" s="2">
        <v>42018</v>
      </c>
      <c r="B12" s="33">
        <v>2.7032852E-2</v>
      </c>
      <c r="C12" s="33">
        <v>1.9025206999999999E-2</v>
      </c>
      <c r="D12" s="33">
        <v>-4.320979E-3</v>
      </c>
      <c r="E12" s="33">
        <v>-1.9536853E-2</v>
      </c>
      <c r="F12" s="33">
        <v>-1.1824489000000001E-2</v>
      </c>
      <c r="G12" s="33">
        <v>-9.9843740000000007E-3</v>
      </c>
      <c r="H12" s="33">
        <v>-2.0443797000000001E-3</v>
      </c>
      <c r="I12" s="33">
        <v>-1.3009131E-2</v>
      </c>
      <c r="J12" s="33">
        <v>5.3452253000000009E-3</v>
      </c>
      <c r="K12" s="33">
        <v>-1.4055431E-2</v>
      </c>
      <c r="L12" s="33">
        <v>-1.8008947000000001E-2</v>
      </c>
      <c r="M12" s="33">
        <v>-4.9646616000000005E-2</v>
      </c>
      <c r="N12" s="33">
        <v>-4.9480320000000001E-2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35">
      <c r="A13" s="2">
        <v>42048</v>
      </c>
      <c r="B13" s="33">
        <v>-1.0918319000000001E-2</v>
      </c>
      <c r="C13" s="33">
        <v>5.8796644000000002E-2</v>
      </c>
      <c r="D13" s="33">
        <v>4.3478250000000003E-2</v>
      </c>
      <c r="E13" s="33">
        <v>7.7121734999999997E-2</v>
      </c>
      <c r="F13" s="33">
        <v>6.8996429999999997E-2</v>
      </c>
      <c r="G13" s="33">
        <v>3.4352303000000001E-2</v>
      </c>
      <c r="H13" s="33">
        <v>8.6157439999999988E-2</v>
      </c>
      <c r="I13" s="33">
        <v>5.893433E-2</v>
      </c>
      <c r="J13" s="33">
        <v>4.4409036999999998E-2</v>
      </c>
      <c r="K13" s="33">
        <v>8.7661029999999987E-2</v>
      </c>
      <c r="L13" s="33">
        <v>6.5896389999999999E-2</v>
      </c>
      <c r="M13" s="33">
        <v>0.10444808</v>
      </c>
      <c r="N13" s="33">
        <v>0.11333847000000001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35">
      <c r="A14" s="2">
        <v>42076</v>
      </c>
      <c r="B14" s="33">
        <v>-3.4153460000000001E-3</v>
      </c>
      <c r="C14" s="33">
        <v>-2.4537205999999999E-2</v>
      </c>
      <c r="D14" s="33">
        <v>-5.4131090000000007E-2</v>
      </c>
      <c r="E14" s="33">
        <v>0</v>
      </c>
      <c r="F14" s="33">
        <v>4.6102166E-2</v>
      </c>
      <c r="G14" s="33">
        <v>-1.0664165000000001E-2</v>
      </c>
      <c r="H14" s="33">
        <v>-5.3939760000000003E-2</v>
      </c>
      <c r="I14" s="33">
        <v>-1.4685333E-2</v>
      </c>
      <c r="J14" s="33">
        <v>-1.8842638000000002E-2</v>
      </c>
      <c r="K14" s="33">
        <v>-3.2085537999999997E-2</v>
      </c>
      <c r="L14" s="33">
        <v>5.6202410000000006E-3</v>
      </c>
      <c r="M14" s="33">
        <v>-1.8794775E-2</v>
      </c>
      <c r="N14" s="33">
        <v>-1.3850391E-2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35">
      <c r="A15" s="2">
        <v>42108</v>
      </c>
      <c r="B15" s="33">
        <v>2.7849077999999999E-2</v>
      </c>
      <c r="C15" s="33">
        <v>2.7361034999999999E-2</v>
      </c>
      <c r="D15" s="33">
        <v>7.1912645999999997E-2</v>
      </c>
      <c r="E15" s="33">
        <v>4.0424823999999998E-2</v>
      </c>
      <c r="F15" s="33">
        <v>3.6458373000000002E-2</v>
      </c>
      <c r="G15" s="33">
        <v>6.1287283999999997E-2</v>
      </c>
      <c r="H15" s="33">
        <v>5.0307510000000007E-2</v>
      </c>
      <c r="I15" s="33">
        <v>1.9697785000000002E-2</v>
      </c>
      <c r="J15" s="33">
        <v>2.2298097999999999E-2</v>
      </c>
      <c r="K15" s="33">
        <v>5.6827188000000001E-2</v>
      </c>
      <c r="L15" s="33">
        <v>4.1117787000000003E-2</v>
      </c>
      <c r="M15" s="33">
        <v>2.9492259999999999E-2</v>
      </c>
      <c r="N15" s="33">
        <v>6.0393333E-2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x14ac:dyDescent="0.35">
      <c r="A16" s="2">
        <v>42138</v>
      </c>
      <c r="B16" s="33">
        <v>-2.2782981000000001E-2</v>
      </c>
      <c r="C16" s="33">
        <v>1.8470764000000001E-2</v>
      </c>
      <c r="D16" s="33">
        <v>1.3347386999999999E-2</v>
      </c>
      <c r="E16" s="33">
        <v>5.5975914000000009E-3</v>
      </c>
      <c r="F16" s="33">
        <v>1.082325E-2</v>
      </c>
      <c r="G16" s="33">
        <v>4.8462033000000002E-2</v>
      </c>
      <c r="H16" s="33">
        <v>5.9073924999999999E-2</v>
      </c>
      <c r="I16" s="33">
        <v>2.248764E-2</v>
      </c>
      <c r="J16" s="33">
        <v>1.2983918000000001E-2</v>
      </c>
      <c r="K16" s="33">
        <v>3.8461447000000003E-2</v>
      </c>
      <c r="L16" s="33">
        <v>3.9110421999999999E-2</v>
      </c>
      <c r="M16" s="33">
        <v>2.0377994E-2</v>
      </c>
      <c r="N16" s="33">
        <v>5.7615876000000003E-2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x14ac:dyDescent="0.35">
      <c r="A17" s="2">
        <v>42167</v>
      </c>
      <c r="B17" s="33">
        <v>-5.5653095E-2</v>
      </c>
      <c r="C17" s="33">
        <v>-7.5917300000000007E-2</v>
      </c>
      <c r="D17" s="33">
        <v>-4.4714093000000003E-2</v>
      </c>
      <c r="E17" s="33">
        <v>-4.3876885999999997E-2</v>
      </c>
      <c r="F17" s="33">
        <v>-8.7953805999999995E-3</v>
      </c>
      <c r="G17" s="33">
        <v>-3.4597278000000002E-2</v>
      </c>
      <c r="H17" s="33">
        <v>-3.8693487999999998E-2</v>
      </c>
      <c r="I17" s="33">
        <v>-7.5743794000000001E-3</v>
      </c>
      <c r="J17" s="33">
        <v>-1.0367154999999999E-2</v>
      </c>
      <c r="K17" s="33">
        <v>-3.0204952E-2</v>
      </c>
      <c r="L17" s="33">
        <v>-2.7306259000000003E-2</v>
      </c>
      <c r="M17" s="33">
        <v>2.8944015999999998E-4</v>
      </c>
      <c r="N17" s="33">
        <v>-2.6299298000000002E-2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x14ac:dyDescent="0.35">
      <c r="A18" s="2">
        <v>42199</v>
      </c>
      <c r="B18" s="33">
        <v>-5.8821143999999999E-2</v>
      </c>
      <c r="C18" s="33">
        <v>-2.0643473000000002E-2</v>
      </c>
      <c r="D18" s="33">
        <v>-3.9834677999999998E-2</v>
      </c>
      <c r="E18" s="33">
        <v>6.2054396000000003E-3</v>
      </c>
      <c r="F18" s="33">
        <v>1.1676549999999999E-3</v>
      </c>
      <c r="G18" s="33">
        <v>9.7938776000000005E-3</v>
      </c>
      <c r="H18" s="33">
        <v>-2.0008682999999999E-3</v>
      </c>
      <c r="I18" s="33">
        <v>1.6230106000000001E-2</v>
      </c>
      <c r="J18" s="33">
        <v>8.0921650000000001E-3</v>
      </c>
      <c r="K18" s="33">
        <v>2.2132396999999999E-3</v>
      </c>
      <c r="L18" s="33">
        <v>1.7153024999999999E-2</v>
      </c>
      <c r="M18" s="33">
        <v>-2.3224532999999999E-2</v>
      </c>
      <c r="N18" s="33">
        <v>-4.6324729999999998E-3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x14ac:dyDescent="0.35">
      <c r="A19" s="2">
        <v>42230</v>
      </c>
      <c r="B19" s="33">
        <v>-3.4143506999999997E-2</v>
      </c>
      <c r="C19" s="33">
        <v>-5.2028656E-2</v>
      </c>
      <c r="D19" s="33">
        <v>-4.1888832999999993E-2</v>
      </c>
      <c r="E19" s="33">
        <v>-2.8047084999999999E-2</v>
      </c>
      <c r="F19" s="33">
        <v>7.7462199999999998E-4</v>
      </c>
      <c r="G19" s="33">
        <v>-2.5290786999999999E-2</v>
      </c>
      <c r="H19" s="33">
        <v>-1.9733369000000001E-2</v>
      </c>
      <c r="I19" s="33">
        <v>2.2673607000000002E-3</v>
      </c>
      <c r="J19" s="33">
        <v>-5.9806110000000003E-3</v>
      </c>
      <c r="K19" s="33">
        <v>1.5048980000000002E-3</v>
      </c>
      <c r="L19" s="33">
        <v>-2.7547180000000001E-2</v>
      </c>
      <c r="M19" s="33">
        <v>-1.7786026E-2</v>
      </c>
      <c r="N19" s="33">
        <v>2.5641083999999998E-2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x14ac:dyDescent="0.35">
      <c r="A20" s="2">
        <v>42261</v>
      </c>
      <c r="B20" s="33">
        <v>-4.3079734000000001E-2</v>
      </c>
      <c r="C20" s="33">
        <v>-7.1500483000000004E-2</v>
      </c>
      <c r="D20" s="33">
        <v>-7.5914145000000002E-2</v>
      </c>
      <c r="E20" s="33">
        <v>-6.1275362999999999E-2</v>
      </c>
      <c r="F20" s="33">
        <v>-9.3653260000000002E-2</v>
      </c>
      <c r="G20" s="33">
        <v>-6.2033950000000004E-2</v>
      </c>
      <c r="H20" s="33">
        <v>-8.8139240000000008E-2</v>
      </c>
      <c r="I20" s="33">
        <v>-4.7597528E-2</v>
      </c>
      <c r="J20" s="33">
        <v>-6.403404E-2</v>
      </c>
      <c r="K20" s="33">
        <v>-7.4004529999999999E-2</v>
      </c>
      <c r="L20" s="33">
        <v>-7.2953105000000004E-2</v>
      </c>
      <c r="M20" s="33">
        <v>-4.8392114999999999E-2</v>
      </c>
      <c r="N20" s="33">
        <v>-6.0897470000000002E-2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x14ac:dyDescent="0.35">
      <c r="A21" s="2">
        <v>42291</v>
      </c>
      <c r="B21" s="33">
        <v>9.1662999999999994E-2</v>
      </c>
      <c r="C21" s="33">
        <v>4.4468519999999997E-2</v>
      </c>
      <c r="D21" s="33">
        <v>6.5806509999999999E-2</v>
      </c>
      <c r="E21" s="33">
        <v>-1.1385262E-2</v>
      </c>
      <c r="F21" s="33">
        <v>1.1955618999999999E-2</v>
      </c>
      <c r="G21" s="33">
        <v>1.0174870000000001E-2</v>
      </c>
      <c r="H21" s="33">
        <v>3.5202860000000002E-2</v>
      </c>
      <c r="I21" s="33">
        <v>8.9448689999999994E-3</v>
      </c>
      <c r="J21" s="33">
        <v>2.2109865999999999E-2</v>
      </c>
      <c r="K21" s="33">
        <v>3.6916852E-2</v>
      </c>
      <c r="L21" s="33">
        <v>2.009213E-2</v>
      </c>
      <c r="M21" s="33">
        <v>1.6404389999999998E-3</v>
      </c>
      <c r="N21" s="33">
        <v>3.0716777000000001E-2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x14ac:dyDescent="0.35">
      <c r="A22" s="2">
        <v>42321</v>
      </c>
      <c r="B22" s="33">
        <v>1.7235279E-3</v>
      </c>
      <c r="C22" s="33">
        <v>-5.9709253000000004E-2</v>
      </c>
      <c r="D22" s="33">
        <v>-8.8781300000000007E-2</v>
      </c>
      <c r="E22" s="33">
        <v>0</v>
      </c>
      <c r="F22" s="33">
        <v>4.2194130000000003E-2</v>
      </c>
      <c r="G22" s="33">
        <v>-3.6512433999999996E-2</v>
      </c>
      <c r="H22" s="33">
        <v>-4.2074920000000002E-2</v>
      </c>
      <c r="I22" s="33">
        <v>3.691113E-2</v>
      </c>
      <c r="J22" s="33">
        <v>1.6307950000000002E-2</v>
      </c>
      <c r="K22" s="33">
        <v>-2.9733955999999999E-2</v>
      </c>
      <c r="L22" s="33">
        <v>-5.7448149999999995E-3</v>
      </c>
      <c r="M22" s="33">
        <v>-4.4546365999999997E-2</v>
      </c>
      <c r="N22" s="33">
        <v>-7.152319E-2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x14ac:dyDescent="0.35">
      <c r="A23" s="2">
        <v>42352</v>
      </c>
      <c r="B23" s="33">
        <v>4.4088244000000006E-2</v>
      </c>
      <c r="C23" s="33">
        <v>-5.5217742999999996E-4</v>
      </c>
      <c r="D23" s="33">
        <v>-5.0930023000000005E-2</v>
      </c>
      <c r="E23" s="33">
        <v>-1.1516272999999999E-2</v>
      </c>
      <c r="F23" s="33">
        <v>-1.8623530999999999E-2</v>
      </c>
      <c r="G23" s="33">
        <v>-4.5737028000000001E-3</v>
      </c>
      <c r="H23" s="33">
        <v>-2.9482662999999999E-2</v>
      </c>
      <c r="I23" s="33">
        <v>1.6296387000000002E-2</v>
      </c>
      <c r="J23" s="33">
        <v>1.7814636E-3</v>
      </c>
      <c r="K23" s="33">
        <v>-2.8225779999999999E-2</v>
      </c>
      <c r="L23" s="33">
        <v>-2.8477013000000002E-2</v>
      </c>
      <c r="M23" s="33">
        <v>-2.5025724999999999E-2</v>
      </c>
      <c r="N23" s="33">
        <v>-2.3537874E-2</v>
      </c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x14ac:dyDescent="0.35">
      <c r="A24" s="2">
        <v>42383</v>
      </c>
      <c r="B24" s="33">
        <v>-3.2017230000000001E-2</v>
      </c>
      <c r="C24" s="33">
        <v>-2.4889946E-2</v>
      </c>
      <c r="D24" s="33">
        <v>-7.1553763999999992E-2</v>
      </c>
      <c r="E24" s="33">
        <v>-4.7378596999999995E-2</v>
      </c>
      <c r="F24" s="33">
        <v>-4.4247509999999997E-2</v>
      </c>
      <c r="G24" s="33">
        <v>-3.0193626999999997E-2</v>
      </c>
      <c r="H24" s="33">
        <v>-4.5163273999999996E-2</v>
      </c>
      <c r="I24" s="33">
        <v>-6.4817904999999995E-2</v>
      </c>
      <c r="J24" s="33">
        <v>-4.8340139999999997E-2</v>
      </c>
      <c r="K24" s="33">
        <v>-4.9672546000000005E-2</v>
      </c>
      <c r="L24" s="33">
        <v>-2.8471289999999996E-2</v>
      </c>
      <c r="M24" s="33">
        <v>-3.9232612E-2</v>
      </c>
      <c r="N24" s="33">
        <v>-5.0463019999999997E-2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x14ac:dyDescent="0.35">
      <c r="A25" s="2">
        <v>42412</v>
      </c>
      <c r="B25" s="33">
        <v>-2.8867722000000002E-3</v>
      </c>
      <c r="C25" s="33">
        <v>-1.3395429E-2</v>
      </c>
      <c r="D25" s="33">
        <v>3.9735079999999999E-2</v>
      </c>
      <c r="E25" s="33">
        <v>-5.7480630000000005E-2</v>
      </c>
      <c r="F25" s="33">
        <v>-9.478265000000001E-2</v>
      </c>
      <c r="G25" s="33">
        <v>-4.6700477999999997E-2</v>
      </c>
      <c r="H25" s="33">
        <v>-3.0463575999999999E-2</v>
      </c>
      <c r="I25" s="33">
        <v>-5.8133959999999998E-2</v>
      </c>
      <c r="J25" s="33">
        <v>-2.7614176000000001E-2</v>
      </c>
      <c r="K25" s="33">
        <v>-4.1191935999999998E-2</v>
      </c>
      <c r="L25" s="33">
        <v>-4.4434667000000004E-2</v>
      </c>
      <c r="M25" s="33">
        <v>-3.1868099999999996E-2</v>
      </c>
      <c r="N25" s="33">
        <v>-0.14583337999999998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x14ac:dyDescent="0.35">
      <c r="A26" s="2">
        <v>42443</v>
      </c>
      <c r="B26" s="33">
        <v>0.10741161999999999</v>
      </c>
      <c r="C26" s="33">
        <v>0.15171193999999999</v>
      </c>
      <c r="D26" s="33">
        <v>0.14012742</v>
      </c>
      <c r="E26" s="33">
        <v>9.169542E-2</v>
      </c>
      <c r="F26" s="33">
        <v>0.11239195</v>
      </c>
      <c r="G26" s="33">
        <v>5.0763249999999996E-2</v>
      </c>
      <c r="H26" s="33">
        <v>6.76229E-2</v>
      </c>
      <c r="I26" s="33">
        <v>8.8247300000000001E-2</v>
      </c>
      <c r="J26" s="33">
        <v>8.5034484999999993E-2</v>
      </c>
      <c r="K26" s="33">
        <v>0.10831808999999999</v>
      </c>
      <c r="L26" s="33">
        <v>0.11556172000000001</v>
      </c>
      <c r="M26" s="33">
        <v>0.11350739000000001</v>
      </c>
      <c r="N26" s="33">
        <v>0.13098467</v>
      </c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x14ac:dyDescent="0.35">
      <c r="A27" s="2">
        <v>42474</v>
      </c>
      <c r="B27" s="33">
        <v>8.1307170000000012E-2</v>
      </c>
      <c r="C27" s="33">
        <v>9.2260840000000007E-3</v>
      </c>
      <c r="D27" s="33">
        <v>4.5122384999999994E-2</v>
      </c>
      <c r="E27" s="33">
        <v>2.3375629999999998E-2</v>
      </c>
      <c r="F27" s="33">
        <v>2.6770353E-2</v>
      </c>
      <c r="G27" s="33">
        <v>3.2094598000000002E-2</v>
      </c>
      <c r="H27" s="33">
        <v>2.6231646999999997E-2</v>
      </c>
      <c r="I27" s="33">
        <v>4.2920230000000004E-2</v>
      </c>
      <c r="J27" s="33">
        <v>3.2485247000000002E-2</v>
      </c>
      <c r="K27" s="33">
        <v>1.1958838000000001E-2</v>
      </c>
      <c r="L27" s="33">
        <v>2.0635604999999998E-2</v>
      </c>
      <c r="M27" s="33">
        <v>2.8202533999999998E-2</v>
      </c>
      <c r="N27" s="33">
        <v>-2.8754056E-2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x14ac:dyDescent="0.35">
      <c r="A28" s="2">
        <v>42503</v>
      </c>
      <c r="B28" s="33">
        <v>-3.3848882E-3</v>
      </c>
      <c r="C28" s="33">
        <v>-1.4728308000000001E-2</v>
      </c>
      <c r="D28" s="33">
        <v>-7.401347E-3</v>
      </c>
      <c r="E28" s="33">
        <v>-1.4711559000000001E-2</v>
      </c>
      <c r="F28" s="33">
        <v>-3.027761E-2</v>
      </c>
      <c r="G28" s="33">
        <v>-1.9312619999999999E-2</v>
      </c>
      <c r="H28" s="33">
        <v>-2.4937689999999998E-2</v>
      </c>
      <c r="I28" s="33">
        <v>-4.8864007000000001E-2</v>
      </c>
      <c r="J28" s="33">
        <v>-1.5624225E-2</v>
      </c>
      <c r="K28" s="33">
        <v>-2.5264919E-2</v>
      </c>
      <c r="L28" s="33">
        <v>-2.8710007999999999E-2</v>
      </c>
      <c r="M28" s="33">
        <v>-5.5849314000000004E-2</v>
      </c>
      <c r="N28" s="33">
        <v>-2.4671077999999999E-2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x14ac:dyDescent="0.35">
      <c r="A29" s="2">
        <v>42535</v>
      </c>
      <c r="B29" s="33">
        <v>2.4017453000000001E-2</v>
      </c>
      <c r="C29" s="33">
        <v>-1.6494809999999999E-2</v>
      </c>
      <c r="D29" s="33">
        <v>1.8226981E-2</v>
      </c>
      <c r="E29" s="33">
        <v>-3.8899839999999998E-2</v>
      </c>
      <c r="F29" s="33">
        <v>-1.2142181E-2</v>
      </c>
      <c r="G29" s="33">
        <v>-1.8024027000000001E-2</v>
      </c>
      <c r="H29" s="33">
        <v>-3.6445080999999997E-2</v>
      </c>
      <c r="I29" s="33">
        <v>2.3980975000000002E-2</v>
      </c>
      <c r="J29" s="33">
        <v>1.6018747999999999E-2</v>
      </c>
      <c r="K29" s="33">
        <v>-3.8043500000000001E-2</v>
      </c>
      <c r="L29" s="33">
        <v>-2.9142440000000002E-2</v>
      </c>
      <c r="M29" s="33">
        <v>-2.6251316E-2</v>
      </c>
      <c r="N29" s="33">
        <v>-6.0708226999999997E-2</v>
      </c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x14ac:dyDescent="0.35">
      <c r="A30" s="2">
        <v>42565</v>
      </c>
      <c r="B30" s="33">
        <v>7.0335984000000004E-2</v>
      </c>
      <c r="C30" s="33">
        <v>8.6999419999999994E-2</v>
      </c>
      <c r="D30" s="33">
        <v>4.1976570000000005E-2</v>
      </c>
      <c r="E30" s="33">
        <v>3.9794086999999999E-2</v>
      </c>
      <c r="F30" s="33">
        <v>5.4836391999999998E-2</v>
      </c>
      <c r="G30" s="33">
        <v>4.5115949999999995E-2</v>
      </c>
      <c r="H30" s="33">
        <v>5.8673380000000004E-2</v>
      </c>
      <c r="I30" s="33">
        <v>3.9354205000000003E-2</v>
      </c>
      <c r="J30" s="33">
        <v>4.4263480000000001E-2</v>
      </c>
      <c r="K30" s="33">
        <v>4.6289681999999999E-2</v>
      </c>
      <c r="L30" s="33">
        <v>2.6204347999999999E-2</v>
      </c>
      <c r="M30" s="33">
        <v>3.8843274000000004E-2</v>
      </c>
      <c r="N30" s="33">
        <v>2.2952199999999999E-2</v>
      </c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x14ac:dyDescent="0.35">
      <c r="A31" s="2">
        <v>42594</v>
      </c>
      <c r="B31" s="33">
        <v>4.2142986999999993E-2</v>
      </c>
      <c r="C31" s="33">
        <v>2.0048857E-2</v>
      </c>
      <c r="D31" s="33">
        <v>1.2593508E-2</v>
      </c>
      <c r="E31" s="33">
        <v>6.7257404000000007E-2</v>
      </c>
      <c r="F31" s="33">
        <v>3.4395932999999997E-2</v>
      </c>
      <c r="G31" s="33">
        <v>2.6043415E-2</v>
      </c>
      <c r="H31" s="33">
        <v>1.1560678E-2</v>
      </c>
      <c r="I31" s="33">
        <v>4.6615360000000002E-2</v>
      </c>
      <c r="J31" s="33">
        <v>1.0827422E-2</v>
      </c>
      <c r="K31" s="33">
        <v>3.1529545999999999E-2</v>
      </c>
      <c r="L31" s="33">
        <v>4.3238640000000002E-2</v>
      </c>
      <c r="M31" s="33">
        <v>3.8848877000000004E-2</v>
      </c>
      <c r="N31" s="33">
        <v>1.8050550999999998E-2</v>
      </c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x14ac:dyDescent="0.35">
      <c r="A32" s="2">
        <v>42627</v>
      </c>
      <c r="B32" s="33">
        <v>-1.5702366999999998E-2</v>
      </c>
      <c r="C32" s="33">
        <v>-6.8072853000000003E-2</v>
      </c>
      <c r="D32" s="33">
        <v>-3.8087844999999995E-2</v>
      </c>
      <c r="E32" s="33">
        <v>-2.3018896999999996E-2</v>
      </c>
      <c r="F32" s="33">
        <v>-1.622057E-2</v>
      </c>
      <c r="G32" s="33">
        <v>-1.3342023000000001E-2</v>
      </c>
      <c r="H32" s="33">
        <v>-1.1428595E-2</v>
      </c>
      <c r="I32" s="33">
        <v>-1.1604129999999999E-2</v>
      </c>
      <c r="J32" s="33">
        <v>-2.4306595E-2</v>
      </c>
      <c r="K32" s="33">
        <v>-2.0239531999999998E-2</v>
      </c>
      <c r="L32" s="33">
        <v>-1.0971188999999999E-2</v>
      </c>
      <c r="M32" s="33">
        <v>-8.3102583999999993E-3</v>
      </c>
      <c r="N32" s="33">
        <v>-1.6843915000000001E-2</v>
      </c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35">
      <c r="A33" s="2">
        <v>42657</v>
      </c>
      <c r="B33" s="33">
        <v>-4.3924810000000002E-2</v>
      </c>
      <c r="C33" s="33">
        <v>6.4814806000000003E-2</v>
      </c>
      <c r="D33" s="33">
        <v>2.7070759999999999E-2</v>
      </c>
      <c r="E33" s="33">
        <v>-4.6349764E-3</v>
      </c>
      <c r="F33" s="33">
        <v>1.7312407000000002E-2</v>
      </c>
      <c r="G33" s="33">
        <v>-1.9788921000000001E-2</v>
      </c>
      <c r="H33" s="33">
        <v>-3.0186236000000002E-2</v>
      </c>
      <c r="I33" s="33">
        <v>1.3756037E-2</v>
      </c>
      <c r="J33" s="33">
        <v>4.9299002000000001E-3</v>
      </c>
      <c r="K33" s="33">
        <v>4.2164326000000002E-4</v>
      </c>
      <c r="L33" s="33">
        <v>-1.6434193E-3</v>
      </c>
      <c r="M33" s="33">
        <v>-1.5363096999999999E-2</v>
      </c>
      <c r="N33" s="33">
        <v>-1.9837737000000001E-2</v>
      </c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35">
      <c r="A34" s="2">
        <v>42688</v>
      </c>
      <c r="B34" s="33">
        <v>-5.3485690000000002E-2</v>
      </c>
      <c r="C34" s="33">
        <v>-1.0628104000000001E-2</v>
      </c>
      <c r="D34" s="33">
        <v>-2.0849764E-2</v>
      </c>
      <c r="E34" s="33">
        <v>-2.0566582999999999E-2</v>
      </c>
      <c r="F34" s="33">
        <v>4.0519238000000001E-3</v>
      </c>
      <c r="G34" s="33">
        <v>-2.7927339999999998E-2</v>
      </c>
      <c r="H34" s="33">
        <v>-7.9470870000000002E-3</v>
      </c>
      <c r="I34" s="33">
        <v>-2.1427393000000003E-2</v>
      </c>
      <c r="J34" s="33">
        <v>1.6281962000000001E-2</v>
      </c>
      <c r="K34" s="33">
        <v>-1.0956585000000001E-2</v>
      </c>
      <c r="L34" s="33">
        <v>-2.7983487000000001E-2</v>
      </c>
      <c r="M34" s="33">
        <v>-4.1489363000000001E-2</v>
      </c>
      <c r="N34" s="33">
        <v>-2.2998452000000001E-3</v>
      </c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35">
      <c r="A35" s="2">
        <v>42718</v>
      </c>
      <c r="B35" s="33">
        <v>9.659529E-3</v>
      </c>
      <c r="C35" s="33">
        <v>2.1484375E-2</v>
      </c>
      <c r="D35" s="33">
        <v>6.7898750000000008E-2</v>
      </c>
      <c r="E35" s="33">
        <v>3.0903339999999998E-2</v>
      </c>
      <c r="F35" s="33">
        <v>2.0177602999999999E-2</v>
      </c>
      <c r="G35" s="33">
        <v>4.8459767999999995E-3</v>
      </c>
      <c r="H35" s="33">
        <v>3.4045458000000001E-2</v>
      </c>
      <c r="I35" s="33">
        <v>4.8678400000000004E-2</v>
      </c>
      <c r="J35" s="33">
        <v>4.2892099999999996E-2</v>
      </c>
      <c r="K35" s="33">
        <v>3.4512161999999999E-2</v>
      </c>
      <c r="L35" s="33">
        <v>1.5241264999999999E-2</v>
      </c>
      <c r="M35" s="33">
        <v>5.6973695999999997E-2</v>
      </c>
      <c r="N35" s="33">
        <v>9.0364219999999995E-2</v>
      </c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35">
      <c r="A36" s="2">
        <v>42748</v>
      </c>
      <c r="B36" s="33">
        <v>3.8505554000000004E-2</v>
      </c>
      <c r="C36" s="33">
        <v>5.1769375999999999E-2</v>
      </c>
      <c r="D36" s="33">
        <v>3.0890702999999999E-2</v>
      </c>
      <c r="E36" s="33">
        <v>4.2633414000000001E-2</v>
      </c>
      <c r="F36" s="33">
        <v>1.8332004999999998E-2</v>
      </c>
      <c r="G36" s="33">
        <v>5.1982163999999997E-2</v>
      </c>
      <c r="H36" s="33">
        <v>2.5301575999999999E-2</v>
      </c>
      <c r="I36" s="33">
        <v>2.7580976E-2</v>
      </c>
      <c r="J36" s="33">
        <v>1.1115551E-2</v>
      </c>
      <c r="K36" s="33">
        <v>4.3274759999999995E-2</v>
      </c>
      <c r="L36" s="33">
        <v>3.9496063999999997E-2</v>
      </c>
      <c r="M36" s="33">
        <v>3.3427834999999996E-2</v>
      </c>
      <c r="N36" s="33">
        <v>4.7633289999999995E-2</v>
      </c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35">
      <c r="A37" s="2">
        <v>42780</v>
      </c>
      <c r="B37" s="33">
        <v>3.0736208000000001E-2</v>
      </c>
      <c r="C37" s="33">
        <v>2.5664926000000001E-2</v>
      </c>
      <c r="D37" s="33">
        <v>2.3590206999999998E-2</v>
      </c>
      <c r="E37" s="33">
        <v>1.1799455E-2</v>
      </c>
      <c r="F37" s="33">
        <v>6.2880515999999996E-3</v>
      </c>
      <c r="G37" s="33">
        <v>5.8977603999999994E-3</v>
      </c>
      <c r="H37" s="33">
        <v>1.8831849000000001E-2</v>
      </c>
      <c r="I37" s="33">
        <v>4.3601750000000002E-2</v>
      </c>
      <c r="J37" s="33">
        <v>2.9288649999999999E-2</v>
      </c>
      <c r="K37" s="33">
        <v>-5.1504970000000004E-3</v>
      </c>
      <c r="L37" s="33">
        <v>2.1332740000000003E-2</v>
      </c>
      <c r="M37" s="33">
        <v>3.9634109000000001E-2</v>
      </c>
      <c r="N37" s="33">
        <v>-2.4847209999999998E-2</v>
      </c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35">
      <c r="A38" s="2">
        <v>42808</v>
      </c>
      <c r="B38" s="33">
        <v>-4.7156630000000005E-2</v>
      </c>
      <c r="C38" s="33">
        <v>-4.5496225000000003E-4</v>
      </c>
      <c r="D38" s="33">
        <v>-5.2214622000000002E-2</v>
      </c>
      <c r="E38" s="33">
        <v>1.7128228999999998E-2</v>
      </c>
      <c r="F38" s="33">
        <v>5.8591365999999994E-4</v>
      </c>
      <c r="G38" s="33">
        <v>2.7361512000000001E-2</v>
      </c>
      <c r="H38" s="33">
        <v>-6.5789819999999997E-3</v>
      </c>
      <c r="I38" s="33">
        <v>2.1473526999999999E-2</v>
      </c>
      <c r="J38" s="33">
        <v>1.3692737E-2</v>
      </c>
      <c r="K38" s="33">
        <v>1.7522812000000002E-2</v>
      </c>
      <c r="L38" s="33">
        <v>5.1919700000000006E-2</v>
      </c>
      <c r="M38" s="33">
        <v>7.8201294000000005E-3</v>
      </c>
      <c r="N38" s="33">
        <v>2.0467876999999999E-2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35">
      <c r="A39" s="2">
        <v>42838</v>
      </c>
      <c r="B39" s="33">
        <v>2.6443481000000001E-2</v>
      </c>
      <c r="C39" s="33">
        <v>2.0937681E-2</v>
      </c>
      <c r="D39" s="33">
        <v>1.4057755E-2</v>
      </c>
      <c r="E39" s="33">
        <v>8.5990429999999989E-3</v>
      </c>
      <c r="F39" s="33">
        <v>-1.2295126999999999E-2</v>
      </c>
      <c r="G39" s="33">
        <v>1.3950466999999999E-2</v>
      </c>
      <c r="H39" s="33">
        <v>2.2390365999999998E-2</v>
      </c>
      <c r="I39" s="33">
        <v>-4.7112106999999993E-3</v>
      </c>
      <c r="J39" s="33">
        <v>-1.4253259000000001E-2</v>
      </c>
      <c r="K39" s="33">
        <v>2.1917819999999998E-2</v>
      </c>
      <c r="L39" s="33">
        <v>1.0968208E-2</v>
      </c>
      <c r="M39" s="33">
        <v>7.4361560000000002E-3</v>
      </c>
      <c r="N39" s="33">
        <v>1.3098597999999999E-2</v>
      </c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35">
      <c r="A40" s="2">
        <v>42867</v>
      </c>
      <c r="B40" s="33">
        <v>1.8671632000000001E-2</v>
      </c>
      <c r="C40" s="33">
        <v>-3.0316532E-2</v>
      </c>
      <c r="D40" s="33">
        <v>-2.1730960000000001E-2</v>
      </c>
      <c r="E40" s="33">
        <v>8.4902400000000003E-2</v>
      </c>
      <c r="F40" s="33">
        <v>3.4775733999999996E-2</v>
      </c>
      <c r="G40" s="33">
        <v>6.9418430000000003E-2</v>
      </c>
      <c r="H40" s="33">
        <v>5.0894620000000002E-2</v>
      </c>
      <c r="I40" s="33">
        <v>6.2883495999999997E-2</v>
      </c>
      <c r="J40" s="33">
        <v>2.7826786000000003E-2</v>
      </c>
      <c r="K40" s="33">
        <v>0.10953652999999999</v>
      </c>
      <c r="L40" s="33">
        <v>8.3800910000000006E-2</v>
      </c>
      <c r="M40" s="33">
        <v>8.4723950000000006E-2</v>
      </c>
      <c r="N40" s="33">
        <v>0.12727272000000001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35">
      <c r="A41" s="2">
        <v>42900</v>
      </c>
      <c r="B41" s="33">
        <v>6.4269185000000006E-2</v>
      </c>
      <c r="C41" s="33">
        <v>2.2068977E-2</v>
      </c>
      <c r="D41" s="33">
        <v>1.1872768000000001E-2</v>
      </c>
      <c r="E41" s="33">
        <v>2.9796957999999998E-2</v>
      </c>
      <c r="F41" s="33">
        <v>4.1244984000000005E-2</v>
      </c>
      <c r="G41" s="33">
        <v>7.8947544000000005E-3</v>
      </c>
      <c r="H41" s="33">
        <v>2.0545721000000002E-3</v>
      </c>
      <c r="I41" s="33">
        <v>8.2972050000000002E-3</v>
      </c>
      <c r="J41" s="33">
        <v>2.2010207E-2</v>
      </c>
      <c r="K41" s="33">
        <v>1.3462305000000001E-2</v>
      </c>
      <c r="L41" s="33">
        <v>1.7259239999999999E-2</v>
      </c>
      <c r="M41" s="33">
        <v>1.4792919E-2</v>
      </c>
      <c r="N41" s="33">
        <v>1.254487E-2</v>
      </c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35">
      <c r="A42" s="2">
        <v>42930</v>
      </c>
      <c r="B42" s="33">
        <v>3.7774443999999997E-2</v>
      </c>
      <c r="C42" s="33">
        <v>2.3366570000000003E-2</v>
      </c>
      <c r="D42" s="33">
        <v>5.1370739999999998E-2</v>
      </c>
      <c r="E42" s="33">
        <v>7.8053473999999999E-3</v>
      </c>
      <c r="F42" s="33">
        <v>-1.0168969999999999E-2</v>
      </c>
      <c r="G42" s="33">
        <v>2.375126E-2</v>
      </c>
      <c r="H42" s="33">
        <v>1.5242815E-2</v>
      </c>
      <c r="I42" s="33">
        <v>1.9744515000000001E-2</v>
      </c>
      <c r="J42" s="33">
        <v>1.0306835E-2</v>
      </c>
      <c r="K42" s="33">
        <v>1.9021630000000001E-2</v>
      </c>
      <c r="L42" s="33">
        <v>2.3594974999999997E-2</v>
      </c>
      <c r="M42" s="33">
        <v>5.2826643000000006E-2</v>
      </c>
      <c r="N42" s="33">
        <v>4.4872284000000005E-2</v>
      </c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35">
      <c r="A43" s="2">
        <v>42961</v>
      </c>
      <c r="B43" s="33">
        <v>2.5678873000000001E-3</v>
      </c>
      <c r="C43" s="33">
        <v>3.5939217000000002E-3</v>
      </c>
      <c r="D43" s="33">
        <v>-9.0743899999999999E-3</v>
      </c>
      <c r="E43" s="33">
        <v>-1.1900961000000002E-2</v>
      </c>
      <c r="F43" s="33">
        <v>1.5662908999999999E-2</v>
      </c>
      <c r="G43" s="33">
        <v>-1.0130227E-2</v>
      </c>
      <c r="H43" s="33">
        <v>-8.5545780000000002E-3</v>
      </c>
      <c r="I43" s="33">
        <v>1.2735723999999999E-2</v>
      </c>
      <c r="J43" s="33">
        <v>3.9908885999999999E-3</v>
      </c>
      <c r="K43" s="33">
        <v>4.4202805000000001E-3</v>
      </c>
      <c r="L43" s="33">
        <v>2.5503396999999997E-2</v>
      </c>
      <c r="M43" s="33">
        <v>-3.4834324999999999E-2</v>
      </c>
      <c r="N43" s="33">
        <v>3.1045198E-2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35">
      <c r="A44" s="2">
        <v>42992</v>
      </c>
      <c r="B44" s="33">
        <v>-6.1898830000000002E-3</v>
      </c>
      <c r="C44" s="33">
        <v>2.8200507E-2</v>
      </c>
      <c r="D44" s="33">
        <v>4.7619103999999995E-2</v>
      </c>
      <c r="E44" s="33">
        <v>4.0039063E-2</v>
      </c>
      <c r="F44" s="33">
        <v>1.2667537E-2</v>
      </c>
      <c r="G44" s="33">
        <v>1.637423E-2</v>
      </c>
      <c r="H44" s="33">
        <v>2.6777624999999999E-2</v>
      </c>
      <c r="I44" s="33">
        <v>1.1325001999999999E-2</v>
      </c>
      <c r="J44" s="33">
        <v>1.439929E-2</v>
      </c>
      <c r="K44" s="33">
        <v>3.3175349999999999E-2</v>
      </c>
      <c r="L44" s="33">
        <v>2.1596909000000001E-2</v>
      </c>
      <c r="M44" s="33">
        <v>3.7265182000000001E-2</v>
      </c>
      <c r="N44" s="33">
        <v>3.6801577000000002E-2</v>
      </c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35">
      <c r="A45" s="2">
        <v>43021</v>
      </c>
      <c r="B45" s="33">
        <v>2.4055004000000001E-2</v>
      </c>
      <c r="C45" s="33">
        <v>-4.3535233E-4</v>
      </c>
      <c r="D45" s="33">
        <v>2.3076892000000002E-2</v>
      </c>
      <c r="E45" s="33">
        <v>2.7855992E-2</v>
      </c>
      <c r="F45" s="33">
        <v>4.0246605999999997E-2</v>
      </c>
      <c r="G45" s="33">
        <v>1.8699646E-2</v>
      </c>
      <c r="H45" s="33">
        <v>2.4340749000000002E-2</v>
      </c>
      <c r="I45" s="33">
        <v>2.1334887E-2</v>
      </c>
      <c r="J45" s="33">
        <v>2.4483679999999997E-2</v>
      </c>
      <c r="K45" s="33">
        <v>1.8020988000000002E-2</v>
      </c>
      <c r="L45" s="33">
        <v>2.1140336999999999E-2</v>
      </c>
      <c r="M45" s="33">
        <v>1.867044E-2</v>
      </c>
      <c r="N45" s="33">
        <v>-3.2269955000000005E-4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35">
      <c r="A46" s="2">
        <v>43053</v>
      </c>
      <c r="B46" s="33">
        <v>-5.7676195999999999E-2</v>
      </c>
      <c r="C46" s="33">
        <v>-9.1462729999999999E-3</v>
      </c>
      <c r="D46" s="33">
        <v>-8.5440874000000007E-3</v>
      </c>
      <c r="E46" s="33">
        <v>3.0446052999999999E-4</v>
      </c>
      <c r="F46" s="33">
        <v>1.9693255E-2</v>
      </c>
      <c r="G46" s="33">
        <v>-3.3888756999999999E-2</v>
      </c>
      <c r="H46" s="33">
        <v>-2.6591182000000001E-2</v>
      </c>
      <c r="I46" s="33">
        <v>3.3504128000000001E-2</v>
      </c>
      <c r="J46" s="33">
        <v>1.0904193E-2</v>
      </c>
      <c r="K46" s="33">
        <v>-1.1264920000000001E-2</v>
      </c>
      <c r="L46" s="33">
        <v>-1.8820524000000002E-2</v>
      </c>
      <c r="M46" s="33">
        <v>-3.9711118000000004E-2</v>
      </c>
      <c r="N46" s="33">
        <v>-1.1297643E-2</v>
      </c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35">
      <c r="A47" s="2">
        <v>43083</v>
      </c>
      <c r="B47" s="33">
        <v>5.5642129999999998E-2</v>
      </c>
      <c r="C47" s="33">
        <v>1.5824199000000001E-2</v>
      </c>
      <c r="D47" s="33">
        <v>6.2047242999999997E-3</v>
      </c>
      <c r="E47" s="33">
        <v>1.2177228999999999E-3</v>
      </c>
      <c r="F47" s="33">
        <v>2.3243903999999999E-2</v>
      </c>
      <c r="G47" s="33">
        <v>2.3384928999999999E-2</v>
      </c>
      <c r="H47" s="33">
        <v>2.8189540000000003E-2</v>
      </c>
      <c r="I47" s="33">
        <v>1.6763449E-2</v>
      </c>
      <c r="J47" s="33">
        <v>3.0768633E-2</v>
      </c>
      <c r="K47" s="33">
        <v>6.5104960000000002E-3</v>
      </c>
      <c r="L47" s="33">
        <v>7.6726674999999999E-3</v>
      </c>
      <c r="M47" s="33">
        <v>-2.0821333000000001E-2</v>
      </c>
      <c r="N47" s="33">
        <v>-4.570663E-3</v>
      </c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35">
      <c r="A48" s="2">
        <v>43112</v>
      </c>
      <c r="B48" s="33">
        <v>2.4581312999999997E-2</v>
      </c>
      <c r="C48" s="33">
        <v>4.9451590000000004E-2</v>
      </c>
      <c r="D48" s="33">
        <v>4.4728637000000002E-2</v>
      </c>
      <c r="E48" s="33">
        <v>5.1903485999999999E-2</v>
      </c>
      <c r="F48" s="33">
        <v>6.7065360000000004E-2</v>
      </c>
      <c r="G48" s="33">
        <v>4.3416142000000005E-2</v>
      </c>
      <c r="H48" s="33">
        <v>6.8716884000000006E-2</v>
      </c>
      <c r="I48" s="33">
        <v>5.7425975999999997E-2</v>
      </c>
      <c r="J48" s="33">
        <v>5.145371E-2</v>
      </c>
      <c r="K48" s="33">
        <v>6.3702226000000001E-2</v>
      </c>
      <c r="L48" s="33">
        <v>4.7774552999999997E-2</v>
      </c>
      <c r="M48" s="33">
        <v>7.1457385999999998E-2</v>
      </c>
      <c r="N48" s="33">
        <v>9.0931650000000003E-2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35">
      <c r="A49" s="2">
        <v>43145</v>
      </c>
      <c r="B49" s="33">
        <v>8.3899500000000004E-4</v>
      </c>
      <c r="C49" s="33">
        <v>-2.8305888000000001E-2</v>
      </c>
      <c r="D49" s="33">
        <v>-6.2769890000000009E-2</v>
      </c>
      <c r="E49" s="33">
        <v>-3.7959933000000001E-2</v>
      </c>
      <c r="F49" s="33">
        <v>-4.853445E-2</v>
      </c>
      <c r="G49" s="33">
        <v>-2.2447287999999999E-2</v>
      </c>
      <c r="H49" s="33">
        <v>-4.8234997000000002E-2</v>
      </c>
      <c r="I49" s="33">
        <v>-1.1003791999999998E-2</v>
      </c>
      <c r="J49" s="33">
        <v>-2.9972731999999998E-2</v>
      </c>
      <c r="K49" s="33">
        <v>-3.0802070000000001E-2</v>
      </c>
      <c r="L49" s="33">
        <v>-2.6187599000000002E-2</v>
      </c>
      <c r="M49" s="33">
        <v>-3.6191523000000003E-2</v>
      </c>
      <c r="N49" s="33">
        <v>-1.4812647999999999E-2</v>
      </c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35">
      <c r="A50" s="2">
        <v>43173</v>
      </c>
      <c r="B50" s="33">
        <v>4.4216274999999999E-2</v>
      </c>
      <c r="C50" s="33">
        <v>4.3478012000000002E-3</v>
      </c>
      <c r="D50" s="33">
        <v>-1.2756884E-2</v>
      </c>
      <c r="E50" s="33">
        <v>-1.9578338000000001E-2</v>
      </c>
      <c r="F50" s="33">
        <v>7.6184269999999997E-3</v>
      </c>
      <c r="G50" s="33">
        <v>-2.1562576E-2</v>
      </c>
      <c r="H50" s="33">
        <v>-1.4439344E-2</v>
      </c>
      <c r="I50" s="33">
        <v>5.5323360000000002E-2</v>
      </c>
      <c r="J50" s="33">
        <v>2.1180272000000003E-2</v>
      </c>
      <c r="K50" s="33">
        <v>4.0905476000000001E-3</v>
      </c>
      <c r="L50" s="33">
        <v>1.0944366000000001E-2</v>
      </c>
      <c r="M50" s="33">
        <v>2.8896332000000001E-4</v>
      </c>
      <c r="N50" s="33">
        <v>-1.0125874999999999E-2</v>
      </c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35">
      <c r="A51" s="2">
        <v>43203</v>
      </c>
      <c r="B51" s="33">
        <v>5.6190490000000001E-3</v>
      </c>
      <c r="C51" s="33">
        <v>-3.1168878000000001E-2</v>
      </c>
      <c r="D51" s="33">
        <v>3.2304525000000001E-3</v>
      </c>
      <c r="E51" s="33">
        <v>1.0445476E-2</v>
      </c>
      <c r="F51" s="33">
        <v>-1.0026336E-2</v>
      </c>
      <c r="G51" s="33">
        <v>-1.4882684E-2</v>
      </c>
      <c r="H51" s="33">
        <v>4.2229176E-2</v>
      </c>
      <c r="I51" s="33">
        <v>-5.8498025000000002E-2</v>
      </c>
      <c r="J51" s="33">
        <v>-3.3016383999999996E-2</v>
      </c>
      <c r="K51" s="33">
        <v>1.2848616E-2</v>
      </c>
      <c r="L51" s="33">
        <v>1.144445E-2</v>
      </c>
      <c r="M51" s="33">
        <v>-4.9379229999999996E-2</v>
      </c>
      <c r="N51" s="33">
        <v>3.6577820000000004E-2</v>
      </c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35">
      <c r="A52" s="2">
        <v>43234</v>
      </c>
      <c r="B52" s="33">
        <v>-3.5721421000000003E-2</v>
      </c>
      <c r="C52" s="33">
        <v>2.3235083E-2</v>
      </c>
      <c r="D52" s="33">
        <v>4.4007180000000007E-2</v>
      </c>
      <c r="E52" s="33">
        <v>6.0808660000000007E-3</v>
      </c>
      <c r="F52" s="33">
        <v>2.3078202999999999E-2</v>
      </c>
      <c r="G52" s="33">
        <v>2.9053688E-3</v>
      </c>
      <c r="H52" s="33">
        <v>1.5435575999999999E-2</v>
      </c>
      <c r="I52" s="33">
        <v>5.1930428000000001E-2</v>
      </c>
      <c r="J52" s="33">
        <v>2.9530525000000002E-2</v>
      </c>
      <c r="K52" s="33">
        <v>1.6707896999999999E-2</v>
      </c>
      <c r="L52" s="33">
        <v>-1.2232481999999999E-2</v>
      </c>
      <c r="M52" s="33">
        <v>3.3718110000000003E-2</v>
      </c>
      <c r="N52" s="33">
        <v>4.1867494999999998E-3</v>
      </c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35">
      <c r="A53" s="2">
        <v>43265</v>
      </c>
      <c r="B53" s="33">
        <v>4.9047947000000001E-2</v>
      </c>
      <c r="C53" s="33">
        <v>-1.8777311000000001E-2</v>
      </c>
      <c r="D53" s="33">
        <v>-7.1967244E-3</v>
      </c>
      <c r="E53" s="33">
        <v>-1.5110314E-2</v>
      </c>
      <c r="F53" s="33">
        <v>-1.590395E-2</v>
      </c>
      <c r="G53" s="33">
        <v>-2.1147132000000003E-2</v>
      </c>
      <c r="H53" s="33">
        <v>-1.0857820000000001E-2</v>
      </c>
      <c r="I53" s="33">
        <v>4.6244500000000001E-2</v>
      </c>
      <c r="J53" s="33">
        <v>2.1063805000000001E-2</v>
      </c>
      <c r="K53" s="33">
        <v>-1.7346323E-2</v>
      </c>
      <c r="L53" s="33">
        <v>-1.1764705E-2</v>
      </c>
      <c r="M53" s="33">
        <v>-1.6162217E-2</v>
      </c>
      <c r="N53" s="33">
        <v>-8.8743320000000014E-2</v>
      </c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35">
      <c r="A54" s="2">
        <v>43294</v>
      </c>
      <c r="B54" s="33">
        <v>-3.2112896000000002E-2</v>
      </c>
      <c r="C54" s="33">
        <v>3.5894035999999997E-2</v>
      </c>
      <c r="D54" s="33">
        <v>1.1418938999999999E-2</v>
      </c>
      <c r="E54" s="33">
        <v>-3.7448763999999995E-2</v>
      </c>
      <c r="F54" s="33">
        <v>-4.3357729999999997E-2</v>
      </c>
      <c r="G54" s="33">
        <v>9.9079609999999999E-3</v>
      </c>
      <c r="H54" s="33">
        <v>-1.5266299000000001E-2</v>
      </c>
      <c r="I54" s="33">
        <v>1.3485551E-2</v>
      </c>
      <c r="J54" s="33">
        <v>7.5937509999999993E-3</v>
      </c>
      <c r="K54" s="33">
        <v>-8.1967710000000003E-3</v>
      </c>
      <c r="L54" s="33">
        <v>-1.0162175000000001E-2</v>
      </c>
      <c r="M54" s="33">
        <v>-3.7180542999999996E-2</v>
      </c>
      <c r="N54" s="33">
        <v>-1.5652417999999998E-2</v>
      </c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35">
      <c r="A55" s="2">
        <v>43326</v>
      </c>
      <c r="B55" s="33">
        <v>-2.7979254999999998E-2</v>
      </c>
      <c r="C55" s="33">
        <v>-1.7082751E-2</v>
      </c>
      <c r="D55" s="33">
        <v>-3.0959845000000001E-3</v>
      </c>
      <c r="E55" s="33">
        <v>-3.3627152E-2</v>
      </c>
      <c r="F55" s="33">
        <v>-2.9534697999999996E-3</v>
      </c>
      <c r="G55" s="33">
        <v>2.4631976999999999E-2</v>
      </c>
      <c r="H55" s="33">
        <v>-3.8231074999999996E-2</v>
      </c>
      <c r="I55" s="33">
        <v>1.0244370000000001E-2</v>
      </c>
      <c r="J55" s="33">
        <v>1.5415430000000001E-2</v>
      </c>
      <c r="K55" s="33">
        <v>-3.2515168000000004E-2</v>
      </c>
      <c r="L55" s="33">
        <v>-1.5760659999999999E-2</v>
      </c>
      <c r="M55" s="33">
        <v>4.8701763E-3</v>
      </c>
      <c r="N55" s="33">
        <v>-6.2457323000000002E-2</v>
      </c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35">
      <c r="A56" s="2">
        <v>43357</v>
      </c>
      <c r="B56" s="33">
        <v>2.4946690000000001E-2</v>
      </c>
      <c r="C56" s="33">
        <v>-2.584672E-2</v>
      </c>
      <c r="D56" s="33">
        <v>-2.2084177E-2</v>
      </c>
      <c r="E56" s="33">
        <v>3.7162304000000002E-3</v>
      </c>
      <c r="F56" s="33">
        <v>1.2719989000000001E-2</v>
      </c>
      <c r="G56" s="33">
        <v>2.0815014999999999E-2</v>
      </c>
      <c r="H56" s="33">
        <v>-1.2755871E-2</v>
      </c>
      <c r="I56" s="33">
        <v>1.3998389E-2</v>
      </c>
      <c r="J56" s="33">
        <v>2.4586199999999999E-2</v>
      </c>
      <c r="K56" s="33">
        <v>1.4168024E-2</v>
      </c>
      <c r="L56" s="33">
        <v>-1.2745142000000001E-2</v>
      </c>
      <c r="M56" s="33">
        <v>2.487874E-2</v>
      </c>
      <c r="N56" s="33">
        <v>1.4561414999999999E-2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35">
      <c r="A57" s="2">
        <v>43385</v>
      </c>
      <c r="B57" s="33">
        <v>-5.512798E-2</v>
      </c>
      <c r="C57" s="33">
        <v>-5.8097005E-2</v>
      </c>
      <c r="D57" s="33">
        <v>-3.7755786999999999E-2</v>
      </c>
      <c r="E57" s="33">
        <v>-5.9239269999999997E-2</v>
      </c>
      <c r="F57" s="33">
        <v>-2.3916006E-2</v>
      </c>
      <c r="G57" s="33">
        <v>-6.6628336999999996E-2</v>
      </c>
      <c r="H57" s="33">
        <v>-2.8846145E-2</v>
      </c>
      <c r="I57" s="33">
        <v>-5.0858260000000002E-2</v>
      </c>
      <c r="J57" s="33">
        <v>-4.7029790000000002E-2</v>
      </c>
      <c r="K57" s="33">
        <v>-5.1656903999999997E-2</v>
      </c>
      <c r="L57" s="33">
        <v>-6.190002E-2</v>
      </c>
      <c r="M57" s="33">
        <v>-4.4451474999999997E-2</v>
      </c>
      <c r="N57" s="33">
        <v>-7.2838186999999999E-2</v>
      </c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35">
      <c r="A58" s="2">
        <v>43418</v>
      </c>
      <c r="B58" s="33">
        <v>4.0070534000000005E-2</v>
      </c>
      <c r="C58" s="33">
        <v>9.7135305000000012E-3</v>
      </c>
      <c r="D58" s="33">
        <v>-2.6035963999999998E-2</v>
      </c>
      <c r="E58" s="33">
        <v>-2.6833653000000002E-2</v>
      </c>
      <c r="F58" s="33">
        <v>-4.2129396999999999E-2</v>
      </c>
      <c r="G58" s="33">
        <v>5.2306649999999998E-3</v>
      </c>
      <c r="H58" s="33">
        <v>-8.0444809999999992E-3</v>
      </c>
      <c r="I58" s="33">
        <v>-5.2317619999999995E-2</v>
      </c>
      <c r="J58" s="33">
        <v>-2.0837127999999996E-2</v>
      </c>
      <c r="K58" s="33">
        <v>-2.7406692999999999E-2</v>
      </c>
      <c r="L58" s="33">
        <v>9.1743470000000011E-3</v>
      </c>
      <c r="M58" s="33">
        <v>-4.256016E-2</v>
      </c>
      <c r="N58" s="33">
        <v>-2.5541781999999999E-2</v>
      </c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35">
      <c r="A59" s="2">
        <v>43448</v>
      </c>
      <c r="B59" s="33">
        <v>-1.1219382E-2</v>
      </c>
      <c r="C59" s="33">
        <v>-3.6075056000000001E-2</v>
      </c>
      <c r="D59" s="33">
        <v>-4.4804152999999999E-2</v>
      </c>
      <c r="E59" s="33">
        <v>-5.955887E-2</v>
      </c>
      <c r="F59" s="33">
        <v>-2.5395691000000001E-2</v>
      </c>
      <c r="G59" s="33">
        <v>-2.2038459999999999E-2</v>
      </c>
      <c r="H59" s="33">
        <v>-6.0199680000000005E-2</v>
      </c>
      <c r="I59" s="33">
        <v>-2.4939418000000001E-2</v>
      </c>
      <c r="J59" s="33">
        <v>-3.6010384999999999E-2</v>
      </c>
      <c r="K59" s="33">
        <v>-5.0017595000000005E-2</v>
      </c>
      <c r="L59" s="33">
        <v>-4.7902106999999999E-2</v>
      </c>
      <c r="M59" s="33">
        <v>-2.0330786999999999E-2</v>
      </c>
      <c r="N59" s="33">
        <v>-1.0722816E-2</v>
      </c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35">
      <c r="A60" s="2">
        <v>43479</v>
      </c>
      <c r="B60" s="33">
        <v>4.4792414000000003E-2</v>
      </c>
      <c r="C60" s="33">
        <v>4.3258190000000002E-2</v>
      </c>
      <c r="D60" s="33">
        <v>3.4778117999999997E-2</v>
      </c>
      <c r="E60" s="33">
        <v>1.9546509E-2</v>
      </c>
      <c r="F60" s="33">
        <v>1.8569230999999999E-3</v>
      </c>
      <c r="G60" s="33">
        <v>2.4100183999999997E-2</v>
      </c>
      <c r="H60" s="33">
        <v>3.0000566999999999E-2</v>
      </c>
      <c r="I60" s="33">
        <v>-8.3385109999999998E-3</v>
      </c>
      <c r="J60" s="33">
        <v>-5.8931109999999995E-3</v>
      </c>
      <c r="K60" s="33">
        <v>2.3639201999999999E-3</v>
      </c>
      <c r="L60" s="33">
        <v>-7.7305436000000005E-3</v>
      </c>
      <c r="M60" s="33">
        <v>1.8194914E-2</v>
      </c>
      <c r="N60" s="33">
        <v>3.2294034999999999E-2</v>
      </c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35">
      <c r="A61" s="2">
        <v>43510</v>
      </c>
      <c r="B61" s="33">
        <v>2.962041E-2</v>
      </c>
      <c r="C61" s="33">
        <v>3.0799865999999999E-2</v>
      </c>
      <c r="D61" s="33">
        <v>4.7637463000000005E-2</v>
      </c>
      <c r="E61" s="33">
        <v>2.6839972000000001E-3</v>
      </c>
      <c r="F61" s="33">
        <v>2.1842359999999998E-2</v>
      </c>
      <c r="G61" s="33">
        <v>2.4144173000000001E-2</v>
      </c>
      <c r="H61" s="33">
        <v>4.7085879999999997E-2</v>
      </c>
      <c r="I61" s="33">
        <v>7.5029849999999995E-2</v>
      </c>
      <c r="J61" s="33">
        <v>6.5967440000000002E-2</v>
      </c>
      <c r="K61" s="33">
        <v>4.5336245999999997E-2</v>
      </c>
      <c r="L61" s="33">
        <v>7.9583526000000002E-2</v>
      </c>
      <c r="M61" s="33">
        <v>3.2492279999999998E-2</v>
      </c>
      <c r="N61" s="33">
        <v>2.2449732E-2</v>
      </c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35">
      <c r="A62" s="2">
        <v>43538</v>
      </c>
      <c r="B62" s="33">
        <v>1.6815185999999999E-2</v>
      </c>
      <c r="C62" s="33">
        <v>2.9397606999999999E-2</v>
      </c>
      <c r="D62" s="33">
        <v>2.5138617000000002E-2</v>
      </c>
      <c r="E62" s="33">
        <v>4.4741869999999996E-2</v>
      </c>
      <c r="F62" s="33">
        <v>-2.0446180999999998E-3</v>
      </c>
      <c r="G62" s="33">
        <v>4.6851754000000002E-2</v>
      </c>
      <c r="H62" s="33">
        <v>3.9937138999999997E-2</v>
      </c>
      <c r="I62" s="33">
        <v>3.2064080000000002E-2</v>
      </c>
      <c r="J62" s="33">
        <v>2.4710298000000002E-2</v>
      </c>
      <c r="K62" s="33">
        <v>5.5101395000000004E-2</v>
      </c>
      <c r="L62" s="33">
        <v>2.5146365E-2</v>
      </c>
      <c r="M62" s="33">
        <v>1.5065192999999999E-2</v>
      </c>
      <c r="N62" s="33">
        <v>5.238831E-2</v>
      </c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35">
      <c r="A63" s="2">
        <v>43567</v>
      </c>
      <c r="B63" s="33">
        <v>2.7495503000000001E-2</v>
      </c>
      <c r="C63" s="33">
        <v>2.3408294E-2</v>
      </c>
      <c r="D63" s="33">
        <v>2.7407170000000002E-2</v>
      </c>
      <c r="E63" s="33">
        <v>3.2942890000000002E-2</v>
      </c>
      <c r="F63" s="33">
        <v>2.5516868000000002E-2</v>
      </c>
      <c r="G63" s="33">
        <v>1.5108346999999999E-2</v>
      </c>
      <c r="H63" s="33">
        <v>2.6307820999999999E-2</v>
      </c>
      <c r="I63" s="33">
        <v>5.3520560000000002E-2</v>
      </c>
      <c r="J63" s="33">
        <v>3.6533952000000001E-2</v>
      </c>
      <c r="K63" s="33">
        <v>2.9649614999999997E-2</v>
      </c>
      <c r="L63" s="33">
        <v>4.2674779999999995E-2</v>
      </c>
      <c r="M63" s="33">
        <v>6.4643740000000005E-2</v>
      </c>
      <c r="N63" s="33">
        <v>4.0629625000000003E-2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35">
      <c r="A64" s="2">
        <v>43599</v>
      </c>
      <c r="B64" s="33">
        <v>-9.6952915000000006E-4</v>
      </c>
      <c r="C64" s="33">
        <v>-2.7904867999999999E-2</v>
      </c>
      <c r="D64" s="33">
        <v>-2.2112965999999998E-2</v>
      </c>
      <c r="E64" s="33">
        <v>-1.594609E-2</v>
      </c>
      <c r="F64" s="33">
        <v>-2.6698171999999999E-2</v>
      </c>
      <c r="G64" s="33">
        <v>-6.7397355999999995E-3</v>
      </c>
      <c r="H64" s="33">
        <v>-3.8008153000000003E-2</v>
      </c>
      <c r="I64" s="33">
        <v>-2.846694E-2</v>
      </c>
      <c r="J64" s="33">
        <v>-2.3297547999999998E-2</v>
      </c>
      <c r="K64" s="33">
        <v>-3.0431925999999998E-2</v>
      </c>
      <c r="L64" s="33">
        <v>-1.9013881999999999E-2</v>
      </c>
      <c r="M64" s="33">
        <v>-6.1338305000000003E-2</v>
      </c>
      <c r="N64" s="33">
        <v>-5.1002501999999998E-2</v>
      </c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35">
      <c r="A65" s="2">
        <v>43630</v>
      </c>
      <c r="B65" s="33">
        <v>-6.7934989999999997E-3</v>
      </c>
      <c r="C65" s="33">
        <v>4.5176386999999998E-2</v>
      </c>
      <c r="D65" s="33">
        <v>5.7430270000000004E-3</v>
      </c>
      <c r="E65" s="33">
        <v>-2.8808116999999999E-3</v>
      </c>
      <c r="F65" s="33">
        <v>7.6507329999999998E-3</v>
      </c>
      <c r="G65" s="33">
        <v>5.4283379999999999E-2</v>
      </c>
      <c r="H65" s="33">
        <v>-5.2068232999999998E-3</v>
      </c>
      <c r="I65" s="33">
        <v>1.1631846E-2</v>
      </c>
      <c r="J65" s="33">
        <v>2.0677566999999997E-2</v>
      </c>
      <c r="K65" s="33">
        <v>1.4174819E-2</v>
      </c>
      <c r="L65" s="33">
        <v>5.2562949999999994E-3</v>
      </c>
      <c r="M65" s="33">
        <v>1.2211204E-2</v>
      </c>
      <c r="N65" s="33">
        <v>1.0007380999999999E-2</v>
      </c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35">
      <c r="A66" s="2">
        <v>43658</v>
      </c>
      <c r="B66" s="33">
        <v>8.3957080000000003E-2</v>
      </c>
      <c r="C66" s="33">
        <v>3.8806199999999999E-2</v>
      </c>
      <c r="D66" s="33">
        <v>4.4018744999999998E-2</v>
      </c>
      <c r="E66" s="33">
        <v>2.5180817000000001E-2</v>
      </c>
      <c r="F66" s="33">
        <v>2.9447912999999999E-2</v>
      </c>
      <c r="G66" s="33">
        <v>1.1518359000000001E-2</v>
      </c>
      <c r="H66" s="33">
        <v>1.8715262E-2</v>
      </c>
      <c r="I66" s="33">
        <v>6.1965823000000003E-2</v>
      </c>
      <c r="J66" s="33">
        <v>4.4437530000000003E-2</v>
      </c>
      <c r="K66" s="33">
        <v>4.4234514000000003E-2</v>
      </c>
      <c r="L66" s="33">
        <v>3.6663770000000005E-2</v>
      </c>
      <c r="M66" s="33">
        <v>3.7735820000000003E-2</v>
      </c>
      <c r="N66" s="33">
        <v>8.568466000000001E-2</v>
      </c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35">
      <c r="A67" s="2">
        <v>43691</v>
      </c>
      <c r="B67" s="33">
        <v>-3.7335277E-2</v>
      </c>
      <c r="C67" s="33">
        <v>-6.7226886999999999E-2</v>
      </c>
      <c r="D67" s="33">
        <v>-5.4156599999999999E-2</v>
      </c>
      <c r="E67" s="33">
        <v>-8.0347420000000003E-2</v>
      </c>
      <c r="F67" s="33">
        <v>-4.9555243999999998E-2</v>
      </c>
      <c r="G67" s="33">
        <v>-8.9285373999999987E-3</v>
      </c>
      <c r="H67" s="33">
        <v>-8.8654629999999998E-2</v>
      </c>
      <c r="I67" s="33">
        <v>-5.5650289999999998E-2</v>
      </c>
      <c r="J67" s="33">
        <v>-5.5712642999999999E-2</v>
      </c>
      <c r="K67" s="33">
        <v>-7.1195306999999999E-2</v>
      </c>
      <c r="L67" s="33">
        <v>-4.8126639999999998E-2</v>
      </c>
      <c r="M67" s="33">
        <v>-0.11381322000000001</v>
      </c>
      <c r="N67" s="33">
        <v>-0.11612451999999999</v>
      </c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35">
      <c r="A68" s="2">
        <v>43721</v>
      </c>
      <c r="B68" s="33">
        <v>3.8022995E-3</v>
      </c>
      <c r="C68" s="33">
        <v>6.9701194999999994E-2</v>
      </c>
      <c r="D68" s="33">
        <v>5.1787020000000003E-2</v>
      </c>
      <c r="E68" s="33">
        <v>8.2644699999999988E-2</v>
      </c>
      <c r="F68" s="33">
        <v>8.6134429999999998E-2</v>
      </c>
      <c r="G68" s="33">
        <v>3.2760023999999999E-2</v>
      </c>
      <c r="H68" s="33">
        <v>7.5850368000000001E-2</v>
      </c>
      <c r="I68" s="33">
        <v>5.3512810000000001E-2</v>
      </c>
      <c r="J68" s="33">
        <v>6.0549498E-2</v>
      </c>
      <c r="K68" s="33">
        <v>7.2784779999999993E-2</v>
      </c>
      <c r="L68" s="33">
        <v>8.5171339999999998E-2</v>
      </c>
      <c r="M68" s="33">
        <v>0.11416029999999999</v>
      </c>
      <c r="N68" s="33">
        <v>0.10842895499999999</v>
      </c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35">
      <c r="A69" s="2">
        <v>43752</v>
      </c>
      <c r="B69" s="33">
        <v>-2.4621487000000002E-3</v>
      </c>
      <c r="C69" s="33">
        <v>-2.6595771000000001E-2</v>
      </c>
      <c r="D69" s="33">
        <v>-1.3176202999999999E-2</v>
      </c>
      <c r="E69" s="33">
        <v>-6.179571E-3</v>
      </c>
      <c r="F69" s="33">
        <v>5.2762030000000001E-4</v>
      </c>
      <c r="G69" s="33">
        <v>-1.5331805E-2</v>
      </c>
      <c r="H69" s="33">
        <v>-7.903874E-3</v>
      </c>
      <c r="I69" s="33">
        <v>-5.5295229999999997E-3</v>
      </c>
      <c r="J69" s="33">
        <v>-1.2511848999999998E-2</v>
      </c>
      <c r="K69" s="33">
        <v>-7.8662634000000002E-3</v>
      </c>
      <c r="L69" s="33">
        <v>-9.0681314000000002E-3</v>
      </c>
      <c r="M69" s="33">
        <v>-3.1855524000000003E-2</v>
      </c>
      <c r="N69" s="33">
        <v>-8.2113146999999997E-3</v>
      </c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35">
      <c r="A70" s="2">
        <v>43783</v>
      </c>
      <c r="B70" s="33">
        <v>3.5694838000000003E-3</v>
      </c>
      <c r="C70" s="33">
        <v>2.959931E-2</v>
      </c>
      <c r="D70" s="33">
        <v>3.8299321999999997E-2</v>
      </c>
      <c r="E70" s="33">
        <v>5.4133177000000005E-2</v>
      </c>
      <c r="F70" s="33">
        <v>4.4639707000000001E-2</v>
      </c>
      <c r="G70" s="33">
        <v>3.5704731999999996E-2</v>
      </c>
      <c r="H70" s="33">
        <v>3.7603616999999999E-2</v>
      </c>
      <c r="I70" s="33">
        <v>5.4110645999999998E-2</v>
      </c>
      <c r="J70" s="33">
        <v>4.5953629999999995E-2</v>
      </c>
      <c r="K70" s="33">
        <v>4.7571779999999994E-2</v>
      </c>
      <c r="L70" s="33">
        <v>2.8400063999999999E-2</v>
      </c>
      <c r="M70" s="33">
        <v>8.2767959999999988E-2</v>
      </c>
      <c r="N70" s="33">
        <v>5.6515454999999999E-2</v>
      </c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35">
      <c r="A71" s="2">
        <v>43812</v>
      </c>
      <c r="B71" s="33">
        <v>7.0225835E-2</v>
      </c>
      <c r="C71" s="33">
        <v>1.1499405000000001E-2</v>
      </c>
      <c r="D71" s="33">
        <v>4.3994187999999998E-3</v>
      </c>
      <c r="E71" s="33">
        <v>2.0471929999999999E-2</v>
      </c>
      <c r="F71" s="33">
        <v>2.1702528000000002E-2</v>
      </c>
      <c r="G71" s="33">
        <v>2.2291302999999998E-2</v>
      </c>
      <c r="H71" s="33">
        <v>4.7297239999999997E-2</v>
      </c>
      <c r="I71" s="33">
        <v>2.8595567000000002E-2</v>
      </c>
      <c r="J71" s="33">
        <v>2.5101065999999998E-2</v>
      </c>
      <c r="K71" s="33">
        <v>1.2929678E-2</v>
      </c>
      <c r="L71" s="33">
        <v>2.9763818000000001E-2</v>
      </c>
      <c r="M71" s="33">
        <v>4.0726899999999996E-2</v>
      </c>
      <c r="N71" s="33">
        <v>-3.4071803000000002E-3</v>
      </c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35">
      <c r="A72" s="2">
        <v>43844</v>
      </c>
      <c r="B72" s="33">
        <v>3.5754323000000005E-2</v>
      </c>
      <c r="C72" s="33">
        <v>3.3372164000000003E-2</v>
      </c>
      <c r="D72" s="33">
        <v>3.0761123000000001E-2</v>
      </c>
      <c r="E72" s="33">
        <v>1.3940810999999999E-2</v>
      </c>
      <c r="F72" s="33">
        <v>-2.2868514E-3</v>
      </c>
      <c r="G72" s="33">
        <v>3.4989834000000004E-2</v>
      </c>
      <c r="H72" s="33">
        <v>9.7498893999999996E-3</v>
      </c>
      <c r="I72" s="33">
        <v>6.4508556999999994E-2</v>
      </c>
      <c r="J72" s="33">
        <v>3.6974907000000001E-2</v>
      </c>
      <c r="K72" s="33">
        <v>2.0849346999999997E-2</v>
      </c>
      <c r="L72" s="33">
        <v>1.7272948999999999E-2</v>
      </c>
      <c r="M72" s="33">
        <v>9.1824530000000001E-3</v>
      </c>
      <c r="N72" s="33">
        <v>1.970005E-2</v>
      </c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35">
      <c r="A73" s="2">
        <v>43875</v>
      </c>
      <c r="B73" s="33">
        <v>-3.137529E-3</v>
      </c>
      <c r="C73" s="33">
        <v>-5.1791670000000001E-3</v>
      </c>
      <c r="D73" s="33">
        <v>1.3911843E-2</v>
      </c>
      <c r="E73" s="33">
        <v>-1.1401771999999999E-2</v>
      </c>
      <c r="F73" s="33">
        <v>-2.3881077999999997E-2</v>
      </c>
      <c r="G73" s="33">
        <v>2.6457666999999997E-2</v>
      </c>
      <c r="H73" s="33">
        <v>-2.7186810000000002E-2</v>
      </c>
      <c r="I73" s="33">
        <v>6.61577E-2</v>
      </c>
      <c r="J73" s="33">
        <v>3.0997037999999998E-2</v>
      </c>
      <c r="K73" s="33">
        <v>-1.3141811000000002E-2</v>
      </c>
      <c r="L73" s="33">
        <v>1.6470670999999999E-2</v>
      </c>
      <c r="M73" s="33">
        <v>2.3557781999999999E-2</v>
      </c>
      <c r="N73" s="33">
        <v>1.0803461E-2</v>
      </c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35">
      <c r="A74" s="2">
        <v>43903</v>
      </c>
      <c r="B74" s="33">
        <v>-0.14040917</v>
      </c>
      <c r="C74" s="33">
        <v>-0.25119305000000003</v>
      </c>
      <c r="D74" s="33">
        <v>-0.26494610000000002</v>
      </c>
      <c r="E74" s="33">
        <v>-0.28018999999999999</v>
      </c>
      <c r="F74" s="33">
        <v>-0.20838325999999999</v>
      </c>
      <c r="G74" s="33">
        <v>-0.17923629999999999</v>
      </c>
      <c r="H74" s="33">
        <v>-0.27035229999999999</v>
      </c>
      <c r="I74" s="33">
        <v>-0.18027615</v>
      </c>
      <c r="J74" s="33">
        <v>-0.20225119999999999</v>
      </c>
      <c r="K74" s="33">
        <v>-0.26819455999999997</v>
      </c>
      <c r="L74" s="33">
        <v>-0.25318288999999999</v>
      </c>
      <c r="M74" s="33">
        <v>-0.23517262999999999</v>
      </c>
      <c r="N74" s="33">
        <v>-0.30494325999999999</v>
      </c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35">
      <c r="A75" s="2">
        <v>43935</v>
      </c>
      <c r="B75" s="33">
        <v>-3.0801414999999999E-2</v>
      </c>
      <c r="C75" s="33">
        <v>-6.9525239999999999E-3</v>
      </c>
      <c r="D75" s="33">
        <v>4.0888906000000003E-2</v>
      </c>
      <c r="E75" s="33">
        <v>9.6607090000000007E-2</v>
      </c>
      <c r="F75" s="33">
        <v>0.10417116</v>
      </c>
      <c r="G75" s="33">
        <v>6.7461489999999999E-2</v>
      </c>
      <c r="H75" s="33">
        <v>3.788507E-2</v>
      </c>
      <c r="I75" s="33">
        <v>0.1038307</v>
      </c>
      <c r="J75" s="33">
        <v>6.0201169999999998E-2</v>
      </c>
      <c r="K75" s="33">
        <v>3.0892968E-2</v>
      </c>
      <c r="L75" s="33">
        <v>7.5164676E-2</v>
      </c>
      <c r="M75" s="33">
        <v>3.1635760999999998E-2</v>
      </c>
      <c r="N75" s="33">
        <v>2.3065924999999998E-2</v>
      </c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35">
      <c r="A76" s="2">
        <v>43965</v>
      </c>
      <c r="B76" s="33">
        <v>4.5189739999999999E-2</v>
      </c>
      <c r="C76" s="33">
        <v>-3.6172627999999998E-2</v>
      </c>
      <c r="D76" s="33">
        <v>9.8206996999999994E-3</v>
      </c>
      <c r="E76" s="33">
        <v>-3.1800568000000001E-2</v>
      </c>
      <c r="F76" s="33">
        <v>1.0373831E-2</v>
      </c>
      <c r="G76" s="33">
        <v>-6.2652825999999998E-3</v>
      </c>
      <c r="H76" s="33">
        <v>-2.9281974000000002E-2</v>
      </c>
      <c r="I76" s="33">
        <v>4.7059417000000006E-2</v>
      </c>
      <c r="J76" s="33">
        <v>4.1580200000000001E-3</v>
      </c>
      <c r="K76" s="33">
        <v>-5.4187180000000001E-2</v>
      </c>
      <c r="L76" s="33">
        <v>1.2612581000000001E-2</v>
      </c>
      <c r="M76" s="33">
        <v>-1.7576635E-2</v>
      </c>
      <c r="N76" s="33">
        <v>-6.0122130000000003E-2</v>
      </c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35">
      <c r="A77" s="2">
        <v>43994</v>
      </c>
      <c r="B77" s="33">
        <v>7.5774790000000009E-2</v>
      </c>
      <c r="C77" s="33">
        <v>0.16222763000000001</v>
      </c>
      <c r="D77" s="33">
        <v>8.5835089999999989E-2</v>
      </c>
      <c r="E77" s="33">
        <v>0.19041274999999999</v>
      </c>
      <c r="F77" s="33">
        <v>8.7562920000000002E-2</v>
      </c>
      <c r="G77" s="33">
        <v>5.8388232999999998E-2</v>
      </c>
      <c r="H77" s="33">
        <v>8.4297419999999998E-2</v>
      </c>
      <c r="I77" s="33">
        <v>6.333685E-2</v>
      </c>
      <c r="J77" s="33">
        <v>6.7515850000000002E-2</v>
      </c>
      <c r="K77" s="33">
        <v>0.17230904</v>
      </c>
      <c r="L77" s="33">
        <v>0.1291815</v>
      </c>
      <c r="M77" s="33">
        <v>0.15036153999999999</v>
      </c>
      <c r="N77" s="33">
        <v>0.18790604</v>
      </c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35">
      <c r="A78" s="2">
        <v>44026</v>
      </c>
      <c r="B78" s="33">
        <v>8.092713E-2</v>
      </c>
      <c r="C78" s="33">
        <v>3.8081049999999998E-2</v>
      </c>
      <c r="D78" s="33">
        <v>4.3105124999999994E-2</v>
      </c>
      <c r="E78" s="33">
        <v>6.8824052999999996E-2</v>
      </c>
      <c r="F78" s="33">
        <v>4.4261217000000005E-3</v>
      </c>
      <c r="G78" s="33">
        <v>6.5217733E-2</v>
      </c>
      <c r="H78" s="33">
        <v>1.2837052E-2</v>
      </c>
      <c r="I78" s="33">
        <v>0.10572195000000001</v>
      </c>
      <c r="J78" s="33">
        <v>5.2995562999999996E-2</v>
      </c>
      <c r="K78" s="33">
        <v>5.7214260000000003E-2</v>
      </c>
      <c r="L78" s="33">
        <v>9.0024590000000002E-2</v>
      </c>
      <c r="M78" s="33">
        <v>0.10870337499999999</v>
      </c>
      <c r="N78" s="33">
        <v>6.7850469999999996E-2</v>
      </c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35">
      <c r="A79" s="2">
        <v>44057</v>
      </c>
      <c r="B79" s="33">
        <v>-1.2651741999999999E-2</v>
      </c>
      <c r="C79" s="33">
        <v>4.7352314E-2</v>
      </c>
      <c r="D79" s="33">
        <v>6.5610885999999993E-2</v>
      </c>
      <c r="E79" s="33">
        <v>4.5118093000000005E-2</v>
      </c>
      <c r="F79" s="33">
        <v>3.4143685999999999E-2</v>
      </c>
      <c r="G79" s="33">
        <v>2.5450944999999999E-2</v>
      </c>
      <c r="H79" s="33">
        <v>2.4064182999999999E-2</v>
      </c>
      <c r="I79" s="33">
        <v>4.5281770000000006E-2</v>
      </c>
      <c r="J79" s="33">
        <v>5.6189536999999998E-2</v>
      </c>
      <c r="K79" s="33">
        <v>2.678883E-2</v>
      </c>
      <c r="L79" s="33">
        <v>2.2396803E-2</v>
      </c>
      <c r="M79" s="33">
        <v>4.9401163999999997E-2</v>
      </c>
      <c r="N79" s="33">
        <v>3.5827994000000002E-2</v>
      </c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35">
      <c r="A80" s="2">
        <v>44088</v>
      </c>
      <c r="B80" s="33">
        <v>4.3669700000000006E-2</v>
      </c>
      <c r="C80" s="33">
        <v>-1.1667490000000001E-2</v>
      </c>
      <c r="D80" s="33">
        <v>-4.2462945E-3</v>
      </c>
      <c r="E80" s="33">
        <v>2.3608804000000001E-2</v>
      </c>
      <c r="F80" s="33">
        <v>1.9360423000000002E-2</v>
      </c>
      <c r="G80" s="33">
        <v>2.2409677999999999E-2</v>
      </c>
      <c r="H80" s="33">
        <v>-2.6482641999999997E-2</v>
      </c>
      <c r="I80" s="33">
        <v>1.1022924999999999E-2</v>
      </c>
      <c r="J80" s="33">
        <v>4.8093796000000001E-3</v>
      </c>
      <c r="K80" s="33">
        <v>1.5104770999999999E-2</v>
      </c>
      <c r="L80" s="33">
        <v>8.2502365000000008E-3</v>
      </c>
      <c r="M80" s="33">
        <v>1.5691876E-2</v>
      </c>
      <c r="N80" s="33">
        <v>-1.5757083999999998E-2</v>
      </c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35">
      <c r="A81" s="2">
        <v>44118</v>
      </c>
      <c r="B81" s="33">
        <v>4.6903969999999996E-2</v>
      </c>
      <c r="C81" s="33">
        <v>2.213478E-2</v>
      </c>
      <c r="D81" s="33">
        <v>7.4627399999999998E-3</v>
      </c>
      <c r="E81" s="33">
        <v>-1.5486062E-2</v>
      </c>
      <c r="F81" s="33">
        <v>9.3268155999999998E-3</v>
      </c>
      <c r="G81" s="33">
        <v>-1.6026377999999997E-2</v>
      </c>
      <c r="H81" s="33">
        <v>-8.8122489999999994E-3</v>
      </c>
      <c r="I81" s="33">
        <v>6.2959193999999996E-2</v>
      </c>
      <c r="J81" s="33">
        <v>3.2143234999999999E-2</v>
      </c>
      <c r="K81" s="33">
        <v>-2.908355E-2</v>
      </c>
      <c r="L81" s="33">
        <v>3.4988760000000001E-2</v>
      </c>
      <c r="M81" s="33">
        <v>1.6573070999999998E-2</v>
      </c>
      <c r="N81" s="33">
        <v>-2.1866500000000001E-2</v>
      </c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35">
      <c r="A82" s="2">
        <v>44148</v>
      </c>
      <c r="B82" s="33">
        <v>4.7703505E-2</v>
      </c>
      <c r="C82" s="33">
        <v>6.7853690000000008E-2</v>
      </c>
      <c r="D82" s="33">
        <v>1.5520334E-2</v>
      </c>
      <c r="E82" s="33">
        <v>1.6733408E-3</v>
      </c>
      <c r="F82" s="33">
        <v>6.4852119999999999E-2</v>
      </c>
      <c r="G82" s="33">
        <v>2.5628685999999998E-2</v>
      </c>
      <c r="H82" s="33">
        <v>9.4317670000000006E-2</v>
      </c>
      <c r="I82" s="33">
        <v>-3.8690566999999999E-3</v>
      </c>
      <c r="J82" s="33">
        <v>2.9229999000000003E-2</v>
      </c>
      <c r="K82" s="33">
        <v>0.10518980000000001</v>
      </c>
      <c r="L82" s="33">
        <v>4.7982454000000001E-2</v>
      </c>
      <c r="M82" s="33">
        <v>5.8303475E-2</v>
      </c>
      <c r="N82" s="33">
        <v>8.9421269999999997E-2</v>
      </c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35">
      <c r="A83" s="2">
        <v>44179</v>
      </c>
      <c r="B83" s="33">
        <v>2.8197527E-2</v>
      </c>
      <c r="C83" s="33">
        <v>7.3476433999999993E-2</v>
      </c>
      <c r="D83" s="33">
        <v>8.2853320000000008E-2</v>
      </c>
      <c r="E83" s="33">
        <v>3.8987874999999998E-2</v>
      </c>
      <c r="F83" s="33">
        <v>4.3992877000000007E-2</v>
      </c>
      <c r="G83" s="33">
        <v>1.1504411999999999E-2</v>
      </c>
      <c r="H83" s="33">
        <v>3.5037875000000003E-2</v>
      </c>
      <c r="I83" s="33">
        <v>4.5062423000000004E-2</v>
      </c>
      <c r="J83" s="33">
        <v>1.8318892E-2</v>
      </c>
      <c r="K83" s="33">
        <v>4.4223189999999996E-2</v>
      </c>
      <c r="L83" s="33">
        <v>4.0330887000000003E-2</v>
      </c>
      <c r="M83" s="33">
        <v>3.5630465E-2</v>
      </c>
      <c r="N83" s="33">
        <v>6.2200904000000001E-2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35">
      <c r="A84" s="2">
        <v>44210</v>
      </c>
      <c r="B84" s="33">
        <v>1.7100453000000002E-2</v>
      </c>
      <c r="C84" s="33">
        <v>4.8687576999999996E-2</v>
      </c>
      <c r="D84" s="33">
        <v>4.4819712999999997E-2</v>
      </c>
      <c r="E84" s="33">
        <v>5.9915304000000003E-2</v>
      </c>
      <c r="F84" s="33">
        <v>6.0840487000000006E-2</v>
      </c>
      <c r="G84" s="33">
        <v>4.7355056E-2</v>
      </c>
      <c r="H84" s="33">
        <v>7.3524355999999999E-2</v>
      </c>
      <c r="I84" s="33">
        <v>3.5788655000000003E-2</v>
      </c>
      <c r="J84" s="33">
        <v>4.2285085E-2</v>
      </c>
      <c r="K84" s="33">
        <v>3.4880161E-2</v>
      </c>
      <c r="L84" s="33">
        <v>9.0566999999999995E-2</v>
      </c>
      <c r="M84" s="33">
        <v>5.8420059999999996E-2</v>
      </c>
      <c r="N84" s="33">
        <v>4.2434810000000003E-2</v>
      </c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35">
      <c r="A85" s="2">
        <v>44239</v>
      </c>
      <c r="B85" s="33">
        <v>-2.3657143000000002E-2</v>
      </c>
      <c r="C85" s="33">
        <v>1.4533639000000001E-2</v>
      </c>
      <c r="D85" s="33">
        <v>2.2070289E-2</v>
      </c>
      <c r="E85" s="33">
        <v>1.2288809000000001E-2</v>
      </c>
      <c r="F85" s="33">
        <v>2.3312449999999998E-2</v>
      </c>
      <c r="G85" s="33">
        <v>4.4107437E-4</v>
      </c>
      <c r="H85" s="33">
        <v>-1.8006384E-2</v>
      </c>
      <c r="I85" s="33">
        <v>7.03038E-2</v>
      </c>
      <c r="J85" s="33">
        <v>3.7467717999999997E-2</v>
      </c>
      <c r="K85" s="33">
        <v>1.7585754E-3</v>
      </c>
      <c r="L85" s="33">
        <v>5.7510969999999995E-2</v>
      </c>
      <c r="M85" s="33">
        <v>2.831769E-2</v>
      </c>
      <c r="N85" s="33">
        <v>3.2032012999999998E-2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35">
      <c r="A86" s="2">
        <v>44267</v>
      </c>
      <c r="B86" s="33">
        <v>-2.7735471999999997E-2</v>
      </c>
      <c r="C86" s="33">
        <v>3.9792059999999995E-4</v>
      </c>
      <c r="D86" s="33">
        <v>4.8661709999999997E-2</v>
      </c>
      <c r="E86" s="33">
        <v>7.2836875999999998E-3</v>
      </c>
      <c r="F86" s="33">
        <v>-3.6477982999999999E-2</v>
      </c>
      <c r="G86" s="33">
        <v>-3.1084657000000002E-2</v>
      </c>
      <c r="H86" s="33">
        <v>4.3549420000000005E-2</v>
      </c>
      <c r="I86" s="33">
        <v>-6.2386749999999998E-2</v>
      </c>
      <c r="J86" s="33">
        <v>3.6164522000000001E-3</v>
      </c>
      <c r="K86" s="33">
        <v>4.0959716000000007E-2</v>
      </c>
      <c r="L86" s="33">
        <v>-2.4363756E-2</v>
      </c>
      <c r="M86" s="33">
        <v>5.3442239999999995E-2</v>
      </c>
      <c r="N86" s="33">
        <v>2.1985172999999997E-2</v>
      </c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35">
      <c r="A87" s="2">
        <v>44300</v>
      </c>
      <c r="B87" s="33">
        <v>2.9780865000000002E-3</v>
      </c>
      <c r="C87" s="33">
        <v>2.4264096999999998E-2</v>
      </c>
      <c r="D87" s="33">
        <v>1.7401456999999999E-2</v>
      </c>
      <c r="E87" s="33">
        <v>4.2181373000000001E-2</v>
      </c>
      <c r="F87" s="33">
        <v>8.8483095000000001E-3</v>
      </c>
      <c r="G87" s="33">
        <v>4.3458459999999997E-2</v>
      </c>
      <c r="H87" s="33">
        <v>1.2237191000000001E-2</v>
      </c>
      <c r="I87" s="33">
        <v>6.804955E-2</v>
      </c>
      <c r="J87" s="33">
        <v>4.7555923E-2</v>
      </c>
      <c r="K87" s="33">
        <v>2.3327707999999999E-2</v>
      </c>
      <c r="L87" s="33">
        <v>6.5551877000000008E-2</v>
      </c>
      <c r="M87" s="33">
        <v>3.8546799999999999E-2</v>
      </c>
      <c r="N87" s="33">
        <v>1.0439754000000001E-2</v>
      </c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35">
      <c r="A88" s="2">
        <v>44330</v>
      </c>
      <c r="B88" s="33">
        <v>-1.6565084000000001E-2</v>
      </c>
      <c r="C88" s="33">
        <v>2.9126167000000001E-2</v>
      </c>
      <c r="D88" s="33">
        <v>5.0171020000000004E-2</v>
      </c>
      <c r="E88" s="33">
        <v>2.3995280000000001E-2</v>
      </c>
      <c r="F88" s="33">
        <v>-3.6520480000000001E-2</v>
      </c>
      <c r="G88" s="33">
        <v>2.9001236E-2</v>
      </c>
      <c r="H88" s="33">
        <v>4.8977136999999997E-2</v>
      </c>
      <c r="I88" s="33">
        <v>-3.0073403999999998E-2</v>
      </c>
      <c r="J88" s="33">
        <v>1.246798E-2</v>
      </c>
      <c r="K88" s="33">
        <v>5.3556679999999995E-2</v>
      </c>
      <c r="L88" s="33">
        <v>9.206891E-3</v>
      </c>
      <c r="M88" s="33">
        <v>3.1569957999999995E-2</v>
      </c>
      <c r="N88" s="33">
        <v>3.0056356999999999E-2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35">
      <c r="A89" s="2">
        <v>44361</v>
      </c>
      <c r="B89" s="33">
        <v>-1.0030984999999999E-2</v>
      </c>
      <c r="C89" s="33">
        <v>3.4981846999999996E-2</v>
      </c>
      <c r="D89" s="33">
        <v>3.7563562000000002E-2</v>
      </c>
      <c r="E89" s="33">
        <v>2.4456381999999999E-2</v>
      </c>
      <c r="F89" s="33">
        <v>3.5150528E-2</v>
      </c>
      <c r="G89" s="33">
        <v>7.3262453000000005E-2</v>
      </c>
      <c r="H89" s="33">
        <v>1.4793277000000001E-2</v>
      </c>
      <c r="I89" s="33">
        <v>5.5516360000000001E-2</v>
      </c>
      <c r="J89" s="33">
        <v>2.0836353000000002E-2</v>
      </c>
      <c r="K89" s="33">
        <v>3.2785535000000005E-2</v>
      </c>
      <c r="L89" s="33">
        <v>3.8764357999999999E-2</v>
      </c>
      <c r="M89" s="33">
        <v>1.8631816000000002E-2</v>
      </c>
      <c r="N89" s="33">
        <v>3.8035869999999999E-2</v>
      </c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35">
      <c r="A90" s="2">
        <v>44391</v>
      </c>
      <c r="B90" s="33">
        <v>3.2393931999999998E-3</v>
      </c>
      <c r="C90" s="33">
        <v>-3.7707925000000003E-2</v>
      </c>
      <c r="D90" s="33">
        <v>-2.8165399999999997E-2</v>
      </c>
      <c r="E90" s="33">
        <v>-1.8778085999999999E-2</v>
      </c>
      <c r="F90" s="33">
        <v>-1.5974641000000001E-3</v>
      </c>
      <c r="G90" s="33">
        <v>-4.6249628000000001E-3</v>
      </c>
      <c r="H90" s="33">
        <v>-2.3393570999999998E-2</v>
      </c>
      <c r="I90" s="33">
        <v>5.5087923999999996E-2</v>
      </c>
      <c r="J90" s="33">
        <v>2.9221176999999997E-2</v>
      </c>
      <c r="K90" s="33">
        <v>-3.3435463999999998E-2</v>
      </c>
      <c r="L90" s="33">
        <v>-1.7279506E-2</v>
      </c>
      <c r="M90" s="33">
        <v>-8.5168480000000005E-3</v>
      </c>
      <c r="N90" s="33">
        <v>-4.7421512999999998E-2</v>
      </c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35">
      <c r="A91" s="2">
        <v>44421</v>
      </c>
      <c r="B91" s="33">
        <v>-5.1662920000000003E-3</v>
      </c>
      <c r="C91" s="33">
        <v>2.2282004000000001E-2</v>
      </c>
      <c r="D91" s="33">
        <v>2.1397590000000001E-2</v>
      </c>
      <c r="E91" s="33">
        <v>9.4258785000000001E-3</v>
      </c>
      <c r="F91" s="33">
        <v>-1.6000271E-3</v>
      </c>
      <c r="G91" s="33">
        <v>3.1111119999999999E-2</v>
      </c>
      <c r="H91" s="33">
        <v>2.2437930000000002E-2</v>
      </c>
      <c r="I91" s="33">
        <v>1.5837192999999999E-2</v>
      </c>
      <c r="J91" s="33">
        <v>2.2189616999999998E-2</v>
      </c>
      <c r="K91" s="33">
        <v>4.4626473999999999E-2</v>
      </c>
      <c r="L91" s="33">
        <v>4.7638534999999996E-2</v>
      </c>
      <c r="M91" s="33">
        <v>2.5979519999999999E-2</v>
      </c>
      <c r="N91" s="33">
        <v>5.6004999999999999E-2</v>
      </c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35">
      <c r="A92" s="2">
        <v>44453</v>
      </c>
      <c r="B92" s="33">
        <v>2.6127934000000002E-2</v>
      </c>
      <c r="C92" s="33">
        <v>-3.2318711E-2</v>
      </c>
      <c r="D92" s="33">
        <v>-1.6971587999999999E-2</v>
      </c>
      <c r="E92" s="33">
        <v>-1.8675745000000001E-2</v>
      </c>
      <c r="F92" s="33">
        <v>6.934738E-2</v>
      </c>
      <c r="G92" s="33">
        <v>-3.0368328E-2</v>
      </c>
      <c r="H92" s="33">
        <v>-2.9062866999999999E-2</v>
      </c>
      <c r="I92" s="33">
        <v>1.7461061E-2</v>
      </c>
      <c r="J92" s="33">
        <v>-3.9244889999999998E-3</v>
      </c>
      <c r="K92" s="33">
        <v>-2.4267018000000001E-2</v>
      </c>
      <c r="L92" s="33">
        <v>4.0202975000000002E-2</v>
      </c>
      <c r="M92" s="33">
        <v>-2.4300635000000001E-2</v>
      </c>
      <c r="N92" s="33">
        <v>-3.6240399999999999E-2</v>
      </c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35">
      <c r="A93" s="2">
        <v>44483</v>
      </c>
      <c r="B93" s="33">
        <v>-7.2749853E-3</v>
      </c>
      <c r="C93" s="33">
        <v>1.1262178000000001E-2</v>
      </c>
      <c r="D93" s="33">
        <v>4.4240594000000001E-2</v>
      </c>
      <c r="E93" s="33">
        <v>-3.7773966999999999E-2</v>
      </c>
      <c r="F93" s="33">
        <v>-6.9209813999999995E-2</v>
      </c>
      <c r="G93" s="33">
        <v>-2.1620572000000001E-2</v>
      </c>
      <c r="H93" s="33">
        <v>2.2296906000000002E-2</v>
      </c>
      <c r="I93" s="33">
        <v>-2.1891594E-2</v>
      </c>
      <c r="J93" s="33">
        <v>-5.3656099999999996E-4</v>
      </c>
      <c r="K93" s="33">
        <v>-2.0725130999999998E-3</v>
      </c>
      <c r="L93" s="33">
        <v>-4.6529055E-2</v>
      </c>
      <c r="M93" s="33">
        <v>-1.8627048E-2</v>
      </c>
      <c r="N93" s="33">
        <v>3.362894E-3</v>
      </c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35">
      <c r="A94" s="2">
        <v>44512</v>
      </c>
      <c r="B94" s="33">
        <v>-1.9754707999999999E-2</v>
      </c>
      <c r="C94" s="33">
        <v>1.1520386E-3</v>
      </c>
      <c r="D94" s="33">
        <v>3.3324718000000003E-2</v>
      </c>
      <c r="E94" s="33">
        <v>2.2175669999999998E-2</v>
      </c>
      <c r="F94" s="33">
        <v>2.5761126999999998E-2</v>
      </c>
      <c r="G94" s="33">
        <v>5.4729460000000001E-2</v>
      </c>
      <c r="H94" s="33">
        <v>1.1949539E-3</v>
      </c>
      <c r="I94" s="33">
        <v>7.6562166000000001E-2</v>
      </c>
      <c r="J94" s="33">
        <v>5.5977344999999998E-2</v>
      </c>
      <c r="K94" s="33">
        <v>3.9979220000000003E-2</v>
      </c>
      <c r="L94" s="33">
        <v>4.3093203999999996E-2</v>
      </c>
      <c r="M94" s="33">
        <v>3.7961124999999998E-2</v>
      </c>
      <c r="N94" s="33">
        <v>3.3516049999999999E-2</v>
      </c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35">
      <c r="A95" s="2">
        <v>44544</v>
      </c>
      <c r="B95" s="33">
        <v>-4.8378110000000002E-2</v>
      </c>
      <c r="C95" s="33">
        <v>-4.6268225000000003E-2</v>
      </c>
      <c r="D95" s="33">
        <v>-6.9610833999999996E-2</v>
      </c>
      <c r="E95" s="33">
        <v>-5.3489265000000001E-2</v>
      </c>
      <c r="F95" s="33">
        <v>-3.4003020000000002E-2</v>
      </c>
      <c r="G95" s="33">
        <v>-1.2923420000000001E-2</v>
      </c>
      <c r="H95" s="33">
        <v>-2.5518477000000001E-2</v>
      </c>
      <c r="I95" s="33">
        <v>-1.6468226999999998E-2</v>
      </c>
      <c r="J95" s="33">
        <v>-8.3677769999999999E-3</v>
      </c>
      <c r="K95" s="33">
        <v>-4.236931E-2</v>
      </c>
      <c r="L95" s="33">
        <v>-9.1707529999999995E-2</v>
      </c>
      <c r="M95" s="33">
        <v>-7.2649359999999996E-2</v>
      </c>
      <c r="N95" s="33">
        <v>-4.9748780000000006E-2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35">
      <c r="A96" s="2">
        <v>44575</v>
      </c>
      <c r="B96" s="33">
        <v>8.6700920000000003E-4</v>
      </c>
      <c r="C96" s="33">
        <v>2.5448800000000001E-2</v>
      </c>
      <c r="D96" s="33">
        <v>6.5051675000000003E-2</v>
      </c>
      <c r="E96" s="33">
        <v>4.1596770000000005E-2</v>
      </c>
      <c r="F96" s="33">
        <v>6.286621E-3</v>
      </c>
      <c r="G96" s="33">
        <v>1.3291001E-2</v>
      </c>
      <c r="H96" s="33">
        <v>8.8105790000000003E-2</v>
      </c>
      <c r="I96" s="33">
        <v>-1.9833744E-2</v>
      </c>
      <c r="J96" s="33">
        <v>6.5039396000000005E-3</v>
      </c>
      <c r="K96" s="33">
        <v>5.1165222999999996E-2</v>
      </c>
      <c r="L96" s="33">
        <v>2.8767942999999997E-2</v>
      </c>
      <c r="M96" s="33">
        <v>2.7461410000000002E-2</v>
      </c>
      <c r="N96" s="33">
        <v>5.4122089999999998E-2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35">
      <c r="A97" s="2">
        <v>44606</v>
      </c>
      <c r="B97" s="33">
        <v>-9.3728359999999997E-2</v>
      </c>
      <c r="C97" s="33">
        <v>-3.6178887E-2</v>
      </c>
      <c r="D97" s="33">
        <v>-1.5844703000000002E-2</v>
      </c>
      <c r="E97" s="33">
        <v>-6.3287376999999992E-2</v>
      </c>
      <c r="F97" s="33">
        <v>-4.8639059999999998E-2</v>
      </c>
      <c r="G97" s="33">
        <v>-5.6186437999999998E-2</v>
      </c>
      <c r="H97" s="33">
        <v>-1.3880968E-2</v>
      </c>
      <c r="I97" s="33">
        <v>-8.5576769999999996E-2</v>
      </c>
      <c r="J97" s="33">
        <v>-5.5302142999999998E-2</v>
      </c>
      <c r="K97" s="33">
        <v>-5.7849169999999998E-2</v>
      </c>
      <c r="L97" s="33">
        <v>-9.2806449999999999E-2</v>
      </c>
      <c r="M97" s="33">
        <v>-0.10031134</v>
      </c>
      <c r="N97" s="33">
        <v>-5.1044760000000002E-2</v>
      </c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35">
      <c r="A98" s="2">
        <v>44634</v>
      </c>
      <c r="B98" s="33">
        <v>1.6058087000000002E-2</v>
      </c>
      <c r="C98" s="33">
        <v>1.5605211000000001E-2</v>
      </c>
      <c r="D98" s="33">
        <v>-1.5320718000000001E-2</v>
      </c>
      <c r="E98" s="33">
        <v>-0.12103743</v>
      </c>
      <c r="F98" s="33">
        <v>-8.3489660000000007E-2</v>
      </c>
      <c r="G98" s="33">
        <v>-4.9159884000000001E-2</v>
      </c>
      <c r="H98" s="33">
        <v>-7.0674420000000002E-2</v>
      </c>
      <c r="I98" s="33">
        <v>-8.4376449999999992E-2</v>
      </c>
      <c r="J98" s="33">
        <v>-5.0157126999999996E-2</v>
      </c>
      <c r="K98" s="33">
        <v>-9.8999199999999996E-2</v>
      </c>
      <c r="L98" s="33">
        <v>-0.13066792499999999</v>
      </c>
      <c r="M98" s="33">
        <v>-7.9604505999999992E-2</v>
      </c>
      <c r="N98" s="33">
        <v>-0.13652091999999999</v>
      </c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35">
      <c r="A99" s="2">
        <v>44665</v>
      </c>
      <c r="B99" s="33">
        <v>-1.8817186E-4</v>
      </c>
      <c r="C99" s="33">
        <v>9.5930210000000002E-2</v>
      </c>
      <c r="D99" s="33">
        <v>4.6413539999999996E-2</v>
      </c>
      <c r="E99" s="33">
        <v>-1.0200381000000001E-2</v>
      </c>
      <c r="F99" s="33">
        <v>-3.752947E-3</v>
      </c>
      <c r="G99" s="33">
        <v>7.4389219999999992E-2</v>
      </c>
      <c r="H99" s="33">
        <v>7.6049210000000006E-2</v>
      </c>
      <c r="I99" s="33">
        <v>6.4994335E-2</v>
      </c>
      <c r="J99" s="33">
        <v>5.3082347000000002E-2</v>
      </c>
      <c r="K99" s="33">
        <v>2.9420614000000001E-2</v>
      </c>
      <c r="L99" s="33">
        <v>3.4172653999999997E-2</v>
      </c>
      <c r="M99" s="33">
        <v>2.6322841999999999E-2</v>
      </c>
      <c r="N99" s="33">
        <v>5.9016346999999997E-2</v>
      </c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x14ac:dyDescent="0.35">
      <c r="A100" s="2">
        <v>44694</v>
      </c>
      <c r="B100" s="33">
        <v>-0.12909299000000002</v>
      </c>
      <c r="C100" s="33">
        <v>-0.10458505999999999</v>
      </c>
      <c r="D100" s="33">
        <v>-9.5262049999999987E-2</v>
      </c>
      <c r="E100" s="33">
        <v>-5.1159325000000005E-2</v>
      </c>
      <c r="F100" s="33">
        <v>-3.5616457000000004E-2</v>
      </c>
      <c r="G100" s="33">
        <v>-0.11025380999999999</v>
      </c>
      <c r="H100" s="33">
        <v>-7.5366497000000005E-2</v>
      </c>
      <c r="I100" s="33">
        <v>-0.10782140999999999</v>
      </c>
      <c r="J100" s="33">
        <v>-8.2391149999999996E-2</v>
      </c>
      <c r="K100" s="33">
        <v>-5.4243207000000002E-2</v>
      </c>
      <c r="L100" s="33">
        <v>-7.6273259999999996E-2</v>
      </c>
      <c r="M100" s="33">
        <v>-9.3431050000000002E-2</v>
      </c>
      <c r="N100" s="33">
        <v>-6.7423400000000008E-2</v>
      </c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x14ac:dyDescent="0.35">
      <c r="A101" s="2">
        <v>44726</v>
      </c>
      <c r="B101" s="33">
        <v>-5.8222294000000001E-2</v>
      </c>
      <c r="C101" s="33">
        <v>-7.2103260000000002E-2</v>
      </c>
      <c r="D101" s="33">
        <v>-2.9588519999999997E-2</v>
      </c>
      <c r="E101" s="33">
        <v>-4.9857800000000001E-2</v>
      </c>
      <c r="F101" s="33">
        <v>-5.1535250000000005E-2</v>
      </c>
      <c r="G101" s="33">
        <v>-8.4851030000000008E-2</v>
      </c>
      <c r="H101" s="33">
        <v>-4.7528624999999998E-2</v>
      </c>
      <c r="I101" s="33">
        <v>-8.6209179999999996E-2</v>
      </c>
      <c r="J101" s="33">
        <v>-6.9326935000000006E-2</v>
      </c>
      <c r="K101" s="33">
        <v>-5.4310856000000005E-2</v>
      </c>
      <c r="L101" s="33">
        <v>-6.2931356000000008E-2</v>
      </c>
      <c r="M101" s="33">
        <v>-5.719602E-2</v>
      </c>
      <c r="N101" s="33">
        <v>-7.8039826999999992E-2</v>
      </c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x14ac:dyDescent="0.35">
      <c r="A102" s="2">
        <v>44756</v>
      </c>
      <c r="B102" s="33">
        <v>4.3871880000000002E-2</v>
      </c>
      <c r="C102" s="33">
        <v>-2.7306973999999998E-2</v>
      </c>
      <c r="D102" s="33">
        <v>-7.316375E-2</v>
      </c>
      <c r="E102" s="33">
        <v>-9.6801399999999996E-2</v>
      </c>
      <c r="F102" s="33">
        <v>-1.3043523E-2</v>
      </c>
      <c r="G102" s="33">
        <v>3.2315493000000001E-2</v>
      </c>
      <c r="H102" s="33">
        <v>-3.3231615999999999E-2</v>
      </c>
      <c r="I102" s="33">
        <v>4.0947794999999995E-2</v>
      </c>
      <c r="J102" s="33">
        <v>1.5162468E-2</v>
      </c>
      <c r="K102" s="33">
        <v>-3.2225609999999995E-2</v>
      </c>
      <c r="L102" s="33">
        <v>-2.1808684000000002E-2</v>
      </c>
      <c r="M102" s="33">
        <v>-5.229992E-2</v>
      </c>
      <c r="N102" s="33">
        <v>-9.1958760000000001E-2</v>
      </c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x14ac:dyDescent="0.35">
      <c r="A103" s="2">
        <v>44785</v>
      </c>
      <c r="B103" s="33">
        <v>0.11652207000000001</v>
      </c>
      <c r="C103" s="33">
        <v>0.12536299000000001</v>
      </c>
      <c r="D103" s="33">
        <v>0.13073325</v>
      </c>
      <c r="E103" s="33">
        <v>0.12767945999999999</v>
      </c>
      <c r="F103" s="33">
        <v>9.2319490000000004E-2</v>
      </c>
      <c r="G103" s="33">
        <v>8.4545250000000002E-2</v>
      </c>
      <c r="H103" s="33">
        <v>9.6808195E-2</v>
      </c>
      <c r="I103" s="33">
        <v>0.1525098</v>
      </c>
      <c r="J103" s="33">
        <v>0.13016331</v>
      </c>
      <c r="K103" s="33">
        <v>0.13111340999999999</v>
      </c>
      <c r="L103" s="33">
        <v>0.14328182</v>
      </c>
      <c r="M103" s="33">
        <v>0.12466764</v>
      </c>
      <c r="N103" s="33">
        <v>0.15395092999999999</v>
      </c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x14ac:dyDescent="0.35">
      <c r="A104" s="2">
        <v>44818</v>
      </c>
      <c r="B104" s="33">
        <v>-8.2652809999999993E-2</v>
      </c>
      <c r="C104" s="33">
        <v>-7.1827946000000004E-2</v>
      </c>
      <c r="D104" s="33">
        <v>-4.9668970000000007E-2</v>
      </c>
      <c r="E104" s="33">
        <v>-8.8429809999999998E-2</v>
      </c>
      <c r="F104" s="33">
        <v>-8.679634E-2</v>
      </c>
      <c r="G104" s="33">
        <v>-7.3181867999999997E-2</v>
      </c>
      <c r="H104" s="33">
        <v>-7.6431093000000005E-2</v>
      </c>
      <c r="I104" s="33">
        <v>-0.10399836999999999</v>
      </c>
      <c r="J104" s="33">
        <v>-7.609457E-2</v>
      </c>
      <c r="K104" s="33">
        <v>-8.126348500000001E-2</v>
      </c>
      <c r="L104" s="33">
        <v>-0.11154449</v>
      </c>
      <c r="M104" s="33">
        <v>-0.10966598499999999</v>
      </c>
      <c r="N104" s="33">
        <v>-5.5489959999999998E-2</v>
      </c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x14ac:dyDescent="0.35">
      <c r="A105" s="2">
        <v>44848</v>
      </c>
      <c r="B105" s="33">
        <v>-0.13547551999999999</v>
      </c>
      <c r="C105" s="33">
        <v>-9.2678429999999992E-2</v>
      </c>
      <c r="D105" s="33">
        <v>-0.11527293999999999</v>
      </c>
      <c r="E105" s="33">
        <v>-8.8848529999999995E-2</v>
      </c>
      <c r="F105" s="33">
        <v>-6.9508495000000003E-2</v>
      </c>
      <c r="G105" s="33">
        <v>-9.1466370000000005E-2</v>
      </c>
      <c r="H105" s="33">
        <v>-9.0373940000000014E-2</v>
      </c>
      <c r="I105" s="33">
        <v>-0.11764155999999999</v>
      </c>
      <c r="J105" s="33">
        <v>-8.993727E-2</v>
      </c>
      <c r="K105" s="33">
        <v>-8.1441879999999994E-2</v>
      </c>
      <c r="L105" s="33">
        <v>-0.12613398000000001</v>
      </c>
      <c r="M105" s="33">
        <v>-9.6613589999999985E-2</v>
      </c>
      <c r="N105" s="33">
        <v>-9.375E-2</v>
      </c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x14ac:dyDescent="0.35">
      <c r="A106" s="2">
        <v>44879</v>
      </c>
      <c r="B106" s="33">
        <v>0.12832747999999999</v>
      </c>
      <c r="C106" s="33">
        <v>0.15015327000000001</v>
      </c>
      <c r="D106" s="33">
        <v>0.13455855999999999</v>
      </c>
      <c r="E106" s="33">
        <v>0.22636806000000001</v>
      </c>
      <c r="F106" s="33">
        <v>0.11824179000000001</v>
      </c>
      <c r="G106" s="33">
        <v>0.14655875999999998</v>
      </c>
      <c r="H106" s="33">
        <v>0.13094782999999999</v>
      </c>
      <c r="I106" s="33">
        <v>9.4730380000000003E-2</v>
      </c>
      <c r="J106" s="33">
        <v>0.10482894999999999</v>
      </c>
      <c r="K106" s="33">
        <v>0.18168603999999999</v>
      </c>
      <c r="L106" s="33">
        <v>0.25619554999999999</v>
      </c>
      <c r="M106" s="33">
        <v>0.22418236</v>
      </c>
      <c r="N106" s="33">
        <v>0.24321841999999999</v>
      </c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x14ac:dyDescent="0.35">
      <c r="A107" s="2">
        <v>44909</v>
      </c>
      <c r="B107" s="33">
        <v>0.10459555</v>
      </c>
      <c r="C107" s="33">
        <v>4.2142153000000002E-2</v>
      </c>
      <c r="D107" s="33">
        <v>-1.5070437999999999E-2</v>
      </c>
      <c r="E107" s="33">
        <v>4.2135119999999998E-2</v>
      </c>
      <c r="F107" s="33">
        <v>3.3293485999999997E-2</v>
      </c>
      <c r="G107" s="33">
        <v>2.3540497000000001E-2</v>
      </c>
      <c r="H107" s="33">
        <v>7.5430154999999999E-2</v>
      </c>
      <c r="I107" s="33">
        <v>3.7486553000000001E-3</v>
      </c>
      <c r="J107" s="33">
        <v>1.0832189999999998E-2</v>
      </c>
      <c r="K107" s="33">
        <v>5.3601979999999994E-2</v>
      </c>
      <c r="L107" s="33">
        <v>5.8385014999999998E-2</v>
      </c>
      <c r="M107" s="33">
        <v>4.6778917000000003E-2</v>
      </c>
      <c r="N107" s="33">
        <v>3.6809205999999997E-2</v>
      </c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x14ac:dyDescent="0.35">
      <c r="A108" s="2">
        <v>44939</v>
      </c>
      <c r="B108" s="33">
        <v>2.3081540000000001E-2</v>
      </c>
      <c r="C108" s="33">
        <v>4.2100669999999993E-2</v>
      </c>
      <c r="D108" s="33">
        <v>3.7246703999999999E-2</v>
      </c>
      <c r="E108" s="33">
        <v>8.2165130000000003E-2</v>
      </c>
      <c r="F108" s="33">
        <v>1.6108870000000001E-2</v>
      </c>
      <c r="G108" s="33">
        <v>2.5758982E-2</v>
      </c>
      <c r="H108" s="33">
        <v>3.6213398000000001E-2</v>
      </c>
      <c r="I108" s="33">
        <v>-1.6953527999999999E-2</v>
      </c>
      <c r="J108" s="33">
        <v>2.3839474000000001E-3</v>
      </c>
      <c r="K108" s="33">
        <v>6.7955493999999991E-2</v>
      </c>
      <c r="L108" s="33">
        <v>6.3236594000000007E-2</v>
      </c>
      <c r="M108" s="33">
        <v>2.0190358000000002E-2</v>
      </c>
      <c r="N108" s="33">
        <v>7.2411299999999998E-2</v>
      </c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x14ac:dyDescent="0.35">
      <c r="A109" s="2">
        <v>44971</v>
      </c>
      <c r="B109" s="33">
        <v>1.2072085999999999E-2</v>
      </c>
      <c r="C109" s="33">
        <v>1.7492771000000001E-2</v>
      </c>
      <c r="D109" s="33">
        <v>2.4705409999999997E-2</v>
      </c>
      <c r="E109" s="33">
        <v>1.2234568999999999E-2</v>
      </c>
      <c r="F109" s="33">
        <v>1.8143415E-2</v>
      </c>
      <c r="G109" s="33">
        <v>8.744478E-3</v>
      </c>
      <c r="H109" s="33">
        <v>1.3182163E-2</v>
      </c>
      <c r="I109" s="33">
        <v>9.1753599999999991E-2</v>
      </c>
      <c r="J109" s="33">
        <v>3.5483121999999999E-2</v>
      </c>
      <c r="K109" s="33">
        <v>2.0021914999999998E-2</v>
      </c>
      <c r="L109" s="33">
        <v>1.1680484E-2</v>
      </c>
      <c r="M109" s="33">
        <v>1.3288139999999999E-2</v>
      </c>
      <c r="N109" s="33">
        <v>3.8487434000000001E-2</v>
      </c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x14ac:dyDescent="0.35">
      <c r="A110" s="2">
        <v>44999</v>
      </c>
      <c r="B110" s="33">
        <v>-4.7321023999999996E-2</v>
      </c>
      <c r="C110" s="33">
        <v>-8.2275920000000002E-2</v>
      </c>
      <c r="D110" s="33">
        <v>-7.3451039999999995E-2</v>
      </c>
      <c r="E110" s="33">
        <v>-2.4528919999999999E-2</v>
      </c>
      <c r="F110" s="33">
        <v>-2.9757737999999999E-2</v>
      </c>
      <c r="G110" s="33">
        <v>-3.0895830000000003E-2</v>
      </c>
      <c r="H110" s="33">
        <v>-4.1149734999999993E-2</v>
      </c>
      <c r="I110" s="33">
        <v>-3.0578672999999997E-2</v>
      </c>
      <c r="J110" s="33">
        <v>-5.0673722999999997E-2</v>
      </c>
      <c r="K110" s="33">
        <v>-1.9628942E-2</v>
      </c>
      <c r="L110" s="33">
        <v>-4.8539041999999998E-2</v>
      </c>
      <c r="M110" s="33">
        <v>-3.4040213E-2</v>
      </c>
      <c r="N110" s="33">
        <v>-3.2834827999999996E-2</v>
      </c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x14ac:dyDescent="0.35">
      <c r="A111" s="2">
        <v>45030</v>
      </c>
      <c r="B111" s="33">
        <v>1.2109995E-2</v>
      </c>
      <c r="C111" s="33">
        <v>4.6387075999999999E-2</v>
      </c>
      <c r="D111" s="33">
        <v>7.2617292E-2</v>
      </c>
      <c r="E111" s="33">
        <v>6.1953306E-2</v>
      </c>
      <c r="F111" s="33">
        <v>4.2082667000000004E-2</v>
      </c>
      <c r="G111" s="33">
        <v>8.3256960000000005E-2</v>
      </c>
      <c r="H111" s="33">
        <v>5.9324620000000002E-2</v>
      </c>
      <c r="I111" s="33">
        <v>7.2944999999999996E-2</v>
      </c>
      <c r="J111" s="33">
        <v>5.6985497000000003E-2</v>
      </c>
      <c r="K111" s="33">
        <v>7.8442097000000002E-2</v>
      </c>
      <c r="L111" s="33">
        <v>5.2748799999999998E-2</v>
      </c>
      <c r="M111" s="33">
        <v>5.5170416999999999E-2</v>
      </c>
      <c r="N111" s="33">
        <v>6.6890717000000002E-2</v>
      </c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x14ac:dyDescent="0.35">
      <c r="A112" s="2">
        <v>45058</v>
      </c>
      <c r="B112" s="33">
        <v>1.3790369E-2</v>
      </c>
      <c r="C112" s="33">
        <v>-2.4296641000000001E-2</v>
      </c>
      <c r="D112" s="33">
        <v>-1.83357E-2</v>
      </c>
      <c r="E112" s="33">
        <v>-9.9519489999999999E-3</v>
      </c>
      <c r="F112" s="33">
        <v>3.0116440000000001E-2</v>
      </c>
      <c r="G112" s="33">
        <v>2.3713707999999997E-2</v>
      </c>
      <c r="H112" s="33">
        <v>-1.0425925000000001E-2</v>
      </c>
      <c r="I112" s="33">
        <v>2.0278095999999999E-2</v>
      </c>
      <c r="J112" s="33">
        <v>-2.1092891999999999E-3</v>
      </c>
      <c r="K112" s="33">
        <v>-1.5259385E-2</v>
      </c>
      <c r="L112" s="33">
        <v>-1.8348574999999999E-2</v>
      </c>
      <c r="M112" s="33">
        <v>-1.3687372E-2</v>
      </c>
      <c r="N112" s="33">
        <v>-1.3232529E-2</v>
      </c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x14ac:dyDescent="0.35">
      <c r="A113" s="2">
        <v>45091</v>
      </c>
      <c r="B113" s="33">
        <v>-2.1912515E-2</v>
      </c>
      <c r="C113" s="33">
        <v>1.5340685999999999E-2</v>
      </c>
      <c r="D113" s="33">
        <v>-1.4786720000000001E-3</v>
      </c>
      <c r="E113" s="33">
        <v>1.7130852000000002E-2</v>
      </c>
      <c r="F113" s="33">
        <v>6.7282557000000007E-2</v>
      </c>
      <c r="G113" s="33">
        <v>-2.9360293999999999E-2</v>
      </c>
      <c r="H113" s="33">
        <v>-4.2036176E-3</v>
      </c>
      <c r="I113" s="33">
        <v>0.1257422</v>
      </c>
      <c r="J113" s="33">
        <v>6.2173486E-2</v>
      </c>
      <c r="K113" s="33">
        <v>-6.6878199999999997E-3</v>
      </c>
      <c r="L113" s="33">
        <v>4.2947649999999997E-2</v>
      </c>
      <c r="M113" s="33">
        <v>-9.7140669999999998E-3</v>
      </c>
      <c r="N113" s="33">
        <v>1.3088107E-2</v>
      </c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x14ac:dyDescent="0.35">
      <c r="A114" s="2">
        <v>45121</v>
      </c>
      <c r="B114" s="33">
        <v>5.1848770000000002E-2</v>
      </c>
      <c r="C114" s="33">
        <v>2.1481752E-2</v>
      </c>
      <c r="D114" s="33">
        <v>2.4418592000000003E-2</v>
      </c>
      <c r="E114" s="33">
        <v>2.2759079999999998E-2</v>
      </c>
      <c r="F114" s="33">
        <v>-2.1630107999999999E-2</v>
      </c>
      <c r="G114" s="33">
        <v>3.1154633000000001E-2</v>
      </c>
      <c r="H114" s="33">
        <v>8.6286069999999999E-3</v>
      </c>
      <c r="I114" s="33">
        <v>3.7416458E-2</v>
      </c>
      <c r="J114" s="33">
        <v>3.1508803000000002E-2</v>
      </c>
      <c r="K114" s="33">
        <v>4.7846913000000005E-2</v>
      </c>
      <c r="L114" s="33">
        <v>4.8094749999999999E-2</v>
      </c>
      <c r="M114" s="33">
        <v>1.6535878E-2</v>
      </c>
      <c r="N114" s="33">
        <v>6.4578650000000001E-2</v>
      </c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x14ac:dyDescent="0.35">
      <c r="A115" s="2">
        <v>45152</v>
      </c>
      <c r="B115" s="33">
        <v>-7.6983449999999995E-2</v>
      </c>
      <c r="C115" s="33">
        <v>-4.9785375999999999E-2</v>
      </c>
      <c r="D115" s="33">
        <v>-1.3904691E-2</v>
      </c>
      <c r="E115" s="33">
        <v>-3.7315904999999996E-2</v>
      </c>
      <c r="F115" s="33">
        <v>-2.5632798999999998E-2</v>
      </c>
      <c r="G115" s="33">
        <v>-1.9226790000000001E-2</v>
      </c>
      <c r="H115" s="33">
        <v>-1.0693490000000002E-2</v>
      </c>
      <c r="I115" s="33">
        <v>-2.3003697E-2</v>
      </c>
      <c r="J115" s="33">
        <v>-2.6041864999999998E-3</v>
      </c>
      <c r="K115" s="33">
        <v>-3.2217084999999999E-2</v>
      </c>
      <c r="L115" s="33">
        <v>-5.0543069999999996E-2</v>
      </c>
      <c r="M115" s="33">
        <v>-5.7347716999999993E-2</v>
      </c>
      <c r="N115" s="33">
        <v>-3.0330658E-2</v>
      </c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x14ac:dyDescent="0.35">
      <c r="A116" s="2">
        <v>45183</v>
      </c>
      <c r="B116" s="33">
        <v>-5.2978753999999996E-2</v>
      </c>
      <c r="C116" s="33">
        <v>8.5817575000000004E-3</v>
      </c>
      <c r="D116" s="33">
        <v>1.410079E-2</v>
      </c>
      <c r="E116" s="33">
        <v>-3.0938864E-2</v>
      </c>
      <c r="F116" s="33">
        <v>4.1433689999999995E-2</v>
      </c>
      <c r="G116" s="33">
        <v>-2.1757840000000001E-2</v>
      </c>
      <c r="H116" s="33">
        <v>5.8677197000000002E-3</v>
      </c>
      <c r="I116" s="33">
        <v>1.8684982999999999E-2</v>
      </c>
      <c r="J116" s="33">
        <v>5.0210949999999997E-3</v>
      </c>
      <c r="K116" s="33">
        <v>-3.0930520000000003E-2</v>
      </c>
      <c r="L116" s="33">
        <v>-7.2145700000000007E-2</v>
      </c>
      <c r="M116" s="33">
        <v>-3.8900196999999997E-2</v>
      </c>
      <c r="N116" s="33">
        <v>-9.0709924999999997E-3</v>
      </c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x14ac:dyDescent="0.35">
      <c r="A117" s="2">
        <v>45212</v>
      </c>
      <c r="B117" s="33">
        <v>-2.3590206999999998E-2</v>
      </c>
      <c r="C117" s="33">
        <v>-5.2395880000000006E-2</v>
      </c>
      <c r="D117" s="33">
        <v>-5.8456364000000004E-2</v>
      </c>
      <c r="E117" s="33">
        <v>-5.7614683999999999E-2</v>
      </c>
      <c r="F117" s="33">
        <v>-5.9362172999999997E-2</v>
      </c>
      <c r="G117" s="33">
        <v>-2.9949366999999998E-2</v>
      </c>
      <c r="H117" s="33">
        <v>-2.7632772999999999E-2</v>
      </c>
      <c r="I117" s="33">
        <v>-3.0381977999999997E-2</v>
      </c>
      <c r="J117" s="33">
        <v>-3.8456320000000002E-2</v>
      </c>
      <c r="K117" s="33">
        <v>-6.1130705E-2</v>
      </c>
      <c r="L117" s="33">
        <v>-5.5611553000000001E-2</v>
      </c>
      <c r="M117" s="33">
        <v>1.3085842E-2</v>
      </c>
      <c r="N117" s="33">
        <v>-5.0820709999999998E-2</v>
      </c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x14ac:dyDescent="0.35">
      <c r="A118" s="2">
        <v>45244</v>
      </c>
      <c r="B118" s="33">
        <v>3.2443643000000001E-2</v>
      </c>
      <c r="C118" s="33">
        <v>4.8676730000000001E-2</v>
      </c>
      <c r="D118" s="33">
        <v>3.0741453000000002E-2</v>
      </c>
      <c r="E118" s="33">
        <v>6.5420627999999995E-2</v>
      </c>
      <c r="F118" s="33">
        <v>3.4575343000000001E-2</v>
      </c>
      <c r="G118" s="33">
        <v>4.3133497E-3</v>
      </c>
      <c r="H118" s="33">
        <v>4.7363042999999999E-3</v>
      </c>
      <c r="I118" s="33">
        <v>5.4889319999999998E-2</v>
      </c>
      <c r="J118" s="33">
        <v>3.9930462999999999E-2</v>
      </c>
      <c r="K118" s="33">
        <v>6.3382386999999998E-2</v>
      </c>
      <c r="L118" s="33">
        <v>0.1076473</v>
      </c>
      <c r="M118" s="33">
        <v>4.1754246000000002E-2</v>
      </c>
      <c r="N118" s="33">
        <v>7.7153324999999995E-2</v>
      </c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x14ac:dyDescent="0.35">
      <c r="A119" s="2">
        <v>45274</v>
      </c>
      <c r="B119" s="33">
        <v>7.0648549999999991E-2</v>
      </c>
      <c r="C119" s="33">
        <v>8.1117629999999996E-2</v>
      </c>
      <c r="D119" s="33">
        <v>6.0818669999999998E-2</v>
      </c>
      <c r="E119" s="33">
        <v>8.1140279999999995E-2</v>
      </c>
      <c r="F119" s="33">
        <v>3.3744335E-2</v>
      </c>
      <c r="G119" s="33">
        <v>6.6455719999999996E-2</v>
      </c>
      <c r="H119" s="33">
        <v>5.3425550000000002E-2</v>
      </c>
      <c r="I119" s="33">
        <v>4.6869040000000001E-2</v>
      </c>
      <c r="J119" s="33">
        <v>5.1879764000000002E-2</v>
      </c>
      <c r="K119" s="33">
        <v>6.5293910000000011E-2</v>
      </c>
      <c r="L119" s="33">
        <v>8.0586909999999998E-2</v>
      </c>
      <c r="M119" s="33">
        <v>0.13119946999999998</v>
      </c>
      <c r="N119" s="33">
        <v>5.2794100000000004E-2</v>
      </c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x14ac:dyDescent="0.35">
      <c r="A120" s="2">
        <v>45303</v>
      </c>
      <c r="B120" s="33">
        <v>2.2509933000000003E-2</v>
      </c>
      <c r="C120" s="33">
        <v>8.6913110000000002E-3</v>
      </c>
      <c r="D120" s="33">
        <v>1.4463425E-2</v>
      </c>
      <c r="E120" s="33">
        <v>-1.2118697000000001E-2</v>
      </c>
      <c r="F120" s="33">
        <v>5.7224153999999999E-2</v>
      </c>
      <c r="G120" s="33">
        <v>1.4836788E-2</v>
      </c>
      <c r="H120" s="33">
        <v>-1.7344952000000001E-4</v>
      </c>
      <c r="I120" s="33">
        <v>1.7844796E-2</v>
      </c>
      <c r="J120" s="33">
        <v>1.3995290000000001E-2</v>
      </c>
      <c r="K120" s="33">
        <v>-1.7037093999999999E-2</v>
      </c>
      <c r="L120" s="33">
        <v>-2.2511125E-2</v>
      </c>
      <c r="M120" s="33">
        <v>-1.3179958E-2</v>
      </c>
      <c r="N120" s="33">
        <v>6.3800809999999993E-3</v>
      </c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x14ac:dyDescent="0.35">
      <c r="A121" s="2">
        <v>45336</v>
      </c>
      <c r="B121" s="33">
        <v>-7.0033255000000003E-2</v>
      </c>
      <c r="C121" s="33">
        <v>-1.4339864000000001E-2</v>
      </c>
      <c r="D121" s="33">
        <v>-1.0740936000000001E-2</v>
      </c>
      <c r="E121" s="33">
        <v>-2.05338E-3</v>
      </c>
      <c r="F121" s="33">
        <v>8.5804460000000003E-3</v>
      </c>
      <c r="G121" s="33">
        <v>-3.3208013000000002E-2</v>
      </c>
      <c r="H121" s="33">
        <v>-2.2283255999999998E-2</v>
      </c>
      <c r="I121" s="33">
        <v>5.7769300000000003E-2</v>
      </c>
      <c r="J121" s="33">
        <v>4.5921802999999997E-2</v>
      </c>
      <c r="K121" s="33">
        <v>8.0728529999999996E-3</v>
      </c>
      <c r="L121" s="33">
        <v>6.9986224E-2</v>
      </c>
      <c r="M121" s="33">
        <v>-6.6172480000000001E-3</v>
      </c>
      <c r="N121" s="33">
        <v>1.1802912E-3</v>
      </c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x14ac:dyDescent="0.35">
      <c r="A122" s="2">
        <v>45365</v>
      </c>
      <c r="B122" s="33">
        <v>1.5642524000000001E-2</v>
      </c>
      <c r="C122" s="33">
        <v>3.2092452E-2</v>
      </c>
      <c r="D122" s="33">
        <v>5.1503420000000001E-2</v>
      </c>
      <c r="E122" s="33">
        <v>6.8244220000000008E-2</v>
      </c>
      <c r="F122" s="33">
        <v>3.0746222E-2</v>
      </c>
      <c r="G122" s="33">
        <v>4.4286013000000006E-2</v>
      </c>
      <c r="H122" s="33">
        <v>4.5894503999999996E-2</v>
      </c>
      <c r="I122" s="33">
        <v>1.3665198999999999E-2</v>
      </c>
      <c r="J122" s="33">
        <v>3.2853960000000001E-2</v>
      </c>
      <c r="K122" s="33">
        <v>7.1816087000000001E-2</v>
      </c>
      <c r="L122" s="33">
        <v>3.8816214000000002E-2</v>
      </c>
      <c r="M122" s="33">
        <v>9.1127160000000013E-2</v>
      </c>
      <c r="N122" s="59">
        <v>8.9596269999999992E-2</v>
      </c>
    </row>
    <row r="123" spans="1:26" x14ac:dyDescent="0.35">
      <c r="A123" s="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</row>
    <row r="124" spans="1:26" x14ac:dyDescent="0.35">
      <c r="A124" s="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</row>
    <row r="125" spans="1:26" x14ac:dyDescent="0.35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</row>
    <row r="126" spans="1:26" x14ac:dyDescent="0.35">
      <c r="A126" t="s">
        <v>788</v>
      </c>
      <c r="B126" s="33" cm="1">
        <f t="array" ref="B126">MAX(_xlfn._xlws.FILTER(B1:B122, ISNUMBER(B1:B122)))</f>
        <v>0.12832747999999999</v>
      </c>
      <c r="C126" s="33" cm="1">
        <f t="array" ref="C126">MAX(_xlfn._xlws.FILTER(C1:C122, ISNUMBER(C1:C122)))</f>
        <v>0.16222763000000001</v>
      </c>
      <c r="D126" s="33" cm="1">
        <f t="array" ref="D126">MAX(_xlfn._xlws.FILTER(D1:D122, ISNUMBER(D1:D122)))</f>
        <v>0.14012742</v>
      </c>
      <c r="E126" s="33" cm="1">
        <f t="array" ref="E126">MAX(_xlfn._xlws.FILTER(E1:E122, ISNUMBER(E1:E122)))</f>
        <v>0.22636806000000001</v>
      </c>
      <c r="F126" s="33" cm="1">
        <f t="array" ref="F126">MAX(_xlfn._xlws.FILTER(F1:F122, ISNUMBER(F1:F122)))</f>
        <v>0.11824179000000001</v>
      </c>
      <c r="G126" s="33" cm="1">
        <f t="array" ref="G126">MAX(_xlfn._xlws.FILTER(G1:G122, ISNUMBER(G1:G122)))</f>
        <v>0.14655875999999998</v>
      </c>
      <c r="H126" s="33" cm="1">
        <f t="array" ref="H126">MAX(_xlfn._xlws.FILTER(H1:H122, ISNUMBER(H1:H122)))</f>
        <v>0.13094782999999999</v>
      </c>
      <c r="I126" s="33" cm="1">
        <f t="array" ref="I126">MAX(_xlfn._xlws.FILTER(I1:I122, ISNUMBER(I1:I122)))</f>
        <v>0.1525098</v>
      </c>
      <c r="J126" s="33" cm="1">
        <f t="array" ref="J126">MAX(_xlfn._xlws.FILTER(J1:J122, ISNUMBER(J1:J122)))</f>
        <v>0.13016331</v>
      </c>
      <c r="K126" s="33" cm="1">
        <f t="array" ref="K126">MAX(_xlfn._xlws.FILTER(K1:K122, ISNUMBER(K1:K122)))</f>
        <v>0.18168603999999999</v>
      </c>
      <c r="L126" s="33" cm="1">
        <f t="array" ref="L126">MAX(_xlfn._xlws.FILTER(L1:L122, ISNUMBER(L1:L122)))</f>
        <v>0.25619554999999999</v>
      </c>
      <c r="M126" s="33" cm="1">
        <f t="array" ref="M126">MAX(_xlfn._xlws.FILTER(M1:M122, ISNUMBER(M1:M122)))</f>
        <v>0.22418236</v>
      </c>
      <c r="N126" s="33" cm="1">
        <f t="array" ref="N126">MAX(_xlfn._xlws.FILTER(N1:N122, ISNUMBER(N1:N122)))</f>
        <v>0.24321841999999999</v>
      </c>
    </row>
    <row r="127" spans="1:26" x14ac:dyDescent="0.35">
      <c r="A127" t="s">
        <v>89</v>
      </c>
      <c r="B127" s="33" cm="1">
        <f t="array" ref="B127">MIN(_xlfn._xlws.FILTER(B2:B122, ISNUMBER(B2:B122)))</f>
        <v>-0.14040917</v>
      </c>
      <c r="C127" s="33" cm="1">
        <f t="array" ref="C127">MIN(_xlfn._xlws.FILTER(C2:C122, ISNUMBER(C2:C122)))</f>
        <v>-0.25119305000000003</v>
      </c>
      <c r="D127" s="33" cm="1">
        <f t="array" ref="D127">MIN(_xlfn._xlws.FILTER(D2:D122, ISNUMBER(D2:D122)))</f>
        <v>-0.26494610000000002</v>
      </c>
      <c r="E127" s="33" cm="1">
        <f t="array" ref="E127">MIN(_xlfn._xlws.FILTER(E2:E122, ISNUMBER(E2:E122)))</f>
        <v>-0.28018999999999999</v>
      </c>
      <c r="F127" s="33" cm="1">
        <f t="array" ref="F127">MIN(_xlfn._xlws.FILTER(F2:F122, ISNUMBER(F2:F122)))</f>
        <v>-0.20838325999999999</v>
      </c>
      <c r="G127" s="33" cm="1">
        <f t="array" ref="G127">MIN(_xlfn._xlws.FILTER(G2:G122, ISNUMBER(G2:G122)))</f>
        <v>-0.17923629999999999</v>
      </c>
      <c r="H127" s="33" cm="1">
        <f t="array" ref="H127">MIN(_xlfn._xlws.FILTER(H2:H122, ISNUMBER(H2:H122)))</f>
        <v>-0.27035229999999999</v>
      </c>
      <c r="I127" s="33" cm="1">
        <f t="array" ref="I127">MIN(_xlfn._xlws.FILTER(I2:I122, ISNUMBER(I2:I122)))</f>
        <v>-0.18027615</v>
      </c>
      <c r="J127" s="33" cm="1">
        <f t="array" ref="J127">MIN(_xlfn._xlws.FILTER(J2:J122, ISNUMBER(J2:J122)))</f>
        <v>-0.20225119999999999</v>
      </c>
      <c r="K127" s="33" cm="1">
        <f t="array" ref="K127">MIN(_xlfn._xlws.FILTER(K2:K122, ISNUMBER(K2:K122)))</f>
        <v>-0.26819455999999997</v>
      </c>
      <c r="L127" s="33" cm="1">
        <f t="array" ref="L127">MIN(_xlfn._xlws.FILTER(L2:L122, ISNUMBER(L2:L122)))</f>
        <v>-0.25318288999999999</v>
      </c>
      <c r="M127" s="33" cm="1">
        <f t="array" ref="M127">MIN(_xlfn._xlws.FILTER(M2:M122, ISNUMBER(M2:M122)))</f>
        <v>-0.23517262999999999</v>
      </c>
      <c r="N127" s="33" cm="1">
        <f t="array" ref="N127">MIN(_xlfn._xlws.FILTER(N2:N122, ISNUMBER(N2:N122)))</f>
        <v>-0.30494325999999999</v>
      </c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9" spans="1:17" x14ac:dyDescent="0.35">
      <c r="A129" t="s">
        <v>91</v>
      </c>
      <c r="B129">
        <f>COUNTIF(B2:B122, "&lt;"&amp;Assumption!$E$49)</f>
        <v>14</v>
      </c>
      <c r="C129">
        <f>COUNTIF(C2:C122, "&lt;"&amp;Assumption!$E$49)</f>
        <v>16</v>
      </c>
      <c r="D129">
        <f>COUNTIF(D2:D122, "&lt;"&amp;Assumption!$E$49)</f>
        <v>17</v>
      </c>
      <c r="E129">
        <f>COUNTIF(E2:E122, "&lt;"&amp;Assumption!$E$49)</f>
        <v>17</v>
      </c>
      <c r="F129">
        <f>COUNTIF(F2:F122, "&lt;"&amp;Assumption!$E$49)</f>
        <v>10</v>
      </c>
      <c r="G129">
        <f>COUNTIF(G2:G122, "&lt;"&amp;Assumption!$E$49)</f>
        <v>9</v>
      </c>
      <c r="H129">
        <f>COUNTIF(H2:H122, "&lt;"&amp;Assumption!$E$49)</f>
        <v>11</v>
      </c>
      <c r="I129">
        <f>COUNTIF(I2:I122, "&lt;"&amp;Assumption!$E$49)</f>
        <v>15</v>
      </c>
      <c r="J129">
        <f>COUNTIF(J2:J122, "&lt;"&amp;Assumption!$E$49)</f>
        <v>11</v>
      </c>
      <c r="K129">
        <f>COUNTIF(K2:K122, "&lt;"&amp;Assumption!$E$49)</f>
        <v>15</v>
      </c>
      <c r="L129">
        <f>COUNTIF(L2:L122, "&lt;"&amp;Assumption!$E$49)</f>
        <v>14</v>
      </c>
      <c r="M129">
        <f>COUNTIF(M2:M122, "&lt;"&amp;Assumption!$E$49)</f>
        <v>14</v>
      </c>
      <c r="N129">
        <f>COUNTIF(N2:N122, "&lt;"&amp;Assumption!$E$49)</f>
        <v>23</v>
      </c>
    </row>
    <row r="130" spans="1:17" x14ac:dyDescent="0.35">
      <c r="A130" t="s">
        <v>90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92</v>
      </c>
      <c r="B132" s="9">
        <f t="shared" ref="B132:J132" si="2">B129/B130</f>
        <v>0.11570247933884298</v>
      </c>
      <c r="C132" s="9">
        <f t="shared" si="2"/>
        <v>0.13223140495867769</v>
      </c>
      <c r="D132" s="9">
        <f t="shared" si="2"/>
        <v>0.14049586776859505</v>
      </c>
      <c r="E132" s="9">
        <f t="shared" si="2"/>
        <v>0.14049586776859505</v>
      </c>
      <c r="F132" s="9">
        <f t="shared" si="2"/>
        <v>8.2644628099173556E-2</v>
      </c>
      <c r="G132" s="9">
        <f t="shared" si="2"/>
        <v>7.43801652892562E-2</v>
      </c>
      <c r="H132" s="9">
        <f t="shared" si="2"/>
        <v>9.0909090909090912E-2</v>
      </c>
      <c r="I132" s="9">
        <f t="shared" si="2"/>
        <v>0.12396694214876033</v>
      </c>
      <c r="J132" s="9">
        <f t="shared" si="2"/>
        <v>9.0909090909090912E-2</v>
      </c>
      <c r="K132" s="9">
        <f t="shared" ref="K132:N132" si="3">K129/K130</f>
        <v>0.12396694214876033</v>
      </c>
      <c r="L132" s="9">
        <f t="shared" si="3"/>
        <v>0.11570247933884298</v>
      </c>
      <c r="M132" s="9">
        <f t="shared" si="3"/>
        <v>0.11570247933884298</v>
      </c>
      <c r="N132" s="9">
        <f t="shared" si="3"/>
        <v>0.19008264462809918</v>
      </c>
      <c r="O132" s="9"/>
      <c r="P132" s="9"/>
      <c r="Q132" s="9"/>
    </row>
    <row r="134" spans="1:17" x14ac:dyDescent="0.35">
      <c r="A134" t="s">
        <v>99</v>
      </c>
      <c r="B134" s="9" cm="1">
        <f t="array" ref="B134">_xlfn.PERCENTRANK.EXC(_xlfn._xlws.FILTER(B2:B122, ISNUMBER(B2:B122)),B122)</f>
        <v>0.56499999999999995</v>
      </c>
      <c r="C134" s="9" cm="1">
        <f t="array" ref="C134">_xlfn.PERCENTRANK.EXC(_xlfn._xlws.FILTER(C2:C122, ISNUMBER(C2:C122)),C122)</f>
        <v>0.745</v>
      </c>
      <c r="D134" s="9" cm="1">
        <f t="array" ref="D134">_xlfn.PERCENTRANK.EXC(_xlfn._xlws.FILTER(D2:D122, ISNUMBER(D2:D122)),D122)</f>
        <v>0.877</v>
      </c>
      <c r="E134" s="9" cm="1">
        <f t="array" ref="E134">_xlfn.PERCENTRANK.EXC(_xlfn._xlws.FILTER(E2:E122, ISNUMBER(E2:E122)),E122)</f>
        <v>0.90100000000000002</v>
      </c>
      <c r="F134" s="9" cm="1">
        <f t="array" ref="F134">_xlfn.PERCENTRANK.EXC(_xlfn._xlws.FILTER(F2:F122, ISNUMBER(F2:F122)),F122)</f>
        <v>0.72899999999999998</v>
      </c>
      <c r="G134" s="9" cm="1">
        <f t="array" ref="G134">_xlfn.PERCENTRANK.EXC(_xlfn._xlws.FILTER(G2:G122, ISNUMBER(G2:G122)),G122)</f>
        <v>0.82699999999999996</v>
      </c>
      <c r="H134" s="9" cm="1">
        <f t="array" ref="H134">_xlfn.PERCENTRANK.EXC(_xlfn._xlws.FILTER(H2:H122, ISNUMBER(H2:H122)),H122)</f>
        <v>0.81100000000000005</v>
      </c>
      <c r="I134" s="9" cm="1">
        <f t="array" ref="I134">_xlfn.PERCENTRANK.EXC(_xlfn._xlws.FILTER(I2:I122, ISNUMBER(I2:I122)),I122)</f>
        <v>0.42599999999999999</v>
      </c>
      <c r="J134" s="9" cm="1">
        <f t="array" ref="J134">_xlfn.PERCENTRANK.EXC(_xlfn._xlws.FILTER(J2:J122, ISNUMBER(J2:J122)),J122)</f>
        <v>0.745</v>
      </c>
      <c r="K134" s="9" cm="1">
        <f t="array" ref="K134">_xlfn.PERCENTRANK.EXC(_xlfn._xlws.FILTER(K2:K122, ISNUMBER(K2:K122)),K122)</f>
        <v>0.91800000000000004</v>
      </c>
      <c r="L134" s="9" cm="1">
        <f t="array" ref="L134">_xlfn.PERCENTRANK.EXC(_xlfn._xlws.FILTER(L2:L122, ISNUMBER(L2:L122)),L122)</f>
        <v>0.71299999999999997</v>
      </c>
      <c r="M134" s="9" cm="1">
        <f t="array" ref="M134">_xlfn.PERCENTRANK.EXC(_xlfn._xlws.FILTER(M2:M122, ISNUMBER(M2:M122)),M122)</f>
        <v>0.92600000000000005</v>
      </c>
      <c r="N134" s="9" cm="1">
        <f t="array" ref="N134">_xlfn.PERCENTRANK.EXC(_xlfn._xlws.FILTER(N2:N122, ISNUMBER(N2:N122)),N122)</f>
        <v>0.91800000000000004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0.27500000000000002</v>
      </c>
      <c r="C136" s="9" cm="1">
        <f t="array" ref="C136">_xlfn.PERCENTRANK.EXC(_xlfn._xlws.FILTER(C4:C125, ISNUMBER(C4:C125)),C113)</f>
        <v>0.52500000000000002</v>
      </c>
      <c r="D136" s="9" cm="1">
        <f t="array" ref="D136">_xlfn.PERCENTRANK.EXC(_xlfn._xlws.FILTER(D4:D125, ISNUMBER(D4:D125)),D113)</f>
        <v>0.40799999999999997</v>
      </c>
      <c r="E136" s="9" cm="1">
        <f t="array" ref="E136">_xlfn.PERCENTRANK.EXC(_xlfn._xlws.FILTER(E4:E125, ISNUMBER(E4:E125)),E113)</f>
        <v>0.625</v>
      </c>
      <c r="F136" s="9" cm="1">
        <f t="array" ref="F136">_xlfn.PERCENTRANK.EXC(_xlfn._xlws.FILTER(F4:F125, ISNUMBER(F4:F125)),F113)</f>
        <v>0.91600000000000004</v>
      </c>
      <c r="G136" s="9" cm="1">
        <f t="array" ref="G136">_xlfn.PERCENTRANK.EXC(_xlfn._xlws.FILTER(G4:G125, ISNUMBER(G4:G125)),G113)</f>
        <v>0.17499999999999999</v>
      </c>
      <c r="H136" s="9" cm="1">
        <f t="array" ref="H136">_xlfn.PERCENTRANK.EXC(_xlfn._xlws.FILTER(H4:H125, ISNUMBER(H4:H125)),H113)</f>
        <v>0.45800000000000002</v>
      </c>
      <c r="I136" s="9" cm="1">
        <f t="array" ref="I136">_xlfn.PERCENTRANK.EXC(_xlfn._xlws.FILTER(I4:I125, ISNUMBER(I4:I125)),I113)</f>
        <v>0.98299999999999998</v>
      </c>
      <c r="J136" s="9" cm="1">
        <f t="array" ref="J136">_xlfn.PERCENTRANK.EXC(_xlfn._xlws.FILTER(J4:J125, ISNUMBER(J4:J125)),J113)</f>
        <v>0.94099999999999995</v>
      </c>
      <c r="K136" s="9" cm="1">
        <f t="array" ref="K136">_xlfn.PERCENTRANK.EXC(_xlfn._xlws.FILTER(K4:K125, ISNUMBER(K4:K125)),K113)</f>
        <v>0.4</v>
      </c>
      <c r="L136" s="9" cm="1">
        <f t="array" ref="L136">_xlfn.PERCENTRANK.EXC(_xlfn._xlws.FILTER(L4:L125, ISNUMBER(L4:L125)),L113)</f>
        <v>0.76600000000000001</v>
      </c>
      <c r="M136" s="9" cm="1">
        <f t="array" ref="M136">_xlfn.PERCENTRANK.EXC(_xlfn._xlws.FILTER(M4:M125, ISNUMBER(M4:M125)),M113)</f>
        <v>0.40799999999999997</v>
      </c>
      <c r="N136" s="9" cm="1">
        <f t="array" ref="N136">_xlfn.PERCENTRANK.EXC(_xlfn._xlws.FILTER(N4:N125, ISNUMBER(N4:N125)),N113)</f>
        <v>0.54100000000000004</v>
      </c>
    </row>
    <row r="138" spans="1:17" x14ac:dyDescent="0.35">
      <c r="A138" t="s">
        <v>836</v>
      </c>
      <c r="B138">
        <f t="shared" ref="B138:J138" si="4">STDEV(B40:B122)</f>
        <v>5.1301964425309328E-2</v>
      </c>
      <c r="C138">
        <f t="shared" si="4"/>
        <v>5.6130298630361584E-2</v>
      </c>
      <c r="D138">
        <f t="shared" si="4"/>
        <v>5.4059249399984174E-2</v>
      </c>
      <c r="E138">
        <f t="shared" si="4"/>
        <v>6.4849562224828655E-2</v>
      </c>
      <c r="F138">
        <f t="shared" si="4"/>
        <v>4.8361934563826932E-2</v>
      </c>
      <c r="G138">
        <f t="shared" si="4"/>
        <v>4.7195554664201646E-2</v>
      </c>
      <c r="H138">
        <f t="shared" si="4"/>
        <v>5.4039065227810122E-2</v>
      </c>
      <c r="I138">
        <f t="shared" si="4"/>
        <v>5.7832527606991299E-2</v>
      </c>
      <c r="J138">
        <f t="shared" si="4"/>
        <v>4.6170904430307753E-2</v>
      </c>
      <c r="K138">
        <f t="shared" ref="K138:N138" si="5">STDEV(K40:K122)</f>
        <v>6.0835453539757813E-2</v>
      </c>
      <c r="L138">
        <f t="shared" si="5"/>
        <v>6.7450649256442466E-2</v>
      </c>
      <c r="M138">
        <f t="shared" si="5"/>
        <v>6.5308845161669668E-2</v>
      </c>
      <c r="N138">
        <f t="shared" si="5"/>
        <v>7.2601452607618244E-2</v>
      </c>
    </row>
    <row r="139" spans="1:17" x14ac:dyDescent="0.35">
      <c r="A139" t="s">
        <v>837</v>
      </c>
      <c r="B139" s="83">
        <f t="shared" ref="B139:J139" si="6">B138*SQRT(12)</f>
        <v>0.17771521782545366</v>
      </c>
      <c r="C139" s="83">
        <f t="shared" si="6"/>
        <v>0.19444105814360005</v>
      </c>
      <c r="D139" s="83">
        <f t="shared" si="6"/>
        <v>0.18726673315961986</v>
      </c>
      <c r="E139" s="83">
        <f t="shared" si="6"/>
        <v>0.22464547324400524</v>
      </c>
      <c r="F139" s="83">
        <f t="shared" si="6"/>
        <v>0.16753065563373926</v>
      </c>
      <c r="G139" s="83">
        <f t="shared" si="6"/>
        <v>0.1634901971395831</v>
      </c>
      <c r="H139" s="83">
        <f t="shared" si="6"/>
        <v>0.18719681313619149</v>
      </c>
      <c r="I139" s="83">
        <f t="shared" si="6"/>
        <v>0.20033775229087733</v>
      </c>
      <c r="J139" s="83">
        <f t="shared" si="6"/>
        <v>0.15994070460939999</v>
      </c>
      <c r="K139" s="83">
        <f t="shared" ref="K139:N139" si="7">K138*SQRT(12)</f>
        <v>0.21074019286471285</v>
      </c>
      <c r="L139" s="83">
        <f t="shared" si="7"/>
        <v>0.23365590303133252</v>
      </c>
      <c r="M139" s="83">
        <f t="shared" si="7"/>
        <v>0.22623647600732141</v>
      </c>
      <c r="N139" s="83">
        <f t="shared" si="7"/>
        <v>0.25149880923939749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6328125" customWidth="1"/>
    <col min="11" max="11" width="8.90625" customWidth="1"/>
  </cols>
  <sheetData>
    <row r="1" spans="1:14" x14ac:dyDescent="0.35">
      <c r="A1" s="2" t="s">
        <v>392</v>
      </c>
      <c r="B1" s="3" t="s">
        <v>435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56" t="s">
        <v>872</v>
      </c>
      <c r="L1" s="56" t="s">
        <v>874</v>
      </c>
      <c r="M1" s="56" t="s">
        <v>871</v>
      </c>
      <c r="N1" s="56" t="s">
        <v>873</v>
      </c>
    </row>
    <row r="2" spans="1:14" x14ac:dyDescent="0.35">
      <c r="A2" s="2" cm="1">
        <f t="array" ref="A2:A122">_xll.FDS(B1,"JULIAN(P_PRICE_RETURNS_PR('52W',2,-10AY,0,AM).dates)")</f>
        <v>41712</v>
      </c>
      <c r="B2" s="7" cm="1">
        <f t="array" ref="B2:B122">_xll.FDS(B1,"P_PRICE_RETURNS_PR('52W',2,-10AY,0,AM)")</f>
        <v>18.878710000000002</v>
      </c>
      <c r="C2" s="7" cm="1">
        <f t="array" ref="C2:C122">_xll.FDS(C1,"P_PRICE_RETURNS_PR('52W',2,-10AY,0,AM)")</f>
        <v>-4.8319099999999997</v>
      </c>
      <c r="D2" s="7" cm="1">
        <f t="array" ref="D2:D122">_xll.FDS(D1,"P_PRICE_RETURNS_PR('52W',2,-10AY,0,AM)")</f>
        <v>4.7064542999999999</v>
      </c>
      <c r="E2" s="7" cm="1">
        <f t="array" ref="E2:E122">_xll.FDS(E1,"P_PRICE_RETURNS_PR('52W',2,-10AY,0,AM)")</f>
        <v>19.458818000000001</v>
      </c>
      <c r="F2" s="7" cm="1">
        <f t="array" ref="F2:F122">_xll.FDS(F1,"P_PRICE_RETURNS_PR('52W',2,-10AY,0,AM)")</f>
        <v>5.9658765999999996</v>
      </c>
      <c r="G2" s="7" cm="1">
        <f t="array" ref="G2:G122">_xll.FDS(G1,"P_PRICE_RETURNS_PR('52W',2,-10AY,0,AM)")</f>
        <v>15.153193</v>
      </c>
      <c r="H2" s="7" cm="1">
        <f t="array" ref="H2:H122">_xll.FDS(H1,"P_PRICE_RETURNS_PR('52W',2,-10AY,0,AM)")</f>
        <v>12.698936</v>
      </c>
      <c r="I2" s="7" cm="1">
        <f t="array" ref="I2:I122">_xll.FDS(I1,"P_PRICE_RETURNS_PR('52W',2,-10AY,0,AM)")</f>
        <v>30.813873000000001</v>
      </c>
      <c r="J2" s="7" cm="1">
        <f t="array" ref="J2:J122">_xll.FDS(J1,"P_PRICE_RETURNS_PR('52W',2,-10AY,0,AM)")</f>
        <v>20.198654000000001</v>
      </c>
      <c r="K2" s="169" cm="1">
        <f t="array" ref="K2:K122">_xll.FDS(K1,"P_PRICE_RETURNS_PR('52W',2,-10AY,0,AM)")</f>
        <v>19.304157</v>
      </c>
      <c r="L2" s="169" cm="1">
        <f t="array" ref="L2:L122">_xll.FDS(L1,"P_PRICE_RETURNS_PR('52W',2,-10AY,0,AM)")</f>
        <v>20.710075</v>
      </c>
      <c r="M2" s="169" cm="1">
        <f t="array" ref="M2:M122">_xll.FDS(M1,"P_PRICE_RETURNS_PR('52W',2,-10AY,0,AM)")</f>
        <v>11.683225999999999</v>
      </c>
      <c r="N2" s="169" cm="1">
        <f t="array" ref="N2:N122">_xll.FDS(N1,"P_PRICE_RETURNS_PR('52W',2,-10AY,0,AM)")</f>
        <v>36.432181999999997</v>
      </c>
    </row>
    <row r="3" spans="1:14" x14ac:dyDescent="0.35">
      <c r="A3" s="2">
        <v>41743</v>
      </c>
      <c r="B3" s="49">
        <v>15.555799499999999</v>
      </c>
      <c r="C3" s="49">
        <v>0.69135429999999998</v>
      </c>
      <c r="D3" s="49">
        <v>9.9277379999999997</v>
      </c>
      <c r="E3" s="49">
        <v>25.245739</v>
      </c>
      <c r="F3" s="49">
        <v>-2.4845540000000002</v>
      </c>
      <c r="G3" s="49">
        <v>16.841470000000001</v>
      </c>
      <c r="H3" s="49">
        <v>14.654291000000001</v>
      </c>
      <c r="I3" s="49">
        <v>23.127829999999999</v>
      </c>
      <c r="J3" s="49">
        <v>17.524206</v>
      </c>
      <c r="K3" s="56">
        <v>26.056421</v>
      </c>
      <c r="L3" s="56">
        <v>22.362555</v>
      </c>
      <c r="M3" s="56">
        <v>12.356007</v>
      </c>
      <c r="N3" s="56">
        <v>45.557045000000002</v>
      </c>
    </row>
    <row r="4" spans="1:14" x14ac:dyDescent="0.35">
      <c r="A4" s="2">
        <v>41773</v>
      </c>
      <c r="B4" s="49">
        <v>17.898904999999999</v>
      </c>
      <c r="C4" s="49">
        <v>3.212297</v>
      </c>
      <c r="D4" s="49">
        <v>11.756695000000001</v>
      </c>
      <c r="E4" s="49">
        <v>22.743452000000001</v>
      </c>
      <c r="F4" s="49">
        <v>-5.1614880000000003</v>
      </c>
      <c r="G4" s="49">
        <v>17.464388</v>
      </c>
      <c r="H4" s="49">
        <v>16.541374000000001</v>
      </c>
      <c r="I4" s="49">
        <v>21.360444999999999</v>
      </c>
      <c r="J4" s="49">
        <v>16.72926</v>
      </c>
      <c r="K4" s="56">
        <v>23.214828000000001</v>
      </c>
      <c r="L4" s="56">
        <v>19.889938000000001</v>
      </c>
      <c r="M4" s="56">
        <v>16.047084999999999</v>
      </c>
      <c r="N4" s="56">
        <v>31.849551999999999</v>
      </c>
    </row>
    <row r="5" spans="1:14" x14ac:dyDescent="0.35">
      <c r="A5" s="2">
        <v>41803</v>
      </c>
      <c r="B5" s="49">
        <v>25.444579999999998</v>
      </c>
      <c r="C5" s="49">
        <v>15.750540000000001</v>
      </c>
      <c r="D5" s="49">
        <v>16.987669</v>
      </c>
      <c r="E5" s="49">
        <v>21.930468000000001</v>
      </c>
      <c r="F5" s="49">
        <v>6.762016</v>
      </c>
      <c r="G5" s="49">
        <v>19.017529</v>
      </c>
      <c r="H5" s="49">
        <v>18.762089</v>
      </c>
      <c r="I5" s="49">
        <v>28.896999999999998</v>
      </c>
      <c r="J5" s="49">
        <v>20.604085999999999</v>
      </c>
      <c r="K5" s="56">
        <v>23.036062000000001</v>
      </c>
      <c r="L5" s="56">
        <v>20.833587999999999</v>
      </c>
      <c r="M5" s="56">
        <v>16.727637999999999</v>
      </c>
      <c r="N5" s="56">
        <v>41.032609999999998</v>
      </c>
    </row>
    <row r="6" spans="1:14" x14ac:dyDescent="0.35">
      <c r="A6" s="2">
        <v>41834</v>
      </c>
      <c r="B6" s="49">
        <v>26.49418</v>
      </c>
      <c r="C6" s="49">
        <v>19.749296000000001</v>
      </c>
      <c r="D6" s="49">
        <v>20.792912999999999</v>
      </c>
      <c r="E6" s="49">
        <v>23.010301999999999</v>
      </c>
      <c r="F6" s="49">
        <v>3.3100128</v>
      </c>
      <c r="G6" s="49">
        <v>17.429901000000001</v>
      </c>
      <c r="H6" s="49">
        <v>19.419432</v>
      </c>
      <c r="I6" s="49">
        <v>29.23479</v>
      </c>
      <c r="J6" s="49">
        <v>20.282219999999999</v>
      </c>
      <c r="K6" s="56">
        <v>20.459318</v>
      </c>
      <c r="L6" s="56">
        <v>15.159249000000001</v>
      </c>
      <c r="M6" s="56">
        <v>13.454008</v>
      </c>
      <c r="N6" s="56">
        <v>43.035052999999998</v>
      </c>
    </row>
    <row r="7" spans="1:14" x14ac:dyDescent="0.35">
      <c r="A7" s="2">
        <v>41865</v>
      </c>
      <c r="B7" s="49">
        <v>18.821048999999999</v>
      </c>
      <c r="C7" s="49">
        <v>14.721584</v>
      </c>
      <c r="D7" s="49">
        <v>17.45045</v>
      </c>
      <c r="E7" s="49">
        <v>9.277094</v>
      </c>
      <c r="F7" s="49">
        <v>5.305898</v>
      </c>
      <c r="G7" s="49">
        <v>10.992991999999999</v>
      </c>
      <c r="H7" s="49">
        <v>11.735476</v>
      </c>
      <c r="I7" s="49">
        <v>28.135086000000001</v>
      </c>
      <c r="J7" s="49">
        <v>18.293559999999999</v>
      </c>
      <c r="K7" s="56">
        <v>5.5986880000000001</v>
      </c>
      <c r="L7" s="56">
        <v>2.9116392000000002</v>
      </c>
      <c r="M7" s="56">
        <v>3.5678983</v>
      </c>
      <c r="N7" s="56">
        <v>14.50088</v>
      </c>
    </row>
    <row r="8" spans="1:14" x14ac:dyDescent="0.35">
      <c r="A8" s="2">
        <v>41894</v>
      </c>
      <c r="B8" s="49">
        <v>13.207542</v>
      </c>
      <c r="C8" s="49">
        <v>7.3985576999999996</v>
      </c>
      <c r="D8" s="49">
        <v>17.075657</v>
      </c>
      <c r="E8" s="49">
        <v>9.5650200000000005</v>
      </c>
      <c r="F8" s="49">
        <v>3.6258697999999998</v>
      </c>
      <c r="G8" s="49">
        <v>11.946391999999999</v>
      </c>
      <c r="H8" s="49">
        <v>8.5413219999999992</v>
      </c>
      <c r="I8" s="49">
        <v>29.483115999999999</v>
      </c>
      <c r="J8" s="49">
        <v>20.180427999999999</v>
      </c>
      <c r="K8" s="56">
        <v>7.7589034999999997</v>
      </c>
      <c r="L8" s="56">
        <v>6.683719</v>
      </c>
      <c r="M8" s="56">
        <v>0.95881223999999998</v>
      </c>
      <c r="N8" s="56">
        <v>19.685268000000001</v>
      </c>
    </row>
    <row r="9" spans="1:14" x14ac:dyDescent="0.35">
      <c r="A9" s="2">
        <v>41926</v>
      </c>
      <c r="B9" s="49">
        <v>1.7155647000000001</v>
      </c>
      <c r="C9" s="49">
        <v>-5.7391524</v>
      </c>
      <c r="D9" s="49">
        <v>2.0513773</v>
      </c>
      <c r="E9" s="49">
        <v>-7.0053697000000001</v>
      </c>
      <c r="F9" s="49">
        <v>-6.7976894000000003</v>
      </c>
      <c r="G9" s="49">
        <v>0.91307163000000002</v>
      </c>
      <c r="H9" s="49">
        <v>-0.91294646000000002</v>
      </c>
      <c r="I9" s="49">
        <v>18.235706</v>
      </c>
      <c r="J9" s="49">
        <v>11.93782</v>
      </c>
      <c r="K9" s="56">
        <v>-8.0002189999999995</v>
      </c>
      <c r="L9" s="56">
        <v>-3.5942972000000002</v>
      </c>
      <c r="M9" s="56">
        <v>-6.9046316000000001</v>
      </c>
      <c r="N9" s="56">
        <v>-4.4616639999999999</v>
      </c>
    </row>
    <row r="10" spans="1:14" x14ac:dyDescent="0.35">
      <c r="A10" s="2">
        <v>41957</v>
      </c>
      <c r="B10" s="49">
        <v>6.8191766999999999</v>
      </c>
      <c r="C10" s="49">
        <v>-0.45861005999999999</v>
      </c>
      <c r="D10" s="49">
        <v>5.0327419999999998</v>
      </c>
      <c r="E10" s="49">
        <v>-6.7468405000000002</v>
      </c>
      <c r="F10" s="49">
        <v>-0.8460164</v>
      </c>
      <c r="G10" s="49">
        <v>3.8841009999999998</v>
      </c>
      <c r="H10" s="49">
        <v>-0.46468377</v>
      </c>
      <c r="I10" s="49">
        <v>24.989664000000001</v>
      </c>
      <c r="J10" s="49">
        <v>16.142060000000001</v>
      </c>
      <c r="K10" s="56">
        <v>-5.8820604999999997</v>
      </c>
      <c r="L10" s="56">
        <v>-1.9457161000000001</v>
      </c>
      <c r="M10" s="56">
        <v>1.2818813</v>
      </c>
      <c r="N10" s="56">
        <v>-3.4235536999999998</v>
      </c>
    </row>
    <row r="11" spans="1:14" x14ac:dyDescent="0.35">
      <c r="A11" s="2">
        <v>41985</v>
      </c>
      <c r="B11" s="49">
        <v>10.927284</v>
      </c>
      <c r="C11" s="49">
        <v>-1.6705452999999999</v>
      </c>
      <c r="D11" s="49">
        <v>-1.0899127</v>
      </c>
      <c r="E11" s="49">
        <v>-4.9626646000000001</v>
      </c>
      <c r="F11" s="49">
        <v>-3.0926703999999998</v>
      </c>
      <c r="G11" s="49">
        <v>4.6156883000000004</v>
      </c>
      <c r="H11" s="49">
        <v>-4.8598049999999997</v>
      </c>
      <c r="I11" s="49">
        <v>22.62621</v>
      </c>
      <c r="J11" s="49">
        <v>14.968145</v>
      </c>
      <c r="K11" s="56">
        <v>-6.2788066999999996</v>
      </c>
      <c r="L11" s="56">
        <v>0.66150427000000001</v>
      </c>
      <c r="M11" s="56">
        <v>1.7658948999999999</v>
      </c>
      <c r="N11" s="56">
        <v>-3.3575594</v>
      </c>
    </row>
    <row r="12" spans="1:14" x14ac:dyDescent="0.35">
      <c r="A12" s="2">
        <v>42018</v>
      </c>
      <c r="B12" s="49">
        <v>7.7616569999999996</v>
      </c>
      <c r="C12" s="49">
        <v>-3.8308203000000001</v>
      </c>
      <c r="D12" s="49">
        <v>-3.3954917999999998</v>
      </c>
      <c r="E12" s="49">
        <v>-11.671925</v>
      </c>
      <c r="F12" s="49">
        <v>-5.5764079999999998</v>
      </c>
      <c r="G12" s="49">
        <v>-2.0247459999999999</v>
      </c>
      <c r="H12" s="49">
        <v>-10.447960999999999</v>
      </c>
      <c r="I12" s="49">
        <v>16.948187000000001</v>
      </c>
      <c r="J12" s="49">
        <v>11.494434</v>
      </c>
      <c r="K12" s="56">
        <v>-11.834334999999999</v>
      </c>
      <c r="L12" s="56">
        <v>-8.4671610000000008</v>
      </c>
      <c r="M12" s="56">
        <v>-11.413406999999999</v>
      </c>
      <c r="N12" s="56">
        <v>-16.867054</v>
      </c>
    </row>
    <row r="13" spans="1:14" x14ac:dyDescent="0.35">
      <c r="A13" s="2">
        <v>42048</v>
      </c>
      <c r="B13" s="49">
        <v>7.0205570000000002</v>
      </c>
      <c r="C13" s="49">
        <v>-0.50663950000000002</v>
      </c>
      <c r="D13" s="49">
        <v>-0.90208650000000001</v>
      </c>
      <c r="E13" s="49">
        <v>-5.3738475000000001</v>
      </c>
      <c r="F13" s="49">
        <v>5.7072279999999997</v>
      </c>
      <c r="G13" s="49">
        <v>0.49161909999999998</v>
      </c>
      <c r="H13" s="49">
        <v>-2.3568392</v>
      </c>
      <c r="I13" s="49">
        <v>21.104717000000001</v>
      </c>
      <c r="J13" s="49">
        <v>16.865729999999999</v>
      </c>
      <c r="K13" s="56">
        <v>-5.0176379999999998</v>
      </c>
      <c r="L13" s="56">
        <v>-6.0522555999999998E-2</v>
      </c>
      <c r="M13" s="56">
        <v>-2.3532449999999998</v>
      </c>
      <c r="N13" s="56">
        <v>-10.152167</v>
      </c>
    </row>
    <row r="14" spans="1:14" x14ac:dyDescent="0.35">
      <c r="A14" s="2">
        <v>42076</v>
      </c>
      <c r="B14" s="49">
        <v>0.11053085</v>
      </c>
      <c r="C14" s="49">
        <v>-4.6622157</v>
      </c>
      <c r="D14" s="49">
        <v>-7.3547960000000003</v>
      </c>
      <c r="E14" s="49">
        <v>0.50235987000000004</v>
      </c>
      <c r="F14" s="49">
        <v>13.154517999999999</v>
      </c>
      <c r="G14" s="49">
        <v>-0.86193679999999995</v>
      </c>
      <c r="H14" s="49">
        <v>-5.3394136000000003</v>
      </c>
      <c r="I14" s="49">
        <v>19.301832000000001</v>
      </c>
      <c r="J14" s="49">
        <v>13.320017</v>
      </c>
      <c r="K14" s="56">
        <v>-7.4129459999999998</v>
      </c>
      <c r="L14" s="56">
        <v>2.3496389999999998</v>
      </c>
      <c r="M14" s="56">
        <v>-4.4303119999999998</v>
      </c>
      <c r="N14" s="56">
        <v>-12.726188</v>
      </c>
    </row>
    <row r="15" spans="1:14" x14ac:dyDescent="0.35">
      <c r="A15" s="2">
        <v>42108</v>
      </c>
      <c r="B15" s="49">
        <v>1.3917565000000001</v>
      </c>
      <c r="C15" s="49">
        <v>-7.0181789999999999</v>
      </c>
      <c r="D15" s="49">
        <v>-1.9316852</v>
      </c>
      <c r="E15" s="49">
        <v>1.085329</v>
      </c>
      <c r="F15" s="49">
        <v>19.636272000000002</v>
      </c>
      <c r="G15" s="49">
        <v>3.1060099999999999</v>
      </c>
      <c r="H15" s="49">
        <v>-2.3164392</v>
      </c>
      <c r="I15" s="49">
        <v>27.828074000000001</v>
      </c>
      <c r="J15" s="49">
        <v>16.748201000000002</v>
      </c>
      <c r="K15" s="56">
        <v>-5.3739549999999996</v>
      </c>
      <c r="L15" s="56">
        <v>4.8393490000000003</v>
      </c>
      <c r="M15" s="56">
        <v>-2.4596870000000002</v>
      </c>
      <c r="N15" s="56">
        <v>-12.048351</v>
      </c>
    </row>
    <row r="16" spans="1:14" x14ac:dyDescent="0.35">
      <c r="A16" s="2">
        <v>42138</v>
      </c>
      <c r="B16" s="49">
        <v>-3.4938812000000001</v>
      </c>
      <c r="C16" s="49">
        <v>-7.001919</v>
      </c>
      <c r="D16" s="49">
        <v>-4.0528716999999999</v>
      </c>
      <c r="E16" s="49">
        <v>-1.4983058</v>
      </c>
      <c r="F16" s="49">
        <v>17.811012000000002</v>
      </c>
      <c r="G16" s="49">
        <v>5.2400947000000002</v>
      </c>
      <c r="H16" s="49">
        <v>-2.2009432000000002</v>
      </c>
      <c r="I16" s="49">
        <v>26.14894</v>
      </c>
      <c r="J16" s="49">
        <v>14.435816000000001</v>
      </c>
      <c r="K16" s="56">
        <v>-4.4868350000000001</v>
      </c>
      <c r="L16" s="56">
        <v>7.9207419999999997</v>
      </c>
      <c r="M16" s="56">
        <v>-3.2165050000000002</v>
      </c>
      <c r="N16" s="56">
        <v>-4.9198627000000004</v>
      </c>
    </row>
    <row r="17" spans="1:14" x14ac:dyDescent="0.35">
      <c r="A17" s="2">
        <v>42167</v>
      </c>
      <c r="B17" s="49">
        <v>-8.0610389999999992</v>
      </c>
      <c r="C17" s="49">
        <v>-13.217646</v>
      </c>
      <c r="D17" s="49">
        <v>-10.070783</v>
      </c>
      <c r="E17" s="49">
        <v>-6.6173973000000004</v>
      </c>
      <c r="F17" s="49">
        <v>11.516476000000001</v>
      </c>
      <c r="G17" s="49">
        <v>1.6569734</v>
      </c>
      <c r="H17" s="49">
        <v>-5.9419209999999998</v>
      </c>
      <c r="I17" s="49">
        <v>19.454001999999999</v>
      </c>
      <c r="J17" s="49">
        <v>10.627996</v>
      </c>
      <c r="K17" s="56">
        <v>-7.9854545999999997</v>
      </c>
      <c r="L17" s="56">
        <v>3.0856729000000001</v>
      </c>
      <c r="M17" s="56">
        <v>-2.5297105000000002</v>
      </c>
      <c r="N17" s="56">
        <v>-11.595768</v>
      </c>
    </row>
    <row r="18" spans="1:14" x14ac:dyDescent="0.35">
      <c r="A18" s="2">
        <v>42199</v>
      </c>
      <c r="B18" s="49">
        <v>-13.402742</v>
      </c>
      <c r="C18" s="49">
        <v>-16.929286999999999</v>
      </c>
      <c r="D18" s="49">
        <v>-16.736263000000001</v>
      </c>
      <c r="E18" s="49">
        <v>-4.8536299999999999</v>
      </c>
      <c r="F18" s="49">
        <v>8.0421209999999999</v>
      </c>
      <c r="G18" s="49">
        <v>3.0323386000000001</v>
      </c>
      <c r="H18" s="49">
        <v>-6.4012169999999999</v>
      </c>
      <c r="I18" s="49">
        <v>16.280031000000001</v>
      </c>
      <c r="J18" s="49">
        <v>8.7121010000000005</v>
      </c>
      <c r="K18" s="56">
        <v>-4.148352</v>
      </c>
      <c r="L18" s="56">
        <v>7.9176545000000003</v>
      </c>
      <c r="M18" s="56">
        <v>-2.2275627</v>
      </c>
      <c r="N18" s="56">
        <v>-7.173705</v>
      </c>
    </row>
    <row r="19" spans="1:14" x14ac:dyDescent="0.35">
      <c r="A19" s="2">
        <v>42230</v>
      </c>
      <c r="B19" s="49">
        <v>-12.296224</v>
      </c>
      <c r="C19" s="49">
        <v>-21.133047000000001</v>
      </c>
      <c r="D19" s="49">
        <v>-19.750845000000002</v>
      </c>
      <c r="E19" s="49">
        <v>-0.67080854999999995</v>
      </c>
      <c r="F19" s="49">
        <v>9.3020800000000001</v>
      </c>
      <c r="G19" s="49">
        <v>3.4372568000000001</v>
      </c>
      <c r="H19" s="49">
        <v>-5.663043</v>
      </c>
      <c r="I19" s="49">
        <v>15.233110999999999</v>
      </c>
      <c r="J19" s="49">
        <v>9.0776439999999994</v>
      </c>
      <c r="K19" s="56">
        <v>1.1137843000000001</v>
      </c>
      <c r="L19" s="56">
        <v>9.5592500000000005</v>
      </c>
      <c r="M19" s="56">
        <v>-1.5897631999999999</v>
      </c>
      <c r="N19" s="56">
        <v>3.3969282999999999</v>
      </c>
    </row>
    <row r="20" spans="1:14" x14ac:dyDescent="0.35">
      <c r="A20" s="2">
        <v>42261</v>
      </c>
      <c r="B20" s="49">
        <v>-15.229744</v>
      </c>
      <c r="C20" s="49">
        <v>-24.737189999999998</v>
      </c>
      <c r="D20" s="49">
        <v>-26.188564</v>
      </c>
      <c r="E20" s="49">
        <v>-7.4333850000000004</v>
      </c>
      <c r="F20" s="49">
        <v>0.40998459999999998</v>
      </c>
      <c r="G20" s="49">
        <v>-3.2998443000000002</v>
      </c>
      <c r="H20" s="49">
        <v>-13.118898</v>
      </c>
      <c r="I20" s="49">
        <v>6.9350839999999998</v>
      </c>
      <c r="J20" s="49">
        <v>0.36517381999999998</v>
      </c>
      <c r="K20" s="56">
        <v>-8.0708559999999991</v>
      </c>
      <c r="L20" s="56">
        <v>-1.5262066999999999</v>
      </c>
      <c r="M20" s="56">
        <v>-4.4948459999999999</v>
      </c>
      <c r="N20" s="56">
        <v>-7.1057614999999998</v>
      </c>
    </row>
    <row r="21" spans="1:14" x14ac:dyDescent="0.35">
      <c r="A21" s="2">
        <v>42291</v>
      </c>
      <c r="B21" s="49">
        <v>-2.7614474000000002</v>
      </c>
      <c r="C21" s="49">
        <v>-13.365561</v>
      </c>
      <c r="D21" s="49">
        <v>-11.32893</v>
      </c>
      <c r="E21" s="49">
        <v>2.4433136000000002</v>
      </c>
      <c r="F21" s="49">
        <v>9.0070359999999994</v>
      </c>
      <c r="G21" s="49">
        <v>6.3032389999999996</v>
      </c>
      <c r="H21" s="49">
        <v>-1.8796562999999999</v>
      </c>
      <c r="I21" s="49">
        <v>15.172529000000001</v>
      </c>
      <c r="J21" s="49">
        <v>8.3242049999999992</v>
      </c>
      <c r="K21" s="56">
        <v>6.2533380000000003</v>
      </c>
      <c r="L21" s="56">
        <v>8.9450245000000006</v>
      </c>
      <c r="M21" s="56">
        <v>4.1081070000000004</v>
      </c>
      <c r="N21" s="56">
        <v>7.7494500000000004</v>
      </c>
    </row>
    <row r="22" spans="1:14" x14ac:dyDescent="0.35">
      <c r="A22" s="2">
        <v>42321</v>
      </c>
      <c r="B22" s="49">
        <v>-9.7304460000000006</v>
      </c>
      <c r="C22" s="49">
        <v>-22.713422999999999</v>
      </c>
      <c r="D22" s="49">
        <v>-23.106532999999999</v>
      </c>
      <c r="E22" s="49">
        <v>-1.4425992999999999</v>
      </c>
      <c r="F22" s="49">
        <v>6.0777545000000002</v>
      </c>
      <c r="G22" s="49">
        <v>-4.0089309999999996</v>
      </c>
      <c r="H22" s="49">
        <v>-9.0783959999999997</v>
      </c>
      <c r="I22" s="49">
        <v>7.8991175</v>
      </c>
      <c r="J22" s="49">
        <v>1.2000084</v>
      </c>
      <c r="K22" s="56">
        <v>0.96666810000000003</v>
      </c>
      <c r="L22" s="56">
        <v>2.6252746999999999</v>
      </c>
      <c r="M22" s="56">
        <v>-7.3185086000000004</v>
      </c>
      <c r="N22" s="56">
        <v>1.8876314000000001</v>
      </c>
    </row>
    <row r="23" spans="1:14" x14ac:dyDescent="0.35">
      <c r="A23" s="2">
        <v>42352</v>
      </c>
      <c r="B23" s="49">
        <v>-4.6288850000000004</v>
      </c>
      <c r="C23" s="49">
        <v>-13.895458</v>
      </c>
      <c r="D23" s="49">
        <v>-20.09787</v>
      </c>
      <c r="E23" s="49">
        <v>-5.2211284999999998</v>
      </c>
      <c r="F23" s="49">
        <v>7.8594327000000002</v>
      </c>
      <c r="G23" s="49">
        <v>-2.6591420000000001</v>
      </c>
      <c r="H23" s="49">
        <v>-5.8564425</v>
      </c>
      <c r="I23" s="49">
        <v>9.9031559999999992</v>
      </c>
      <c r="J23" s="49">
        <v>3.0456542999999998</v>
      </c>
      <c r="K23" s="56">
        <v>0.38747787</v>
      </c>
      <c r="L23" s="56">
        <v>7.8582760000000001E-2</v>
      </c>
      <c r="M23" s="56">
        <v>-7.8121423999999999</v>
      </c>
      <c r="N23" s="56">
        <v>2.0961164999999999</v>
      </c>
    </row>
    <row r="24" spans="1:14" x14ac:dyDescent="0.35">
      <c r="A24" s="2">
        <v>42383</v>
      </c>
      <c r="B24" s="49">
        <v>-10.112333</v>
      </c>
      <c r="C24" s="49">
        <v>-17.606157</v>
      </c>
      <c r="D24" s="49">
        <v>-25.493223</v>
      </c>
      <c r="E24" s="49">
        <v>-7.9125223</v>
      </c>
      <c r="F24" s="49">
        <v>4.3204545999999997</v>
      </c>
      <c r="G24" s="49">
        <v>-4.6461699999999997</v>
      </c>
      <c r="H24" s="49">
        <v>-9.9241139999999994</v>
      </c>
      <c r="I24" s="49">
        <v>4.1341424</v>
      </c>
      <c r="J24" s="49">
        <v>-2.4569869999999998</v>
      </c>
      <c r="K24" s="56">
        <v>-3.2390118000000001</v>
      </c>
      <c r="L24" s="56">
        <v>-0.98767877000000004</v>
      </c>
      <c r="M24" s="56">
        <v>-6.8019447</v>
      </c>
      <c r="N24" s="56">
        <v>1.9905686</v>
      </c>
    </row>
    <row r="25" spans="1:14" x14ac:dyDescent="0.35">
      <c r="A25" s="2">
        <v>42412</v>
      </c>
      <c r="B25" s="49">
        <v>-9.1084840000000007</v>
      </c>
      <c r="C25" s="49">
        <v>-21.604144999999999</v>
      </c>
      <c r="D25" s="49">
        <v>-25.495165</v>
      </c>
      <c r="E25" s="49">
        <v>-19.447814999999999</v>
      </c>
      <c r="F25" s="49">
        <v>-10.613334999999999</v>
      </c>
      <c r="G25" s="49">
        <v>-12.0646</v>
      </c>
      <c r="H25" s="49">
        <v>-19.211079000000002</v>
      </c>
      <c r="I25" s="49">
        <v>-6.5830289999999998</v>
      </c>
      <c r="J25" s="49">
        <v>-8.809787</v>
      </c>
      <c r="K25" s="56">
        <v>-14.604234999999999</v>
      </c>
      <c r="L25" s="56">
        <v>-10.950476</v>
      </c>
      <c r="M25" s="56">
        <v>-17.591930000000001</v>
      </c>
      <c r="N25" s="56">
        <v>-21.479733</v>
      </c>
    </row>
    <row r="26" spans="1:14" x14ac:dyDescent="0.35">
      <c r="A26" s="2">
        <v>42443</v>
      </c>
      <c r="B26" s="49">
        <v>0.69487094999999999</v>
      </c>
      <c r="C26" s="49">
        <v>-9.3519570000000005</v>
      </c>
      <c r="D26" s="49">
        <v>-10.513508</v>
      </c>
      <c r="E26" s="49">
        <v>-12.031418</v>
      </c>
      <c r="F26" s="49">
        <v>-6.0644920000000004</v>
      </c>
      <c r="G26" s="49">
        <v>-6.6616479999999996</v>
      </c>
      <c r="H26" s="49">
        <v>-9.2641299999999998</v>
      </c>
      <c r="I26" s="49">
        <v>2.2977232999999999</v>
      </c>
      <c r="J26" s="49">
        <v>0.43128729999999998</v>
      </c>
      <c r="K26" s="56">
        <v>-2.3289561000000001</v>
      </c>
      <c r="L26" s="56">
        <v>-1.532203</v>
      </c>
      <c r="M26" s="56">
        <v>-7.2894095999999999</v>
      </c>
      <c r="N26" s="56">
        <v>-10.259313000000001</v>
      </c>
    </row>
    <row r="27" spans="1:14" x14ac:dyDescent="0.35">
      <c r="A27" s="2">
        <v>42474</v>
      </c>
      <c r="B27" s="49">
        <v>5.9319734999999998</v>
      </c>
      <c r="C27" s="49">
        <v>-10.952067</v>
      </c>
      <c r="D27" s="49">
        <v>-12.750035</v>
      </c>
      <c r="E27" s="49">
        <v>-13.472939</v>
      </c>
      <c r="F27" s="49">
        <v>-6.9425344000000004</v>
      </c>
      <c r="G27" s="49">
        <v>-9.2290939999999999</v>
      </c>
      <c r="H27" s="49">
        <v>-11.344046000000001</v>
      </c>
      <c r="I27" s="49">
        <v>4.6274423999999996</v>
      </c>
      <c r="J27" s="49">
        <v>1.4320611999999999</v>
      </c>
      <c r="K27" s="56">
        <v>-6.4756450000000001</v>
      </c>
      <c r="L27" s="56">
        <v>-3.4693955999999999</v>
      </c>
      <c r="M27" s="56">
        <v>-7.4055669999999996</v>
      </c>
      <c r="N27" s="56">
        <v>-17.803823000000001</v>
      </c>
    </row>
    <row r="28" spans="1:14" x14ac:dyDescent="0.35">
      <c r="A28" s="2">
        <v>42503</v>
      </c>
      <c r="B28" s="49">
        <v>8.6886770000000002</v>
      </c>
      <c r="C28" s="49">
        <v>-13.232649</v>
      </c>
      <c r="D28" s="49">
        <v>-14.417857</v>
      </c>
      <c r="E28" s="49">
        <v>-13.027632000000001</v>
      </c>
      <c r="F28" s="49">
        <v>-10.280305</v>
      </c>
      <c r="G28" s="49">
        <v>-13.516885</v>
      </c>
      <c r="H28" s="49">
        <v>-17.589891000000001</v>
      </c>
      <c r="I28" s="49">
        <v>-1.2498617000000001</v>
      </c>
      <c r="J28" s="49">
        <v>-0.40470361999999999</v>
      </c>
      <c r="K28" s="56">
        <v>-10.476565000000001</v>
      </c>
      <c r="L28" s="56">
        <v>-8.2117020000000007</v>
      </c>
      <c r="M28" s="56">
        <v>-12.988061</v>
      </c>
      <c r="N28" s="56">
        <v>-22.59965</v>
      </c>
    </row>
    <row r="29" spans="1:14" x14ac:dyDescent="0.35">
      <c r="A29" s="2">
        <v>42535</v>
      </c>
      <c r="B29" s="49">
        <v>17.149173999999999</v>
      </c>
      <c r="C29" s="49">
        <v>-8.3152530000000002</v>
      </c>
      <c r="D29" s="49">
        <v>-8.9055649999999993</v>
      </c>
      <c r="E29" s="49">
        <v>-14.779139000000001</v>
      </c>
      <c r="F29" s="49">
        <v>-11.027760000000001</v>
      </c>
      <c r="G29" s="49">
        <v>-13.639146</v>
      </c>
      <c r="H29" s="49">
        <v>-18.185811999999999</v>
      </c>
      <c r="I29" s="49">
        <v>0.42089223999999997</v>
      </c>
      <c r="J29" s="49">
        <v>1.1955023</v>
      </c>
      <c r="K29" s="56">
        <v>-12.924409000000001</v>
      </c>
      <c r="L29" s="56">
        <v>-9.9400700000000004</v>
      </c>
      <c r="M29" s="56">
        <v>-16.596115000000001</v>
      </c>
      <c r="N29" s="56">
        <v>-26.877707000000001</v>
      </c>
    </row>
    <row r="30" spans="1:14" x14ac:dyDescent="0.35">
      <c r="A30" s="2">
        <v>42565</v>
      </c>
      <c r="B30" s="49">
        <v>33.225464000000002</v>
      </c>
      <c r="C30" s="49">
        <v>1.7619848</v>
      </c>
      <c r="D30" s="49">
        <v>-1.143831</v>
      </c>
      <c r="E30" s="49">
        <v>-11.934340000000001</v>
      </c>
      <c r="F30" s="49">
        <v>-6.2583089999999997</v>
      </c>
      <c r="G30" s="49">
        <v>-10.618294000000001</v>
      </c>
      <c r="H30" s="49">
        <v>-13.211841</v>
      </c>
      <c r="I30" s="49">
        <v>2.7059555</v>
      </c>
      <c r="J30" s="49">
        <v>4.8265219999999998</v>
      </c>
      <c r="K30" s="56">
        <v>-9.094894</v>
      </c>
      <c r="L30" s="56">
        <v>-9.1386500000000002</v>
      </c>
      <c r="M30" s="56">
        <v>-11.29632</v>
      </c>
      <c r="N30" s="56">
        <v>-24.851262999999999</v>
      </c>
    </row>
    <row r="31" spans="1:14" x14ac:dyDescent="0.35">
      <c r="A31" s="2">
        <v>42594</v>
      </c>
      <c r="B31" s="49">
        <v>39.81091</v>
      </c>
      <c r="C31" s="49">
        <v>9.0053199999999993</v>
      </c>
      <c r="D31" s="49">
        <v>3.2059312000000002</v>
      </c>
      <c r="E31" s="49">
        <v>-3.6765753999999999</v>
      </c>
      <c r="F31" s="49">
        <v>-2.3532389999999999</v>
      </c>
      <c r="G31" s="49">
        <v>-5.3179083</v>
      </c>
      <c r="H31" s="49">
        <v>-10.489903999999999</v>
      </c>
      <c r="I31" s="49">
        <v>7.2407602999999998</v>
      </c>
      <c r="J31" s="49">
        <v>6.8541527000000002</v>
      </c>
      <c r="K31" s="56">
        <v>-6.8594400000000002</v>
      </c>
      <c r="L31" s="56">
        <v>-3.9779365000000002</v>
      </c>
      <c r="M31" s="56">
        <v>-5.1750603000000002</v>
      </c>
      <c r="N31" s="56">
        <v>-25.645733</v>
      </c>
    </row>
    <row r="32" spans="1:14" x14ac:dyDescent="0.35">
      <c r="A32" s="2">
        <v>42627</v>
      </c>
      <c r="B32" s="49">
        <v>47.860683000000002</v>
      </c>
      <c r="C32" s="49">
        <v>9.9035259999999994</v>
      </c>
      <c r="D32" s="49">
        <v>8.7542059999999999</v>
      </c>
      <c r="E32" s="49">
        <v>0.64182280000000003</v>
      </c>
      <c r="F32" s="49">
        <v>5.168736</v>
      </c>
      <c r="G32" s="49">
        <v>-1.026535</v>
      </c>
      <c r="H32" s="49">
        <v>-2.9070437</v>
      </c>
      <c r="I32" s="49">
        <v>11.3036995</v>
      </c>
      <c r="J32" s="49">
        <v>11.123680999999999</v>
      </c>
      <c r="K32" s="56">
        <v>-0.93324779999999996</v>
      </c>
      <c r="L32" s="56">
        <v>3.9924026000000001</v>
      </c>
      <c r="M32" s="56">
        <v>-2.2299826</v>
      </c>
      <c r="N32" s="56">
        <v>-21.908259999999999</v>
      </c>
    </row>
    <row r="33" spans="1:14" x14ac:dyDescent="0.35">
      <c r="A33" s="2">
        <v>42657</v>
      </c>
      <c r="B33" s="49">
        <v>29.495930000000001</v>
      </c>
      <c r="C33" s="49">
        <v>12.044466</v>
      </c>
      <c r="D33" s="49">
        <v>4.8016430000000003</v>
      </c>
      <c r="E33" s="49">
        <v>1.3290048000000001</v>
      </c>
      <c r="F33" s="49">
        <v>5.7254553000000001</v>
      </c>
      <c r="G33" s="49">
        <v>-3.9622784000000002</v>
      </c>
      <c r="H33" s="49">
        <v>-9.0399630000000002</v>
      </c>
      <c r="I33" s="49">
        <v>11.834455</v>
      </c>
      <c r="J33" s="49">
        <v>9.2558860000000003</v>
      </c>
      <c r="K33" s="56">
        <v>-4.4199944000000002</v>
      </c>
      <c r="L33" s="56">
        <v>1.7765759999999999</v>
      </c>
      <c r="M33" s="56">
        <v>-3.8896918</v>
      </c>
      <c r="N33" s="56">
        <v>-25.738495</v>
      </c>
    </row>
    <row r="34" spans="1:14" x14ac:dyDescent="0.35">
      <c r="A34" s="2">
        <v>42688</v>
      </c>
      <c r="B34" s="49">
        <v>22.358847000000001</v>
      </c>
      <c r="C34" s="49">
        <v>17.892932999999999</v>
      </c>
      <c r="D34" s="49">
        <v>12.61462</v>
      </c>
      <c r="E34" s="49">
        <v>-0.75499415000000003</v>
      </c>
      <c r="F34" s="49">
        <v>1.8561125000000001</v>
      </c>
      <c r="G34" s="49">
        <v>-3.1065404000000001</v>
      </c>
      <c r="H34" s="49">
        <v>-5.7993410000000001</v>
      </c>
      <c r="I34" s="49">
        <v>5.5424332999999999</v>
      </c>
      <c r="J34" s="49">
        <v>9.2530970000000003</v>
      </c>
      <c r="K34" s="56">
        <v>-2.5702476999999999</v>
      </c>
      <c r="L34" s="56">
        <v>-0.49987435000000002</v>
      </c>
      <c r="M34" s="56">
        <v>-3.5821855</v>
      </c>
      <c r="N34" s="56">
        <v>-20.201874</v>
      </c>
    </row>
    <row r="35" spans="1:14" x14ac:dyDescent="0.35">
      <c r="A35" s="2">
        <v>42718</v>
      </c>
      <c r="B35" s="49">
        <v>18.324090000000002</v>
      </c>
      <c r="C35" s="49">
        <v>20.492327</v>
      </c>
      <c r="D35" s="49">
        <v>26.714587999999999</v>
      </c>
      <c r="E35" s="49">
        <v>3.5039902000000001</v>
      </c>
      <c r="F35" s="49">
        <v>5.8832407</v>
      </c>
      <c r="G35" s="49">
        <v>-2.1896361999999998</v>
      </c>
      <c r="H35" s="49">
        <v>0.36683083</v>
      </c>
      <c r="I35" s="49">
        <v>8.9053039999999992</v>
      </c>
      <c r="J35" s="49">
        <v>13.736582</v>
      </c>
      <c r="K35" s="56">
        <v>3.7198424000000001</v>
      </c>
      <c r="L35" s="56">
        <v>3.9776087000000002</v>
      </c>
      <c r="M35" s="56">
        <v>4.5269370000000002</v>
      </c>
      <c r="N35" s="56">
        <v>-10.893613</v>
      </c>
    </row>
    <row r="36" spans="1:14" x14ac:dyDescent="0.35">
      <c r="A36" s="2">
        <v>42748</v>
      </c>
      <c r="B36" s="49">
        <v>26.470364</v>
      </c>
      <c r="C36" s="49">
        <v>32.669342</v>
      </c>
      <c r="D36" s="49">
        <v>42.511200000000002</v>
      </c>
      <c r="E36" s="49">
        <v>14.591969000000001</v>
      </c>
      <c r="F36" s="49">
        <v>14.206481</v>
      </c>
      <c r="G36" s="49">
        <v>7.3699593999999999</v>
      </c>
      <c r="H36" s="49">
        <v>9.8098989999999997</v>
      </c>
      <c r="I36" s="49">
        <v>22.213804</v>
      </c>
      <c r="J36" s="49">
        <v>22.826218000000001</v>
      </c>
      <c r="K36" s="56">
        <v>14.870989</v>
      </c>
      <c r="L36" s="56">
        <v>12.589192000000001</v>
      </c>
      <c r="M36" s="56">
        <v>13.513123999999999</v>
      </c>
      <c r="N36" s="56">
        <v>-0.61445236000000003</v>
      </c>
    </row>
    <row r="37" spans="1:14" x14ac:dyDescent="0.35">
      <c r="A37" s="2">
        <v>42780</v>
      </c>
      <c r="B37" s="49">
        <v>31.225252000000001</v>
      </c>
      <c r="C37" s="49">
        <v>35.110366999999997</v>
      </c>
      <c r="D37" s="49">
        <v>38.511490000000002</v>
      </c>
      <c r="E37" s="49">
        <v>21.610904999999999</v>
      </c>
      <c r="F37" s="49">
        <v>25.412464</v>
      </c>
      <c r="G37" s="49">
        <v>11.952209</v>
      </c>
      <c r="H37" s="49">
        <v>13.253366</v>
      </c>
      <c r="I37" s="49">
        <v>32.591163999999999</v>
      </c>
      <c r="J37" s="49">
        <v>27.913929</v>
      </c>
      <c r="K37" s="56">
        <v>18.144380000000002</v>
      </c>
      <c r="L37" s="56">
        <v>18.908774999999999</v>
      </c>
      <c r="M37" s="56">
        <v>20.735835999999999</v>
      </c>
      <c r="N37" s="56">
        <v>12.237072</v>
      </c>
    </row>
    <row r="38" spans="1:14" x14ac:dyDescent="0.35">
      <c r="A38" s="2">
        <v>42808</v>
      </c>
      <c r="B38" s="49">
        <v>12.909328</v>
      </c>
      <c r="C38" s="49">
        <v>17.259274999999999</v>
      </c>
      <c r="D38" s="49">
        <v>15.144289000000001</v>
      </c>
      <c r="E38" s="49">
        <v>13.304387999999999</v>
      </c>
      <c r="F38" s="49">
        <v>12.807309999999999</v>
      </c>
      <c r="G38" s="49">
        <v>9.4589230000000004</v>
      </c>
      <c r="H38" s="49">
        <v>5.3820370000000004</v>
      </c>
      <c r="I38" s="49">
        <v>24.455511000000001</v>
      </c>
      <c r="J38" s="49">
        <v>19.503509999999999</v>
      </c>
      <c r="K38" s="56">
        <v>8.4657909999999994</v>
      </c>
      <c r="L38" s="56">
        <v>12.125111</v>
      </c>
      <c r="M38" s="56">
        <v>9.2763310000000008</v>
      </c>
      <c r="N38" s="56">
        <v>1.2695551</v>
      </c>
    </row>
    <row r="39" spans="1:14" x14ac:dyDescent="0.35">
      <c r="A39" s="2">
        <v>42838</v>
      </c>
      <c r="B39" s="49">
        <v>6.8704367</v>
      </c>
      <c r="C39" s="49">
        <v>19.837261000000002</v>
      </c>
      <c r="D39" s="49">
        <v>11.446857</v>
      </c>
      <c r="E39" s="49">
        <v>12.05883</v>
      </c>
      <c r="F39" s="49">
        <v>8.9735984999999996</v>
      </c>
      <c r="G39" s="49">
        <v>8.0652480000000004</v>
      </c>
      <c r="H39" s="49">
        <v>4.8568486999999996</v>
      </c>
      <c r="I39" s="49">
        <v>18.782162</v>
      </c>
      <c r="J39" s="49">
        <v>14.098871000000001</v>
      </c>
      <c r="K39" s="56">
        <v>9.5778940000000006</v>
      </c>
      <c r="L39" s="56">
        <v>10.883724000000001</v>
      </c>
      <c r="M39" s="56">
        <v>6.8221806999999997</v>
      </c>
      <c r="N39" s="56">
        <v>6.0695766999999998</v>
      </c>
    </row>
    <row r="40" spans="1:14" x14ac:dyDescent="0.35">
      <c r="A40" s="2">
        <v>42867</v>
      </c>
      <c r="B40" s="49">
        <v>8.5518470000000004</v>
      </c>
      <c r="C40" s="49">
        <v>15.082312</v>
      </c>
      <c r="D40" s="49">
        <v>8.8910219999999995</v>
      </c>
      <c r="E40" s="49">
        <v>22.190010000000001</v>
      </c>
      <c r="F40" s="49">
        <v>14.210153</v>
      </c>
      <c r="G40" s="49">
        <v>16.178417</v>
      </c>
      <c r="H40" s="49">
        <v>12.077737000000001</v>
      </c>
      <c r="I40" s="49">
        <v>32.236908</v>
      </c>
      <c r="J40" s="49">
        <v>18.09188</v>
      </c>
      <c r="K40" s="56">
        <v>22.933805</v>
      </c>
      <c r="L40" s="56">
        <v>22.563326</v>
      </c>
      <c r="M40" s="56">
        <v>21.64818</v>
      </c>
      <c r="N40" s="56">
        <v>20.464611000000001</v>
      </c>
    </row>
    <row r="41" spans="1:14" x14ac:dyDescent="0.35">
      <c r="A41" s="2">
        <v>42900</v>
      </c>
      <c r="B41" s="49">
        <v>13.858819</v>
      </c>
      <c r="C41" s="49">
        <v>21.320868000000001</v>
      </c>
      <c r="D41" s="49">
        <v>9.4218019999999996</v>
      </c>
      <c r="E41" s="49">
        <v>31.746922999999999</v>
      </c>
      <c r="F41" s="49">
        <v>22.052992</v>
      </c>
      <c r="G41" s="49">
        <v>20.359337</v>
      </c>
      <c r="H41" s="49">
        <v>17.673742000000001</v>
      </c>
      <c r="I41" s="49">
        <v>30.692851999999998</v>
      </c>
      <c r="J41" s="49">
        <v>19.832526999999999</v>
      </c>
      <c r="K41" s="56">
        <v>31.356943000000001</v>
      </c>
      <c r="L41" s="56">
        <v>29.851341000000001</v>
      </c>
      <c r="M41" s="56">
        <v>28.195689999999999</v>
      </c>
      <c r="N41" s="56">
        <v>31.611239999999999</v>
      </c>
    </row>
    <row r="42" spans="1:14" x14ac:dyDescent="0.35">
      <c r="A42" s="2">
        <v>42930</v>
      </c>
      <c r="B42" s="49">
        <v>10.395026</v>
      </c>
      <c r="C42" s="49">
        <v>14.218748</v>
      </c>
      <c r="D42" s="49">
        <v>10.408341999999999</v>
      </c>
      <c r="E42" s="49">
        <v>27.693784999999998</v>
      </c>
      <c r="F42" s="49">
        <v>14.53135</v>
      </c>
      <c r="G42" s="49">
        <v>17.89893</v>
      </c>
      <c r="H42" s="49">
        <v>12.846351</v>
      </c>
      <c r="I42" s="49">
        <v>28.227042999999998</v>
      </c>
      <c r="J42" s="49">
        <v>15.935898</v>
      </c>
      <c r="K42" s="56">
        <v>27.93355</v>
      </c>
      <c r="L42" s="56">
        <v>29.521167999999999</v>
      </c>
      <c r="M42" s="56">
        <v>29.921257000000001</v>
      </c>
      <c r="N42" s="56">
        <v>34.431435</v>
      </c>
    </row>
    <row r="43" spans="1:14" x14ac:dyDescent="0.35">
      <c r="A43" s="2">
        <v>42961</v>
      </c>
      <c r="B43" s="49">
        <v>6.2027929999999998</v>
      </c>
      <c r="C43" s="49">
        <v>12.376213</v>
      </c>
      <c r="D43" s="49">
        <v>8.0457800000000006</v>
      </c>
      <c r="E43" s="49">
        <v>18.222760999999998</v>
      </c>
      <c r="F43" s="49">
        <v>12.457169</v>
      </c>
      <c r="G43" s="49">
        <v>13.742352</v>
      </c>
      <c r="H43" s="49">
        <v>10.602342999999999</v>
      </c>
      <c r="I43" s="49">
        <v>24.076222999999999</v>
      </c>
      <c r="J43" s="49">
        <v>15.151787000000001</v>
      </c>
      <c r="K43" s="56">
        <v>24.571383000000001</v>
      </c>
      <c r="L43" s="56">
        <v>27.319277</v>
      </c>
      <c r="M43" s="56">
        <v>20.706236000000001</v>
      </c>
      <c r="N43" s="56">
        <v>36.147370000000002</v>
      </c>
    </row>
    <row r="44" spans="1:14" x14ac:dyDescent="0.35">
      <c r="A44" s="2">
        <v>42992</v>
      </c>
      <c r="B44" s="49">
        <v>7.2291613000000003</v>
      </c>
      <c r="C44" s="49">
        <v>23.985302000000001</v>
      </c>
      <c r="D44" s="49">
        <v>17.672730000000001</v>
      </c>
      <c r="E44" s="49">
        <v>25.853289</v>
      </c>
      <c r="F44" s="49">
        <v>15.759397</v>
      </c>
      <c r="G44" s="49">
        <v>17.168044999999999</v>
      </c>
      <c r="H44" s="49">
        <v>14.876901999999999</v>
      </c>
      <c r="I44" s="49">
        <v>26.954592000000002</v>
      </c>
      <c r="J44" s="49">
        <v>19.719864000000001</v>
      </c>
      <c r="K44" s="56">
        <v>31.362797</v>
      </c>
      <c r="L44" s="56">
        <v>31.511806</v>
      </c>
      <c r="M44" s="56">
        <v>26.253568999999999</v>
      </c>
      <c r="N44" s="56">
        <v>43.576180000000001</v>
      </c>
    </row>
    <row r="45" spans="1:14" x14ac:dyDescent="0.35">
      <c r="A45" s="2">
        <v>43021</v>
      </c>
      <c r="B45" s="49">
        <v>14.9060135</v>
      </c>
      <c r="C45" s="49">
        <v>16.556608000000001</v>
      </c>
      <c r="D45" s="49">
        <v>17.399882999999999</v>
      </c>
      <c r="E45" s="49">
        <v>30.620373000000001</v>
      </c>
      <c r="F45" s="49">
        <v>18.369054999999999</v>
      </c>
      <c r="G45" s="49">
        <v>22.138596</v>
      </c>
      <c r="H45" s="49">
        <v>20.935321999999999</v>
      </c>
      <c r="I45" s="49">
        <v>28.056728</v>
      </c>
      <c r="J45" s="49">
        <v>22.112392</v>
      </c>
      <c r="K45" s="56">
        <v>34.125900000000001</v>
      </c>
      <c r="L45" s="56">
        <v>34.67933</v>
      </c>
      <c r="M45" s="56">
        <v>31.035661999999999</v>
      </c>
      <c r="N45" s="56">
        <v>47.657333000000001</v>
      </c>
    </row>
    <row r="46" spans="1:14" x14ac:dyDescent="0.35">
      <c r="A46" s="2">
        <v>43053</v>
      </c>
      <c r="B46" s="49">
        <v>14.345001999999999</v>
      </c>
      <c r="C46" s="49">
        <v>16.562007999999999</v>
      </c>
      <c r="D46" s="49">
        <v>18.688274</v>
      </c>
      <c r="E46" s="49">
        <v>32.730820000000001</v>
      </c>
      <c r="F46" s="49">
        <v>20.213031999999998</v>
      </c>
      <c r="G46" s="49">
        <v>21.021961000000001</v>
      </c>
      <c r="H46" s="49">
        <v>19.055439</v>
      </c>
      <c r="I46" s="49">
        <v>35.083460000000002</v>
      </c>
      <c r="J46" s="49">
        <v>21.403514999999999</v>
      </c>
      <c r="K46" s="56">
        <v>33.632052999999999</v>
      </c>
      <c r="L46" s="56">
        <v>35.781097000000003</v>
      </c>
      <c r="M46" s="56">
        <v>30.859793</v>
      </c>
      <c r="N46" s="56">
        <v>45.114159999999998</v>
      </c>
    </row>
    <row r="47" spans="1:14" x14ac:dyDescent="0.35">
      <c r="A47" s="2">
        <v>43083</v>
      </c>
      <c r="B47" s="49">
        <v>19.552565000000001</v>
      </c>
      <c r="C47" s="49">
        <v>15.916109000000001</v>
      </c>
      <c r="D47" s="49">
        <v>11.831474</v>
      </c>
      <c r="E47" s="49">
        <v>28.908729999999998</v>
      </c>
      <c r="F47" s="49">
        <v>20.574368</v>
      </c>
      <c r="G47" s="49">
        <v>23.254764999999999</v>
      </c>
      <c r="H47" s="49">
        <v>18.381214</v>
      </c>
      <c r="I47" s="49">
        <v>30.972422000000002</v>
      </c>
      <c r="J47" s="49">
        <v>19.99222</v>
      </c>
      <c r="K47" s="56">
        <v>30.014956000000002</v>
      </c>
      <c r="L47" s="56">
        <v>34.768819999999998</v>
      </c>
      <c r="M47" s="56">
        <v>21.228290000000001</v>
      </c>
      <c r="N47" s="56">
        <v>32.479489999999998</v>
      </c>
    </row>
    <row r="48" spans="1:14" x14ac:dyDescent="0.35">
      <c r="A48" s="2">
        <v>43112</v>
      </c>
      <c r="B48" s="49">
        <v>18.062125999999999</v>
      </c>
      <c r="C48" s="49">
        <v>15.17694</v>
      </c>
      <c r="D48" s="49">
        <v>13.878297999999999</v>
      </c>
      <c r="E48" s="49">
        <v>30.681301000000001</v>
      </c>
      <c r="F48" s="49">
        <v>27.14405</v>
      </c>
      <c r="G48" s="49">
        <v>22.733711</v>
      </c>
      <c r="H48" s="49">
        <v>23.670244</v>
      </c>
      <c r="I48" s="49">
        <v>35.237563999999999</v>
      </c>
      <c r="J48" s="49">
        <v>25.065697</v>
      </c>
      <c r="K48" s="56">
        <v>33.193897</v>
      </c>
      <c r="L48" s="56">
        <v>36.563502999999997</v>
      </c>
      <c r="M48" s="56">
        <v>27.023363</v>
      </c>
      <c r="N48" s="56">
        <v>38.575744999999998</v>
      </c>
    </row>
    <row r="49" spans="1:14" x14ac:dyDescent="0.35">
      <c r="A49" s="2">
        <v>43145</v>
      </c>
      <c r="B49" s="49">
        <v>14.528406</v>
      </c>
      <c r="C49" s="49">
        <v>9.5745450000000005</v>
      </c>
      <c r="D49" s="49">
        <v>3.7707806000000001</v>
      </c>
      <c r="E49" s="49">
        <v>23.658895000000001</v>
      </c>
      <c r="F49" s="49">
        <v>19.461323</v>
      </c>
      <c r="G49" s="49">
        <v>18.80622</v>
      </c>
      <c r="H49" s="49">
        <v>15.271271</v>
      </c>
      <c r="I49" s="49">
        <v>27.724314</v>
      </c>
      <c r="J49" s="49">
        <v>17.595089000000002</v>
      </c>
      <c r="K49" s="56">
        <v>29.142665999999998</v>
      </c>
      <c r="L49" s="56">
        <v>29.521678999999999</v>
      </c>
      <c r="M49" s="56">
        <v>16.522276000000002</v>
      </c>
      <c r="N49" s="56">
        <v>39.374423999999998</v>
      </c>
    </row>
    <row r="50" spans="1:14" x14ac:dyDescent="0.35">
      <c r="A50" s="2">
        <v>43173</v>
      </c>
      <c r="B50" s="49">
        <v>25.511096999999999</v>
      </c>
      <c r="C50" s="49">
        <v>10.101056</v>
      </c>
      <c r="D50" s="49">
        <v>8.0909139999999997</v>
      </c>
      <c r="E50" s="49">
        <v>19.196235999999999</v>
      </c>
      <c r="F50" s="49">
        <v>20.300937999999999</v>
      </c>
      <c r="G50" s="49">
        <v>13.148535000000001</v>
      </c>
      <c r="H50" s="49">
        <v>14.359188</v>
      </c>
      <c r="I50" s="49">
        <v>31.956862999999998</v>
      </c>
      <c r="J50" s="49">
        <v>18.463684000000001</v>
      </c>
      <c r="K50" s="56">
        <v>27.437866</v>
      </c>
      <c r="L50" s="56">
        <v>24.476444000000001</v>
      </c>
      <c r="M50" s="56">
        <v>15.651548</v>
      </c>
      <c r="N50" s="56">
        <v>35.195984000000003</v>
      </c>
    </row>
    <row r="51" spans="1:14" x14ac:dyDescent="0.35">
      <c r="A51" s="2">
        <v>43203</v>
      </c>
      <c r="B51" s="49">
        <v>22.964752000000001</v>
      </c>
      <c r="C51" s="49">
        <v>4.4817210000000003</v>
      </c>
      <c r="D51" s="49">
        <v>6.9368124</v>
      </c>
      <c r="E51" s="49">
        <v>19.414435999999998</v>
      </c>
      <c r="F51" s="49">
        <v>20.577287999999999</v>
      </c>
      <c r="G51" s="49">
        <v>9.9309809999999992</v>
      </c>
      <c r="H51" s="49">
        <v>16.578244999999999</v>
      </c>
      <c r="I51" s="49">
        <v>24.825727000000001</v>
      </c>
      <c r="J51" s="49">
        <v>16.208791999999999</v>
      </c>
      <c r="K51" s="56">
        <v>26.306878999999999</v>
      </c>
      <c r="L51" s="56">
        <v>24.535084000000001</v>
      </c>
      <c r="M51" s="56">
        <v>9.1292620000000007</v>
      </c>
      <c r="N51" s="56">
        <v>38.329230000000003</v>
      </c>
    </row>
    <row r="52" spans="1:14" x14ac:dyDescent="0.35">
      <c r="A52" s="2">
        <v>43234</v>
      </c>
      <c r="B52" s="49">
        <v>16.398917999999998</v>
      </c>
      <c r="C52" s="49">
        <v>10.251808</v>
      </c>
      <c r="D52" s="49">
        <v>14.122795999999999</v>
      </c>
      <c r="E52" s="49">
        <v>10.738623</v>
      </c>
      <c r="F52" s="49">
        <v>19.214237000000001</v>
      </c>
      <c r="G52" s="49">
        <v>3.0937790000000001</v>
      </c>
      <c r="H52" s="49">
        <v>12.644696</v>
      </c>
      <c r="I52" s="49">
        <v>23.539389</v>
      </c>
      <c r="J52" s="49">
        <v>16.401409999999998</v>
      </c>
      <c r="K52" s="56">
        <v>15.739512</v>
      </c>
      <c r="L52" s="56">
        <v>13.500273</v>
      </c>
      <c r="M52" s="56">
        <v>3.997779</v>
      </c>
      <c r="N52" s="56">
        <v>23.225163999999999</v>
      </c>
    </row>
    <row r="53" spans="1:14" x14ac:dyDescent="0.35">
      <c r="A53" s="2">
        <v>43265</v>
      </c>
      <c r="B53" s="49">
        <v>14.734184000000001</v>
      </c>
      <c r="C53" s="49">
        <v>5.8456900000000003</v>
      </c>
      <c r="D53" s="49">
        <v>11.972057</v>
      </c>
      <c r="E53" s="49">
        <v>5.9095383000000004</v>
      </c>
      <c r="F53" s="49">
        <v>12.671125</v>
      </c>
      <c r="G53" s="49">
        <v>0.12317896</v>
      </c>
      <c r="H53" s="49">
        <v>11.193168999999999</v>
      </c>
      <c r="I53" s="49">
        <v>28.188800000000001</v>
      </c>
      <c r="J53" s="49">
        <v>16.293621000000002</v>
      </c>
      <c r="K53" s="56">
        <v>12.221098</v>
      </c>
      <c r="L53" s="56">
        <v>10.261941</v>
      </c>
      <c r="M53" s="56">
        <v>0.82545279999999999</v>
      </c>
      <c r="N53" s="56">
        <v>10.898554000000001</v>
      </c>
    </row>
    <row r="54" spans="1:14" x14ac:dyDescent="0.35">
      <c r="A54" s="2">
        <v>43294</v>
      </c>
      <c r="B54" s="49">
        <v>8.2117319999999996</v>
      </c>
      <c r="C54" s="49">
        <v>8.9026340000000008</v>
      </c>
      <c r="D54" s="49">
        <v>8.584225</v>
      </c>
      <c r="E54" s="49">
        <v>1.8087506</v>
      </c>
      <c r="F54" s="49">
        <v>9.1579075000000003</v>
      </c>
      <c r="G54" s="49">
        <v>-0.80003139999999995</v>
      </c>
      <c r="H54" s="49">
        <v>8.8146690000000003</v>
      </c>
      <c r="I54" s="49">
        <v>28.404903000000001</v>
      </c>
      <c r="J54" s="49">
        <v>16.522290000000002</v>
      </c>
      <c r="K54" s="56">
        <v>9.896255</v>
      </c>
      <c r="L54" s="56">
        <v>7.7830195</v>
      </c>
      <c r="M54" s="56">
        <v>-6.9775343000000003</v>
      </c>
      <c r="N54" s="56">
        <v>5.1639556999999998</v>
      </c>
    </row>
    <row r="55" spans="1:14" x14ac:dyDescent="0.35">
      <c r="A55" s="2">
        <v>43326</v>
      </c>
      <c r="B55" s="49">
        <v>3.7471652</v>
      </c>
      <c r="C55" s="49">
        <v>4.9340010000000003</v>
      </c>
      <c r="D55" s="49">
        <v>8.3670024999999999</v>
      </c>
      <c r="E55" s="49">
        <v>-1.0703324999999999</v>
      </c>
      <c r="F55" s="49">
        <v>6.8973659999999999</v>
      </c>
      <c r="G55" s="49">
        <v>2.2378683000000001</v>
      </c>
      <c r="H55" s="49">
        <v>4.6234130000000002</v>
      </c>
      <c r="I55" s="49">
        <v>27.088594000000001</v>
      </c>
      <c r="J55" s="49">
        <v>17.301093999999999</v>
      </c>
      <c r="K55" s="56">
        <v>5.2071690000000004</v>
      </c>
      <c r="L55" s="56">
        <v>2.3352265000000001</v>
      </c>
      <c r="M55" s="56">
        <v>-4.0010985999999997</v>
      </c>
      <c r="N55" s="56">
        <v>-4.9997926000000001</v>
      </c>
    </row>
    <row r="56" spans="1:14" x14ac:dyDescent="0.35">
      <c r="A56" s="2">
        <v>43357</v>
      </c>
      <c r="B56" s="49">
        <v>6.9976209999999996</v>
      </c>
      <c r="C56" s="49">
        <v>-0.58183669999999998</v>
      </c>
      <c r="D56" s="49">
        <v>1.1568189</v>
      </c>
      <c r="E56" s="49">
        <v>-4.5254110000000001</v>
      </c>
      <c r="F56" s="49">
        <v>6.9029093000000001</v>
      </c>
      <c r="G56" s="49">
        <v>2.6845813000000001</v>
      </c>
      <c r="H56" s="49">
        <v>0.59515240000000003</v>
      </c>
      <c r="I56" s="49">
        <v>27.42455</v>
      </c>
      <c r="J56" s="49">
        <v>18.479073</v>
      </c>
      <c r="K56" s="56">
        <v>3.2716750000000001</v>
      </c>
      <c r="L56" s="56">
        <v>-1.1048674999999999</v>
      </c>
      <c r="M56" s="56">
        <v>-5.1474570000000002</v>
      </c>
      <c r="N56" s="56">
        <v>-7.0376276999999998</v>
      </c>
    </row>
    <row r="57" spans="1:14" x14ac:dyDescent="0.35">
      <c r="A57" s="2">
        <v>43385</v>
      </c>
      <c r="B57" s="49">
        <v>-0.22950171999999999</v>
      </c>
      <c r="C57" s="49">
        <v>-4.9508150000000004</v>
      </c>
      <c r="D57" s="49">
        <v>-4.5971812999999999</v>
      </c>
      <c r="E57" s="49">
        <v>-12.615430999999999</v>
      </c>
      <c r="F57" s="49">
        <v>1.5479326</v>
      </c>
      <c r="G57" s="49">
        <v>-5.6500196000000003</v>
      </c>
      <c r="H57" s="49">
        <v>-4.3303669999999999</v>
      </c>
      <c r="I57" s="49">
        <v>18.874310999999999</v>
      </c>
      <c r="J57" s="49">
        <v>10.342873000000001</v>
      </c>
      <c r="K57" s="56">
        <v>-4.0437640000000004</v>
      </c>
      <c r="L57" s="56">
        <v>-8.8325739999999993</v>
      </c>
      <c r="M57" s="56">
        <v>-11.000280999999999</v>
      </c>
      <c r="N57" s="56">
        <v>-13.808846000000001</v>
      </c>
    </row>
    <row r="58" spans="1:14" x14ac:dyDescent="0.35">
      <c r="A58" s="2">
        <v>43418</v>
      </c>
      <c r="B58" s="49">
        <v>8.9648610000000009</v>
      </c>
      <c r="C58" s="49">
        <v>-4.5337915000000004</v>
      </c>
      <c r="D58" s="49">
        <v>-6.5365789999999997</v>
      </c>
      <c r="E58" s="49">
        <v>-14.98617</v>
      </c>
      <c r="F58" s="49">
        <v>-5.7724770000000003</v>
      </c>
      <c r="G58" s="49">
        <v>-2.1068692000000002</v>
      </c>
      <c r="H58" s="49">
        <v>-2.8109074000000001</v>
      </c>
      <c r="I58" s="49">
        <v>8.5842019999999994</v>
      </c>
      <c r="J58" s="49">
        <v>6.7482709999999999</v>
      </c>
      <c r="K58" s="56">
        <v>-5.3672789999999999</v>
      </c>
      <c r="L58" s="56">
        <v>-6.5549315999999997</v>
      </c>
      <c r="M58" s="56">
        <v>-11.288976999999999</v>
      </c>
      <c r="N58" s="56">
        <v>-15.023166</v>
      </c>
    </row>
    <row r="59" spans="1:14" x14ac:dyDescent="0.35">
      <c r="A59" s="2">
        <v>43448</v>
      </c>
      <c r="B59" s="49">
        <v>2.0633219999999999</v>
      </c>
      <c r="C59" s="49">
        <v>-9.4112279999999995</v>
      </c>
      <c r="D59" s="49">
        <v>-11.274642</v>
      </c>
      <c r="E59" s="49">
        <v>-20.146719999999998</v>
      </c>
      <c r="F59" s="49">
        <v>-10.251564</v>
      </c>
      <c r="G59" s="49">
        <v>-6.4518985999999998</v>
      </c>
      <c r="H59" s="49">
        <v>-11.165851999999999</v>
      </c>
      <c r="I59" s="49">
        <v>4.1305779999999999</v>
      </c>
      <c r="J59" s="49">
        <v>-0.16747713</v>
      </c>
      <c r="K59" s="56">
        <v>-10.682076</v>
      </c>
      <c r="L59" s="56">
        <v>-11.708575</v>
      </c>
      <c r="M59" s="56">
        <v>-11.244535000000001</v>
      </c>
      <c r="N59" s="56">
        <v>-15.548361</v>
      </c>
    </row>
    <row r="60" spans="1:14" x14ac:dyDescent="0.35">
      <c r="A60" s="2">
        <v>43479</v>
      </c>
      <c r="B60" s="49">
        <v>4.0766359999999997</v>
      </c>
      <c r="C60" s="49">
        <v>-9.9458400000000005</v>
      </c>
      <c r="D60" s="49">
        <v>-12.119721999999999</v>
      </c>
      <c r="E60" s="49">
        <v>-22.60304</v>
      </c>
      <c r="F60" s="49">
        <v>-15.736091999999999</v>
      </c>
      <c r="G60" s="49">
        <v>-8.1836880000000001</v>
      </c>
      <c r="H60" s="49">
        <v>-14.384043</v>
      </c>
      <c r="I60" s="49">
        <v>-2.3456036999999998</v>
      </c>
      <c r="J60" s="49">
        <v>-5.6124029999999996</v>
      </c>
      <c r="K60" s="56">
        <v>-15.832591000000001</v>
      </c>
      <c r="L60" s="56">
        <v>-16.385752</v>
      </c>
      <c r="M60" s="56">
        <v>-15.656609</v>
      </c>
      <c r="N60" s="56">
        <v>-20.087645999999999</v>
      </c>
    </row>
    <row r="61" spans="1:14" x14ac:dyDescent="0.35">
      <c r="A61" s="2">
        <v>43510</v>
      </c>
      <c r="B61" s="49">
        <v>7.0696114999999997</v>
      </c>
      <c r="C61" s="49">
        <v>-4.4680653000000001</v>
      </c>
      <c r="D61" s="49">
        <v>-1.7672539</v>
      </c>
      <c r="E61" s="49">
        <v>-19.333202</v>
      </c>
      <c r="F61" s="49">
        <v>-9.5033650000000005</v>
      </c>
      <c r="G61" s="49">
        <v>-3.8075923999999999</v>
      </c>
      <c r="H61" s="49">
        <v>-5.8094444000000003</v>
      </c>
      <c r="I61" s="49">
        <v>6.1494350000000004</v>
      </c>
      <c r="J61" s="49">
        <v>3.7229538</v>
      </c>
      <c r="K61" s="56">
        <v>-9.2205580000000005</v>
      </c>
      <c r="L61" s="56">
        <v>-7.3039474000000002</v>
      </c>
      <c r="M61" s="56">
        <v>-9.6460519999999992</v>
      </c>
      <c r="N61" s="56">
        <v>-17.065149999999999</v>
      </c>
    </row>
    <row r="62" spans="1:14" x14ac:dyDescent="0.35">
      <c r="A62" s="2">
        <v>43538</v>
      </c>
      <c r="B62" s="49">
        <v>4.2600154999999997</v>
      </c>
      <c r="C62" s="49">
        <v>-2.0853758</v>
      </c>
      <c r="D62" s="49">
        <v>2.0034074999999998</v>
      </c>
      <c r="E62" s="49">
        <v>-14.041079</v>
      </c>
      <c r="F62" s="49">
        <v>-10.371226</v>
      </c>
      <c r="G62" s="49">
        <v>2.9183626</v>
      </c>
      <c r="H62" s="49">
        <v>-0.61265826000000001</v>
      </c>
      <c r="I62" s="49">
        <v>3.8098931</v>
      </c>
      <c r="J62" s="49">
        <v>4.0815115000000004</v>
      </c>
      <c r="K62" s="56">
        <v>-4.6086907000000004</v>
      </c>
      <c r="L62" s="56">
        <v>-6.0017347000000001</v>
      </c>
      <c r="M62" s="56">
        <v>-8.3113309999999991</v>
      </c>
      <c r="N62" s="56">
        <v>-11.827505</v>
      </c>
    </row>
    <row r="63" spans="1:14" x14ac:dyDescent="0.35">
      <c r="A63" s="2">
        <v>43567</v>
      </c>
      <c r="B63" s="49">
        <v>6.5919280000000002</v>
      </c>
      <c r="C63" s="49">
        <v>3.4304380000000001</v>
      </c>
      <c r="D63" s="49">
        <v>4.2378305999999997</v>
      </c>
      <c r="E63" s="49">
        <v>-11.886101999999999</v>
      </c>
      <c r="F63" s="49">
        <v>-7.1532669999999996</v>
      </c>
      <c r="G63" s="49">
        <v>6.2368034999999997</v>
      </c>
      <c r="H63" s="49">
        <v>-2.0499348999999998</v>
      </c>
      <c r="I63" s="49">
        <v>15.559519</v>
      </c>
      <c r="J63" s="49">
        <v>11.240339000000001</v>
      </c>
      <c r="K63" s="56">
        <v>-2.9061913000000001</v>
      </c>
      <c r="L63" s="56">
        <v>-3.0400455000000002</v>
      </c>
      <c r="M63" s="56">
        <v>2.6551485000000001</v>
      </c>
      <c r="N63" s="56">
        <v>-11.217366999999999</v>
      </c>
    </row>
    <row r="64" spans="1:14" x14ac:dyDescent="0.35">
      <c r="A64" s="2">
        <v>43599</v>
      </c>
      <c r="B64" s="49">
        <v>10.36731</v>
      </c>
      <c r="C64" s="49">
        <v>-1.7388760999999999</v>
      </c>
      <c r="D64" s="49">
        <v>-2.1542906999999998</v>
      </c>
      <c r="E64" s="49">
        <v>-14.051092000000001</v>
      </c>
      <c r="F64" s="49">
        <v>-11.670584</v>
      </c>
      <c r="G64" s="49">
        <v>5.0317170000000004</v>
      </c>
      <c r="H64" s="49">
        <v>-7.2819114000000003</v>
      </c>
      <c r="I64" s="49">
        <v>7.2830560000000002</v>
      </c>
      <c r="J64" s="49">
        <v>5.8427334000000002</v>
      </c>
      <c r="K64" s="56">
        <v>-7.5225710000000001</v>
      </c>
      <c r="L64" s="56">
        <v>-3.7646055</v>
      </c>
      <c r="M64" s="56">
        <v>-6.7562699999999998</v>
      </c>
      <c r="N64" s="56">
        <v>-16.347683</v>
      </c>
    </row>
    <row r="65" spans="1:14" x14ac:dyDescent="0.35">
      <c r="A65" s="2">
        <v>43630</v>
      </c>
      <c r="B65" s="49">
        <v>4.4923900000000003</v>
      </c>
      <c r="C65" s="49">
        <v>4.6655416000000001</v>
      </c>
      <c r="D65" s="49">
        <v>-0.87900160000000005</v>
      </c>
      <c r="E65" s="49">
        <v>-12.983852000000001</v>
      </c>
      <c r="F65" s="49">
        <v>-9.5564</v>
      </c>
      <c r="G65" s="49">
        <v>13.125467</v>
      </c>
      <c r="H65" s="49">
        <v>-6.752205</v>
      </c>
      <c r="I65" s="49">
        <v>3.7338257000000001</v>
      </c>
      <c r="J65" s="49">
        <v>5.8027030000000002</v>
      </c>
      <c r="K65" s="56">
        <v>-4.5561194</v>
      </c>
      <c r="L65" s="56">
        <v>-2.1070956999999999</v>
      </c>
      <c r="M65" s="56">
        <v>-4.0671644000000002</v>
      </c>
      <c r="N65" s="56">
        <v>-7.2824774000000003</v>
      </c>
    </row>
    <row r="66" spans="1:14" x14ac:dyDescent="0.35">
      <c r="A66" s="2">
        <v>43658</v>
      </c>
      <c r="B66" s="49">
        <v>16.444016000000001</v>
      </c>
      <c r="C66" s="49">
        <v>4.5932649999999997</v>
      </c>
      <c r="D66" s="49">
        <v>2.3510456</v>
      </c>
      <c r="E66" s="49">
        <v>-7.0489287000000003</v>
      </c>
      <c r="F66" s="49">
        <v>-1.7686605</v>
      </c>
      <c r="G66" s="49">
        <v>13.750064999999999</v>
      </c>
      <c r="H66" s="49">
        <v>-3.4241378</v>
      </c>
      <c r="I66" s="49">
        <v>8.7868209999999998</v>
      </c>
      <c r="J66" s="49">
        <v>9.7578639999999996</v>
      </c>
      <c r="K66" s="56">
        <v>0.93997717000000003</v>
      </c>
      <c r="L66" s="56">
        <v>2.8215408000000002</v>
      </c>
      <c r="M66" s="56">
        <v>3.4644960999999999</v>
      </c>
      <c r="N66" s="56">
        <v>2.6831865000000001</v>
      </c>
    </row>
    <row r="67" spans="1:14" x14ac:dyDescent="0.35">
      <c r="A67" s="2">
        <v>43691</v>
      </c>
      <c r="B67" s="49">
        <v>15.896820999999999</v>
      </c>
      <c r="C67" s="49">
        <v>-0.39481519999999998</v>
      </c>
      <c r="D67" s="49">
        <v>-2.9246986000000001</v>
      </c>
      <c r="E67" s="49">
        <v>-11.802644000000001</v>
      </c>
      <c r="F67" s="49">
        <v>-7.2221994</v>
      </c>
      <c r="G67" s="49">
        <v>9.5946549999999995</v>
      </c>
      <c r="H67" s="49">
        <v>-8.5918539999999997</v>
      </c>
      <c r="I67" s="49">
        <v>1.6061186999999999</v>
      </c>
      <c r="J67" s="49">
        <v>1.9892097</v>
      </c>
      <c r="K67" s="56">
        <v>-3.5280942999999998</v>
      </c>
      <c r="L67" s="56">
        <v>-0.84752439999999996</v>
      </c>
      <c r="M67" s="56">
        <v>-8.8147579999999994</v>
      </c>
      <c r="N67" s="56">
        <v>-3.5911083000000001</v>
      </c>
    </row>
    <row r="68" spans="1:14" x14ac:dyDescent="0.35">
      <c r="A68" s="2">
        <v>43721</v>
      </c>
      <c r="B68" s="49">
        <v>13.270270999999999</v>
      </c>
      <c r="C68" s="49">
        <v>9.2248920000000005</v>
      </c>
      <c r="D68" s="49">
        <v>4.1510699999999998</v>
      </c>
      <c r="E68" s="49">
        <v>-4.9950542000000002</v>
      </c>
      <c r="F68" s="49">
        <v>0.62888860000000002</v>
      </c>
      <c r="G68" s="49">
        <v>10.845255999999999</v>
      </c>
      <c r="H68" s="49">
        <v>-0.38787723000000002</v>
      </c>
      <c r="I68" s="49">
        <v>5.2566648000000002</v>
      </c>
      <c r="J68" s="49">
        <v>5.5872320000000002</v>
      </c>
      <c r="K68" s="56">
        <v>1.6843796</v>
      </c>
      <c r="L68" s="56">
        <v>8.6079120000000007</v>
      </c>
      <c r="M68" s="56">
        <v>-1.3996660999999999</v>
      </c>
      <c r="N68" s="56">
        <v>4.6154736999999999</v>
      </c>
    </row>
    <row r="69" spans="1:14" x14ac:dyDescent="0.35">
      <c r="A69" s="2">
        <v>43752</v>
      </c>
      <c r="B69" s="49">
        <v>19.832552</v>
      </c>
      <c r="C69" s="49">
        <v>13.032722</v>
      </c>
      <c r="D69" s="49">
        <v>7.0753336000000004</v>
      </c>
      <c r="E69" s="49">
        <v>0.49843788</v>
      </c>
      <c r="F69" s="49">
        <v>1.9953012000000001</v>
      </c>
      <c r="G69" s="49">
        <v>16.970694000000002</v>
      </c>
      <c r="H69" s="49">
        <v>1.7601848</v>
      </c>
      <c r="I69" s="49">
        <v>10.607136000000001</v>
      </c>
      <c r="J69" s="49">
        <v>9.3929404999999999</v>
      </c>
      <c r="K69" s="56">
        <v>6.7599296999999998</v>
      </c>
      <c r="L69" s="56">
        <v>15.124369</v>
      </c>
      <c r="M69" s="56">
        <v>0.43547153</v>
      </c>
      <c r="N69" s="56">
        <v>12.670493</v>
      </c>
    </row>
    <row r="70" spans="1:14" x14ac:dyDescent="0.35">
      <c r="A70" s="2">
        <v>43783</v>
      </c>
      <c r="B70" s="49">
        <v>15.627062</v>
      </c>
      <c r="C70" s="49">
        <v>15.258861</v>
      </c>
      <c r="D70" s="49">
        <v>14.148199</v>
      </c>
      <c r="E70" s="49">
        <v>8.8598370000000006</v>
      </c>
      <c r="F70" s="49">
        <v>11.234581</v>
      </c>
      <c r="G70" s="49">
        <v>20.516729999999999</v>
      </c>
      <c r="H70" s="49">
        <v>6.4430237000000004</v>
      </c>
      <c r="I70" s="49">
        <v>23.028732000000002</v>
      </c>
      <c r="J70" s="49">
        <v>16.854858</v>
      </c>
      <c r="K70" s="56">
        <v>14.990187000000001</v>
      </c>
      <c r="L70" s="56">
        <v>17.317603999999999</v>
      </c>
      <c r="M70" s="56">
        <v>13.582409</v>
      </c>
      <c r="N70" s="56">
        <v>22.158263999999999</v>
      </c>
    </row>
    <row r="71" spans="1:14" x14ac:dyDescent="0.35">
      <c r="A71" s="2">
        <v>43812</v>
      </c>
      <c r="B71" s="49">
        <v>22.502338000000002</v>
      </c>
      <c r="C71" s="49">
        <v>18.871355000000001</v>
      </c>
      <c r="D71" s="49">
        <v>18.625402000000001</v>
      </c>
      <c r="E71" s="49">
        <v>16.439485999999999</v>
      </c>
      <c r="F71" s="49">
        <v>15.282213</v>
      </c>
      <c r="G71" s="49">
        <v>23.695385000000002</v>
      </c>
      <c r="H71" s="49">
        <v>17.025804999999998</v>
      </c>
      <c r="I71" s="49">
        <v>26.623450999999999</v>
      </c>
      <c r="J71" s="49">
        <v>21.968305999999998</v>
      </c>
      <c r="K71" s="56">
        <v>20.465623999999998</v>
      </c>
      <c r="L71" s="56">
        <v>25.277350999999999</v>
      </c>
      <c r="M71" s="56">
        <v>19.401443</v>
      </c>
      <c r="N71" s="56">
        <v>21.164619999999999</v>
      </c>
    </row>
    <row r="72" spans="1:14" x14ac:dyDescent="0.35">
      <c r="A72" s="2">
        <v>43844</v>
      </c>
      <c r="B72" s="49">
        <v>24.068535000000001</v>
      </c>
      <c r="C72" s="49">
        <v>19.80133</v>
      </c>
      <c r="D72" s="49">
        <v>19.562197000000001</v>
      </c>
      <c r="E72" s="49">
        <v>17.474233999999999</v>
      </c>
      <c r="F72" s="49">
        <v>16.12773</v>
      </c>
      <c r="G72" s="49">
        <v>27.319192999999999</v>
      </c>
      <c r="H72" s="49">
        <v>16.286123</v>
      </c>
      <c r="I72" s="49">
        <v>39.317383</v>
      </c>
      <c r="J72" s="49">
        <v>29.621292</v>
      </c>
      <c r="K72" s="56">
        <v>24.870777</v>
      </c>
      <c r="L72" s="56">
        <v>30.084955000000001</v>
      </c>
      <c r="M72" s="56">
        <v>19.59337</v>
      </c>
      <c r="N72" s="56">
        <v>21.560265000000001</v>
      </c>
    </row>
    <row r="73" spans="1:14" x14ac:dyDescent="0.35">
      <c r="A73" s="2">
        <v>43875</v>
      </c>
      <c r="B73" s="49">
        <v>20.121230000000001</v>
      </c>
      <c r="C73" s="49">
        <v>15.619790999999999</v>
      </c>
      <c r="D73" s="49">
        <v>15.713251</v>
      </c>
      <c r="E73" s="49">
        <v>15.82396</v>
      </c>
      <c r="F73" s="49">
        <v>10.931468000000001</v>
      </c>
      <c r="G73" s="49">
        <v>27.606795999999999</v>
      </c>
      <c r="H73" s="49">
        <v>8.0376259999999995</v>
      </c>
      <c r="I73" s="49">
        <v>38.167605999999999</v>
      </c>
      <c r="J73" s="49">
        <v>25.368893</v>
      </c>
      <c r="K73" s="56">
        <v>17.885255999999998</v>
      </c>
      <c r="L73" s="56">
        <v>22.480129999999999</v>
      </c>
      <c r="M73" s="56">
        <v>18.558502000000001</v>
      </c>
      <c r="N73" s="56">
        <v>20.175625</v>
      </c>
    </row>
    <row r="74" spans="1:14" x14ac:dyDescent="0.35">
      <c r="A74" s="2">
        <v>43903</v>
      </c>
      <c r="B74" s="49">
        <v>1.3254881000000001</v>
      </c>
      <c r="C74" s="49">
        <v>-16.131145</v>
      </c>
      <c r="D74" s="49">
        <v>-17.387777</v>
      </c>
      <c r="E74" s="49">
        <v>-20.199197999999999</v>
      </c>
      <c r="F74" s="49">
        <v>-12.9453</v>
      </c>
      <c r="G74" s="49">
        <v>0.91060399999999997</v>
      </c>
      <c r="H74" s="49">
        <v>-23.944932999999999</v>
      </c>
      <c r="I74" s="49">
        <v>9.5545770000000001</v>
      </c>
      <c r="J74" s="49">
        <v>-2.4612962999999999</v>
      </c>
      <c r="K74" s="56">
        <v>-17.904292999999999</v>
      </c>
      <c r="L74" s="56">
        <v>-10.26085</v>
      </c>
      <c r="M74" s="56">
        <v>-9.9263130000000004</v>
      </c>
      <c r="N74" s="56">
        <v>-20.337630000000001</v>
      </c>
    </row>
    <row r="75" spans="1:14" x14ac:dyDescent="0.35">
      <c r="A75" s="2">
        <v>43935</v>
      </c>
      <c r="B75" s="49">
        <v>-4.2139290000000003</v>
      </c>
      <c r="C75" s="49">
        <v>-18.390633000000001</v>
      </c>
      <c r="D75" s="49">
        <v>-15.941535999999999</v>
      </c>
      <c r="E75" s="49">
        <v>-15.280771</v>
      </c>
      <c r="F75" s="49">
        <v>-5.25589</v>
      </c>
      <c r="G75" s="49">
        <v>5.2074790000000002</v>
      </c>
      <c r="H75" s="49">
        <v>-23.342829999999999</v>
      </c>
      <c r="I75" s="49">
        <v>14.981127000000001</v>
      </c>
      <c r="J75" s="49">
        <v>-0.17033219999999999</v>
      </c>
      <c r="K75" s="56">
        <v>-18.137478000000002</v>
      </c>
      <c r="L75" s="56">
        <v>-7.9931555000000003</v>
      </c>
      <c r="M75" s="56">
        <v>-13.438601</v>
      </c>
      <c r="N75" s="56">
        <v>-21.968841999999999</v>
      </c>
    </row>
    <row r="76" spans="1:14" x14ac:dyDescent="0.35">
      <c r="A76" s="2">
        <v>43965</v>
      </c>
      <c r="B76" s="49">
        <v>0.21176338</v>
      </c>
      <c r="C76" s="49">
        <v>-19.084727999999998</v>
      </c>
      <c r="D76" s="49">
        <v>-13.196540000000001</v>
      </c>
      <c r="E76" s="49">
        <v>-16.645712</v>
      </c>
      <c r="F76" s="49">
        <v>-1.6471922000000001</v>
      </c>
      <c r="G76" s="49">
        <v>5.257714</v>
      </c>
      <c r="H76" s="49">
        <v>-22.647476000000001</v>
      </c>
      <c r="I76" s="49">
        <v>23.919678000000001</v>
      </c>
      <c r="J76" s="49">
        <v>2.63592</v>
      </c>
      <c r="K76" s="56">
        <v>-20.143174999999999</v>
      </c>
      <c r="L76" s="56">
        <v>-5.0268946000000003</v>
      </c>
      <c r="M76" s="56">
        <v>-9.4029959999999999</v>
      </c>
      <c r="N76" s="56">
        <v>-22.718699000000001</v>
      </c>
    </row>
    <row r="77" spans="1:14" x14ac:dyDescent="0.35">
      <c r="A77" s="2">
        <v>43994</v>
      </c>
      <c r="B77" s="49">
        <v>7.6381563999999997</v>
      </c>
      <c r="C77" s="49">
        <v>-10.586506</v>
      </c>
      <c r="D77" s="49">
        <v>-6.2170266999999999</v>
      </c>
      <c r="E77" s="49">
        <v>-1.2363374</v>
      </c>
      <c r="F77" s="49">
        <v>5.7610273000000003</v>
      </c>
      <c r="G77" s="49">
        <v>5.4131270000000002</v>
      </c>
      <c r="H77" s="49">
        <v>-16.306287999999999</v>
      </c>
      <c r="I77" s="49">
        <v>30.467583000000001</v>
      </c>
      <c r="J77" s="49">
        <v>7.6696634000000001</v>
      </c>
      <c r="K77" s="56">
        <v>-8.3927449999999997</v>
      </c>
      <c r="L77" s="56">
        <v>5.3045989999999996</v>
      </c>
      <c r="M77" s="56">
        <v>2.8613925</v>
      </c>
      <c r="N77" s="56">
        <v>-8.7382849999999994</v>
      </c>
    </row>
    <row r="78" spans="1:14" x14ac:dyDescent="0.35">
      <c r="A78" s="2">
        <v>44026</v>
      </c>
      <c r="B78" s="49">
        <v>8.2392810000000001</v>
      </c>
      <c r="C78" s="49">
        <v>-10.08569</v>
      </c>
      <c r="D78" s="49">
        <v>-6.3659724999999998</v>
      </c>
      <c r="E78" s="49">
        <v>3.7490367999999998</v>
      </c>
      <c r="F78" s="49">
        <v>3.5725832</v>
      </c>
      <c r="G78" s="49">
        <v>11.277222999999999</v>
      </c>
      <c r="H78" s="49">
        <v>-16.17437</v>
      </c>
      <c r="I78" s="49">
        <v>35.620106</v>
      </c>
      <c r="J78" s="49">
        <v>8.2254050000000003</v>
      </c>
      <c r="K78" s="56">
        <v>-6.5441846999999997</v>
      </c>
      <c r="L78" s="56">
        <v>12.172389000000001</v>
      </c>
      <c r="M78" s="56">
        <v>10.003269</v>
      </c>
      <c r="N78" s="56">
        <v>-10.599755999999999</v>
      </c>
    </row>
    <row r="79" spans="1:14" x14ac:dyDescent="0.35">
      <c r="A79" s="2">
        <v>44057</v>
      </c>
      <c r="B79" s="49">
        <v>11.014640999999999</v>
      </c>
      <c r="C79" s="49">
        <v>0.95913409999999999</v>
      </c>
      <c r="D79" s="49">
        <v>5.4904460000000004</v>
      </c>
      <c r="E79" s="49">
        <v>17.903220999999998</v>
      </c>
      <c r="F79" s="49">
        <v>12.693500500000001</v>
      </c>
      <c r="G79" s="49">
        <v>15.13735</v>
      </c>
      <c r="H79" s="49">
        <v>-5.8064819999999999</v>
      </c>
      <c r="I79" s="49">
        <v>50.115169999999999</v>
      </c>
      <c r="J79" s="49">
        <v>21.050585000000002</v>
      </c>
      <c r="K79" s="56">
        <v>3.3149362</v>
      </c>
      <c r="L79" s="56">
        <v>20.483124</v>
      </c>
      <c r="M79" s="56">
        <v>30.263233</v>
      </c>
      <c r="N79" s="56">
        <v>4.7695875000000001</v>
      </c>
    </row>
    <row r="80" spans="1:14" x14ac:dyDescent="0.35">
      <c r="A80" s="2">
        <v>44088</v>
      </c>
      <c r="B80" s="49">
        <v>15.423738500000001</v>
      </c>
      <c r="C80" s="49">
        <v>-6.7205009999999996</v>
      </c>
      <c r="D80" s="49">
        <v>-0.12949109</v>
      </c>
      <c r="E80" s="49">
        <v>11.474049000000001</v>
      </c>
      <c r="F80" s="49">
        <v>5.7652710000000003</v>
      </c>
      <c r="G80" s="49">
        <v>13.983416999999999</v>
      </c>
      <c r="H80" s="49">
        <v>-14.766014</v>
      </c>
      <c r="I80" s="49">
        <v>44.060780000000001</v>
      </c>
      <c r="J80" s="49">
        <v>14.688433</v>
      </c>
      <c r="K80" s="56">
        <v>-2.2399783000000002</v>
      </c>
      <c r="L80" s="56">
        <v>11.942826999999999</v>
      </c>
      <c r="M80" s="56">
        <v>18.750689999999999</v>
      </c>
      <c r="N80" s="56">
        <v>-6.9685698</v>
      </c>
    </row>
    <row r="81" spans="1:14" x14ac:dyDescent="0.35">
      <c r="A81" s="2">
        <v>44118</v>
      </c>
      <c r="B81" s="49">
        <v>21.135818</v>
      </c>
      <c r="C81" s="49">
        <v>-2.0507276000000001</v>
      </c>
      <c r="D81" s="49">
        <v>1.9592524</v>
      </c>
      <c r="E81" s="49">
        <v>10.430156999999999</v>
      </c>
      <c r="F81" s="49">
        <v>6.6954136000000002</v>
      </c>
      <c r="G81" s="49">
        <v>13.903009000000001</v>
      </c>
      <c r="H81" s="49">
        <v>-14.844048000000001</v>
      </c>
      <c r="I81" s="49">
        <v>53.982196999999999</v>
      </c>
      <c r="J81" s="49">
        <v>19.874727</v>
      </c>
      <c r="K81" s="56">
        <v>-4.330635</v>
      </c>
      <c r="L81" s="56">
        <v>16.919815</v>
      </c>
      <c r="M81" s="56">
        <v>24.690842</v>
      </c>
      <c r="N81" s="56">
        <v>-8.2494499999999995</v>
      </c>
    </row>
    <row r="82" spans="1:14" x14ac:dyDescent="0.35">
      <c r="A82" s="2">
        <v>44148</v>
      </c>
      <c r="B82" s="49">
        <v>26.410388999999999</v>
      </c>
      <c r="C82" s="49">
        <v>1.5436171999999999</v>
      </c>
      <c r="D82" s="49">
        <v>-0.27762055000000002</v>
      </c>
      <c r="E82" s="49">
        <v>4.7165154999999999</v>
      </c>
      <c r="F82" s="49">
        <v>8.2862015000000007</v>
      </c>
      <c r="G82" s="49">
        <v>12.416112999999999</v>
      </c>
      <c r="H82" s="49">
        <v>-10.354721</v>
      </c>
      <c r="I82" s="49">
        <v>45.397151999999998</v>
      </c>
      <c r="J82" s="49">
        <v>18.129802999999999</v>
      </c>
      <c r="K82" s="56">
        <v>1.1226773000000001</v>
      </c>
      <c r="L82" s="56">
        <v>19.109608000000001</v>
      </c>
      <c r="M82" s="56">
        <v>22.026454999999999</v>
      </c>
      <c r="N82" s="56">
        <v>-5.4562569999999999</v>
      </c>
    </row>
    <row r="83" spans="1:14" x14ac:dyDescent="0.35">
      <c r="A83" s="2">
        <v>44179</v>
      </c>
      <c r="B83" s="49">
        <v>21.496749999999999</v>
      </c>
      <c r="C83" s="49">
        <v>7.8131199999999996</v>
      </c>
      <c r="D83" s="49">
        <v>7.5117229999999999</v>
      </c>
      <c r="E83" s="49">
        <v>6.8385123999999999</v>
      </c>
      <c r="F83" s="49">
        <v>11.132645999999999</v>
      </c>
      <c r="G83" s="49">
        <v>11.604727</v>
      </c>
      <c r="H83" s="49">
        <v>-11.240816000000001</v>
      </c>
      <c r="I83" s="49">
        <v>47.842182000000001</v>
      </c>
      <c r="J83" s="49">
        <v>17.177665999999999</v>
      </c>
      <c r="K83" s="56">
        <v>4.0495156999999997</v>
      </c>
      <c r="L83" s="56">
        <v>20.368790000000001</v>
      </c>
      <c r="M83" s="56">
        <v>21.276712</v>
      </c>
      <c r="N83" s="56">
        <v>0.83643199999999995</v>
      </c>
    </row>
    <row r="84" spans="1:14" x14ac:dyDescent="0.35">
      <c r="A84" s="2">
        <v>44210</v>
      </c>
      <c r="B84" s="49">
        <v>19.308603000000002</v>
      </c>
      <c r="C84" s="49">
        <v>9.41099</v>
      </c>
      <c r="D84" s="49">
        <v>8.9780689999999996</v>
      </c>
      <c r="E84" s="49">
        <v>11.68282</v>
      </c>
      <c r="F84" s="49">
        <v>18.164242000000002</v>
      </c>
      <c r="G84" s="49">
        <v>12.938094</v>
      </c>
      <c r="H84" s="49">
        <v>-5.6348979999999997</v>
      </c>
      <c r="I84" s="49">
        <v>43.853462</v>
      </c>
      <c r="J84" s="49">
        <v>17.777729000000001</v>
      </c>
      <c r="K84" s="56">
        <v>5.4795980000000002</v>
      </c>
      <c r="L84" s="56">
        <v>29.041302000000002</v>
      </c>
      <c r="M84" s="56">
        <v>27.193760000000001</v>
      </c>
      <c r="N84" s="56">
        <v>3.0846357000000002</v>
      </c>
    </row>
    <row r="85" spans="1:14" x14ac:dyDescent="0.35">
      <c r="A85" s="2">
        <v>44239</v>
      </c>
      <c r="B85" s="49">
        <v>15.659534000000001</v>
      </c>
      <c r="C85" s="49">
        <v>11.241198000000001</v>
      </c>
      <c r="D85" s="49">
        <v>9.8549600000000002</v>
      </c>
      <c r="E85" s="49">
        <v>13.512062999999999</v>
      </c>
      <c r="F85" s="49">
        <v>21.875525</v>
      </c>
      <c r="G85" s="49">
        <v>9.7873450000000002</v>
      </c>
      <c r="H85" s="49">
        <v>-5.7464719999999998</v>
      </c>
      <c r="I85" s="49">
        <v>44.640957</v>
      </c>
      <c r="J85" s="49">
        <v>18.580127999999998</v>
      </c>
      <c r="K85" s="56">
        <v>6.1517239999999997</v>
      </c>
      <c r="L85" s="56">
        <v>33.864044</v>
      </c>
      <c r="M85" s="56">
        <v>26.515984</v>
      </c>
      <c r="N85" s="56">
        <v>4.3434499999999998</v>
      </c>
    </row>
    <row r="86" spans="1:14" x14ac:dyDescent="0.35">
      <c r="A86" s="2">
        <v>44267</v>
      </c>
      <c r="B86" s="49">
        <v>43.169083000000001</v>
      </c>
      <c r="C86" s="49">
        <v>70.166650000000004</v>
      </c>
      <c r="D86" s="49">
        <v>73.709045000000003</v>
      </c>
      <c r="E86" s="49">
        <v>67.862785000000002</v>
      </c>
      <c r="F86" s="49">
        <v>55.725501999999999</v>
      </c>
      <c r="G86" s="49">
        <v>40.04383</v>
      </c>
      <c r="H86" s="49">
        <v>42.030290000000001</v>
      </c>
      <c r="I86" s="49">
        <v>79.173599999999993</v>
      </c>
      <c r="J86" s="49">
        <v>61.847589999999997</v>
      </c>
      <c r="K86" s="56">
        <v>63.366936000000003</v>
      </c>
      <c r="L86" s="56">
        <v>82.087159999999997</v>
      </c>
      <c r="M86" s="56">
        <v>90.48357</v>
      </c>
      <c r="N86" s="56">
        <v>72.124626000000006</v>
      </c>
    </row>
    <row r="87" spans="1:14" x14ac:dyDescent="0.35">
      <c r="A87" s="2">
        <v>44300</v>
      </c>
      <c r="B87" s="49">
        <v>36.776090000000003</v>
      </c>
      <c r="C87" s="49">
        <v>53.754339999999999</v>
      </c>
      <c r="D87" s="49">
        <v>53.187705999999999</v>
      </c>
      <c r="E87" s="49">
        <v>52.088799999999999</v>
      </c>
      <c r="F87" s="49">
        <v>37.761436000000003</v>
      </c>
      <c r="G87" s="49">
        <v>27.022766000000001</v>
      </c>
      <c r="H87" s="49">
        <v>32.868923000000002</v>
      </c>
      <c r="I87" s="49">
        <v>59.827350000000003</v>
      </c>
      <c r="J87" s="49">
        <v>47.32311</v>
      </c>
      <c r="K87" s="56">
        <v>51.187559999999998</v>
      </c>
      <c r="L87" s="56">
        <v>73.816929999999999</v>
      </c>
      <c r="M87" s="56">
        <v>77.185320000000004</v>
      </c>
      <c r="N87" s="56">
        <v>52.845097000000003</v>
      </c>
    </row>
    <row r="88" spans="1:14" x14ac:dyDescent="0.35">
      <c r="A88" s="2">
        <v>44330</v>
      </c>
      <c r="B88" s="49">
        <v>28.694701999999999</v>
      </c>
      <c r="C88" s="49">
        <v>64.171130000000005</v>
      </c>
      <c r="D88" s="49">
        <v>59.308770000000003</v>
      </c>
      <c r="E88" s="49">
        <v>60.853447000000003</v>
      </c>
      <c r="F88" s="49">
        <v>31.367540000000002</v>
      </c>
      <c r="G88" s="49">
        <v>31.530678000000002</v>
      </c>
      <c r="H88" s="49">
        <v>43.580807</v>
      </c>
      <c r="I88" s="49">
        <v>48.053489999999996</v>
      </c>
      <c r="J88" s="49">
        <v>48.542296999999998</v>
      </c>
      <c r="K88" s="56">
        <v>68.410385000000005</v>
      </c>
      <c r="L88" s="56">
        <v>73.232315</v>
      </c>
      <c r="M88" s="56">
        <v>86.049164000000005</v>
      </c>
      <c r="N88" s="56">
        <v>67.510140000000007</v>
      </c>
    </row>
    <row r="89" spans="1:14" x14ac:dyDescent="0.35">
      <c r="A89" s="2">
        <v>44361</v>
      </c>
      <c r="B89" s="49">
        <v>18.429791999999999</v>
      </c>
      <c r="C89" s="49">
        <v>46.196959999999997</v>
      </c>
      <c r="D89" s="49">
        <v>52.226578000000003</v>
      </c>
      <c r="E89" s="49">
        <v>38.428759999999997</v>
      </c>
      <c r="F89" s="49">
        <v>25.03661</v>
      </c>
      <c r="G89" s="49">
        <v>33.379173000000002</v>
      </c>
      <c r="H89" s="49">
        <v>34.37717</v>
      </c>
      <c r="I89" s="49">
        <v>46.964621999999999</v>
      </c>
      <c r="J89" s="49">
        <v>42.046950000000002</v>
      </c>
      <c r="K89" s="56">
        <v>48.366844</v>
      </c>
      <c r="L89" s="56">
        <v>59.361065000000004</v>
      </c>
      <c r="M89" s="56">
        <v>64.744380000000007</v>
      </c>
      <c r="N89" s="56">
        <v>46.376503</v>
      </c>
    </row>
    <row r="90" spans="1:14" x14ac:dyDescent="0.35">
      <c r="A90" s="2">
        <v>44391</v>
      </c>
      <c r="B90" s="49">
        <v>9.9180700000000002</v>
      </c>
      <c r="C90" s="49">
        <v>35.523296000000002</v>
      </c>
      <c r="D90" s="49">
        <v>41.82564</v>
      </c>
      <c r="E90" s="49">
        <v>27.082955999999999</v>
      </c>
      <c r="F90" s="49">
        <v>24.286757999999999</v>
      </c>
      <c r="G90" s="49">
        <v>24.633944</v>
      </c>
      <c r="H90" s="49">
        <v>29.570315999999998</v>
      </c>
      <c r="I90" s="49">
        <v>40.234695000000002</v>
      </c>
      <c r="J90" s="49">
        <v>38.839849999999998</v>
      </c>
      <c r="K90" s="56">
        <v>35.645282999999999</v>
      </c>
      <c r="L90" s="56">
        <v>43.673264000000003</v>
      </c>
      <c r="M90" s="56">
        <v>47.326397</v>
      </c>
      <c r="N90" s="56">
        <v>30.575502</v>
      </c>
    </row>
    <row r="91" spans="1:14" x14ac:dyDescent="0.35">
      <c r="A91" s="2">
        <v>44421</v>
      </c>
      <c r="B91" s="49">
        <v>9.6508389999999995</v>
      </c>
      <c r="C91" s="49">
        <v>32.343640000000001</v>
      </c>
      <c r="D91" s="49">
        <v>35.653149999999997</v>
      </c>
      <c r="E91" s="49">
        <v>22.04318</v>
      </c>
      <c r="F91" s="49">
        <v>19.970226</v>
      </c>
      <c r="G91" s="49">
        <v>24.511814000000001</v>
      </c>
      <c r="H91" s="49">
        <v>27.838695999999999</v>
      </c>
      <c r="I91" s="49">
        <v>36.124374000000003</v>
      </c>
      <c r="J91" s="49">
        <v>34.374428000000002</v>
      </c>
      <c r="K91" s="56">
        <v>36.040306000000001</v>
      </c>
      <c r="L91" s="56">
        <v>45.645843999999997</v>
      </c>
      <c r="M91" s="56">
        <v>41.020668000000001</v>
      </c>
      <c r="N91" s="56">
        <v>31.801987</v>
      </c>
    </row>
    <row r="92" spans="1:14" x14ac:dyDescent="0.35">
      <c r="A92" s="2">
        <v>44453</v>
      </c>
      <c r="B92" s="49">
        <v>8.8899139999999992</v>
      </c>
      <c r="C92" s="49">
        <v>29.515314</v>
      </c>
      <c r="D92" s="49">
        <v>34.203887999999999</v>
      </c>
      <c r="E92" s="49">
        <v>17.672491000000001</v>
      </c>
      <c r="F92" s="49">
        <v>25.875019999999999</v>
      </c>
      <c r="G92" s="49">
        <v>18.852626999999998</v>
      </c>
      <c r="H92" s="49">
        <v>29.02168</v>
      </c>
      <c r="I92" s="49">
        <v>37.152279999999998</v>
      </c>
      <c r="J92" s="49">
        <v>33.202469999999998</v>
      </c>
      <c r="K92" s="56">
        <v>32.64922</v>
      </c>
      <c r="L92" s="56">
        <v>51.885986000000003</v>
      </c>
      <c r="M92" s="56">
        <v>38.366770000000002</v>
      </c>
      <c r="N92" s="56">
        <v>30.348623</v>
      </c>
    </row>
    <row r="93" spans="1:14" x14ac:dyDescent="0.35">
      <c r="A93" s="2">
        <v>44483</v>
      </c>
      <c r="B93" s="49">
        <v>3.2546878000000001</v>
      </c>
      <c r="C93" s="49">
        <v>28.137636000000001</v>
      </c>
      <c r="D93" s="49">
        <v>39.103065000000001</v>
      </c>
      <c r="E93" s="49">
        <v>15.008569</v>
      </c>
      <c r="F93" s="49">
        <v>16.080570000000002</v>
      </c>
      <c r="G93" s="49">
        <v>18.176914</v>
      </c>
      <c r="H93" s="49">
        <v>33.071125000000002</v>
      </c>
      <c r="I93" s="49">
        <v>26.204097999999998</v>
      </c>
      <c r="J93" s="49">
        <v>28.984999999999999</v>
      </c>
      <c r="K93" s="56">
        <v>36.339545999999999</v>
      </c>
      <c r="L93" s="56">
        <v>39.92313</v>
      </c>
      <c r="M93" s="56">
        <v>33.575665000000001</v>
      </c>
      <c r="N93" s="56">
        <v>33.710754000000001</v>
      </c>
    </row>
    <row r="94" spans="1:14" x14ac:dyDescent="0.35">
      <c r="A94" s="2">
        <v>44512</v>
      </c>
      <c r="B94" s="49">
        <v>-2.6449262999999998</v>
      </c>
      <c r="C94" s="49">
        <v>21.668983000000001</v>
      </c>
      <c r="D94" s="49">
        <v>42.233530000000002</v>
      </c>
      <c r="E94" s="49">
        <v>19.154060000000001</v>
      </c>
      <c r="F94" s="49">
        <v>13.411784000000001</v>
      </c>
      <c r="G94" s="49">
        <v>22.994923</v>
      </c>
      <c r="H94" s="49">
        <v>23.624956000000001</v>
      </c>
      <c r="I94" s="49">
        <v>37.590800000000002</v>
      </c>
      <c r="J94" s="49">
        <v>34.169186000000003</v>
      </c>
      <c r="K94" s="56">
        <v>30.474340000000002</v>
      </c>
      <c r="L94" s="56">
        <v>41.180169999999997</v>
      </c>
      <c r="M94" s="56">
        <v>32.460680000000004</v>
      </c>
      <c r="N94" s="56">
        <v>29.993068999999998</v>
      </c>
    </row>
    <row r="95" spans="1:14" x14ac:dyDescent="0.35">
      <c r="A95" s="2">
        <v>44544</v>
      </c>
      <c r="B95" s="49">
        <v>-10.588371</v>
      </c>
      <c r="C95" s="49">
        <v>6.7330002999999996</v>
      </c>
      <c r="D95" s="49">
        <v>21.612977999999998</v>
      </c>
      <c r="E95" s="49">
        <v>6.9164753000000001</v>
      </c>
      <c r="F95" s="49">
        <v>3.4652829999999999</v>
      </c>
      <c r="G95" s="49">
        <v>18.595064000000001</v>
      </c>
      <c r="H95" s="49">
        <v>14.624226</v>
      </c>
      <c r="I95" s="49">
        <v>28.363727999999998</v>
      </c>
      <c r="J95" s="49">
        <v>28.868925000000001</v>
      </c>
      <c r="K95" s="56">
        <v>17.656075999999999</v>
      </c>
      <c r="L95" s="56">
        <v>21.594190000000001</v>
      </c>
      <c r="M95" s="56">
        <v>17.31063</v>
      </c>
      <c r="N95" s="56">
        <v>13.480067</v>
      </c>
    </row>
    <row r="96" spans="1:14" x14ac:dyDescent="0.35">
      <c r="A96" s="2">
        <v>44575</v>
      </c>
      <c r="B96" s="49">
        <v>-12.015420000000001</v>
      </c>
      <c r="C96" s="49">
        <v>4.3678045000000001</v>
      </c>
      <c r="D96" s="49">
        <v>23.967922000000002</v>
      </c>
      <c r="E96" s="49">
        <v>5.0686239999999998</v>
      </c>
      <c r="F96" s="49">
        <v>-1.8554269999999999</v>
      </c>
      <c r="G96" s="49">
        <v>14.737892</v>
      </c>
      <c r="H96" s="49">
        <v>16.181135000000001</v>
      </c>
      <c r="I96" s="49">
        <v>21.470510000000001</v>
      </c>
      <c r="J96" s="49">
        <v>24.444914000000001</v>
      </c>
      <c r="K96" s="56">
        <v>19.507550999999999</v>
      </c>
      <c r="L96" s="56">
        <v>14.703822000000001</v>
      </c>
      <c r="M96" s="56">
        <v>13.879311</v>
      </c>
      <c r="N96" s="56">
        <v>14.752352</v>
      </c>
    </row>
    <row r="97" spans="1:14" x14ac:dyDescent="0.35">
      <c r="A97" s="2">
        <v>44606</v>
      </c>
      <c r="B97" s="49">
        <v>-18.329989999999999</v>
      </c>
      <c r="C97" s="49">
        <v>-0.84913373000000003</v>
      </c>
      <c r="D97" s="49">
        <v>19.369161999999999</v>
      </c>
      <c r="E97" s="49">
        <v>-2.7756690000000002</v>
      </c>
      <c r="F97" s="49">
        <v>-8.7562080000000009</v>
      </c>
      <c r="G97" s="49">
        <v>8.2434290000000008</v>
      </c>
      <c r="H97" s="49">
        <v>16.669225999999998</v>
      </c>
      <c r="I97" s="49">
        <v>3.7793755999999998</v>
      </c>
      <c r="J97" s="49">
        <v>13.317107999999999</v>
      </c>
      <c r="K97" s="56">
        <v>12.39649</v>
      </c>
      <c r="L97" s="56">
        <v>-1.6004681999999999</v>
      </c>
      <c r="M97" s="56">
        <v>-0.36550759999999999</v>
      </c>
      <c r="N97" s="56">
        <v>5.5149913000000002</v>
      </c>
    </row>
    <row r="98" spans="1:14" x14ac:dyDescent="0.35">
      <c r="A98" s="2">
        <v>44634</v>
      </c>
      <c r="B98" s="49">
        <v>-14.6513405</v>
      </c>
      <c r="C98" s="49">
        <v>0.65808295999999999</v>
      </c>
      <c r="D98" s="49">
        <v>12.086046</v>
      </c>
      <c r="E98" s="49">
        <v>-15.161395000000001</v>
      </c>
      <c r="F98" s="49">
        <v>-13.208126999999999</v>
      </c>
      <c r="G98" s="49">
        <v>6.2241315999999998</v>
      </c>
      <c r="H98" s="49">
        <v>3.8989544</v>
      </c>
      <c r="I98" s="49">
        <v>1.3454556</v>
      </c>
      <c r="J98" s="49">
        <v>7.2455999999999996</v>
      </c>
      <c r="K98" s="56">
        <v>-2.7154207000000001</v>
      </c>
      <c r="L98" s="56">
        <v>-12.321967000000001</v>
      </c>
      <c r="M98" s="56">
        <v>-12.949056000000001</v>
      </c>
      <c r="N98" s="56">
        <v>-10.849995</v>
      </c>
    </row>
    <row r="99" spans="1:14" x14ac:dyDescent="0.35">
      <c r="A99" s="2">
        <v>44665</v>
      </c>
      <c r="B99" s="49">
        <v>-14.920771</v>
      </c>
      <c r="C99" s="49">
        <v>7.7009679999999996</v>
      </c>
      <c r="D99" s="49">
        <v>15.282261</v>
      </c>
      <c r="E99" s="49">
        <v>-19.425518</v>
      </c>
      <c r="F99" s="49">
        <v>-14.292216</v>
      </c>
      <c r="G99" s="49">
        <v>9.372878</v>
      </c>
      <c r="H99" s="49">
        <v>10.448801</v>
      </c>
      <c r="I99" s="49">
        <v>1.0555505999999999</v>
      </c>
      <c r="J99" s="49">
        <v>7.8113793999999999</v>
      </c>
      <c r="K99" s="56">
        <v>-2.1361827999999998</v>
      </c>
      <c r="L99" s="56">
        <v>-14.903975000000001</v>
      </c>
      <c r="M99" s="56">
        <v>-13.973671</v>
      </c>
      <c r="N99" s="56">
        <v>-6.5641284000000004</v>
      </c>
    </row>
    <row r="100" spans="1:14" x14ac:dyDescent="0.35">
      <c r="A100" s="2">
        <v>44694</v>
      </c>
      <c r="B100" s="49">
        <v>-24.977701</v>
      </c>
      <c r="C100" s="49">
        <v>-5.3998470000000003</v>
      </c>
      <c r="D100" s="49">
        <v>0.8226156</v>
      </c>
      <c r="E100" s="49">
        <v>-23.877763999999999</v>
      </c>
      <c r="F100" s="49">
        <v>-12.859374000000001</v>
      </c>
      <c r="G100" s="49">
        <v>-4.3748674000000003</v>
      </c>
      <c r="H100" s="49">
        <v>-1.2131512</v>
      </c>
      <c r="I100" s="49">
        <v>-4.9927590000000004</v>
      </c>
      <c r="J100" s="49">
        <v>-0.78920126000000002</v>
      </c>
      <c r="K100" s="56">
        <v>-10.230665999999999</v>
      </c>
      <c r="L100" s="56">
        <v>-20.445663</v>
      </c>
      <c r="M100" s="56">
        <v>-22.572749999999999</v>
      </c>
      <c r="N100" s="56">
        <v>-13.968247</v>
      </c>
    </row>
    <row r="101" spans="1:14" x14ac:dyDescent="0.35">
      <c r="A101" s="2">
        <v>44726</v>
      </c>
      <c r="B101" s="49">
        <v>-28.323543999999998</v>
      </c>
      <c r="C101" s="49">
        <v>-15.987825000000001</v>
      </c>
      <c r="D101" s="49">
        <v>-7.1105299999999998</v>
      </c>
      <c r="E101" s="49">
        <v>-30.755074</v>
      </c>
      <c r="F101" s="49">
        <v>-21.395904999999999</v>
      </c>
      <c r="G101" s="49">
        <v>-19.360887999999999</v>
      </c>
      <c r="H101" s="49">
        <v>-8.6225620000000003</v>
      </c>
      <c r="I101" s="49">
        <v>-19.526122999999998</v>
      </c>
      <c r="J101" s="49">
        <v>-10.919655000000001</v>
      </c>
      <c r="K101" s="56">
        <v>-19.558174000000001</v>
      </c>
      <c r="L101" s="56">
        <v>-29.736954000000001</v>
      </c>
      <c r="M101" s="56">
        <v>-30.025839999999999</v>
      </c>
      <c r="N101" s="56">
        <v>-24.865929999999999</v>
      </c>
    </row>
    <row r="102" spans="1:14" x14ac:dyDescent="0.35">
      <c r="A102" s="2">
        <v>44756</v>
      </c>
      <c r="B102" s="49">
        <v>-25.420553000000002</v>
      </c>
      <c r="C102" s="49">
        <v>-15.079779</v>
      </c>
      <c r="D102" s="49">
        <v>-11.411535000000001</v>
      </c>
      <c r="E102" s="49">
        <v>-36.261189999999999</v>
      </c>
      <c r="F102" s="49">
        <v>-22.297049000000001</v>
      </c>
      <c r="G102" s="49">
        <v>-16.368203999999999</v>
      </c>
      <c r="H102" s="49">
        <v>-9.5430670000000006</v>
      </c>
      <c r="I102" s="49">
        <v>-20.604628000000002</v>
      </c>
      <c r="J102" s="49">
        <v>-12.136448</v>
      </c>
      <c r="K102" s="56">
        <v>-19.457488999999999</v>
      </c>
      <c r="L102" s="56">
        <v>-30.060784999999999</v>
      </c>
      <c r="M102" s="56">
        <v>-33.115845</v>
      </c>
      <c r="N102" s="56">
        <v>-28.378772999999999</v>
      </c>
    </row>
    <row r="103" spans="1:14" x14ac:dyDescent="0.35">
      <c r="A103" s="2">
        <v>44785</v>
      </c>
      <c r="B103" s="49">
        <v>-15.405637</v>
      </c>
      <c r="C103" s="49">
        <v>-5.8802547000000001</v>
      </c>
      <c r="D103" s="49">
        <v>-1.980567</v>
      </c>
      <c r="E103" s="49">
        <v>-28.266483000000001</v>
      </c>
      <c r="F103" s="49">
        <v>-14.726644500000001</v>
      </c>
      <c r="G103" s="49">
        <v>-11.146397</v>
      </c>
      <c r="H103" s="49">
        <v>-2.4426280999999999</v>
      </c>
      <c r="I103" s="49">
        <v>-9.6064570000000007</v>
      </c>
      <c r="J103" s="49">
        <v>-2.6786447</v>
      </c>
      <c r="K103" s="56">
        <v>-12.212217000000001</v>
      </c>
      <c r="L103" s="56">
        <v>-23.105484000000001</v>
      </c>
      <c r="M103" s="56">
        <v>-26.184887</v>
      </c>
      <c r="N103" s="56">
        <v>-21.155035000000002</v>
      </c>
    </row>
    <row r="104" spans="1:14" x14ac:dyDescent="0.35">
      <c r="A104" s="2">
        <v>44818</v>
      </c>
      <c r="B104" s="49">
        <v>-25.171296999999999</v>
      </c>
      <c r="C104" s="49">
        <v>-10.333717</v>
      </c>
      <c r="D104" s="49">
        <v>-5.1906166000000002</v>
      </c>
      <c r="E104" s="49">
        <v>-33.855648000000002</v>
      </c>
      <c r="F104" s="49">
        <v>-27.400863999999999</v>
      </c>
      <c r="G104" s="49">
        <v>-15.918321000000001</v>
      </c>
      <c r="H104" s="49">
        <v>-7.6974334999999998</v>
      </c>
      <c r="I104" s="49">
        <v>-20.675611</v>
      </c>
      <c r="J104" s="49">
        <v>-9.8939900000000005</v>
      </c>
      <c r="K104" s="56">
        <v>-17.883514000000002</v>
      </c>
      <c r="L104" s="56">
        <v>-34.810119999999998</v>
      </c>
      <c r="M104" s="56">
        <v>-33.096980000000002</v>
      </c>
      <c r="N104" s="56">
        <v>-23.298995999999999</v>
      </c>
    </row>
    <row r="105" spans="1:14" x14ac:dyDescent="0.35">
      <c r="A105" s="2">
        <v>44848</v>
      </c>
      <c r="B105" s="49">
        <v>-34.834679999999999</v>
      </c>
      <c r="C105" s="49">
        <v>-19.549889</v>
      </c>
      <c r="D105" s="49">
        <v>-19.673275</v>
      </c>
      <c r="E105" s="49">
        <v>-37.366570000000003</v>
      </c>
      <c r="F105" s="49">
        <v>-27.424161999999999</v>
      </c>
      <c r="G105" s="49">
        <v>-21.920849</v>
      </c>
      <c r="H105" s="49">
        <v>-17.870415000000001</v>
      </c>
      <c r="I105" s="49">
        <v>-28.440916000000001</v>
      </c>
      <c r="J105" s="49">
        <v>-17.953861</v>
      </c>
      <c r="K105" s="56">
        <v>-24.414587000000001</v>
      </c>
      <c r="L105" s="56">
        <v>-40.252791999999999</v>
      </c>
      <c r="M105" s="56">
        <v>-38.413555000000002</v>
      </c>
      <c r="N105" s="56">
        <v>-30.722695999999999</v>
      </c>
    </row>
    <row r="106" spans="1:14" x14ac:dyDescent="0.35">
      <c r="A106" s="2">
        <v>44879</v>
      </c>
      <c r="B106" s="49">
        <v>-24.990379999999998</v>
      </c>
      <c r="C106" s="49">
        <v>-7.5765190000000002</v>
      </c>
      <c r="D106" s="49">
        <v>-11.8037405</v>
      </c>
      <c r="E106" s="49">
        <v>-24.854749999999999</v>
      </c>
      <c r="F106" s="49">
        <v>-20.880859999999998</v>
      </c>
      <c r="G106" s="49">
        <v>-15.122956</v>
      </c>
      <c r="H106" s="49">
        <v>-7.2265920000000001</v>
      </c>
      <c r="I106" s="49">
        <v>-27.233277999999999</v>
      </c>
      <c r="J106" s="49">
        <v>-14.158243000000001</v>
      </c>
      <c r="K106" s="56">
        <v>-14.115380999999999</v>
      </c>
      <c r="L106" s="56">
        <v>-28.046534999999999</v>
      </c>
      <c r="M106" s="56">
        <v>-27.36429</v>
      </c>
      <c r="N106" s="56">
        <v>-16.666204</v>
      </c>
    </row>
    <row r="107" spans="1:14" x14ac:dyDescent="0.35">
      <c r="A107" s="2">
        <v>44909</v>
      </c>
      <c r="B107" s="49">
        <v>-12.932563</v>
      </c>
      <c r="C107" s="49">
        <v>0.99108220000000002</v>
      </c>
      <c r="D107" s="49">
        <v>-6.6335734999999998</v>
      </c>
      <c r="E107" s="49">
        <v>-17.262941000000001</v>
      </c>
      <c r="F107" s="49">
        <v>-15.369004</v>
      </c>
      <c r="G107" s="49">
        <v>-11.987477</v>
      </c>
      <c r="H107" s="49">
        <v>2.3839950000000001</v>
      </c>
      <c r="I107" s="49">
        <v>-25.737524000000001</v>
      </c>
      <c r="J107" s="49">
        <v>-12.496180000000001</v>
      </c>
      <c r="K107" s="56">
        <v>-5.5082319999999996</v>
      </c>
      <c r="L107" s="56">
        <v>-16.156459999999999</v>
      </c>
      <c r="M107" s="56">
        <v>-18.009943</v>
      </c>
      <c r="N107" s="56">
        <v>-9.0753609999999991</v>
      </c>
    </row>
    <row r="108" spans="1:14" x14ac:dyDescent="0.35">
      <c r="A108" s="2">
        <v>44939</v>
      </c>
      <c r="B108" s="49">
        <v>-11.444986</v>
      </c>
      <c r="C108" s="49">
        <v>1.4760256</v>
      </c>
      <c r="D108" s="49">
        <v>-8.8380810000000007</v>
      </c>
      <c r="E108" s="49">
        <v>-14.040482000000001</v>
      </c>
      <c r="F108" s="49">
        <v>-14.64448</v>
      </c>
      <c r="G108" s="49">
        <v>-11.338471999999999</v>
      </c>
      <c r="H108" s="49">
        <v>-2.2443175000000002</v>
      </c>
      <c r="I108" s="49">
        <v>-25.055842999999999</v>
      </c>
      <c r="J108" s="49">
        <v>-12.818718000000001</v>
      </c>
      <c r="K108" s="56">
        <v>-4.0966750000000003</v>
      </c>
      <c r="L108" s="56">
        <v>-13.224214999999999</v>
      </c>
      <c r="M108" s="56">
        <v>-20.239998</v>
      </c>
      <c r="N108" s="56">
        <v>-7.8005433000000002</v>
      </c>
    </row>
    <row r="109" spans="1:14" x14ac:dyDescent="0.35">
      <c r="A109" s="2">
        <v>44971</v>
      </c>
      <c r="B109" s="49">
        <v>-0.60999990000000004</v>
      </c>
      <c r="C109" s="49">
        <v>8.3461759999999998</v>
      </c>
      <c r="D109" s="49">
        <v>-5.3245186999999996</v>
      </c>
      <c r="E109" s="49">
        <v>-7.1100354000000001</v>
      </c>
      <c r="F109" s="49">
        <v>-8.5441109999999991</v>
      </c>
      <c r="G109" s="49">
        <v>-4.7751070000000002</v>
      </c>
      <c r="H109" s="49">
        <v>0.1770854</v>
      </c>
      <c r="I109" s="49">
        <v>-11.075574</v>
      </c>
      <c r="J109" s="49">
        <v>-4.4796823999999997</v>
      </c>
      <c r="K109" s="56">
        <v>3.9358019999999998</v>
      </c>
      <c r="L109" s="56">
        <v>-3.3669889999999998</v>
      </c>
      <c r="M109" s="56">
        <v>-8.3109140000000004</v>
      </c>
      <c r="N109" s="56">
        <v>1.2296199999999999</v>
      </c>
    </row>
    <row r="110" spans="1:14" x14ac:dyDescent="0.35">
      <c r="A110" s="2">
        <v>44999</v>
      </c>
      <c r="B110" s="49">
        <v>-6.8096994999999998</v>
      </c>
      <c r="C110" s="49">
        <v>-2.0959197999999999</v>
      </c>
      <c r="D110" s="49">
        <v>-10.913658</v>
      </c>
      <c r="E110" s="49">
        <v>3.0891060000000001</v>
      </c>
      <c r="F110" s="49">
        <v>-3.1823635000000001</v>
      </c>
      <c r="G110" s="49">
        <v>-2.9459833999999998</v>
      </c>
      <c r="H110" s="49">
        <v>3.3597112</v>
      </c>
      <c r="I110" s="49">
        <v>-5.8507800000000003</v>
      </c>
      <c r="J110" s="49">
        <v>-4.5316340000000004</v>
      </c>
      <c r="K110" s="56">
        <v>13.091635999999999</v>
      </c>
      <c r="L110" s="56">
        <v>5.7622790000000004</v>
      </c>
      <c r="M110" s="56">
        <v>-3.7718356000000002</v>
      </c>
      <c r="N110" s="56">
        <v>13.385211999999999</v>
      </c>
    </row>
    <row r="111" spans="1:14" x14ac:dyDescent="0.35">
      <c r="A111" s="2">
        <v>45030</v>
      </c>
      <c r="B111" s="49">
        <v>-5.6634130000000003</v>
      </c>
      <c r="C111" s="49">
        <v>-6.5218153000000001</v>
      </c>
      <c r="D111" s="49">
        <v>-8.6828120000000002</v>
      </c>
      <c r="E111" s="49">
        <v>10.604024000000001</v>
      </c>
      <c r="F111" s="49">
        <v>1.2720465999999999</v>
      </c>
      <c r="G111" s="49">
        <v>-2.1449327</v>
      </c>
      <c r="H111" s="49">
        <v>1.7532468000000001</v>
      </c>
      <c r="I111" s="49">
        <v>-5.1479043999999998</v>
      </c>
      <c r="J111" s="49">
        <v>-4.1777905999999998</v>
      </c>
      <c r="K111" s="56">
        <v>18.477129999999999</v>
      </c>
      <c r="L111" s="56">
        <v>7.6619982999999996</v>
      </c>
      <c r="M111" s="56">
        <v>-1.0670900000000001</v>
      </c>
      <c r="N111" s="56">
        <v>14.228296</v>
      </c>
    </row>
    <row r="112" spans="1:14" x14ac:dyDescent="0.35">
      <c r="A112" s="2">
        <v>45058</v>
      </c>
      <c r="B112" s="49">
        <v>10.867749999999999</v>
      </c>
      <c r="C112" s="49">
        <v>5.5680750000000003</v>
      </c>
      <c r="D112" s="49">
        <v>1.9789934</v>
      </c>
      <c r="E112" s="49">
        <v>18.534051999999999</v>
      </c>
      <c r="F112" s="49">
        <v>10.409665</v>
      </c>
      <c r="G112" s="49">
        <v>14.762676000000001</v>
      </c>
      <c r="H112" s="49">
        <v>12.356339999999999</v>
      </c>
      <c r="I112" s="49">
        <v>12.49094</v>
      </c>
      <c r="J112" s="49">
        <v>6.6970587000000004</v>
      </c>
      <c r="K112" s="56">
        <v>27.204704</v>
      </c>
      <c r="L112" s="56">
        <v>18.641317000000001</v>
      </c>
      <c r="M112" s="56">
        <v>11.43111</v>
      </c>
      <c r="N112" s="56">
        <v>24.116527999999999</v>
      </c>
    </row>
    <row r="113" spans="1:14" x14ac:dyDescent="0.35">
      <c r="A113" s="2">
        <v>45091</v>
      </c>
      <c r="B113" s="49">
        <v>14.047503000000001</v>
      </c>
      <c r="C113" s="49">
        <v>11.459184</v>
      </c>
      <c r="D113" s="49">
        <v>1.9516230000000001</v>
      </c>
      <c r="E113" s="49">
        <v>23.544132000000001</v>
      </c>
      <c r="F113" s="49">
        <v>21.726286000000002</v>
      </c>
      <c r="G113" s="49">
        <v>19.415855000000001</v>
      </c>
      <c r="H113" s="49">
        <v>13.853275</v>
      </c>
      <c r="I113" s="49">
        <v>33.630585000000004</v>
      </c>
      <c r="J113" s="49">
        <v>18.929587999999999</v>
      </c>
      <c r="K113" s="56">
        <v>29.572915999999999</v>
      </c>
      <c r="L113" s="56">
        <v>27.340720999999998</v>
      </c>
      <c r="M113" s="56">
        <v>13.056028</v>
      </c>
      <c r="N113" s="56">
        <v>32.812533999999999</v>
      </c>
    </row>
    <row r="114" spans="1:14" x14ac:dyDescent="0.35">
      <c r="A114" s="2">
        <v>45121</v>
      </c>
      <c r="B114" s="49">
        <v>14.919019</v>
      </c>
      <c r="C114" s="49">
        <v>17.049811999999999</v>
      </c>
      <c r="D114" s="49">
        <v>12.685657000000001</v>
      </c>
      <c r="E114" s="49">
        <v>39.898228000000003</v>
      </c>
      <c r="F114" s="49">
        <v>20.667278</v>
      </c>
      <c r="G114" s="49">
        <v>19.281566999999999</v>
      </c>
      <c r="H114" s="49">
        <v>18.78302</v>
      </c>
      <c r="I114" s="49">
        <v>33.177258000000002</v>
      </c>
      <c r="J114" s="49">
        <v>20.844602999999999</v>
      </c>
      <c r="K114" s="56">
        <v>40.293633</v>
      </c>
      <c r="L114" s="56">
        <v>36.440742</v>
      </c>
      <c r="M114" s="56">
        <v>21.267796000000001</v>
      </c>
      <c r="N114" s="56">
        <v>55.708122000000003</v>
      </c>
    </row>
    <row r="115" spans="1:14" x14ac:dyDescent="0.35">
      <c r="A115" s="2">
        <v>45152</v>
      </c>
      <c r="B115" s="49">
        <v>-4.9977119999999999</v>
      </c>
      <c r="C115" s="49">
        <v>-1.1675119</v>
      </c>
      <c r="D115" s="49">
        <v>-1.7285585000000001</v>
      </c>
      <c r="E115" s="49">
        <v>19.429134000000001</v>
      </c>
      <c r="F115" s="49">
        <v>7.6372026999999996</v>
      </c>
      <c r="G115" s="49">
        <v>7.8684089999999998</v>
      </c>
      <c r="H115" s="49">
        <v>7.1407319999999999</v>
      </c>
      <c r="I115" s="49">
        <v>12.895929000000001</v>
      </c>
      <c r="J115" s="49">
        <v>6.6482067000000002</v>
      </c>
      <c r="K115" s="56">
        <v>20.035494</v>
      </c>
      <c r="L115" s="56">
        <v>13.309431</v>
      </c>
      <c r="M115" s="56">
        <v>1.6419291</v>
      </c>
      <c r="N115" s="56">
        <v>30.842124999999999</v>
      </c>
    </row>
    <row r="116" spans="1:14" x14ac:dyDescent="0.35">
      <c r="A116" s="2">
        <v>45183</v>
      </c>
      <c r="B116" s="49">
        <v>-1.9246160999999999</v>
      </c>
      <c r="C116" s="49">
        <v>7.3945879999999997</v>
      </c>
      <c r="D116" s="49">
        <v>4.8657180000000002</v>
      </c>
      <c r="E116" s="49">
        <v>26.961303999999998</v>
      </c>
      <c r="F116" s="49">
        <v>22.751404000000001</v>
      </c>
      <c r="G116" s="49">
        <v>13.853431</v>
      </c>
      <c r="H116" s="49">
        <v>16.688013000000002</v>
      </c>
      <c r="I116" s="49">
        <v>28.353999999999999</v>
      </c>
      <c r="J116" s="49">
        <v>16.011547</v>
      </c>
      <c r="K116" s="56">
        <v>26.611637000000002</v>
      </c>
      <c r="L116" s="56">
        <v>18.334161999999999</v>
      </c>
      <c r="M116" s="56">
        <v>9.7206589999999995</v>
      </c>
      <c r="N116" s="56">
        <v>37.272514000000001</v>
      </c>
    </row>
    <row r="117" spans="1:14" x14ac:dyDescent="0.35">
      <c r="A117" s="2">
        <v>45212</v>
      </c>
      <c r="B117" s="49">
        <v>8.0810429999999993</v>
      </c>
      <c r="C117" s="49">
        <v>9.3152760000000008</v>
      </c>
      <c r="D117" s="49">
        <v>8.9540369999999996</v>
      </c>
      <c r="E117" s="49">
        <v>29.700289999999999</v>
      </c>
      <c r="F117" s="49">
        <v>22.298098</v>
      </c>
      <c r="G117" s="49">
        <v>20.683014</v>
      </c>
      <c r="H117" s="49">
        <v>21.996582</v>
      </c>
      <c r="I117" s="49">
        <v>36.807884000000001</v>
      </c>
      <c r="J117" s="49">
        <v>19.780850000000001</v>
      </c>
      <c r="K117" s="56">
        <v>28.015757000000001</v>
      </c>
      <c r="L117" s="56">
        <v>24.7913</v>
      </c>
      <c r="M117" s="56">
        <v>21.1738</v>
      </c>
      <c r="N117" s="56">
        <v>42.14132</v>
      </c>
    </row>
    <row r="118" spans="1:14" x14ac:dyDescent="0.35">
      <c r="A118" s="2">
        <v>45244</v>
      </c>
      <c r="B118" s="49">
        <v>1.3552070000000001</v>
      </c>
      <c r="C118" s="49">
        <v>2.2666453999999998</v>
      </c>
      <c r="D118" s="49">
        <v>1.3882041000000001</v>
      </c>
      <c r="E118" s="49">
        <v>14.08</v>
      </c>
      <c r="F118" s="49">
        <v>14.805555</v>
      </c>
      <c r="G118" s="49">
        <v>6.4810869999999996</v>
      </c>
      <c r="H118" s="49">
        <v>10.816169</v>
      </c>
      <c r="I118" s="49">
        <v>35.914185000000003</v>
      </c>
      <c r="J118" s="49">
        <v>15.374052000000001</v>
      </c>
      <c r="K118" s="56">
        <v>16.455341000000001</v>
      </c>
      <c r="L118" s="56">
        <v>12.761343</v>
      </c>
      <c r="M118" s="56">
        <v>4.7080994</v>
      </c>
      <c r="N118" s="56">
        <v>24.570107</v>
      </c>
    </row>
    <row r="119" spans="1:14" x14ac:dyDescent="0.35">
      <c r="A119" s="2">
        <v>45274</v>
      </c>
      <c r="B119" s="49">
        <v>-1.7596841000000001</v>
      </c>
      <c r="C119" s="49">
        <v>6.0913680000000001</v>
      </c>
      <c r="D119" s="49">
        <v>9.2002030000000001</v>
      </c>
      <c r="E119" s="49">
        <v>18.349815</v>
      </c>
      <c r="F119" s="49">
        <v>14.8556595</v>
      </c>
      <c r="G119" s="49">
        <v>10.945641999999999</v>
      </c>
      <c r="H119" s="49">
        <v>8.5487479999999998</v>
      </c>
      <c r="I119" s="49">
        <v>41.752969999999998</v>
      </c>
      <c r="J119" s="49">
        <v>20.059132000000002</v>
      </c>
      <c r="K119" s="56">
        <v>17.747676999999999</v>
      </c>
      <c r="L119" s="56">
        <v>15.126753000000001</v>
      </c>
      <c r="M119" s="56">
        <v>13.152588</v>
      </c>
      <c r="N119" s="56">
        <v>26.490639999999999</v>
      </c>
    </row>
    <row r="120" spans="1:14" x14ac:dyDescent="0.35">
      <c r="A120" s="2">
        <v>45303</v>
      </c>
      <c r="B120" s="49">
        <v>-0.21501780000000001</v>
      </c>
      <c r="C120" s="49">
        <v>3.4658074000000001</v>
      </c>
      <c r="D120" s="49">
        <v>7.1401477</v>
      </c>
      <c r="E120" s="49">
        <v>8.116377</v>
      </c>
      <c r="F120" s="49">
        <v>20.010470999999999</v>
      </c>
      <c r="G120" s="49">
        <v>10.134708</v>
      </c>
      <c r="H120" s="49">
        <v>5.5459259999999997</v>
      </c>
      <c r="I120" s="49">
        <v>47.780642999999998</v>
      </c>
      <c r="J120" s="49">
        <v>21.921026000000001</v>
      </c>
      <c r="K120" s="56">
        <v>9.0046289999999996</v>
      </c>
      <c r="L120" s="56">
        <v>6.6300153999999996</v>
      </c>
      <c r="M120" s="56">
        <v>9.4204310000000007</v>
      </c>
      <c r="N120" s="56">
        <v>18.622185000000002</v>
      </c>
    </row>
    <row r="121" spans="1:14" x14ac:dyDescent="0.35">
      <c r="A121" s="2">
        <v>45336</v>
      </c>
      <c r="B121" s="49">
        <v>-9.7799600000000009</v>
      </c>
      <c r="C121" s="49">
        <v>-0.52256583999999995</v>
      </c>
      <c r="D121" s="49">
        <v>3.1071423999999999</v>
      </c>
      <c r="E121" s="49">
        <v>6.5135717</v>
      </c>
      <c r="F121" s="49">
        <v>18.380678</v>
      </c>
      <c r="G121" s="49">
        <v>5.1993489999999998</v>
      </c>
      <c r="H121" s="49">
        <v>1.0708093999999999</v>
      </c>
      <c r="I121" s="49">
        <v>42.202089999999998</v>
      </c>
      <c r="J121" s="49">
        <v>22.674202000000001</v>
      </c>
      <c r="K121" s="56">
        <v>7.1072220000000002</v>
      </c>
      <c r="L121" s="56">
        <v>11.941981</v>
      </c>
      <c r="M121" s="56">
        <v>7.3012709999999998</v>
      </c>
      <c r="N121" s="56">
        <v>14.437962000000001</v>
      </c>
    </row>
    <row r="122" spans="1:14" x14ac:dyDescent="0.35">
      <c r="A122" s="2">
        <v>45365</v>
      </c>
      <c r="B122">
        <v>-3.8172185000000001</v>
      </c>
      <c r="C122">
        <v>11.874485</v>
      </c>
      <c r="D122">
        <v>17.012177999999999</v>
      </c>
      <c r="E122">
        <v>16.643642</v>
      </c>
      <c r="F122">
        <v>25.762844000000001</v>
      </c>
      <c r="G122">
        <v>13.360571999999999</v>
      </c>
      <c r="H122">
        <v>10.246002000000001</v>
      </c>
      <c r="I122">
        <v>48.69211</v>
      </c>
      <c r="J122">
        <v>33.467829999999999</v>
      </c>
      <c r="K122" s="56">
        <v>17.097736000000001</v>
      </c>
      <c r="L122" s="56">
        <v>22.219574000000001</v>
      </c>
      <c r="M122" s="56">
        <v>21.205186999999999</v>
      </c>
      <c r="N122" s="56">
        <v>28.924381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89</v>
      </c>
      <c r="B126" s="49" cm="1">
        <f t="array" ref="B126">MIN(_xlfn._xlws.FILTER(B2:B122, ISNUMBER(B2:B122)))</f>
        <v>-34.834679999999999</v>
      </c>
      <c r="C126" s="49" cm="1">
        <f t="array" ref="C126">MIN(_xlfn._xlws.FILTER(C2:C122, ISNUMBER(C2:C122)))</f>
        <v>-24.737189999999998</v>
      </c>
      <c r="D126" s="49" cm="1">
        <f t="array" ref="D126">MIN(_xlfn._xlws.FILTER(D2:D122, ISNUMBER(D2:D122)))</f>
        <v>-26.188564</v>
      </c>
      <c r="E126" s="49" cm="1">
        <f t="array" ref="E126">MIN(_xlfn._xlws.FILTER(E2:E122, ISNUMBER(E2:E122)))</f>
        <v>-37.366570000000003</v>
      </c>
      <c r="F126" s="49" cm="1">
        <f t="array" ref="F126">MIN(_xlfn._xlws.FILTER(F2:F122, ISNUMBER(F2:F122)))</f>
        <v>-27.424161999999999</v>
      </c>
      <c r="G126" s="49" cm="1">
        <f t="array" ref="G126">MIN(_xlfn._xlws.FILTER(G2:G122, ISNUMBER(G2:G122)))</f>
        <v>-21.920849</v>
      </c>
      <c r="H126" s="49" cm="1">
        <f t="array" ref="H126">MIN(_xlfn._xlws.FILTER(H2:H122, ISNUMBER(H2:H122)))</f>
        <v>-23.944932999999999</v>
      </c>
      <c r="I126" s="49" cm="1">
        <f t="array" ref="I126">MIN(_xlfn._xlws.FILTER(I2:I122, ISNUMBER(I2:I122)))</f>
        <v>-28.440916000000001</v>
      </c>
      <c r="J126" s="49" cm="1">
        <f t="array" ref="J126">MIN(_xlfn._xlws.FILTER(J2:J122, ISNUMBER(J2:J122)))</f>
        <v>-17.953861</v>
      </c>
      <c r="K126" s="49" cm="1">
        <f t="array" ref="K126">MIN(_xlfn._xlws.FILTER(K2:K122, ISNUMBER(K2:K122)))</f>
        <v>-24.414587000000001</v>
      </c>
      <c r="L126" s="49" cm="1">
        <f t="array" ref="L126">MIN(_xlfn._xlws.FILTER(L2:L122, ISNUMBER(L2:L122)))</f>
        <v>-40.252791999999999</v>
      </c>
      <c r="M126" s="49" cm="1">
        <f t="array" ref="M126">MIN(_xlfn._xlws.FILTER(M2:M122, ISNUMBER(M2:M122)))</f>
        <v>-38.413555000000002</v>
      </c>
      <c r="N126" s="49" cm="1">
        <f t="array" ref="N126">MIN(_xlfn._xlws.FILTER(N2:N122, ISNUMBER(N2:N122)))</f>
        <v>-30.722695999999999</v>
      </c>
    </row>
    <row r="127" spans="1:14" x14ac:dyDescent="0.35">
      <c r="A127" s="2" t="s">
        <v>397</v>
      </c>
      <c r="B127" s="51" cm="1">
        <f t="array" ref="B127">MAX(_xlfn._xlws.FILTER(B1:B122, ISNUMBER(B1:B122)))</f>
        <v>47.860683000000002</v>
      </c>
      <c r="C127" s="51" cm="1">
        <f t="array" ref="C127">MAX(_xlfn._xlws.FILTER(C1:C122, ISNUMBER(C1:C122)))</f>
        <v>70.166650000000004</v>
      </c>
      <c r="D127" s="51" cm="1">
        <f t="array" ref="D127">MAX(_xlfn._xlws.FILTER(D1:D122, ISNUMBER(D1:D122)))</f>
        <v>73.709045000000003</v>
      </c>
      <c r="E127" s="51" cm="1">
        <f t="array" ref="E127">MAX(_xlfn._xlws.FILTER(E1:E122, ISNUMBER(E1:E122)))</f>
        <v>67.862785000000002</v>
      </c>
      <c r="F127" s="51" cm="1">
        <f t="array" ref="F127">MAX(_xlfn._xlws.FILTER(F1:F122, ISNUMBER(F1:F122)))</f>
        <v>55.725501999999999</v>
      </c>
      <c r="G127" s="51" cm="1">
        <f t="array" ref="G127">MAX(_xlfn._xlws.FILTER(G1:G122, ISNUMBER(G1:G122)))</f>
        <v>40.04383</v>
      </c>
      <c r="H127" s="51" cm="1">
        <f t="array" ref="H127">MAX(_xlfn._xlws.FILTER(H1:H122, ISNUMBER(H1:H122)))</f>
        <v>43.580807</v>
      </c>
      <c r="I127" s="51" cm="1">
        <f t="array" ref="I127">MAX(_xlfn._xlws.FILTER(I1:I122, ISNUMBER(I1:I122)))</f>
        <v>79.173599999999993</v>
      </c>
      <c r="J127" s="51" cm="1">
        <f t="array" ref="J127">MAX(_xlfn._xlws.FILTER(J1:J122, ISNUMBER(J1:J122)))</f>
        <v>61.847589999999997</v>
      </c>
      <c r="K127" s="51" cm="1">
        <f t="array" ref="K127">MAX(_xlfn._xlws.FILTER(K1:K122, ISNUMBER(K1:K122)))</f>
        <v>68.410385000000005</v>
      </c>
      <c r="L127" s="51" cm="1">
        <f t="array" ref="L127">MAX(_xlfn._xlws.FILTER(L1:L122, ISNUMBER(L1:L122)))</f>
        <v>82.087159999999997</v>
      </c>
      <c r="M127" s="51" cm="1">
        <f t="array" ref="M127">MAX(_xlfn._xlws.FILTER(M1:M122, ISNUMBER(M1:M122)))</f>
        <v>90.48357</v>
      </c>
      <c r="N127" s="51" cm="1">
        <f t="array" ref="N127">MAX(_xlfn._xlws.FILTER(N1:N122, ISNUMBER(N1:N122)))</f>
        <v>72.124626000000006</v>
      </c>
    </row>
    <row r="128" spans="1:14" x14ac:dyDescent="0.35">
      <c r="A128" s="2" t="s">
        <v>398</v>
      </c>
      <c r="B128" s="49" cm="1">
        <f t="array" ref="B128">MEDIAN(_xlfn._xlws.FILTER(B1:B122, ISNUMBER(B1:B122)))</f>
        <v>8.0810429999999993</v>
      </c>
      <c r="C128" s="49" cm="1">
        <f t="array" ref="C128">MEDIAN(_xlfn._xlws.FILTER(C1:C122, ISNUMBER(C1:C122)))</f>
        <v>3.4658074000000001</v>
      </c>
      <c r="D128" s="49" cm="1">
        <f t="array" ref="D128">MEDIAN(_xlfn._xlws.FILTER(D1:D122, ISNUMBER(D1:D122)))</f>
        <v>4.2378305999999997</v>
      </c>
      <c r="E128" s="49" cm="1">
        <f t="array" ref="E128">MEDIAN(_xlfn._xlws.FILTER(E1:E122, ISNUMBER(E1:E122)))</f>
        <v>3.5039902000000001</v>
      </c>
      <c r="F128" s="49" cm="1">
        <f t="array" ref="F128">MEDIAN(_xlfn._xlws.FILTER(F1:F122, ISNUMBER(F1:F122)))</f>
        <v>6.0777545000000002</v>
      </c>
      <c r="G128" s="49" cm="1">
        <f t="array" ref="G128">MEDIAN(_xlfn._xlws.FILTER(G1:G122, ISNUMBER(G1:G122)))</f>
        <v>7.8684089999999998</v>
      </c>
      <c r="H128" s="49" cm="1">
        <f t="array" ref="H128">MEDIAN(_xlfn._xlws.FILTER(H1:H122, ISNUMBER(H1:H122)))</f>
        <v>0.59515240000000003</v>
      </c>
      <c r="I128" s="49" cm="1">
        <f t="array" ref="I128">MEDIAN(_xlfn._xlws.FILTER(I1:I122, ISNUMBER(I1:I122)))</f>
        <v>23.028732000000002</v>
      </c>
      <c r="J128" s="49" cm="1">
        <f t="array" ref="J128">MEDIAN(_xlfn._xlws.FILTER(J1:J122, ISNUMBER(J1:J122)))</f>
        <v>14.968145</v>
      </c>
      <c r="K128" s="49" cm="1">
        <f t="array" ref="K128">MEDIAN(_xlfn._xlws.FILTER(K1:K122, ISNUMBER(K1:K122)))</f>
        <v>4.0495156999999997</v>
      </c>
      <c r="L128" s="49" cm="1">
        <f t="array" ref="L128">MEDIAN(_xlfn._xlws.FILTER(L1:L122, ISNUMBER(L1:L122)))</f>
        <v>7.9207419999999997</v>
      </c>
      <c r="M128" s="49" cm="1">
        <f t="array" ref="M128">MEDIAN(_xlfn._xlws.FILTER(M1:M122, ISNUMBER(M1:M122)))</f>
        <v>2.6551485000000001</v>
      </c>
      <c r="N128" s="49" cm="1">
        <f t="array" ref="N128">MEDIAN(_xlfn._xlws.FILTER(N1:N122, ISNUMBER(N1:N122)))</f>
        <v>2.6831865000000001</v>
      </c>
    </row>
    <row r="129" spans="1:14" x14ac:dyDescent="0.35">
      <c r="A129" s="2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1:14" x14ac:dyDescent="0.35">
      <c r="A130" s="2" t="s">
        <v>91</v>
      </c>
      <c r="B130">
        <f>COUNTIF(B2:B122, "&lt;"&amp;Assumption!$F$49)</f>
        <v>18</v>
      </c>
      <c r="C130">
        <f>COUNTIF(C2:C122, "&lt;"&amp;Assumption!$F$49)</f>
        <v>20</v>
      </c>
      <c r="D130">
        <f>COUNTIF(D2:D122, "&lt;"&amp;Assumption!$F$49)</f>
        <v>21</v>
      </c>
      <c r="E130">
        <f>COUNTIF(E2:E122, "&lt;"&amp;Assumption!$F$49)</f>
        <v>31</v>
      </c>
      <c r="F130">
        <f>COUNTIF(F2:F122, "&lt;"&amp;Assumption!$F$49)</f>
        <v>19</v>
      </c>
      <c r="G130">
        <f>COUNTIF(G2:G122, "&lt;"&amp;Assumption!$F$49)</f>
        <v>12</v>
      </c>
      <c r="H130">
        <f>COUNTIF(H2:H122, "&lt;"&amp;Assumption!$F$49)</f>
        <v>20</v>
      </c>
      <c r="I130">
        <f>COUNTIF(I2:I122, "&lt;"&amp;Assumption!$F$49)</f>
        <v>8</v>
      </c>
      <c r="J130">
        <f>COUNTIF(J2:J122, "&lt;"&amp;Assumption!$F$49)</f>
        <v>6</v>
      </c>
      <c r="K130">
        <f>COUNTIF(K2:K122, "&lt;"&amp;Assumption!$F$49)</f>
        <v>16</v>
      </c>
      <c r="L130">
        <f>COUNTIF(L2:L122, "&lt;"&amp;Assumption!$F$49)</f>
        <v>15</v>
      </c>
      <c r="M130">
        <f>COUNTIF(M2:M122, "&lt;"&amp;Assumption!$F$49)</f>
        <v>21</v>
      </c>
      <c r="N130">
        <f>COUNTIF(N2:N122, "&lt;"&amp;Assumption!$F$49)</f>
        <v>36</v>
      </c>
    </row>
    <row r="131" spans="1:14" x14ac:dyDescent="0.35">
      <c r="A131" s="2" t="s">
        <v>90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401</v>
      </c>
      <c r="B133" s="9">
        <f t="shared" ref="B133:J133" si="2">B130/B131</f>
        <v>0.1487603305785124</v>
      </c>
      <c r="C133" s="9">
        <f t="shared" si="2"/>
        <v>0.16528925619834711</v>
      </c>
      <c r="D133" s="9">
        <f t="shared" si="2"/>
        <v>0.17355371900826447</v>
      </c>
      <c r="E133" s="9">
        <f t="shared" si="2"/>
        <v>0.256198347107438</v>
      </c>
      <c r="F133" s="9">
        <f t="shared" si="2"/>
        <v>0.15702479338842976</v>
      </c>
      <c r="G133" s="9">
        <f t="shared" si="2"/>
        <v>9.9173553719008267E-2</v>
      </c>
      <c r="H133" s="9">
        <f t="shared" si="2"/>
        <v>0.16528925619834711</v>
      </c>
      <c r="I133" s="9">
        <f t="shared" si="2"/>
        <v>6.6115702479338845E-2</v>
      </c>
      <c r="J133" s="9">
        <f t="shared" si="2"/>
        <v>4.9586776859504134E-2</v>
      </c>
      <c r="K133" s="9">
        <f t="shared" ref="K133:N133" si="3">K130/K131</f>
        <v>0.13223140495867769</v>
      </c>
      <c r="L133" s="9">
        <f t="shared" si="3"/>
        <v>0.12396694214876033</v>
      </c>
      <c r="M133" s="9">
        <f t="shared" si="3"/>
        <v>0.17355371900826447</v>
      </c>
      <c r="N133" s="9">
        <f t="shared" si="3"/>
        <v>0.2975206611570248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404</v>
      </c>
      <c r="B136" s="49" cm="1">
        <f t="array" ref="B136">_xlfn.PERCENTRANK.EXC(_xlfn._xlws.FILTER(B2:B122, ISNUMBER(B2:B122)),B120)</f>
        <v>0.29499999999999998</v>
      </c>
      <c r="C136" s="49" cm="1">
        <f t="array" ref="C136">_xlfn.PERCENTRANK.EXC(_xlfn._xlws.FILTER(C2:C122, ISNUMBER(C2:C122)),C120)</f>
        <v>0.5</v>
      </c>
      <c r="D136" s="49" cm="1">
        <f t="array" ref="D136">_xlfn.PERCENTRANK.EXC(_xlfn._xlws.FILTER(D2:D122, ISNUMBER(D2:D122)),D120)</f>
        <v>0.56499999999999995</v>
      </c>
      <c r="E136" s="49" cm="1">
        <f t="array" ref="E136">_xlfn.PERCENTRANK.EXC(_xlfn._xlws.FILTER(E2:E122, ISNUMBER(E2:E122)),E120)</f>
        <v>0.56499999999999995</v>
      </c>
      <c r="F136" s="49" cm="1">
        <f t="array" ref="F136">_xlfn.PERCENTRANK.EXC(_xlfn._xlws.FILTER(F2:F122, ISNUMBER(F2:F122)),F120)</f>
        <v>0.83599999999999997</v>
      </c>
      <c r="G136" s="49" cm="1">
        <f t="array" ref="G136">_xlfn.PERCENTRANK.EXC(_xlfn._xlws.FILTER(G2:G122, ISNUMBER(G2:G122)),G120)</f>
        <v>0.56499999999999995</v>
      </c>
      <c r="H136" s="49" cm="1">
        <f t="array" ref="H136">_xlfn.PERCENTRANK.EXC(_xlfn._xlws.FILTER(H2:H122, ISNUMBER(H2:H122)),H120)</f>
        <v>0.58099999999999996</v>
      </c>
      <c r="I136" s="49" cm="1">
        <f t="array" ref="I136">_xlfn.PERCENTRANK.EXC(_xlfn._xlws.FILTER(I2:I122, ISNUMBER(I2:I122)),I120)</f>
        <v>0.93400000000000005</v>
      </c>
      <c r="J136" s="49" cm="1">
        <f t="array" ref="J136">_xlfn.PERCENTRANK.EXC(_xlfn._xlws.FILTER(J2:J122, ISNUMBER(J2:J122)),J120)</f>
        <v>0.82699999999999996</v>
      </c>
      <c r="K136" s="49" cm="1">
        <f t="array" ref="K136">_xlfn.PERCENTRANK.EXC(_xlfn._xlws.FILTER(K2:K122, ISNUMBER(K2:K122)),K120)</f>
        <v>0.58099999999999996</v>
      </c>
      <c r="L136" s="49" cm="1">
        <f t="array" ref="L136">_xlfn.PERCENTRANK.EXC(_xlfn._xlws.FILTER(L2:L122, ISNUMBER(L2:L122)),L120)</f>
        <v>0.45900000000000002</v>
      </c>
      <c r="M136" s="49" cm="1">
        <f t="array" ref="M136">_xlfn.PERCENTRANK.EXC(_xlfn._xlws.FILTER(M2:M122, ISNUMBER(M2:M122)),M120)</f>
        <v>0.59799999999999998</v>
      </c>
      <c r="N136" s="49" cm="1">
        <f t="array" ref="N136">_xlfn.PERCENTRANK.EXC(_xlfn._xlws.FILTER(N2:N122, ISNUMBER(N2:N122)),N120)</f>
        <v>0.65500000000000003</v>
      </c>
    </row>
    <row r="137" spans="1:14" x14ac:dyDescent="0.35">
      <c r="A137" s="2" t="s">
        <v>403</v>
      </c>
      <c r="B137" s="49" cm="1">
        <f t="array" ref="B137">_xlfn.PERCENTRANK.EXC(_xlfn._xlws.FILTER(B2:B122, ISNUMBER(B2:B122)),B121)</f>
        <v>0.155</v>
      </c>
      <c r="C137" s="49" cm="1">
        <f t="array" ref="C137">_xlfn.PERCENTRANK.EXC(_xlfn._xlws.FILTER(C2:C122, ISNUMBER(C2:C122)),C121)</f>
        <v>0.38500000000000001</v>
      </c>
      <c r="D137" s="49" cm="1">
        <f t="array" ref="D137">_xlfn.PERCENTRANK.EXC(_xlfn._xlws.FILTER(D2:D122, ISNUMBER(D2:D122)),D121)</f>
        <v>0.46700000000000003</v>
      </c>
      <c r="E137" s="49" cm="1">
        <f t="array" ref="E137">_xlfn.PERCENTRANK.EXC(_xlfn._xlws.FILTER(E2:E122, ISNUMBER(E2:E122)),E121)</f>
        <v>0.54</v>
      </c>
      <c r="F137" s="49" cm="1">
        <f t="array" ref="F137">_xlfn.PERCENTRANK.EXC(_xlfn._xlws.FILTER(F2:F122, ISNUMBER(F2:F122)),F121)</f>
        <v>0.79500000000000004</v>
      </c>
      <c r="G137" s="49" cm="1">
        <f t="array" ref="G137">_xlfn.PERCENTRANK.EXC(_xlfn._xlws.FILTER(G2:G122, ISNUMBER(G2:G122)),G121)</f>
        <v>0.41799999999999998</v>
      </c>
      <c r="H137" s="49" cm="1">
        <f t="array" ref="H137">_xlfn.PERCENTRANK.EXC(_xlfn._xlws.FILTER(H2:H122, ISNUMBER(H2:H122)),H121)</f>
        <v>0.50800000000000001</v>
      </c>
      <c r="I137" s="49" cm="1">
        <f t="array" ref="I137">_xlfn.PERCENTRANK.EXC(_xlfn._xlws.FILTER(I2:I122, ISNUMBER(I2:I122)),I121)</f>
        <v>0.88500000000000001</v>
      </c>
      <c r="J137" s="49" cm="1">
        <f t="array" ref="J137">_xlfn.PERCENTRANK.EXC(_xlfn._xlws.FILTER(J2:J122, ISNUMBER(J2:J122)),J121)</f>
        <v>0.85199999999999998</v>
      </c>
      <c r="K137" s="49" cm="1">
        <f t="array" ref="K137">_xlfn.PERCENTRANK.EXC(_xlfn._xlws.FILTER(K2:K122, ISNUMBER(K2:K122)),K121)</f>
        <v>0.55700000000000005</v>
      </c>
      <c r="L137" s="49" cm="1">
        <f t="array" ref="L137">_xlfn.PERCENTRANK.EXC(_xlfn._xlws.FILTER(L2:L122, ISNUMBER(L2:L122)),L121)</f>
        <v>0.54900000000000004</v>
      </c>
      <c r="M137" s="49" cm="1">
        <f t="array" ref="M137">_xlfn.PERCENTRANK.EXC(_xlfn._xlws.FILTER(M2:M122, ISNUMBER(M2:M122)),M121)</f>
        <v>0.57299999999999995</v>
      </c>
      <c r="N137" s="49" cm="1">
        <f t="array" ref="N137">_xlfn.PERCENTRANK.EXC(_xlfn._xlws.FILTER(N2:N122, ISNUMBER(N2:N122)),N121)</f>
        <v>0.63100000000000001</v>
      </c>
    </row>
    <row r="138" spans="1:14" x14ac:dyDescent="0.35">
      <c r="A138" s="2" t="s">
        <v>405</v>
      </c>
      <c r="B138" s="49" cm="1">
        <f t="array" ref="B138">_xlfn.PERCENTRANK.EXC(_xlfn._xlws.FILTER(B2:B122, ISNUMBER(B2:B122)),B122)</f>
        <v>0.22900000000000001</v>
      </c>
      <c r="C138" s="49" cm="1">
        <f t="array" ref="C138">_xlfn.PERCENTRANK.EXC(_xlfn._xlws.FILTER(C2:C122, ISNUMBER(C2:C122)),C122)</f>
        <v>0.71299999999999997</v>
      </c>
      <c r="D138" s="49" cm="1">
        <f t="array" ref="D138">_xlfn.PERCENTRANK.EXC(_xlfn._xlws.FILTER(D2:D122, ISNUMBER(D2:D122)),D122)</f>
        <v>0.80300000000000005</v>
      </c>
      <c r="E138" s="49" cm="1">
        <f t="array" ref="E138">_xlfn.PERCENTRANK.EXC(_xlfn._xlws.FILTER(E2:E122, ISNUMBER(E2:E122)),E122)</f>
        <v>0.70399999999999996</v>
      </c>
      <c r="F138" s="49" cm="1">
        <f t="array" ref="F138">_xlfn.PERCENTRANK.EXC(_xlfn._xlws.FILTER(F2:F122, ISNUMBER(F2:F122)),F122)</f>
        <v>0.95</v>
      </c>
      <c r="G138" s="49" cm="1">
        <f t="array" ref="G138">_xlfn.PERCENTRANK.EXC(_xlfn._xlws.FILTER(G2:G122, ISNUMBER(G2:G122)),G122)</f>
        <v>0.66300000000000003</v>
      </c>
      <c r="H138" s="49" cm="1">
        <f t="array" ref="H138">_xlfn.PERCENTRANK.EXC(_xlfn._xlws.FILTER(H2:H122, ISNUMBER(H2:H122)),H122)</f>
        <v>0.64700000000000002</v>
      </c>
      <c r="I138" s="49" cm="1">
        <f t="array" ref="I138">_xlfn.PERCENTRANK.EXC(_xlfn._xlws.FILTER(I2:I122, ISNUMBER(I2:I122)),I122)</f>
        <v>0.95899999999999996</v>
      </c>
      <c r="J138" s="49" cm="1">
        <f t="array" ref="J138">_xlfn.PERCENTRANK.EXC(_xlfn._xlws.FILTER(J2:J122, ISNUMBER(J2:J122)),J122)</f>
        <v>0.93400000000000005</v>
      </c>
      <c r="K138" s="49" cm="1">
        <f t="array" ref="K138">_xlfn.PERCENTRANK.EXC(_xlfn._xlws.FILTER(K2:K122, ISNUMBER(K2:K122)),K122)</f>
        <v>0.66300000000000003</v>
      </c>
      <c r="L138" s="49" cm="1">
        <f t="array" ref="L138">_xlfn.PERCENTRANK.EXC(_xlfn._xlws.FILTER(L2:L122, ISNUMBER(L2:L122)),L122)</f>
        <v>0.745</v>
      </c>
      <c r="M138" s="49" cm="1">
        <f t="array" ref="M138">_xlfn.PERCENTRANK.EXC(_xlfn._xlws.FILTER(M2:M122, ISNUMBER(M2:M122)),M122)</f>
        <v>0.79500000000000004</v>
      </c>
      <c r="N138" s="49" cm="1">
        <f t="array" ref="N138">_xlfn.PERCENTRANK.EXC(_xlfn._xlws.FILTER(N2:N122, ISNUMBER(N2:N122)),N122)</f>
        <v>0.745</v>
      </c>
    </row>
    <row r="139" spans="1:14" x14ac:dyDescent="0.35">
      <c r="A139" s="2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</row>
    <row r="140" spans="1:14" x14ac:dyDescent="0.35">
      <c r="A140" s="2" t="s">
        <v>467</v>
      </c>
      <c r="B140" s="49">
        <f t="shared" ref="B140:J140" si="4">AVERAGE(B136:B138)</f>
        <v>0.2263333333333333</v>
      </c>
      <c r="C140" s="49">
        <f t="shared" si="4"/>
        <v>0.53266666666666662</v>
      </c>
      <c r="D140" s="49">
        <f t="shared" si="4"/>
        <v>0.61166666666666669</v>
      </c>
      <c r="E140" s="49">
        <f t="shared" si="4"/>
        <v>0.60299999999999998</v>
      </c>
      <c r="F140" s="49">
        <f t="shared" si="4"/>
        <v>0.86033333333333328</v>
      </c>
      <c r="G140" s="49">
        <f t="shared" si="4"/>
        <v>0.54866666666666664</v>
      </c>
      <c r="H140" s="49">
        <f t="shared" si="4"/>
        <v>0.57866666666666666</v>
      </c>
      <c r="I140" s="49">
        <f t="shared" si="4"/>
        <v>0.92600000000000005</v>
      </c>
      <c r="J140" s="49">
        <f t="shared" si="4"/>
        <v>0.871</v>
      </c>
      <c r="K140" s="49">
        <f t="shared" ref="K140:N140" si="5">AVERAGE(K136:K138)</f>
        <v>0.60033333333333327</v>
      </c>
      <c r="L140" s="49">
        <f t="shared" si="5"/>
        <v>0.58433333333333337</v>
      </c>
      <c r="M140" s="49">
        <f t="shared" si="5"/>
        <v>0.65533333333333321</v>
      </c>
      <c r="N140" s="49">
        <f t="shared" si="5"/>
        <v>0.67700000000000005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6328125" customWidth="1"/>
  </cols>
  <sheetData>
    <row r="1" spans="1:14" x14ac:dyDescent="0.35">
      <c r="B1" t="s">
        <v>435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4.0763821987412499</v>
      </c>
      <c r="G17">
        <v>2.2808425238276202</v>
      </c>
      <c r="H17">
        <v>2.5348579496144801</v>
      </c>
      <c r="I17">
        <v>9.3523184569568798</v>
      </c>
      <c r="J17">
        <v>17.729435429113501</v>
      </c>
      <c r="K17">
        <v>2.1970597171427402</v>
      </c>
      <c r="L17">
        <v>1.99085797419876</v>
      </c>
      <c r="M17">
        <v>2.0450009047096098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1.9799060817604801</v>
      </c>
      <c r="F18">
        <v>3.67789534776584</v>
      </c>
      <c r="G18">
        <v>2.36864078670768</v>
      </c>
      <c r="H18">
        <v>2.0346384136804501</v>
      </c>
      <c r="I18">
        <v>10.4260783076313</v>
      </c>
      <c r="J18">
        <v>16.661770335547502</v>
      </c>
      <c r="K18">
        <v>1.85113612011142</v>
      </c>
      <c r="L18">
        <v>2.00892945351409</v>
      </c>
      <c r="M18">
        <v>2.2138152783679201</v>
      </c>
      <c r="N18">
        <v>1.9971174572949899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2.4494951252375601</v>
      </c>
      <c r="F19">
        <v>4.61613845138492</v>
      </c>
      <c r="G19">
        <v>2.66234515884581</v>
      </c>
      <c r="H19">
        <v>2.7142722466617202</v>
      </c>
      <c r="I19">
        <v>13.6402697494705</v>
      </c>
      <c r="J19">
        <v>22.276707389467202</v>
      </c>
      <c r="K19">
        <v>2.4608179865184701</v>
      </c>
      <c r="L19">
        <v>2.4360180766850199</v>
      </c>
      <c r="M19">
        <v>2.4898156587914002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2.3638879515072899</v>
      </c>
      <c r="F20">
        <v>4.46089531352278</v>
      </c>
      <c r="G20">
        <v>2.5838872063229701</v>
      </c>
      <c r="H20">
        <v>3.1276012084365901</v>
      </c>
      <c r="I20">
        <v>12.7503134568906</v>
      </c>
      <c r="J20">
        <v>22.969002360333501</v>
      </c>
      <c r="K20">
        <v>2.8026547594435298</v>
      </c>
      <c r="L20">
        <v>2.4294142549840898</v>
      </c>
      <c r="M20">
        <v>2.5641957501655699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2.65680492825543</v>
      </c>
      <c r="F21">
        <v>4.5654754429888698</v>
      </c>
      <c r="G21">
        <v>2.86433002646061</v>
      </c>
      <c r="H21">
        <v>3.0052327857456702</v>
      </c>
      <c r="I21">
        <v>16.322784938364499</v>
      </c>
      <c r="J21">
        <v>24.347704440349901</v>
      </c>
      <c r="K21">
        <v>2.9207261342803501</v>
      </c>
      <c r="L21">
        <v>2.9556075818157899</v>
      </c>
      <c r="M21">
        <v>2.5100925842498998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94</v>
      </c>
      <c r="B25" s="57" cm="1">
        <f t="array" ref="B25">(B21/INDEX(B2:B21,MATCH(TRUE,INDEX(ISNUMBER(B2:B21),0),0)))^(1/B23)-1</f>
        <v>-9.3828148339384354E-3</v>
      </c>
      <c r="C25" s="57" cm="1">
        <f t="array" ref="C25">(C21/INDEX(C2:C21,MATCH(TRUE,INDEX(ISNUMBER(C2:C21),0),0)))^(1/C23)-1</f>
        <v>1.1173841089814562E-2</v>
      </c>
      <c r="D25" s="57" cm="1">
        <f t="array" ref="D25">(D21/INDEX(D2:D21,MATCH(TRUE,INDEX(ISNUMBER(D2:D21),0),0)))^(1/D23)-1</f>
        <v>4.0909866878857226E-2</v>
      </c>
      <c r="E25" s="57" cm="1">
        <f t="array" ref="E25">(E21/INDEX(E2:E21,MATCH(TRUE,INDEX(ISNUMBER(E2:E21),0),0)))^(1/E23)-1</f>
        <v>2.829167218053974E-2</v>
      </c>
      <c r="F25" s="57" cm="1">
        <f t="array" ref="F25">(F21/INDEX(F2:F21,MATCH(TRUE,INDEX(ISNUMBER(F2:F21),0),0)))^(1/F23)-1</f>
        <v>2.4097091687938166E-2</v>
      </c>
      <c r="G25" s="57" cm="1">
        <f t="array" ref="G25">(G21/INDEX(G2:G21,MATCH(TRUE,INDEX(ISNUMBER(G2:G21),0),0)))^(1/G23)-1</f>
        <v>4.6609242346817847E-2</v>
      </c>
      <c r="H25" s="57" cm="1">
        <f t="array" ref="H25">(H21/INDEX(H2:H21,MATCH(TRUE,INDEX(ISNUMBER(H2:H21),0),0)))^(1/H23)-1</f>
        <v>3.7532801015660588E-3</v>
      </c>
      <c r="I25" s="57" cm="1">
        <f t="array" ref="I25">(I21/INDEX(I2:I21,MATCH(TRUE,INDEX(ISNUMBER(I2:I21),0),0)))^(1/I23)-1</f>
        <v>0.12988435543021737</v>
      </c>
      <c r="J25" s="57" cm="1">
        <f t="array" ref="J25">(J21/INDEX(J2:J21,MATCH(TRUE,INDEX(ISNUMBER(J2:J21),0),0)))^(1/J23)-1</f>
        <v>5.9890547139527461E-2</v>
      </c>
      <c r="K25" s="57" cm="1">
        <f t="array" ref="K25">(K21/INDEX(K2:K21,MATCH(TRUE,INDEX(ISNUMBER(K2:K21),0),0)))^(1/K23)-1</f>
        <v>1.8533725345370788E-2</v>
      </c>
      <c r="L25" s="57" cm="1">
        <f t="array" ref="L25">(L21/INDEX(L2:L21,MATCH(TRUE,INDEX(ISNUMBER(L2:L21),0),0)))^(1/L23)-1</f>
        <v>3.4801406639145549E-2</v>
      </c>
      <c r="M25" s="57" cm="1">
        <f t="array" ref="M25">(M21/INDEX(M2:M21,MATCH(TRUE,INDEX(ISNUMBER(M2:M21),0),0)))^(1/M23)-1</f>
        <v>2.4305006324402134E-2</v>
      </c>
      <c r="N25" s="57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6328125" customWidth="1"/>
    <col min="3" max="3" width="16.08984375" customWidth="1"/>
    <col min="4" max="4" width="14" customWidth="1"/>
    <col min="5" max="5" width="14.6328125" customWidth="1"/>
    <col min="6" max="6" width="15.453125" style="119" customWidth="1"/>
    <col min="23" max="23" width="9.36328125" customWidth="1"/>
  </cols>
  <sheetData>
    <row r="1" spans="1:24" ht="18.5" x14ac:dyDescent="0.45">
      <c r="A1" s="91" t="s">
        <v>562</v>
      </c>
      <c r="B1" s="92"/>
      <c r="C1" s="89"/>
      <c r="D1" s="89"/>
      <c r="E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4" x14ac:dyDescent="0.35">
      <c r="A2" s="89"/>
      <c r="B2" s="92"/>
      <c r="C2" s="89"/>
      <c r="D2" s="89"/>
      <c r="E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4" ht="21" x14ac:dyDescent="0.5">
      <c r="A3" s="93" t="s">
        <v>733</v>
      </c>
      <c r="B3" s="94"/>
      <c r="C3" s="89"/>
      <c r="D3" s="89"/>
      <c r="E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4" x14ac:dyDescent="0.35">
      <c r="A4" s="111" t="s">
        <v>563</v>
      </c>
      <c r="B4" s="94"/>
      <c r="C4" s="89"/>
      <c r="D4" s="89"/>
      <c r="E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4" x14ac:dyDescent="0.35">
      <c r="A5" s="89"/>
      <c r="B5" s="92"/>
      <c r="C5" s="89"/>
      <c r="D5" s="89"/>
      <c r="E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4" x14ac:dyDescent="0.35">
      <c r="A6" s="101"/>
      <c r="B6" s="104"/>
      <c r="C6" s="89"/>
      <c r="D6" s="89"/>
      <c r="E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4" x14ac:dyDescent="0.35">
      <c r="A7" s="212"/>
      <c r="B7" s="212"/>
      <c r="C7" s="89"/>
      <c r="D7" s="89"/>
      <c r="E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4" x14ac:dyDescent="0.35">
      <c r="A8" s="109"/>
      <c r="B8" s="109"/>
      <c r="C8" s="213" t="s">
        <v>564</v>
      </c>
      <c r="D8" s="214"/>
      <c r="E8" s="215"/>
      <c r="G8" s="89"/>
      <c r="H8" s="89"/>
      <c r="I8" s="89"/>
      <c r="J8" s="89"/>
      <c r="K8" s="89"/>
      <c r="L8" s="213" t="s">
        <v>565</v>
      </c>
      <c r="M8" s="214"/>
      <c r="N8" s="214"/>
      <c r="O8" s="214"/>
      <c r="P8" s="214"/>
      <c r="Q8" s="214"/>
      <c r="R8" s="214"/>
      <c r="S8" s="214"/>
      <c r="T8" s="214"/>
      <c r="U8" s="214"/>
      <c r="V8" s="215"/>
    </row>
    <row r="9" spans="1:24" ht="43.5" x14ac:dyDescent="0.35">
      <c r="A9" s="95" t="s">
        <v>566</v>
      </c>
      <c r="B9" s="95" t="s">
        <v>567</v>
      </c>
      <c r="C9" s="113" t="s">
        <v>568</v>
      </c>
      <c r="D9" s="114" t="s">
        <v>569</v>
      </c>
      <c r="E9" s="115" t="s">
        <v>570</v>
      </c>
      <c r="F9" s="119" t="s">
        <v>738</v>
      </c>
      <c r="G9" s="105" t="s">
        <v>734</v>
      </c>
      <c r="H9" s="107" t="s">
        <v>735</v>
      </c>
      <c r="I9" s="107" t="s">
        <v>736</v>
      </c>
      <c r="J9" s="106" t="s">
        <v>737</v>
      </c>
      <c r="K9" s="108"/>
      <c r="L9" s="118">
        <v>2012</v>
      </c>
      <c r="M9" s="96">
        <v>2013</v>
      </c>
      <c r="N9" s="96">
        <v>2014</v>
      </c>
      <c r="O9" s="96">
        <v>2015</v>
      </c>
      <c r="P9" s="96">
        <v>2016</v>
      </c>
      <c r="Q9" s="96">
        <v>2017</v>
      </c>
      <c r="R9" s="96">
        <v>2018</v>
      </c>
      <c r="S9" s="96">
        <v>2019</v>
      </c>
      <c r="T9" s="96">
        <v>2020</v>
      </c>
      <c r="U9" s="96">
        <v>2021</v>
      </c>
      <c r="V9" s="97">
        <v>2022</v>
      </c>
      <c r="W9" s="106" t="s">
        <v>744</v>
      </c>
      <c r="X9" s="106" t="s">
        <v>745</v>
      </c>
    </row>
    <row r="10" spans="1:24" x14ac:dyDescent="0.35">
      <c r="A10" s="90" t="s">
        <v>571</v>
      </c>
      <c r="B10" s="90" t="s">
        <v>572</v>
      </c>
      <c r="C10" s="98">
        <v>-6.330015897488761</v>
      </c>
      <c r="D10" s="99">
        <v>-1.9803203632740796</v>
      </c>
      <c r="E10" s="100">
        <v>1.4438839505667156</v>
      </c>
      <c r="G10" s="112" t="s">
        <v>573</v>
      </c>
      <c r="H10" s="110">
        <v>34.781666666666666</v>
      </c>
      <c r="I10" s="102">
        <v>154</v>
      </c>
      <c r="J10" s="103">
        <v>32</v>
      </c>
      <c r="K10" s="90"/>
      <c r="L10" s="98">
        <v>19.865459911417584</v>
      </c>
      <c r="M10" s="99">
        <v>9.8957883924851959</v>
      </c>
      <c r="N10" s="99">
        <v>6.5854081038949879</v>
      </c>
      <c r="O10" s="99">
        <v>0.98799999999999999</v>
      </c>
      <c r="P10" s="99">
        <v>2.1640000000000001</v>
      </c>
      <c r="Q10" s="99">
        <v>2.6469999999999998</v>
      </c>
      <c r="R10" s="99">
        <v>1.1890000000000001</v>
      </c>
      <c r="S10" s="99">
        <v>3.9119999999999999</v>
      </c>
      <c r="T10" s="99">
        <v>-2.351</v>
      </c>
      <c r="U10" s="99">
        <v>-2.4</v>
      </c>
      <c r="V10" s="100">
        <v>-5</v>
      </c>
      <c r="W10" s="100">
        <f>AVERAGE(D10,E10)</f>
        <v>-0.26821820635368199</v>
      </c>
    </row>
    <row r="11" spans="1:24" x14ac:dyDescent="0.35">
      <c r="A11" s="90" t="s">
        <v>231</v>
      </c>
      <c r="B11" s="90" t="s">
        <v>574</v>
      </c>
      <c r="C11" s="98">
        <v>2.8369230771995602</v>
      </c>
      <c r="D11" s="99">
        <v>2.527708680261509</v>
      </c>
      <c r="E11" s="100">
        <v>2.499335307066497</v>
      </c>
      <c r="G11" s="112" t="s">
        <v>402</v>
      </c>
      <c r="H11" s="110">
        <v>71.94876523650197</v>
      </c>
      <c r="I11" s="102">
        <v>80</v>
      </c>
      <c r="J11" s="103">
        <v>40</v>
      </c>
      <c r="K11" s="90"/>
      <c r="L11" s="98">
        <v>1.4329514555018943</v>
      </c>
      <c r="M11" s="99">
        <v>1.0096624423848639</v>
      </c>
      <c r="N11" s="99">
        <v>1.7987489151280414</v>
      </c>
      <c r="O11" s="99">
        <v>2.2189999999999999</v>
      </c>
      <c r="P11" s="99">
        <v>3.3149999999999999</v>
      </c>
      <c r="Q11" s="99">
        <v>3.802</v>
      </c>
      <c r="R11" s="99">
        <v>4.0190000000000001</v>
      </c>
      <c r="S11" s="99">
        <v>2.0880000000000001</v>
      </c>
      <c r="T11" s="99">
        <v>-3.4820000000000002</v>
      </c>
      <c r="U11" s="99">
        <v>8.516</v>
      </c>
      <c r="V11" s="100">
        <v>3.74</v>
      </c>
      <c r="W11" s="100">
        <f t="shared" ref="W11:W74" si="0">AVERAGE(D11,E11)</f>
        <v>2.513521993664003</v>
      </c>
    </row>
    <row r="12" spans="1:24" x14ac:dyDescent="0.35">
      <c r="A12" s="90" t="s">
        <v>575</v>
      </c>
      <c r="B12" s="90" t="s">
        <v>576</v>
      </c>
      <c r="C12" s="98">
        <v>0.36545353196819619</v>
      </c>
      <c r="D12" s="99">
        <v>0.98216884294510809</v>
      </c>
      <c r="E12" s="100">
        <v>1.9643097765769557</v>
      </c>
      <c r="G12" s="112" t="s">
        <v>577</v>
      </c>
      <c r="H12" s="110">
        <v>77.429986450518911</v>
      </c>
      <c r="I12" s="102">
        <v>59</v>
      </c>
      <c r="J12" s="103">
        <v>2</v>
      </c>
      <c r="K12" s="90"/>
      <c r="L12" s="98">
        <v>3.3999999982054412</v>
      </c>
      <c r="M12" s="99">
        <v>2.8000000002529002</v>
      </c>
      <c r="N12" s="99">
        <v>3.8000000007790273</v>
      </c>
      <c r="O12" s="99">
        <v>3.7</v>
      </c>
      <c r="P12" s="99">
        <v>3.2</v>
      </c>
      <c r="Q12" s="99">
        <v>1.4</v>
      </c>
      <c r="R12" s="99">
        <v>1.2</v>
      </c>
      <c r="S12" s="99">
        <v>1</v>
      </c>
      <c r="T12" s="99">
        <v>-5.0999999999999996</v>
      </c>
      <c r="U12" s="99">
        <v>3.4</v>
      </c>
      <c r="V12" s="100">
        <v>2.931</v>
      </c>
      <c r="W12" s="100">
        <f t="shared" si="0"/>
        <v>1.4732393097610319</v>
      </c>
    </row>
    <row r="13" spans="1:24" x14ac:dyDescent="0.35">
      <c r="A13" s="90" t="s">
        <v>575</v>
      </c>
      <c r="B13" s="90" t="s">
        <v>578</v>
      </c>
      <c r="C13" s="98">
        <v>-0.62057485054567429</v>
      </c>
      <c r="D13" s="99">
        <v>-0.7759815069387388</v>
      </c>
      <c r="E13" s="100">
        <v>0.38358743648301274</v>
      </c>
      <c r="G13" s="112" t="s">
        <v>573</v>
      </c>
      <c r="H13" s="110">
        <v>43.142397643089645</v>
      </c>
      <c r="I13" s="102">
        <v>147</v>
      </c>
      <c r="J13" s="103">
        <v>42</v>
      </c>
      <c r="K13" s="90"/>
      <c r="L13" s="98">
        <v>8.5421473366219605</v>
      </c>
      <c r="M13" s="99">
        <v>4.9545904703972692</v>
      </c>
      <c r="N13" s="99">
        <v>4.8226255512268246</v>
      </c>
      <c r="O13" s="99">
        <v>0.94399999999999995</v>
      </c>
      <c r="P13" s="99">
        <v>-2.58</v>
      </c>
      <c r="Q13" s="99">
        <v>-0.15</v>
      </c>
      <c r="R13" s="99">
        <v>-1.3160000000000001</v>
      </c>
      <c r="S13" s="99">
        <v>-0.70199999999999996</v>
      </c>
      <c r="T13" s="99">
        <v>-5.6379999999999999</v>
      </c>
      <c r="U13" s="99">
        <v>1.0920000000000001</v>
      </c>
      <c r="V13" s="100">
        <v>2.8410000000000002</v>
      </c>
      <c r="W13" s="100">
        <f t="shared" si="0"/>
        <v>-0.19619703522786303</v>
      </c>
    </row>
    <row r="14" spans="1:24" x14ac:dyDescent="0.35">
      <c r="A14" s="90" t="s">
        <v>579</v>
      </c>
      <c r="B14" s="90" t="s">
        <v>580</v>
      </c>
      <c r="C14" s="98">
        <v>1.5213184649000233</v>
      </c>
      <c r="D14" s="99">
        <v>2.4231703477095579E-4</v>
      </c>
      <c r="E14" s="100">
        <v>0.30638889849419204</v>
      </c>
      <c r="G14" s="112" t="s">
        <v>426</v>
      </c>
      <c r="H14" s="110">
        <v>63.902477118742887</v>
      </c>
      <c r="I14" s="102">
        <v>116</v>
      </c>
      <c r="J14" s="103">
        <v>16</v>
      </c>
      <c r="K14" s="90"/>
      <c r="L14" s="98">
        <v>-1.0264204544320839</v>
      </c>
      <c r="M14" s="99">
        <v>2.4053237807943506</v>
      </c>
      <c r="N14" s="99">
        <v>-2.5126153208139428</v>
      </c>
      <c r="O14" s="99">
        <v>2.7309999999999999</v>
      </c>
      <c r="P14" s="99">
        <v>-2.08</v>
      </c>
      <c r="Q14" s="99">
        <v>2.819</v>
      </c>
      <c r="R14" s="99">
        <v>-2.617</v>
      </c>
      <c r="S14" s="99">
        <v>-2.0009999999999999</v>
      </c>
      <c r="T14" s="99">
        <v>-9.9429999999999996</v>
      </c>
      <c r="U14" s="99">
        <v>10.398</v>
      </c>
      <c r="V14" s="100">
        <v>5.2430000000000003</v>
      </c>
      <c r="W14" s="100">
        <f t="shared" si="0"/>
        <v>0.1533156077644815</v>
      </c>
    </row>
    <row r="15" spans="1:24" x14ac:dyDescent="0.35">
      <c r="A15" s="90" t="s">
        <v>231</v>
      </c>
      <c r="B15" s="90" t="s">
        <v>581</v>
      </c>
      <c r="C15" s="98">
        <v>3.3694630969417716</v>
      </c>
      <c r="D15" s="99">
        <v>4.5685193344935815</v>
      </c>
      <c r="E15" s="100">
        <v>4.0499977792169295</v>
      </c>
      <c r="G15" s="112" t="s">
        <v>577</v>
      </c>
      <c r="H15" s="110">
        <v>81.866330149150926</v>
      </c>
      <c r="I15" s="102">
        <v>42</v>
      </c>
      <c r="J15" s="103">
        <v>28</v>
      </c>
      <c r="K15" s="90"/>
      <c r="L15" s="98">
        <v>7.200000000964871</v>
      </c>
      <c r="M15" s="99">
        <v>3.2999999999999674</v>
      </c>
      <c r="N15" s="99">
        <v>3.6000000005899464</v>
      </c>
      <c r="O15" s="99">
        <v>3.254</v>
      </c>
      <c r="P15" s="99">
        <v>0.19500000000000001</v>
      </c>
      <c r="Q15" s="99">
        <v>7.5179999999999998</v>
      </c>
      <c r="R15" s="99">
        <v>5.2249999999999996</v>
      </c>
      <c r="S15" s="99">
        <v>7.6310000000000002</v>
      </c>
      <c r="T15" s="99">
        <v>-7.1509999999999998</v>
      </c>
      <c r="U15" s="99">
        <v>5.6840000000000002</v>
      </c>
      <c r="V15" s="100">
        <v>12.603999999999999</v>
      </c>
      <c r="W15" s="100">
        <f t="shared" si="0"/>
        <v>4.3092585568552551</v>
      </c>
    </row>
    <row r="16" spans="1:24" x14ac:dyDescent="0.35">
      <c r="A16" s="90" t="s">
        <v>571</v>
      </c>
      <c r="B16" s="90" t="s">
        <v>582</v>
      </c>
      <c r="C16" s="98">
        <v>1.9372779726990919</v>
      </c>
      <c r="D16" s="99">
        <v>1.9542949107595797</v>
      </c>
      <c r="E16" s="100">
        <v>2.221593328352145</v>
      </c>
      <c r="G16" s="112" t="s">
        <v>419</v>
      </c>
      <c r="H16" s="110">
        <v>96.36744549025839</v>
      </c>
      <c r="I16" s="102">
        <v>11</v>
      </c>
      <c r="J16" s="103">
        <v>3</v>
      </c>
      <c r="K16" s="90"/>
      <c r="L16" s="98">
        <v>3.9181617722068416</v>
      </c>
      <c r="M16" s="99">
        <v>2.5848751108311681</v>
      </c>
      <c r="N16" s="99">
        <v>2.5331154467594699</v>
      </c>
      <c r="O16" s="99">
        <v>2.2829999999999999</v>
      </c>
      <c r="P16" s="99">
        <v>2.6909999999999998</v>
      </c>
      <c r="Q16" s="99">
        <v>2.383</v>
      </c>
      <c r="R16" s="99">
        <v>2.8149999999999999</v>
      </c>
      <c r="S16" s="99">
        <v>1.9430000000000001</v>
      </c>
      <c r="T16" s="99">
        <v>-1.8140000000000001</v>
      </c>
      <c r="U16" s="99">
        <v>5.1959999999999997</v>
      </c>
      <c r="V16" s="100">
        <v>3.661</v>
      </c>
      <c r="W16" s="100">
        <f t="shared" si="0"/>
        <v>2.0879441195558623</v>
      </c>
    </row>
    <row r="17" spans="1:23" x14ac:dyDescent="0.35">
      <c r="A17" s="90" t="s">
        <v>231</v>
      </c>
      <c r="B17" s="90" t="s">
        <v>583</v>
      </c>
      <c r="C17" s="98">
        <v>0.89080434606740866</v>
      </c>
      <c r="D17" s="99">
        <v>1.1485693717847134</v>
      </c>
      <c r="E17" s="100">
        <v>1.1982825816158282</v>
      </c>
      <c r="G17" s="112" t="s">
        <v>419</v>
      </c>
      <c r="H17" s="110">
        <v>95.913594407477049</v>
      </c>
      <c r="I17" s="102">
        <v>15</v>
      </c>
      <c r="J17" s="103">
        <v>10</v>
      </c>
      <c r="K17" s="90"/>
      <c r="L17" s="98">
        <v>0.68044557681670037</v>
      </c>
      <c r="M17" s="99">
        <v>2.5504712197222973E-2</v>
      </c>
      <c r="N17" s="99">
        <v>0.66127284885259119</v>
      </c>
      <c r="O17" s="99">
        <v>1.0149999999999999</v>
      </c>
      <c r="P17" s="99">
        <v>1.9890000000000001</v>
      </c>
      <c r="Q17" s="99">
        <v>2.2589999999999999</v>
      </c>
      <c r="R17" s="99">
        <v>2.4249999999999998</v>
      </c>
      <c r="S17" s="99">
        <v>1.5169999999999999</v>
      </c>
      <c r="T17" s="99">
        <v>-6.4539999999999997</v>
      </c>
      <c r="U17" s="99">
        <v>4.5570000000000004</v>
      </c>
      <c r="V17" s="100">
        <v>4.9969999999999999</v>
      </c>
      <c r="W17" s="100">
        <f t="shared" si="0"/>
        <v>1.1734259767002708</v>
      </c>
    </row>
    <row r="18" spans="1:23" x14ac:dyDescent="0.35">
      <c r="A18" s="90" t="s">
        <v>571</v>
      </c>
      <c r="B18" s="90" t="s">
        <v>584</v>
      </c>
      <c r="C18" s="98">
        <v>1.8824891899037688</v>
      </c>
      <c r="D18" s="99">
        <v>1.9289874111129146</v>
      </c>
      <c r="E18" s="100">
        <v>1.6182050869221642</v>
      </c>
      <c r="G18" s="112" t="s">
        <v>426</v>
      </c>
      <c r="H18" s="110">
        <v>66.732349416312132</v>
      </c>
      <c r="I18" s="102">
        <v>106</v>
      </c>
      <c r="J18" s="103">
        <v>20</v>
      </c>
      <c r="K18" s="90"/>
      <c r="L18" s="98">
        <v>2.1652394301296014</v>
      </c>
      <c r="M18" s="99">
        <v>5.8098009451315624</v>
      </c>
      <c r="N18" s="99">
        <v>2.7505070296654104</v>
      </c>
      <c r="O18" s="99">
        <v>1.05</v>
      </c>
      <c r="P18" s="99">
        <v>-3.0640000000000001</v>
      </c>
      <c r="Q18" s="99">
        <v>0.154</v>
      </c>
      <c r="R18" s="99">
        <v>1.5</v>
      </c>
      <c r="S18" s="99">
        <v>2.48</v>
      </c>
      <c r="T18" s="99">
        <v>-4.1989999999999998</v>
      </c>
      <c r="U18" s="99">
        <v>5.6</v>
      </c>
      <c r="V18" s="100">
        <v>4.6459999999999999</v>
      </c>
      <c r="W18" s="100">
        <f t="shared" si="0"/>
        <v>1.7735962490175394</v>
      </c>
    </row>
    <row r="19" spans="1:23" x14ac:dyDescent="0.35">
      <c r="A19" s="90" t="s">
        <v>579</v>
      </c>
      <c r="B19" s="90" t="s">
        <v>585</v>
      </c>
      <c r="C19" s="98">
        <v>-1.3025041762945944</v>
      </c>
      <c r="D19" s="99">
        <v>-5.1450420089638182E-2</v>
      </c>
      <c r="E19" s="100">
        <v>0.16369977541730307</v>
      </c>
      <c r="G19" s="112" t="s">
        <v>577</v>
      </c>
      <c r="H19" s="110">
        <v>79.378460082017611</v>
      </c>
      <c r="I19" s="102">
        <v>54</v>
      </c>
      <c r="J19" s="103">
        <v>8</v>
      </c>
      <c r="K19" s="90"/>
      <c r="L19" s="98">
        <v>3.0868791768834938</v>
      </c>
      <c r="M19" s="99">
        <v>-3.5838746627962172</v>
      </c>
      <c r="N19" s="99">
        <v>2.2881473175630553</v>
      </c>
      <c r="O19" s="99">
        <v>0.997</v>
      </c>
      <c r="P19" s="99">
        <v>-0.85799999999999998</v>
      </c>
      <c r="Q19" s="99">
        <v>3.05</v>
      </c>
      <c r="R19" s="99">
        <v>1.831</v>
      </c>
      <c r="S19" s="99">
        <v>1.8959999999999999</v>
      </c>
      <c r="T19" s="99">
        <v>-23.823</v>
      </c>
      <c r="U19" s="99">
        <v>13.72</v>
      </c>
      <c r="V19" s="100">
        <v>10.983000000000001</v>
      </c>
      <c r="W19" s="100">
        <f t="shared" si="0"/>
        <v>5.6124677663832445E-2</v>
      </c>
    </row>
    <row r="20" spans="1:23" x14ac:dyDescent="0.35">
      <c r="A20" s="90" t="s">
        <v>586</v>
      </c>
      <c r="B20" s="90" t="s">
        <v>587</v>
      </c>
      <c r="C20" s="98">
        <v>0.41671802598486352</v>
      </c>
      <c r="D20" s="99">
        <v>1.1307360567982316</v>
      </c>
      <c r="E20" s="100">
        <v>2.5452347834856504</v>
      </c>
      <c r="G20" s="112" t="s">
        <v>577</v>
      </c>
      <c r="H20" s="110">
        <v>77.128033983685327</v>
      </c>
      <c r="I20" s="102">
        <v>60</v>
      </c>
      <c r="J20" s="103">
        <v>7</v>
      </c>
      <c r="K20" s="90"/>
      <c r="L20" s="98">
        <v>3.7281084304601642</v>
      </c>
      <c r="M20" s="99">
        <v>5.41683981012069</v>
      </c>
      <c r="N20" s="99">
        <v>4.3503908525296939</v>
      </c>
      <c r="O20" s="99">
        <v>2.4849999999999999</v>
      </c>
      <c r="P20" s="99">
        <v>3.5579999999999998</v>
      </c>
      <c r="Q20" s="99">
        <v>4.2919999999999998</v>
      </c>
      <c r="R20" s="99">
        <v>2.11</v>
      </c>
      <c r="S20" s="99">
        <v>2.1669999999999998</v>
      </c>
      <c r="T20" s="99">
        <v>-4.6449999999999996</v>
      </c>
      <c r="U20" s="99">
        <v>2.67</v>
      </c>
      <c r="V20" s="100">
        <v>4.194</v>
      </c>
      <c r="W20" s="100">
        <f t="shared" si="0"/>
        <v>1.837985420141941</v>
      </c>
    </row>
    <row r="21" spans="1:23" x14ac:dyDescent="0.35">
      <c r="A21" s="90" t="s">
        <v>571</v>
      </c>
      <c r="B21" s="90" t="s">
        <v>588</v>
      </c>
      <c r="C21" s="98">
        <v>8.4780836054535911</v>
      </c>
      <c r="D21" s="99">
        <v>9.4495577005361255</v>
      </c>
      <c r="E21" s="100">
        <v>9.0902336923363691</v>
      </c>
      <c r="G21" s="112" t="s">
        <v>426</v>
      </c>
      <c r="H21" s="110">
        <v>59.78425810407569</v>
      </c>
      <c r="I21" s="102">
        <v>125</v>
      </c>
      <c r="J21" s="103">
        <v>25</v>
      </c>
      <c r="K21" s="90"/>
      <c r="L21" s="98">
        <v>15.458182784890836</v>
      </c>
      <c r="M21" s="99">
        <v>8.997951209804727</v>
      </c>
      <c r="N21" s="99">
        <v>9.1371359215878698</v>
      </c>
      <c r="O21" s="99">
        <v>6.5529999999999999</v>
      </c>
      <c r="P21" s="99">
        <v>7.1139999999999999</v>
      </c>
      <c r="Q21" s="99">
        <v>6.59</v>
      </c>
      <c r="R21" s="99">
        <v>7.319</v>
      </c>
      <c r="S21" s="99">
        <v>7.8819999999999997</v>
      </c>
      <c r="T21" s="99">
        <v>3.448</v>
      </c>
      <c r="U21" s="99">
        <v>6.9390000000000001</v>
      </c>
      <c r="V21" s="100">
        <v>7.1</v>
      </c>
      <c r="W21" s="100">
        <f t="shared" si="0"/>
        <v>9.2698956964362473</v>
      </c>
    </row>
    <row r="22" spans="1:23" x14ac:dyDescent="0.35">
      <c r="A22" s="90" t="s">
        <v>231</v>
      </c>
      <c r="B22" s="90" t="s">
        <v>589</v>
      </c>
      <c r="C22" s="98">
        <v>-1.0891270418666776</v>
      </c>
      <c r="D22" s="99">
        <v>0.24141365794498881</v>
      </c>
      <c r="E22" s="100">
        <v>-4.7343951578571186E-3</v>
      </c>
      <c r="G22" s="112" t="s">
        <v>577</v>
      </c>
      <c r="H22" s="110">
        <v>78.939379492547943</v>
      </c>
      <c r="I22" s="102">
        <v>55</v>
      </c>
      <c r="J22" s="103">
        <v>34</v>
      </c>
      <c r="K22" s="90"/>
      <c r="L22" s="98">
        <v>1.6871355364283958</v>
      </c>
      <c r="M22" s="99">
        <v>1.0034708408564619</v>
      </c>
      <c r="N22" s="99">
        <v>1.7263848541700804</v>
      </c>
      <c r="O22" s="99">
        <v>-3.83</v>
      </c>
      <c r="P22" s="99">
        <v>-2.536</v>
      </c>
      <c r="Q22" s="99">
        <v>2.5409999999999999</v>
      </c>
      <c r="R22" s="99">
        <v>3.1379999999999999</v>
      </c>
      <c r="S22" s="99">
        <v>1.446</v>
      </c>
      <c r="T22" s="99">
        <v>-0.67300000000000004</v>
      </c>
      <c r="U22" s="99">
        <v>2.2730000000000001</v>
      </c>
      <c r="V22" s="100">
        <v>-4.7409999999999997</v>
      </c>
      <c r="W22" s="100">
        <f t="shared" si="0"/>
        <v>0.11833963139356585</v>
      </c>
    </row>
    <row r="23" spans="1:23" x14ac:dyDescent="0.35">
      <c r="A23" s="90" t="s">
        <v>231</v>
      </c>
      <c r="B23" s="90" t="s">
        <v>590</v>
      </c>
      <c r="C23" s="98">
        <v>1.1690569098094628</v>
      </c>
      <c r="D23" s="99">
        <v>1.3937649310878042</v>
      </c>
      <c r="E23" s="100">
        <v>1.4413818728578276</v>
      </c>
      <c r="G23" s="112" t="s">
        <v>419</v>
      </c>
      <c r="H23" s="110">
        <v>93.483251457156101</v>
      </c>
      <c r="I23" s="102">
        <v>21</v>
      </c>
      <c r="J23" s="103">
        <v>14</v>
      </c>
      <c r="K23" s="90"/>
      <c r="L23" s="98">
        <v>0.73922990508162567</v>
      </c>
      <c r="M23" s="99">
        <v>0.45922805011605522</v>
      </c>
      <c r="N23" s="99">
        <v>1.578523229524472</v>
      </c>
      <c r="O23" s="99">
        <v>2.0409999999999999</v>
      </c>
      <c r="P23" s="99">
        <v>1.2669999999999999</v>
      </c>
      <c r="Q23" s="99">
        <v>1.62</v>
      </c>
      <c r="R23" s="99">
        <v>1.7929999999999999</v>
      </c>
      <c r="S23" s="99">
        <v>2.2410000000000001</v>
      </c>
      <c r="T23" s="99">
        <v>-5.3620000000000001</v>
      </c>
      <c r="U23" s="99">
        <v>6.1340000000000003</v>
      </c>
      <c r="V23" s="100">
        <v>3.0910000000000002</v>
      </c>
      <c r="W23" s="100">
        <f t="shared" si="0"/>
        <v>1.4175734019728159</v>
      </c>
    </row>
    <row r="24" spans="1:23" x14ac:dyDescent="0.35">
      <c r="A24" s="90" t="s">
        <v>575</v>
      </c>
      <c r="B24" s="90" t="s">
        <v>591</v>
      </c>
      <c r="C24" s="98">
        <v>5.666147255627263</v>
      </c>
      <c r="D24" s="99">
        <v>6.110859714036887</v>
      </c>
      <c r="E24" s="100">
        <v>5.477732246862832</v>
      </c>
      <c r="G24" s="112" t="s">
        <v>402</v>
      </c>
      <c r="H24" s="110">
        <v>73.01184037118577</v>
      </c>
      <c r="I24" s="102">
        <v>75</v>
      </c>
      <c r="J24" s="103">
        <v>7</v>
      </c>
      <c r="K24" s="90"/>
      <c r="L24" s="98">
        <v>4.811223315687994</v>
      </c>
      <c r="M24" s="99">
        <v>7.1914337214494379</v>
      </c>
      <c r="N24" s="99">
        <v>6.3576790979193039</v>
      </c>
      <c r="O24" s="99">
        <v>1.778</v>
      </c>
      <c r="P24" s="99">
        <v>3.34</v>
      </c>
      <c r="Q24" s="99">
        <v>5.6719999999999997</v>
      </c>
      <c r="R24" s="99">
        <v>6.6970000000000001</v>
      </c>
      <c r="S24" s="99">
        <v>6.8659999999999997</v>
      </c>
      <c r="T24" s="99">
        <v>3.8490000000000002</v>
      </c>
      <c r="U24" s="99">
        <v>7.1550000000000002</v>
      </c>
      <c r="V24" s="100">
        <v>6.0209999999999999</v>
      </c>
      <c r="W24" s="100">
        <f t="shared" si="0"/>
        <v>5.7942959804498599</v>
      </c>
    </row>
    <row r="25" spans="1:23" x14ac:dyDescent="0.35">
      <c r="A25" s="90" t="s">
        <v>571</v>
      </c>
      <c r="B25" s="90" t="s">
        <v>592</v>
      </c>
      <c r="C25" s="98">
        <v>-0.76587225840651918</v>
      </c>
      <c r="D25" s="99">
        <v>1.2676841708430198</v>
      </c>
      <c r="E25" s="100">
        <v>3.3347663550896245</v>
      </c>
      <c r="G25" s="112" t="s">
        <v>573</v>
      </c>
      <c r="H25" s="110">
        <v>55.154482190816807</v>
      </c>
      <c r="I25" s="102">
        <v>132</v>
      </c>
      <c r="J25" s="103">
        <v>28</v>
      </c>
      <c r="K25" s="90"/>
      <c r="L25" s="98">
        <v>5.1184008580053391</v>
      </c>
      <c r="M25" s="99">
        <v>2.1199726329821678</v>
      </c>
      <c r="N25" s="99">
        <v>5.7764956801372422</v>
      </c>
      <c r="O25" s="99">
        <v>6.2210000000000001</v>
      </c>
      <c r="P25" s="99">
        <v>7.4080000000000004</v>
      </c>
      <c r="Q25" s="99">
        <v>6.3220000000000001</v>
      </c>
      <c r="R25" s="99">
        <v>3.835</v>
      </c>
      <c r="S25" s="99">
        <v>4.4249999999999998</v>
      </c>
      <c r="T25" s="99">
        <v>-2.3479999999999999</v>
      </c>
      <c r="U25" s="99">
        <v>-3.3319999999999999</v>
      </c>
      <c r="V25" s="100">
        <v>4.3250000000000002</v>
      </c>
      <c r="W25" s="100">
        <f t="shared" si="0"/>
        <v>2.3012252629663221</v>
      </c>
    </row>
    <row r="26" spans="1:23" x14ac:dyDescent="0.35">
      <c r="A26" s="90" t="s">
        <v>579</v>
      </c>
      <c r="B26" s="90" t="s">
        <v>593</v>
      </c>
      <c r="C26" s="98">
        <v>-2.2304131763273283E-2</v>
      </c>
      <c r="D26" s="99">
        <v>1.2603639469641159</v>
      </c>
      <c r="E26" s="100">
        <v>3.1673454908146104</v>
      </c>
      <c r="G26" s="112" t="s">
        <v>573</v>
      </c>
      <c r="H26" s="110">
        <v>31.085526545532133</v>
      </c>
      <c r="I26" s="102">
        <v>155</v>
      </c>
      <c r="J26" s="103">
        <v>25</v>
      </c>
      <c r="K26" s="90"/>
      <c r="L26" s="98">
        <v>5.122274660983769</v>
      </c>
      <c r="M26" s="99">
        <v>6.7960117055974338</v>
      </c>
      <c r="N26" s="99">
        <v>5.4605671536850453</v>
      </c>
      <c r="O26" s="99">
        <v>4.8570000000000002</v>
      </c>
      <c r="P26" s="99">
        <v>4.2640000000000002</v>
      </c>
      <c r="Q26" s="99">
        <v>4.1950000000000003</v>
      </c>
      <c r="R26" s="99">
        <v>4.2240000000000002</v>
      </c>
      <c r="S26" s="99">
        <v>2.2170000000000001</v>
      </c>
      <c r="T26" s="99">
        <v>-8.7379999999999995</v>
      </c>
      <c r="U26" s="99">
        <v>6.1059999999999999</v>
      </c>
      <c r="V26" s="100">
        <v>3.2</v>
      </c>
      <c r="W26" s="100">
        <f t="shared" si="0"/>
        <v>2.2138547188893631</v>
      </c>
    </row>
    <row r="27" spans="1:23" x14ac:dyDescent="0.35">
      <c r="A27" s="90" t="s">
        <v>231</v>
      </c>
      <c r="B27" s="90" t="s">
        <v>594</v>
      </c>
      <c r="C27" s="98">
        <v>2.6460933550704002</v>
      </c>
      <c r="D27" s="99">
        <v>2.9046927076515017</v>
      </c>
      <c r="E27" s="100">
        <v>2.7421493700034771</v>
      </c>
      <c r="G27" s="112" t="s">
        <v>426</v>
      </c>
      <c r="H27" s="110">
        <v>66.414016463166035</v>
      </c>
      <c r="I27" s="102">
        <v>108</v>
      </c>
      <c r="J27" s="103">
        <v>41</v>
      </c>
      <c r="K27" s="90"/>
      <c r="L27" s="98">
        <v>-0.82183647421687545</v>
      </c>
      <c r="M27" s="99">
        <v>2.3498566632458062</v>
      </c>
      <c r="N27" s="99">
        <v>1.1538510920040257</v>
      </c>
      <c r="O27" s="99">
        <v>4.3140000000000001</v>
      </c>
      <c r="P27" s="99">
        <v>3.242</v>
      </c>
      <c r="Q27" s="99">
        <v>3.2440000000000002</v>
      </c>
      <c r="R27" s="99">
        <v>3.8290000000000002</v>
      </c>
      <c r="S27" s="99">
        <v>2.8860000000000001</v>
      </c>
      <c r="T27" s="99">
        <v>-3.0150000000000001</v>
      </c>
      <c r="U27" s="99">
        <v>7.3920000000000003</v>
      </c>
      <c r="V27" s="100">
        <v>3.8</v>
      </c>
      <c r="W27" s="100">
        <f t="shared" si="0"/>
        <v>2.8234210388274894</v>
      </c>
    </row>
    <row r="28" spans="1:23" x14ac:dyDescent="0.35">
      <c r="A28" s="90" t="s">
        <v>575</v>
      </c>
      <c r="B28" s="90" t="s">
        <v>595</v>
      </c>
      <c r="C28" s="98">
        <v>2.6588943634134665</v>
      </c>
      <c r="D28" s="99">
        <v>1.4503583241093798</v>
      </c>
      <c r="E28" s="100">
        <v>2.7752039527026096</v>
      </c>
      <c r="G28" s="112" t="s">
        <v>402</v>
      </c>
      <c r="H28" s="110">
        <v>74.531513757725932</v>
      </c>
      <c r="I28" s="102">
        <v>70</v>
      </c>
      <c r="J28" s="103">
        <v>6</v>
      </c>
      <c r="K28" s="90"/>
      <c r="L28" s="98">
        <v>4.4561672130978769</v>
      </c>
      <c r="M28" s="99">
        <v>11.343424252775241</v>
      </c>
      <c r="N28" s="99">
        <v>4.149289893135184</v>
      </c>
      <c r="O28" s="99">
        <v>-4.851</v>
      </c>
      <c r="P28" s="99">
        <v>7.202</v>
      </c>
      <c r="Q28" s="99">
        <v>4.1130000000000004</v>
      </c>
      <c r="R28" s="99">
        <v>4.1900000000000004</v>
      </c>
      <c r="S28" s="99">
        <v>3.0329999999999999</v>
      </c>
      <c r="T28" s="99">
        <v>-8.7260000000000009</v>
      </c>
      <c r="U28" s="99">
        <v>11.84</v>
      </c>
      <c r="V28" s="100">
        <v>6.4329999999999998</v>
      </c>
      <c r="W28" s="100">
        <f t="shared" si="0"/>
        <v>2.1127811384059947</v>
      </c>
    </row>
    <row r="29" spans="1:23" x14ac:dyDescent="0.35">
      <c r="A29" s="90" t="s">
        <v>579</v>
      </c>
      <c r="B29" s="90" t="s">
        <v>596</v>
      </c>
      <c r="C29" s="98">
        <v>1.146428167182445</v>
      </c>
      <c r="D29" s="99">
        <v>1.295085878975577</v>
      </c>
      <c r="E29" s="100">
        <v>0.42795301380476047</v>
      </c>
      <c r="G29" s="112" t="s">
        <v>577</v>
      </c>
      <c r="H29" s="110">
        <v>79.569249143394813</v>
      </c>
      <c r="I29" s="102">
        <v>51</v>
      </c>
      <c r="J29" s="103">
        <v>7</v>
      </c>
      <c r="K29" s="90"/>
      <c r="L29" s="98">
        <v>1.9211503183629988</v>
      </c>
      <c r="M29" s="99">
        <v>3.0048463050570873</v>
      </c>
      <c r="N29" s="99">
        <v>0.50395574024224987</v>
      </c>
      <c r="O29" s="99">
        <v>-3.5459999999999998</v>
      </c>
      <c r="P29" s="99">
        <v>-3.2759999999999998</v>
      </c>
      <c r="Q29" s="99">
        <v>1.323</v>
      </c>
      <c r="R29" s="99">
        <v>1.784</v>
      </c>
      <c r="S29" s="99">
        <v>1.2210000000000001</v>
      </c>
      <c r="T29" s="99">
        <v>-3.2770000000000001</v>
      </c>
      <c r="U29" s="99">
        <v>4.9889999999999999</v>
      </c>
      <c r="V29" s="100">
        <v>2.9009999999999998</v>
      </c>
      <c r="W29" s="100">
        <f t="shared" si="0"/>
        <v>0.86151944639016875</v>
      </c>
    </row>
    <row r="30" spans="1:23" x14ac:dyDescent="0.35">
      <c r="A30" s="90" t="s">
        <v>571</v>
      </c>
      <c r="B30" s="90" t="s">
        <v>597</v>
      </c>
      <c r="C30" s="98">
        <v>-0.66374440025495085</v>
      </c>
      <c r="D30" s="99">
        <v>0.37078358077795581</v>
      </c>
      <c r="E30" s="100">
        <v>-0.44114896551331606</v>
      </c>
      <c r="G30" s="112" t="s">
        <v>573</v>
      </c>
      <c r="H30" s="110">
        <v>47.581995606084838</v>
      </c>
      <c r="I30" s="102">
        <v>142</v>
      </c>
      <c r="J30" s="103">
        <v>30</v>
      </c>
      <c r="K30" s="90"/>
      <c r="L30" s="98">
        <v>0.91284167096442625</v>
      </c>
      <c r="M30" s="99">
        <v>-2.1260285174017546</v>
      </c>
      <c r="N30" s="99">
        <v>-2.5083525664456063</v>
      </c>
      <c r="O30" s="99">
        <v>-0.40500000000000003</v>
      </c>
      <c r="P30" s="99">
        <v>-2.4649999999999999</v>
      </c>
      <c r="Q30" s="99">
        <v>1.329</v>
      </c>
      <c r="R30" s="99">
        <v>5.1999999999999998E-2</v>
      </c>
      <c r="S30" s="99">
        <v>3.8690000000000002</v>
      </c>
      <c r="T30" s="99">
        <v>1.1339999999999999</v>
      </c>
      <c r="U30" s="99">
        <v>-1.591</v>
      </c>
      <c r="V30" s="100">
        <v>-1.51</v>
      </c>
      <c r="W30" s="100">
        <f t="shared" si="0"/>
        <v>-3.5182692367680124E-2</v>
      </c>
    </row>
    <row r="31" spans="1:23" x14ac:dyDescent="0.35">
      <c r="A31" s="90" t="s">
        <v>231</v>
      </c>
      <c r="B31" s="90" t="s">
        <v>598</v>
      </c>
      <c r="C31" s="98">
        <v>2.2325090532704595</v>
      </c>
      <c r="D31" s="99">
        <v>2.7879873369299979</v>
      </c>
      <c r="E31" s="100">
        <v>2.7412414949005814</v>
      </c>
      <c r="G31" s="112" t="s">
        <v>577</v>
      </c>
      <c r="H31" s="110">
        <v>82.826908120877093</v>
      </c>
      <c r="I31" s="102">
        <v>40</v>
      </c>
      <c r="J31" s="103">
        <v>26</v>
      </c>
      <c r="K31" s="90"/>
      <c r="L31" s="98">
        <v>0.36058318828756941</v>
      </c>
      <c r="M31" s="99">
        <v>0.31873576132258219</v>
      </c>
      <c r="N31" s="99">
        <v>1.8945471424192788</v>
      </c>
      <c r="O31" s="99">
        <v>3.4279999999999999</v>
      </c>
      <c r="P31" s="99">
        <v>3.04</v>
      </c>
      <c r="Q31" s="99">
        <v>2.762</v>
      </c>
      <c r="R31" s="99">
        <v>2.6850000000000001</v>
      </c>
      <c r="S31" s="99">
        <v>4.0380000000000003</v>
      </c>
      <c r="T31" s="99">
        <v>-3.9590000000000001</v>
      </c>
      <c r="U31" s="99">
        <v>7.6349999999999998</v>
      </c>
      <c r="V31" s="100">
        <v>3.3610000000000002</v>
      </c>
      <c r="W31" s="100">
        <f t="shared" si="0"/>
        <v>2.7646144159152897</v>
      </c>
    </row>
    <row r="32" spans="1:23" x14ac:dyDescent="0.35">
      <c r="A32" s="90" t="s">
        <v>575</v>
      </c>
      <c r="B32" s="90" t="s">
        <v>599</v>
      </c>
      <c r="C32" s="98">
        <v>3.7461786866062718</v>
      </c>
      <c r="D32" s="99">
        <v>4.6060819779328632</v>
      </c>
      <c r="E32" s="100">
        <v>4.9153359042722222</v>
      </c>
      <c r="G32" s="112" t="s">
        <v>402</v>
      </c>
      <c r="H32" s="110">
        <v>71.439342263551737</v>
      </c>
      <c r="I32" s="102">
        <v>81</v>
      </c>
      <c r="J32" s="103">
        <v>11</v>
      </c>
      <c r="K32" s="90"/>
      <c r="L32" s="98">
        <v>6.4526723809054332</v>
      </c>
      <c r="M32" s="99">
        <v>5.7926055919056534</v>
      </c>
      <c r="N32" s="99">
        <v>4.3268456132150384</v>
      </c>
      <c r="O32" s="99">
        <v>3.9209999999999998</v>
      </c>
      <c r="P32" s="99">
        <v>5.9580000000000002</v>
      </c>
      <c r="Q32" s="99">
        <v>6.2030000000000003</v>
      </c>
      <c r="R32" s="99">
        <v>6.6029999999999998</v>
      </c>
      <c r="S32" s="99">
        <v>5.6890000000000001</v>
      </c>
      <c r="T32" s="99">
        <v>1.931</v>
      </c>
      <c r="U32" s="99">
        <v>6.9050000000000002</v>
      </c>
      <c r="V32" s="100">
        <v>2.4729999999999999</v>
      </c>
      <c r="W32" s="100">
        <f t="shared" si="0"/>
        <v>4.7607089411025427</v>
      </c>
    </row>
    <row r="33" spans="1:23" x14ac:dyDescent="0.35">
      <c r="A33" s="90" t="s">
        <v>575</v>
      </c>
      <c r="B33" s="90" t="s">
        <v>600</v>
      </c>
      <c r="C33" s="98">
        <v>1.3140617594302739</v>
      </c>
      <c r="D33" s="99">
        <v>1.4727306023839093</v>
      </c>
      <c r="E33" s="100">
        <v>1.2263384025287261</v>
      </c>
      <c r="G33" s="112" t="s">
        <v>573</v>
      </c>
      <c r="H33" s="110">
        <v>45.872398734881529</v>
      </c>
      <c r="I33" s="102">
        <v>144</v>
      </c>
      <c r="J33" s="103">
        <v>40</v>
      </c>
      <c r="K33" s="90"/>
      <c r="L33" s="98">
        <v>4.4467082221454284</v>
      </c>
      <c r="M33" s="99">
        <v>4.9241952612883146</v>
      </c>
      <c r="N33" s="99">
        <v>4.2406516436807848</v>
      </c>
      <c r="O33" s="99">
        <v>-3.9</v>
      </c>
      <c r="P33" s="99">
        <v>-0.6</v>
      </c>
      <c r="Q33" s="99">
        <v>0.5</v>
      </c>
      <c r="R33" s="99">
        <v>1.61</v>
      </c>
      <c r="S33" s="99">
        <v>1.8420000000000001</v>
      </c>
      <c r="T33" s="99">
        <v>0.33500000000000002</v>
      </c>
      <c r="U33" s="99">
        <v>3.1190000000000002</v>
      </c>
      <c r="V33" s="100">
        <v>1.827</v>
      </c>
      <c r="W33" s="100">
        <f t="shared" si="0"/>
        <v>1.3495345024563177</v>
      </c>
    </row>
    <row r="34" spans="1:23" x14ac:dyDescent="0.35">
      <c r="A34" s="90" t="s">
        <v>575</v>
      </c>
      <c r="B34" s="90" t="s">
        <v>601</v>
      </c>
      <c r="C34" s="98">
        <v>0.23646198785876038</v>
      </c>
      <c r="D34" s="99">
        <v>2.1534613712418604</v>
      </c>
      <c r="E34" s="100">
        <v>2.1525774639498785</v>
      </c>
      <c r="G34" s="112" t="s">
        <v>402</v>
      </c>
      <c r="H34" s="110">
        <v>72.784877013329833</v>
      </c>
      <c r="I34" s="102">
        <v>78</v>
      </c>
      <c r="J34" s="103">
        <v>9</v>
      </c>
      <c r="K34" s="90"/>
      <c r="L34" s="98">
        <v>1.0819182787712764</v>
      </c>
      <c r="M34" s="99">
        <v>0.80279760057422567</v>
      </c>
      <c r="N34" s="99">
        <v>0.61121266620786829</v>
      </c>
      <c r="O34" s="99">
        <v>1.0069999999999999</v>
      </c>
      <c r="P34" s="99">
        <v>4.7060000000000004</v>
      </c>
      <c r="Q34" s="99">
        <v>3.702</v>
      </c>
      <c r="R34" s="99">
        <v>14.566000000000001</v>
      </c>
      <c r="S34" s="99">
        <v>5.6680000000000001</v>
      </c>
      <c r="T34" s="99">
        <v>-14.782999999999999</v>
      </c>
      <c r="U34" s="99">
        <v>7</v>
      </c>
      <c r="V34" s="100">
        <v>10.5</v>
      </c>
      <c r="W34" s="100">
        <f t="shared" si="0"/>
        <v>2.1530194175958695</v>
      </c>
    </row>
    <row r="35" spans="1:23" x14ac:dyDescent="0.35">
      <c r="A35" s="90" t="s">
        <v>571</v>
      </c>
      <c r="B35" s="90" t="s">
        <v>602</v>
      </c>
      <c r="C35" s="98">
        <v>1.5881444792890331</v>
      </c>
      <c r="D35" s="99">
        <v>3.8205347927408928</v>
      </c>
      <c r="E35" s="100">
        <v>5.437149341759695</v>
      </c>
      <c r="G35" s="112" t="s">
        <v>573</v>
      </c>
      <c r="H35" s="110">
        <v>41.696651110677628</v>
      </c>
      <c r="I35" s="102">
        <v>149</v>
      </c>
      <c r="J35" s="103">
        <v>31</v>
      </c>
      <c r="K35" s="90"/>
      <c r="L35" s="98">
        <v>7.3133455053000533</v>
      </c>
      <c r="M35" s="99">
        <v>7.3566651488797472</v>
      </c>
      <c r="N35" s="99">
        <v>7.1425711007429467</v>
      </c>
      <c r="O35" s="99">
        <v>7.0359999999999996</v>
      </c>
      <c r="P35" s="99">
        <v>6.8630000000000004</v>
      </c>
      <c r="Q35" s="99">
        <v>6.9969999999999999</v>
      </c>
      <c r="R35" s="99">
        <v>7.4690000000000003</v>
      </c>
      <c r="S35" s="99">
        <v>7.0540000000000003</v>
      </c>
      <c r="T35" s="99">
        <v>-3.0960000000000001</v>
      </c>
      <c r="U35" s="99">
        <v>3.0259999999999998</v>
      </c>
      <c r="V35" s="100">
        <v>5.0119999999999996</v>
      </c>
      <c r="W35" s="100">
        <f t="shared" si="0"/>
        <v>4.6288420672502939</v>
      </c>
    </row>
    <row r="36" spans="1:23" x14ac:dyDescent="0.35">
      <c r="A36" s="90" t="s">
        <v>575</v>
      </c>
      <c r="B36" s="90" t="s">
        <v>603</v>
      </c>
      <c r="C36" s="98">
        <v>2.4193069652844734</v>
      </c>
      <c r="D36" s="99">
        <v>3.5683606479580687</v>
      </c>
      <c r="E36" s="100">
        <v>4.2936580650607903</v>
      </c>
      <c r="G36" s="112" t="s">
        <v>426</v>
      </c>
      <c r="H36" s="110">
        <v>66.487838229569903</v>
      </c>
      <c r="I36" s="102">
        <v>107</v>
      </c>
      <c r="J36" s="103">
        <v>24</v>
      </c>
      <c r="K36" s="90"/>
      <c r="L36" s="98">
        <v>4.5432650156673571</v>
      </c>
      <c r="M36" s="99">
        <v>5.4042657097173343</v>
      </c>
      <c r="N36" s="99">
        <v>5.8840593266804415</v>
      </c>
      <c r="O36" s="99">
        <v>5.6</v>
      </c>
      <c r="P36" s="99">
        <v>4.4790000000000001</v>
      </c>
      <c r="Q36" s="99">
        <v>3.5409999999999999</v>
      </c>
      <c r="R36" s="99">
        <v>4.0220000000000002</v>
      </c>
      <c r="S36" s="99">
        <v>3.4220000000000002</v>
      </c>
      <c r="T36" s="99">
        <v>0.53900000000000003</v>
      </c>
      <c r="U36" s="99">
        <v>3.649</v>
      </c>
      <c r="V36" s="100">
        <v>3.383</v>
      </c>
      <c r="W36" s="100">
        <f t="shared" si="0"/>
        <v>3.9310093565094295</v>
      </c>
    </row>
    <row r="37" spans="1:23" x14ac:dyDescent="0.35">
      <c r="A37" s="90" t="s">
        <v>579</v>
      </c>
      <c r="B37" s="90" t="s">
        <v>604</v>
      </c>
      <c r="C37" s="98">
        <v>0.80505563787092171</v>
      </c>
      <c r="D37" s="99">
        <v>1.279888102037452</v>
      </c>
      <c r="E37" s="100">
        <v>1.6398804050051563</v>
      </c>
      <c r="G37" s="112" t="s">
        <v>419</v>
      </c>
      <c r="H37" s="110">
        <v>95.837528170961207</v>
      </c>
      <c r="I37" s="102">
        <v>17</v>
      </c>
      <c r="J37" s="103">
        <v>2</v>
      </c>
      <c r="K37" s="90"/>
      <c r="L37" s="98">
        <v>1.762222549554276</v>
      </c>
      <c r="M37" s="99">
        <v>2.3291225223044822</v>
      </c>
      <c r="N37" s="99">
        <v>2.8700360387422155</v>
      </c>
      <c r="O37" s="99">
        <v>0.65900000000000003</v>
      </c>
      <c r="P37" s="99">
        <v>1.0009999999999999</v>
      </c>
      <c r="Q37" s="99">
        <v>3.04</v>
      </c>
      <c r="R37" s="99">
        <v>2.7770000000000001</v>
      </c>
      <c r="S37" s="99">
        <v>1.8879999999999999</v>
      </c>
      <c r="T37" s="99">
        <v>-5.0739999999999998</v>
      </c>
      <c r="U37" s="99">
        <v>5.0119999999999996</v>
      </c>
      <c r="V37" s="100">
        <v>3.3959999999999999</v>
      </c>
      <c r="W37" s="100">
        <f t="shared" si="0"/>
        <v>1.4598842535213041</v>
      </c>
    </row>
    <row r="38" spans="1:23" x14ac:dyDescent="0.35">
      <c r="A38" s="90" t="s">
        <v>575</v>
      </c>
      <c r="B38" s="90" t="s">
        <v>605</v>
      </c>
      <c r="C38" s="98">
        <v>0.72569907638180275</v>
      </c>
      <c r="D38" s="99">
        <v>1.8043988935163791</v>
      </c>
      <c r="E38" s="100">
        <v>-2.2645674209426092</v>
      </c>
      <c r="G38" s="112" t="s">
        <v>573</v>
      </c>
      <c r="H38" s="110">
        <v>41.466247411534134</v>
      </c>
      <c r="I38" s="102">
        <v>150</v>
      </c>
      <c r="J38" s="103">
        <v>44</v>
      </c>
      <c r="K38" s="90"/>
      <c r="L38" s="98">
        <v>5.053761253569192</v>
      </c>
      <c r="M38" s="99">
        <v>-36.391977098388679</v>
      </c>
      <c r="N38" s="99">
        <v>8.1070515326508011E-2</v>
      </c>
      <c r="O38" s="99">
        <v>4.3380000000000001</v>
      </c>
      <c r="P38" s="99">
        <v>4.75</v>
      </c>
      <c r="Q38" s="99">
        <v>4.5279999999999996</v>
      </c>
      <c r="R38" s="99">
        <v>3.82</v>
      </c>
      <c r="S38" s="99">
        <v>2.97</v>
      </c>
      <c r="T38" s="99">
        <v>0.95899999999999996</v>
      </c>
      <c r="U38" s="99">
        <v>0.98299999999999998</v>
      </c>
      <c r="V38" s="100">
        <v>0.378</v>
      </c>
      <c r="W38" s="100">
        <f t="shared" si="0"/>
        <v>-0.23008426371311508</v>
      </c>
    </row>
    <row r="39" spans="1:23" x14ac:dyDescent="0.35">
      <c r="A39" s="90" t="s">
        <v>575</v>
      </c>
      <c r="B39" s="90" t="s">
        <v>606</v>
      </c>
      <c r="C39" s="98">
        <v>-0.11885802228936981</v>
      </c>
      <c r="D39" s="99">
        <v>1.0424126086531427</v>
      </c>
      <c r="E39" s="100">
        <v>1.0693731739606749</v>
      </c>
      <c r="G39" s="112" t="s">
        <v>573</v>
      </c>
      <c r="H39" s="110">
        <v>46.134841898100355</v>
      </c>
      <c r="I39" s="102">
        <v>143</v>
      </c>
      <c r="J39" s="103">
        <v>39</v>
      </c>
      <c r="K39" s="90"/>
      <c r="L39" s="98">
        <v>8.8825760717031557</v>
      </c>
      <c r="M39" s="99">
        <v>5.7000013628586537</v>
      </c>
      <c r="N39" s="99">
        <v>6.8999850453216673</v>
      </c>
      <c r="O39" s="99">
        <v>1.77</v>
      </c>
      <c r="P39" s="99">
        <v>-5.5579999999999998</v>
      </c>
      <c r="Q39" s="99">
        <v>-2.38</v>
      </c>
      <c r="R39" s="99">
        <v>2.355</v>
      </c>
      <c r="S39" s="99">
        <v>3.419</v>
      </c>
      <c r="T39" s="99">
        <v>-2.1419999999999999</v>
      </c>
      <c r="U39" s="99">
        <v>-1.1020000000000001</v>
      </c>
      <c r="V39" s="100">
        <v>2.4940000000000002</v>
      </c>
      <c r="W39" s="100">
        <f t="shared" si="0"/>
        <v>1.0558928913069088</v>
      </c>
    </row>
    <row r="40" spans="1:23" x14ac:dyDescent="0.35">
      <c r="A40" s="90" t="s">
        <v>579</v>
      </c>
      <c r="B40" s="90" t="s">
        <v>607</v>
      </c>
      <c r="C40" s="98">
        <v>2.4572143474803632</v>
      </c>
      <c r="D40" s="99">
        <v>3.0605383736418856</v>
      </c>
      <c r="E40" s="100">
        <v>2.6285168981251106</v>
      </c>
      <c r="G40" s="112" t="s">
        <v>419</v>
      </c>
      <c r="H40" s="110">
        <v>89.938976035792962</v>
      </c>
      <c r="I40" s="102">
        <v>28</v>
      </c>
      <c r="J40" s="103">
        <v>3</v>
      </c>
      <c r="K40" s="90"/>
      <c r="L40" s="98">
        <v>5.3186280004141473</v>
      </c>
      <c r="M40" s="99">
        <v>4.0450042981489593</v>
      </c>
      <c r="N40" s="99">
        <v>1.7667397836386938</v>
      </c>
      <c r="O40" s="99">
        <v>2.1520000000000001</v>
      </c>
      <c r="P40" s="99">
        <v>1.7529999999999999</v>
      </c>
      <c r="Q40" s="99">
        <v>1.3580000000000001</v>
      </c>
      <c r="R40" s="99">
        <v>3.99</v>
      </c>
      <c r="S40" s="99">
        <v>0.74299999999999999</v>
      </c>
      <c r="T40" s="99">
        <v>-6.1449999999999996</v>
      </c>
      <c r="U40" s="99">
        <v>11.737</v>
      </c>
      <c r="V40" s="100">
        <v>2.44</v>
      </c>
      <c r="W40" s="100">
        <f t="shared" si="0"/>
        <v>2.8445276358834981</v>
      </c>
    </row>
    <row r="41" spans="1:23" x14ac:dyDescent="0.35">
      <c r="A41" s="90" t="s">
        <v>571</v>
      </c>
      <c r="B41" s="90" t="s">
        <v>608</v>
      </c>
      <c r="C41" s="98">
        <v>4.4136018906123953</v>
      </c>
      <c r="D41" s="99">
        <v>5.1836523723133077</v>
      </c>
      <c r="E41" s="100">
        <v>6.1897338385474399</v>
      </c>
      <c r="G41" s="112" t="s">
        <v>577</v>
      </c>
      <c r="H41" s="110">
        <v>79.714044846147502</v>
      </c>
      <c r="I41" s="102">
        <v>50</v>
      </c>
      <c r="J41" s="103">
        <v>7</v>
      </c>
      <c r="K41" s="90"/>
      <c r="L41" s="98">
        <v>7.8596274932851555</v>
      </c>
      <c r="M41" s="99">
        <v>7.7686152841281606</v>
      </c>
      <c r="N41" s="99">
        <v>7.4245236561990726</v>
      </c>
      <c r="O41" s="99">
        <v>7.0179999999999998</v>
      </c>
      <c r="P41" s="99">
        <v>6.851</v>
      </c>
      <c r="Q41" s="99">
        <v>6.9470000000000001</v>
      </c>
      <c r="R41" s="99">
        <v>6.7510000000000003</v>
      </c>
      <c r="S41" s="99">
        <v>5.9509999999999996</v>
      </c>
      <c r="T41" s="99">
        <v>2.242</v>
      </c>
      <c r="U41" s="99">
        <v>8.4499999999999993</v>
      </c>
      <c r="V41" s="100">
        <v>2.988</v>
      </c>
      <c r="W41" s="100">
        <f t="shared" si="0"/>
        <v>5.6866931054303738</v>
      </c>
    </row>
    <row r="42" spans="1:23" x14ac:dyDescent="0.35">
      <c r="A42" s="90" t="s">
        <v>579</v>
      </c>
      <c r="B42" s="90" t="s">
        <v>609</v>
      </c>
      <c r="C42" s="98">
        <v>3.4115994769119862</v>
      </c>
      <c r="D42" s="99">
        <v>2.9902381196408978</v>
      </c>
      <c r="E42" s="100">
        <v>3.0937390088282557</v>
      </c>
      <c r="G42" s="112" t="s">
        <v>577</v>
      </c>
      <c r="H42" s="110">
        <v>79.943455242802315</v>
      </c>
      <c r="I42" s="102">
        <v>48</v>
      </c>
      <c r="J42" s="103">
        <v>6</v>
      </c>
      <c r="K42" s="90"/>
      <c r="L42" s="98">
        <v>3.9126357671611296</v>
      </c>
      <c r="M42" s="99">
        <v>5.1339935199566966</v>
      </c>
      <c r="N42" s="99">
        <v>4.4990300011097339</v>
      </c>
      <c r="O42" s="99">
        <v>2.956</v>
      </c>
      <c r="P42" s="99">
        <v>2.0880000000000001</v>
      </c>
      <c r="Q42" s="99">
        <v>1.359</v>
      </c>
      <c r="R42" s="99">
        <v>2.5640000000000001</v>
      </c>
      <c r="S42" s="99">
        <v>3.1869999999999998</v>
      </c>
      <c r="T42" s="99">
        <v>-7.2519999999999998</v>
      </c>
      <c r="U42" s="99">
        <v>11.016</v>
      </c>
      <c r="V42" s="100">
        <v>7.4960000000000004</v>
      </c>
      <c r="W42" s="100">
        <f t="shared" si="0"/>
        <v>3.0419885642345768</v>
      </c>
    </row>
    <row r="43" spans="1:23" x14ac:dyDescent="0.35">
      <c r="A43" s="90" t="s">
        <v>575</v>
      </c>
      <c r="B43" s="90" t="s">
        <v>610</v>
      </c>
      <c r="C43" s="98">
        <v>1.4424277454801349</v>
      </c>
      <c r="D43" s="99">
        <v>1.9425285111170032</v>
      </c>
      <c r="E43" s="100">
        <v>2.451644301489786</v>
      </c>
      <c r="G43" s="112" t="s">
        <v>426</v>
      </c>
      <c r="H43" s="110">
        <v>68.943026951610364</v>
      </c>
      <c r="I43" s="102">
        <v>96</v>
      </c>
      <c r="J43" s="103">
        <v>17</v>
      </c>
      <c r="K43" s="90"/>
      <c r="L43" s="98">
        <v>3.2002729031888046</v>
      </c>
      <c r="M43" s="99">
        <v>4.4998742153082745</v>
      </c>
      <c r="N43" s="99">
        <v>2.1000064383028905</v>
      </c>
      <c r="O43" s="99">
        <v>1.147</v>
      </c>
      <c r="P43" s="99">
        <v>3.32</v>
      </c>
      <c r="Q43" s="99">
        <v>3.8159999999999998</v>
      </c>
      <c r="R43" s="99">
        <v>3.6419999999999999</v>
      </c>
      <c r="S43" s="99">
        <v>1.7609999999999999</v>
      </c>
      <c r="T43" s="99">
        <v>-0.19600000000000001</v>
      </c>
      <c r="U43" s="99">
        <v>2.1120000000000001</v>
      </c>
      <c r="V43" s="100">
        <v>2.431</v>
      </c>
      <c r="W43" s="100">
        <f t="shared" si="0"/>
        <v>2.1970864063033946</v>
      </c>
    </row>
    <row r="44" spans="1:23" x14ac:dyDescent="0.35">
      <c r="A44" s="90" t="s">
        <v>575</v>
      </c>
      <c r="B44" s="90" t="s">
        <v>611</v>
      </c>
      <c r="C44" s="98">
        <v>4.8306254668632809</v>
      </c>
      <c r="D44" s="99">
        <v>4.9384402884992351</v>
      </c>
      <c r="E44" s="100">
        <v>5.5494362942043685</v>
      </c>
      <c r="G44" s="112" t="s">
        <v>573</v>
      </c>
      <c r="H44" s="110">
        <v>40.102703133666751</v>
      </c>
      <c r="I44" s="102">
        <v>151</v>
      </c>
      <c r="J44" s="103">
        <v>45</v>
      </c>
      <c r="K44" s="90"/>
      <c r="L44" s="98">
        <v>7.0868989467193844</v>
      </c>
      <c r="M44" s="99">
        <v>8.4819566360875722</v>
      </c>
      <c r="N44" s="99">
        <v>9.4702880971408341</v>
      </c>
      <c r="O44" s="99">
        <v>6.36</v>
      </c>
      <c r="P44" s="99">
        <v>0.39400000000000002</v>
      </c>
      <c r="Q44" s="99">
        <v>3.6579999999999999</v>
      </c>
      <c r="R44" s="99">
        <v>4.8250000000000002</v>
      </c>
      <c r="S44" s="99">
        <v>4.4850000000000003</v>
      </c>
      <c r="T44" s="99">
        <v>1.671</v>
      </c>
      <c r="U44" s="99">
        <v>6.2290000000000001</v>
      </c>
      <c r="V44" s="100">
        <v>6.6269999999999998</v>
      </c>
      <c r="W44" s="100">
        <f t="shared" si="0"/>
        <v>5.2439382913518013</v>
      </c>
    </row>
    <row r="45" spans="1:23" x14ac:dyDescent="0.35">
      <c r="A45" s="90" t="s">
        <v>575</v>
      </c>
      <c r="B45" s="90" t="s">
        <v>612</v>
      </c>
      <c r="C45" s="98">
        <v>-1.9540231466170455</v>
      </c>
      <c r="D45" s="99">
        <v>-2.1626068363397866</v>
      </c>
      <c r="E45" s="100">
        <v>-2.4351268953680449</v>
      </c>
      <c r="G45" s="112" t="s">
        <v>573</v>
      </c>
      <c r="H45" s="110">
        <v>42.318471362744162</v>
      </c>
      <c r="I45" s="102">
        <v>148</v>
      </c>
      <c r="J45" s="103">
        <v>43</v>
      </c>
      <c r="K45" s="90"/>
      <c r="L45" s="98">
        <v>9.9471531425756439</v>
      </c>
      <c r="M45" s="99">
        <v>-0.71243445187648202</v>
      </c>
      <c r="N45" s="99">
        <v>6.7166793337864945</v>
      </c>
      <c r="O45" s="99">
        <v>-3.5510000000000002</v>
      </c>
      <c r="P45" s="99">
        <v>-10.782999999999999</v>
      </c>
      <c r="Q45" s="99">
        <v>-4.383</v>
      </c>
      <c r="R45" s="99">
        <v>-4.8049999999999997</v>
      </c>
      <c r="S45" s="99">
        <v>1.026</v>
      </c>
      <c r="T45" s="99">
        <v>-6.1980000000000004</v>
      </c>
      <c r="U45" s="99">
        <v>1.5</v>
      </c>
      <c r="V45" s="100">
        <v>2.7850000000000001</v>
      </c>
      <c r="W45" s="100">
        <f t="shared" si="0"/>
        <v>-2.298866865853916</v>
      </c>
    </row>
    <row r="46" spans="1:23" x14ac:dyDescent="0.35">
      <c r="A46" s="90" t="s">
        <v>579</v>
      </c>
      <c r="B46" s="90" t="s">
        <v>613</v>
      </c>
      <c r="C46" s="98">
        <v>2.4986852323448439</v>
      </c>
      <c r="D46" s="99">
        <v>3.7972658363557565</v>
      </c>
      <c r="E46" s="100">
        <v>3.649680120396992</v>
      </c>
      <c r="G46" s="112" t="s">
        <v>577</v>
      </c>
      <c r="H46" s="110">
        <v>86.218051096846139</v>
      </c>
      <c r="I46" s="102">
        <v>34</v>
      </c>
      <c r="J46" s="103">
        <v>4</v>
      </c>
      <c r="K46" s="90"/>
      <c r="L46" s="98">
        <v>4.7969199185815947</v>
      </c>
      <c r="M46" s="99">
        <v>2.2690274004615811</v>
      </c>
      <c r="N46" s="99">
        <v>3.5153385639114227</v>
      </c>
      <c r="O46" s="99">
        <v>3.6520000000000001</v>
      </c>
      <c r="P46" s="99">
        <v>4.2039999999999997</v>
      </c>
      <c r="Q46" s="99">
        <v>4.1580000000000004</v>
      </c>
      <c r="R46" s="99">
        <v>2.6160000000000001</v>
      </c>
      <c r="S46" s="99">
        <v>2.4180000000000001</v>
      </c>
      <c r="T46" s="99">
        <v>-4.2729999999999997</v>
      </c>
      <c r="U46" s="99">
        <v>7.7809999999999997</v>
      </c>
      <c r="V46" s="100">
        <v>4.3239999999999998</v>
      </c>
      <c r="W46" s="100">
        <f t="shared" si="0"/>
        <v>3.7234729783763743</v>
      </c>
    </row>
    <row r="47" spans="1:23" x14ac:dyDescent="0.35">
      <c r="A47" s="90" t="s">
        <v>575</v>
      </c>
      <c r="B47" s="90" t="s">
        <v>614</v>
      </c>
      <c r="C47" s="98">
        <v>5.2133244785906863</v>
      </c>
      <c r="D47" s="99">
        <v>5.7501340546816326</v>
      </c>
      <c r="E47" s="100">
        <v>6.9731316213943906</v>
      </c>
      <c r="G47" s="112" t="s">
        <v>426</v>
      </c>
      <c r="H47" s="110">
        <v>69.121915522328067</v>
      </c>
      <c r="I47" s="102">
        <v>95</v>
      </c>
      <c r="J47" s="103">
        <v>16</v>
      </c>
      <c r="K47" s="90"/>
      <c r="L47" s="98">
        <v>10.706504103485498</v>
      </c>
      <c r="M47" s="99">
        <v>8.8894213015542505</v>
      </c>
      <c r="N47" s="99">
        <v>8.7940773902773532</v>
      </c>
      <c r="O47" s="99">
        <v>8.843</v>
      </c>
      <c r="P47" s="99">
        <v>7.173</v>
      </c>
      <c r="Q47" s="99">
        <v>6.1429999999999998</v>
      </c>
      <c r="R47" s="99">
        <v>3.7509999999999999</v>
      </c>
      <c r="S47" s="99">
        <v>8.31</v>
      </c>
      <c r="T47" s="99">
        <v>1.7</v>
      </c>
      <c r="U47" s="99">
        <v>7</v>
      </c>
      <c r="V47" s="100">
        <v>6.7</v>
      </c>
      <c r="W47" s="100">
        <f t="shared" si="0"/>
        <v>6.3616328380380116</v>
      </c>
    </row>
    <row r="48" spans="1:23" x14ac:dyDescent="0.35">
      <c r="A48" s="90" t="s">
        <v>231</v>
      </c>
      <c r="B48" s="90" t="s">
        <v>615</v>
      </c>
      <c r="C48" s="98">
        <v>3.2016110581527757</v>
      </c>
      <c r="D48" s="99">
        <v>3.6386983370098269</v>
      </c>
      <c r="E48" s="100">
        <v>2.6484109069949024</v>
      </c>
      <c r="G48" s="112" t="s">
        <v>577</v>
      </c>
      <c r="H48" s="110">
        <v>83.891853807505186</v>
      </c>
      <c r="I48" s="102">
        <v>39</v>
      </c>
      <c r="J48" s="103">
        <v>25</v>
      </c>
      <c r="K48" s="90"/>
      <c r="L48" s="98">
        <v>-2.2376475412236791</v>
      </c>
      <c r="M48" s="99">
        <v>-0.54854848857064353</v>
      </c>
      <c r="N48" s="99">
        <v>-0.10392849719394197</v>
      </c>
      <c r="O48" s="99">
        <v>2.524</v>
      </c>
      <c r="P48" s="99">
        <v>3.56</v>
      </c>
      <c r="Q48" s="99">
        <v>3.4140000000000001</v>
      </c>
      <c r="R48" s="99">
        <v>2.7989999999999999</v>
      </c>
      <c r="S48" s="99">
        <v>3.42</v>
      </c>
      <c r="T48" s="99">
        <v>-8.58</v>
      </c>
      <c r="U48" s="99">
        <v>13.07</v>
      </c>
      <c r="V48" s="100">
        <v>6.3319999999999999</v>
      </c>
      <c r="W48" s="100">
        <f t="shared" si="0"/>
        <v>3.1435546220023647</v>
      </c>
    </row>
    <row r="49" spans="1:23" x14ac:dyDescent="0.35">
      <c r="A49" s="90" t="s">
        <v>231</v>
      </c>
      <c r="B49" s="90" t="s">
        <v>616</v>
      </c>
      <c r="C49" s="98">
        <v>2.5096449899315587</v>
      </c>
      <c r="D49" s="99">
        <v>3.8028194592395037</v>
      </c>
      <c r="E49" s="100">
        <v>2.5630103304818297</v>
      </c>
      <c r="G49" s="112" t="s">
        <v>577</v>
      </c>
      <c r="H49" s="110">
        <v>87.255396390154942</v>
      </c>
      <c r="I49" s="102">
        <v>32</v>
      </c>
      <c r="J49" s="103">
        <v>21</v>
      </c>
      <c r="K49" s="90"/>
      <c r="L49" s="98">
        <v>-3.4468220858971224</v>
      </c>
      <c r="M49" s="99">
        <v>-6.5530782549911972</v>
      </c>
      <c r="N49" s="99">
        <v>-1.8293091092200273</v>
      </c>
      <c r="O49" s="99">
        <v>3.4180000000000001</v>
      </c>
      <c r="P49" s="99">
        <v>6.5739999999999998</v>
      </c>
      <c r="Q49" s="99">
        <v>5.7329999999999997</v>
      </c>
      <c r="R49" s="99">
        <v>5.649</v>
      </c>
      <c r="S49" s="99">
        <v>5.5289999999999999</v>
      </c>
      <c r="T49" s="99">
        <v>-4.3710000000000004</v>
      </c>
      <c r="U49" s="99">
        <v>6.6369999999999996</v>
      </c>
      <c r="V49" s="100">
        <v>5.6319999999999997</v>
      </c>
      <c r="W49" s="100">
        <f t="shared" si="0"/>
        <v>3.1829148948606667</v>
      </c>
    </row>
    <row r="50" spans="1:23" x14ac:dyDescent="0.35">
      <c r="A50" s="90" t="s">
        <v>231</v>
      </c>
      <c r="B50" s="90" t="s">
        <v>617</v>
      </c>
      <c r="C50" s="98">
        <v>7.8479275411136307E-2</v>
      </c>
      <c r="D50" s="99">
        <v>1.4620184569118511</v>
      </c>
      <c r="E50" s="100">
        <v>2.1534461321011111</v>
      </c>
      <c r="G50" s="112" t="s">
        <v>419</v>
      </c>
      <c r="H50" s="110">
        <v>91.450544124021832</v>
      </c>
      <c r="I50" s="102">
        <v>23</v>
      </c>
      <c r="J50" s="103">
        <v>15</v>
      </c>
      <c r="K50" s="90"/>
      <c r="L50" s="98">
        <v>-0.79984428098029747</v>
      </c>
      <c r="M50" s="99">
        <v>-0.48367104180935355</v>
      </c>
      <c r="N50" s="99">
        <v>2.7151161333034923</v>
      </c>
      <c r="O50" s="99">
        <v>5.3879999999999999</v>
      </c>
      <c r="P50" s="99">
        <v>2.5369999999999999</v>
      </c>
      <c r="Q50" s="99">
        <v>5.1689999999999996</v>
      </c>
      <c r="R50" s="99">
        <v>3.22</v>
      </c>
      <c r="S50" s="99">
        <v>3.03</v>
      </c>
      <c r="T50" s="99">
        <v>-5.5030000000000001</v>
      </c>
      <c r="U50" s="99">
        <v>3.5529999999999999</v>
      </c>
      <c r="V50" s="100">
        <v>2.4420000000000002</v>
      </c>
      <c r="W50" s="100">
        <f t="shared" si="0"/>
        <v>1.8077322945064811</v>
      </c>
    </row>
    <row r="51" spans="1:23" x14ac:dyDescent="0.35">
      <c r="A51" s="90" t="s">
        <v>231</v>
      </c>
      <c r="B51" s="90" t="s">
        <v>618</v>
      </c>
      <c r="C51" s="98">
        <v>2.1173186821453305</v>
      </c>
      <c r="D51" s="99">
        <v>2.0745382872927598</v>
      </c>
      <c r="E51" s="100">
        <v>2.0535686786969709</v>
      </c>
      <c r="G51" s="112" t="s">
        <v>419</v>
      </c>
      <c r="H51" s="110">
        <v>97.848591628257381</v>
      </c>
      <c r="I51" s="102">
        <v>3</v>
      </c>
      <c r="J51" s="103">
        <v>2</v>
      </c>
      <c r="K51" s="90"/>
      <c r="L51" s="98">
        <v>0.22649979701625131</v>
      </c>
      <c r="M51" s="99">
        <v>0.93334095705108477</v>
      </c>
      <c r="N51" s="99">
        <v>1.6193938166337245</v>
      </c>
      <c r="O51" s="99">
        <v>2.343</v>
      </c>
      <c r="P51" s="99">
        <v>3.2480000000000002</v>
      </c>
      <c r="Q51" s="99">
        <v>2.819</v>
      </c>
      <c r="R51" s="99">
        <v>1.9910000000000001</v>
      </c>
      <c r="S51" s="99">
        <v>1.4930000000000001</v>
      </c>
      <c r="T51" s="99">
        <v>-1.994</v>
      </c>
      <c r="U51" s="99">
        <v>4.8570000000000002</v>
      </c>
      <c r="V51" s="100">
        <v>3.6230000000000002</v>
      </c>
      <c r="W51" s="100">
        <f t="shared" si="0"/>
        <v>2.0640534829948654</v>
      </c>
    </row>
    <row r="52" spans="1:23" x14ac:dyDescent="0.35">
      <c r="A52" s="90" t="s">
        <v>579</v>
      </c>
      <c r="B52" s="90" t="s">
        <v>619</v>
      </c>
      <c r="C52" s="98">
        <v>3.1998461156594438</v>
      </c>
      <c r="D52" s="99">
        <v>4.316018962980106</v>
      </c>
      <c r="E52" s="100">
        <v>5.1698060844696858</v>
      </c>
      <c r="G52" s="112" t="s">
        <v>577</v>
      </c>
      <c r="H52" s="110">
        <v>76.661181476266762</v>
      </c>
      <c r="I52" s="102">
        <v>62</v>
      </c>
      <c r="J52" s="103">
        <v>9</v>
      </c>
      <c r="K52" s="90"/>
      <c r="L52" s="98">
        <v>2.7173678967056243</v>
      </c>
      <c r="M52" s="99">
        <v>4.8752050933227107</v>
      </c>
      <c r="N52" s="99">
        <v>7.0504636896591117</v>
      </c>
      <c r="O52" s="99">
        <v>6.9269999999999996</v>
      </c>
      <c r="P52" s="99">
        <v>6.6589999999999998</v>
      </c>
      <c r="Q52" s="99">
        <v>4.6669999999999998</v>
      </c>
      <c r="R52" s="99">
        <v>6.9829999999999997</v>
      </c>
      <c r="S52" s="99">
        <v>5.0519999999999996</v>
      </c>
      <c r="T52" s="99">
        <v>-6.72</v>
      </c>
      <c r="U52" s="99">
        <v>12.272</v>
      </c>
      <c r="V52" s="100">
        <v>4.9489999999999998</v>
      </c>
      <c r="W52" s="100">
        <f t="shared" si="0"/>
        <v>4.7429125237248959</v>
      </c>
    </row>
    <row r="53" spans="1:23" x14ac:dyDescent="0.35">
      <c r="A53" s="90" t="s">
        <v>579</v>
      </c>
      <c r="B53" s="90" t="s">
        <v>620</v>
      </c>
      <c r="C53" s="98">
        <v>-0.32141867374969602</v>
      </c>
      <c r="D53" s="99">
        <v>6.5490773887200149E-2</v>
      </c>
      <c r="E53" s="100">
        <v>1.0130868701887064</v>
      </c>
      <c r="G53" s="116" t="s">
        <v>426</v>
      </c>
      <c r="H53" s="110">
        <v>61.323621492965962</v>
      </c>
      <c r="I53" s="102">
        <v>123</v>
      </c>
      <c r="J53" s="103">
        <v>20</v>
      </c>
      <c r="K53" s="90"/>
      <c r="L53" s="98">
        <v>5.641962066711991</v>
      </c>
      <c r="M53" s="99">
        <v>4.9465112669062528</v>
      </c>
      <c r="N53" s="99">
        <v>3.7888685492083329</v>
      </c>
      <c r="O53" s="99">
        <v>9.9000000000000005E-2</v>
      </c>
      <c r="P53" s="99">
        <v>-1.226</v>
      </c>
      <c r="Q53" s="99">
        <v>2.3679999999999999</v>
      </c>
      <c r="R53" s="99">
        <v>1.2889999999999999</v>
      </c>
      <c r="S53" s="99">
        <v>1.2E-2</v>
      </c>
      <c r="T53" s="99">
        <v>-7.7880000000000003</v>
      </c>
      <c r="U53" s="99">
        <v>4.2350000000000003</v>
      </c>
      <c r="V53" s="100">
        <v>3.0390000000000001</v>
      </c>
      <c r="W53" s="100">
        <f t="shared" si="0"/>
        <v>0.53928882203795325</v>
      </c>
    </row>
    <row r="54" spans="1:23" x14ac:dyDescent="0.35">
      <c r="A54" s="90" t="s">
        <v>575</v>
      </c>
      <c r="B54" s="90" t="s">
        <v>621</v>
      </c>
      <c r="C54" s="98">
        <v>4.4912036839904523</v>
      </c>
      <c r="D54" s="99">
        <v>4.8680352120142656</v>
      </c>
      <c r="E54" s="100">
        <v>4.2302867143853229</v>
      </c>
      <c r="G54" s="112" t="s">
        <v>426</v>
      </c>
      <c r="H54" s="110">
        <v>63.405428674671668</v>
      </c>
      <c r="I54" s="102">
        <v>119</v>
      </c>
      <c r="J54" s="103">
        <v>28</v>
      </c>
      <c r="K54" s="90"/>
      <c r="L54" s="98">
        <v>2.2261997966213811</v>
      </c>
      <c r="M54" s="99">
        <v>2.1854660547123101</v>
      </c>
      <c r="N54" s="99">
        <v>2.9159118788358169</v>
      </c>
      <c r="O54" s="99">
        <v>4.4340000000000002</v>
      </c>
      <c r="P54" s="99">
        <v>4.5060000000000002</v>
      </c>
      <c r="Q54" s="99">
        <v>2.3690000000000002</v>
      </c>
      <c r="R54" s="99">
        <v>5.3310000000000004</v>
      </c>
      <c r="S54" s="99">
        <v>5.5339999999999998</v>
      </c>
      <c r="T54" s="99">
        <v>3.5139999999999998</v>
      </c>
      <c r="U54" s="99">
        <v>3.3069999999999999</v>
      </c>
      <c r="V54" s="100">
        <v>6.609</v>
      </c>
      <c r="W54" s="100">
        <f t="shared" si="0"/>
        <v>4.5491609631997942</v>
      </c>
    </row>
    <row r="55" spans="1:23" x14ac:dyDescent="0.35">
      <c r="A55" s="90" t="s">
        <v>579</v>
      </c>
      <c r="B55" s="90" t="s">
        <v>622</v>
      </c>
      <c r="C55" s="98">
        <v>1.3471265984384528</v>
      </c>
      <c r="D55" s="99">
        <v>1.776882859029727</v>
      </c>
      <c r="E55" s="100">
        <v>2.0016468394263187</v>
      </c>
      <c r="G55" s="112" t="s">
        <v>402</v>
      </c>
      <c r="H55" s="110">
        <v>69.210174273537845</v>
      </c>
      <c r="I55" s="102">
        <v>94</v>
      </c>
      <c r="J55" s="103">
        <v>13</v>
      </c>
      <c r="K55" s="90"/>
      <c r="L55" s="98">
        <v>2.8155018217952783</v>
      </c>
      <c r="M55" s="99">
        <v>2.2337536818851604</v>
      </c>
      <c r="N55" s="99">
        <v>1.7112232058649222</v>
      </c>
      <c r="O55" s="99">
        <v>2.395</v>
      </c>
      <c r="P55" s="99">
        <v>2.5419999999999998</v>
      </c>
      <c r="Q55" s="99">
        <v>2.2530000000000001</v>
      </c>
      <c r="R55" s="99">
        <v>2.4119999999999999</v>
      </c>
      <c r="S55" s="99">
        <v>2.4350000000000001</v>
      </c>
      <c r="T55" s="99">
        <v>-8.1750000000000007</v>
      </c>
      <c r="U55" s="99">
        <v>10.269</v>
      </c>
      <c r="V55" s="100">
        <v>2.8</v>
      </c>
      <c r="W55" s="100">
        <f t="shared" si="0"/>
        <v>1.8892648492280228</v>
      </c>
    </row>
    <row r="56" spans="1:23" x14ac:dyDescent="0.35">
      <c r="A56" s="90" t="s">
        <v>231</v>
      </c>
      <c r="B56" s="90" t="s">
        <v>623</v>
      </c>
      <c r="C56" s="98">
        <v>1.972770435214799</v>
      </c>
      <c r="D56" s="99">
        <v>2.6853264084946815</v>
      </c>
      <c r="E56" s="100">
        <v>2.7928430899179402</v>
      </c>
      <c r="G56" s="112" t="s">
        <v>577</v>
      </c>
      <c r="H56" s="110">
        <v>82.267245472231053</v>
      </c>
      <c r="I56" s="102">
        <v>41</v>
      </c>
      <c r="J56" s="103">
        <v>27</v>
      </c>
      <c r="K56" s="90"/>
      <c r="L56" s="98">
        <v>3.1248431915696226</v>
      </c>
      <c r="M56" s="99">
        <v>1.346187835760732</v>
      </c>
      <c r="N56" s="99">
        <v>2.9873258188549392</v>
      </c>
      <c r="O56" s="99">
        <v>1.853</v>
      </c>
      <c r="P56" s="99">
        <v>3.1549999999999998</v>
      </c>
      <c r="Q56" s="99">
        <v>5.7919999999999998</v>
      </c>
      <c r="R56" s="99">
        <v>3.7839999999999998</v>
      </c>
      <c r="S56" s="99">
        <v>3.74</v>
      </c>
      <c r="T56" s="99">
        <v>-0.55100000000000005</v>
      </c>
      <c r="U56" s="99">
        <v>8.0129999999999999</v>
      </c>
      <c r="V56" s="100">
        <v>-1.2869999999999999</v>
      </c>
      <c r="W56" s="100">
        <f t="shared" si="0"/>
        <v>2.7390847492063108</v>
      </c>
    </row>
    <row r="57" spans="1:23" x14ac:dyDescent="0.35">
      <c r="A57" s="90" t="s">
        <v>575</v>
      </c>
      <c r="B57" s="90" t="s">
        <v>624</v>
      </c>
      <c r="C57" s="98">
        <v>2.1841699351578647</v>
      </c>
      <c r="D57" s="99">
        <v>2.1180367535848621</v>
      </c>
      <c r="E57" s="100">
        <v>2.094572895591984</v>
      </c>
      <c r="G57" s="112" t="s">
        <v>426</v>
      </c>
      <c r="H57" s="110">
        <v>63.876381030610304</v>
      </c>
      <c r="I57" s="102">
        <v>117</v>
      </c>
      <c r="J57" s="103">
        <v>27</v>
      </c>
      <c r="K57" s="90"/>
      <c r="L57" s="98">
        <v>5.3913093065302364</v>
      </c>
      <c r="M57" s="99">
        <v>3.8622718821819677</v>
      </c>
      <c r="N57" s="99">
        <v>0.91319649477376841</v>
      </c>
      <c r="O57" s="99">
        <v>2.2269999999999999</v>
      </c>
      <c r="P57" s="99">
        <v>1.0629999999999999</v>
      </c>
      <c r="Q57" s="99">
        <v>2.0270000000000001</v>
      </c>
      <c r="R57" s="99">
        <v>2.3690000000000002</v>
      </c>
      <c r="S57" s="99">
        <v>2.7040000000000002</v>
      </c>
      <c r="T57" s="99">
        <v>-1.56</v>
      </c>
      <c r="U57" s="99">
        <v>7.883</v>
      </c>
      <c r="V57" s="100">
        <v>0.46700000000000003</v>
      </c>
      <c r="W57" s="100">
        <f t="shared" si="0"/>
        <v>2.1063048245884231</v>
      </c>
    </row>
    <row r="58" spans="1:23" x14ac:dyDescent="0.35">
      <c r="A58" s="90" t="s">
        <v>575</v>
      </c>
      <c r="B58" s="90" t="s">
        <v>625</v>
      </c>
      <c r="C58" s="98">
        <v>6.0178655257344227</v>
      </c>
      <c r="D58" s="99">
        <v>6.6428861766961944</v>
      </c>
      <c r="E58" s="100">
        <v>8.3305963840047514</v>
      </c>
      <c r="G58" s="112" t="s">
        <v>573</v>
      </c>
      <c r="H58" s="110">
        <v>58.357971531116526</v>
      </c>
      <c r="I58" s="102">
        <v>128</v>
      </c>
      <c r="J58" s="103">
        <v>31</v>
      </c>
      <c r="K58" s="90"/>
      <c r="L58" s="98">
        <v>8.6478116333741841</v>
      </c>
      <c r="M58" s="99">
        <v>10.582270048267214</v>
      </c>
      <c r="N58" s="99">
        <v>10.257492961005118</v>
      </c>
      <c r="O58" s="99">
        <v>10.4</v>
      </c>
      <c r="P58" s="99">
        <v>8</v>
      </c>
      <c r="Q58" s="99">
        <v>10.210000000000001</v>
      </c>
      <c r="R58" s="99">
        <v>7.7030000000000003</v>
      </c>
      <c r="S58" s="99">
        <v>9.0370000000000008</v>
      </c>
      <c r="T58" s="99">
        <v>6.0570000000000004</v>
      </c>
      <c r="U58" s="99">
        <v>6.2649999999999997</v>
      </c>
      <c r="V58" s="100">
        <v>6.3579999999999997</v>
      </c>
      <c r="W58" s="100">
        <f t="shared" si="0"/>
        <v>7.4867412803504729</v>
      </c>
    </row>
    <row r="59" spans="1:23" x14ac:dyDescent="0.35">
      <c r="A59" s="90" t="s">
        <v>231</v>
      </c>
      <c r="B59" s="90" t="s">
        <v>626</v>
      </c>
      <c r="C59" s="98">
        <v>0.92513707934396283</v>
      </c>
      <c r="D59" s="99">
        <v>1.065704979127502</v>
      </c>
      <c r="E59" s="100">
        <v>1.0351636365421246</v>
      </c>
      <c r="G59" s="112" t="s">
        <v>419</v>
      </c>
      <c r="H59" s="110">
        <v>97.443307672167862</v>
      </c>
      <c r="I59" s="102">
        <v>5</v>
      </c>
      <c r="J59" s="103">
        <v>3</v>
      </c>
      <c r="K59" s="90"/>
      <c r="L59" s="98">
        <v>-1.3973545576374944</v>
      </c>
      <c r="M59" s="99">
        <v>-0.90201849743960727</v>
      </c>
      <c r="N59" s="99">
        <v>-0.36494028121428063</v>
      </c>
      <c r="O59" s="99">
        <v>0.54400000000000004</v>
      </c>
      <c r="P59" s="99">
        <v>2.8109999999999999</v>
      </c>
      <c r="Q59" s="99">
        <v>3.1920000000000002</v>
      </c>
      <c r="R59" s="99">
        <v>1.1399999999999999</v>
      </c>
      <c r="S59" s="99">
        <v>1.224</v>
      </c>
      <c r="T59" s="99">
        <v>-2.355</v>
      </c>
      <c r="U59" s="99">
        <v>3.0459999999999998</v>
      </c>
      <c r="V59" s="100">
        <v>2.0840000000000001</v>
      </c>
      <c r="W59" s="100">
        <f t="shared" si="0"/>
        <v>1.0504343078348133</v>
      </c>
    </row>
    <row r="60" spans="1:23" x14ac:dyDescent="0.35">
      <c r="A60" s="90" t="s">
        <v>231</v>
      </c>
      <c r="B60" s="90" t="s">
        <v>627</v>
      </c>
      <c r="C60" s="98">
        <v>0.35484098705607092</v>
      </c>
      <c r="D60" s="99">
        <v>0.85541697677951056</v>
      </c>
      <c r="E60" s="100">
        <v>1.0299722548507528</v>
      </c>
      <c r="G60" s="112" t="s">
        <v>419</v>
      </c>
      <c r="H60" s="110">
        <v>94.937245038342397</v>
      </c>
      <c r="I60" s="102">
        <v>20</v>
      </c>
      <c r="J60" s="103">
        <v>13</v>
      </c>
      <c r="K60" s="90"/>
      <c r="L60" s="98">
        <v>0.31313474167845923</v>
      </c>
      <c r="M60" s="99">
        <v>0.5763266794418439</v>
      </c>
      <c r="N60" s="99">
        <v>0.95618304768384532</v>
      </c>
      <c r="O60" s="99">
        <v>1.0549999999999999</v>
      </c>
      <c r="P60" s="99">
        <v>0.98199999999999998</v>
      </c>
      <c r="Q60" s="99">
        <v>2.4489999999999998</v>
      </c>
      <c r="R60" s="99">
        <v>1.8240000000000001</v>
      </c>
      <c r="S60" s="99">
        <v>1.8839999999999999</v>
      </c>
      <c r="T60" s="99">
        <v>-7.907</v>
      </c>
      <c r="U60" s="99">
        <v>6.77</v>
      </c>
      <c r="V60" s="100">
        <v>2.6059999999999999</v>
      </c>
      <c r="W60" s="100">
        <f t="shared" si="0"/>
        <v>0.9426946158151317</v>
      </c>
    </row>
    <row r="61" spans="1:23" x14ac:dyDescent="0.35">
      <c r="A61" s="90" t="s">
        <v>575</v>
      </c>
      <c r="B61" s="90" t="s">
        <v>628</v>
      </c>
      <c r="C61" s="98">
        <v>0.80490169914342324</v>
      </c>
      <c r="D61" s="99">
        <v>1.4271603442411074</v>
      </c>
      <c r="E61" s="100">
        <v>2.3419356903168431</v>
      </c>
      <c r="G61" s="112" t="s">
        <v>573</v>
      </c>
      <c r="H61" s="110">
        <v>37.219050826761183</v>
      </c>
      <c r="I61" s="102">
        <v>153</v>
      </c>
      <c r="J61" s="103">
        <v>46</v>
      </c>
      <c r="K61" s="90"/>
      <c r="L61" s="98">
        <v>5.251076917504065</v>
      </c>
      <c r="M61" s="99">
        <v>5.6386990033869457</v>
      </c>
      <c r="N61" s="99">
        <v>4.3149644410747063</v>
      </c>
      <c r="O61" s="99">
        <v>3.879</v>
      </c>
      <c r="P61" s="99">
        <v>2.0910000000000002</v>
      </c>
      <c r="Q61" s="99">
        <v>0.47299999999999998</v>
      </c>
      <c r="R61" s="99">
        <v>0.84299999999999997</v>
      </c>
      <c r="S61" s="99">
        <v>3.915</v>
      </c>
      <c r="T61" s="99">
        <v>-1.8640000000000001</v>
      </c>
      <c r="U61" s="99">
        <v>1.484</v>
      </c>
      <c r="V61" s="100">
        <v>2.8479999999999999</v>
      </c>
      <c r="W61" s="100">
        <f t="shared" si="0"/>
        <v>1.8845480172789753</v>
      </c>
    </row>
    <row r="62" spans="1:23" x14ac:dyDescent="0.35">
      <c r="A62" s="90" t="s">
        <v>575</v>
      </c>
      <c r="B62" s="90" t="s">
        <v>629</v>
      </c>
      <c r="C62" s="98">
        <v>3.0839257560593802</v>
      </c>
      <c r="D62" s="99">
        <v>4.5260960958580343</v>
      </c>
      <c r="E62" s="100">
        <v>3.4750911540431417</v>
      </c>
      <c r="G62" s="112" t="s">
        <v>426</v>
      </c>
      <c r="H62" s="110">
        <v>65.416670727464805</v>
      </c>
      <c r="I62" s="102">
        <v>114</v>
      </c>
      <c r="J62" s="103">
        <v>26</v>
      </c>
      <c r="K62" s="90"/>
      <c r="L62" s="98">
        <v>5.2415692463074244</v>
      </c>
      <c r="M62" s="99">
        <v>2.8727687903269969</v>
      </c>
      <c r="N62" s="99">
        <v>-1.4073824951095362</v>
      </c>
      <c r="O62" s="99">
        <v>4.0579999999999998</v>
      </c>
      <c r="P62" s="99">
        <v>1.9430000000000001</v>
      </c>
      <c r="Q62" s="99">
        <v>4.8230000000000004</v>
      </c>
      <c r="R62" s="99">
        <v>7.2350000000000003</v>
      </c>
      <c r="S62" s="99">
        <v>6.2220000000000004</v>
      </c>
      <c r="T62" s="99">
        <v>0.59099999999999997</v>
      </c>
      <c r="U62" s="99">
        <v>4.2649999999999997</v>
      </c>
      <c r="V62" s="100">
        <v>4.4409999999999998</v>
      </c>
      <c r="W62" s="100">
        <f t="shared" si="0"/>
        <v>4.0005936249505876</v>
      </c>
    </row>
    <row r="63" spans="1:23" x14ac:dyDescent="0.35">
      <c r="A63" s="90" t="s">
        <v>231</v>
      </c>
      <c r="B63" s="90" t="s">
        <v>630</v>
      </c>
      <c r="C63" s="98">
        <v>4.283743954922925</v>
      </c>
      <c r="D63" s="99">
        <v>4.5348375618438741</v>
      </c>
      <c r="E63" s="100">
        <v>4.1477466898679483</v>
      </c>
      <c r="G63" s="112" t="s">
        <v>577</v>
      </c>
      <c r="H63" s="110">
        <v>80.727500391697276</v>
      </c>
      <c r="I63" s="102">
        <v>46</v>
      </c>
      <c r="J63" s="103">
        <v>31</v>
      </c>
      <c r="K63" s="90"/>
      <c r="L63" s="98">
        <v>6.3690083063386043</v>
      </c>
      <c r="M63" s="99">
        <v>3.6213053519627643</v>
      </c>
      <c r="N63" s="99">
        <v>4.4319248230907649</v>
      </c>
      <c r="O63" s="99">
        <v>3.0270000000000001</v>
      </c>
      <c r="P63" s="99">
        <v>2.9060000000000001</v>
      </c>
      <c r="Q63" s="99">
        <v>4.843</v>
      </c>
      <c r="R63" s="99">
        <v>4.843</v>
      </c>
      <c r="S63" s="99">
        <v>4.9820000000000002</v>
      </c>
      <c r="T63" s="99">
        <v>-6.76</v>
      </c>
      <c r="U63" s="99">
        <v>10.465999999999999</v>
      </c>
      <c r="V63" s="100">
        <v>10.109</v>
      </c>
      <c r="W63" s="100">
        <f t="shared" si="0"/>
        <v>4.3412921258559116</v>
      </c>
    </row>
    <row r="64" spans="1:23" x14ac:dyDescent="0.35">
      <c r="A64" s="90" t="s">
        <v>231</v>
      </c>
      <c r="B64" s="90" t="s">
        <v>631</v>
      </c>
      <c r="C64" s="98">
        <v>0.19639292345923209</v>
      </c>
      <c r="D64" s="99">
        <v>0.54722001304448042</v>
      </c>
      <c r="E64" s="100">
        <v>1.1791658469401556</v>
      </c>
      <c r="G64" s="112" t="s">
        <v>419</v>
      </c>
      <c r="H64" s="110">
        <v>96.79194200114037</v>
      </c>
      <c r="I64" s="102">
        <v>8</v>
      </c>
      <c r="J64" s="103">
        <v>6</v>
      </c>
      <c r="K64" s="90"/>
      <c r="L64" s="98">
        <v>0.41955108005357267</v>
      </c>
      <c r="M64" s="99">
        <v>0.42824326167218907</v>
      </c>
      <c r="N64" s="99">
        <v>2.2256887491492803</v>
      </c>
      <c r="O64" s="99">
        <v>1.4870000000000001</v>
      </c>
      <c r="P64" s="99">
        <v>2.23</v>
      </c>
      <c r="Q64" s="99">
        <v>2.68</v>
      </c>
      <c r="R64" s="99">
        <v>0.98399999999999999</v>
      </c>
      <c r="S64" s="99">
        <v>1.054</v>
      </c>
      <c r="T64" s="99">
        <v>-3.6920000000000002</v>
      </c>
      <c r="U64" s="99">
        <v>2.625</v>
      </c>
      <c r="V64" s="100">
        <v>1.778</v>
      </c>
      <c r="W64" s="100">
        <f t="shared" si="0"/>
        <v>0.863192929992318</v>
      </c>
    </row>
    <row r="65" spans="1:23" x14ac:dyDescent="0.35">
      <c r="A65" s="90" t="s">
        <v>575</v>
      </c>
      <c r="B65" s="90" t="s">
        <v>632</v>
      </c>
      <c r="C65" s="98">
        <v>3.0107142168638523</v>
      </c>
      <c r="D65" s="99">
        <v>4.8285507296226937</v>
      </c>
      <c r="E65" s="100">
        <v>4.7980640567336197</v>
      </c>
      <c r="G65" s="112" t="s">
        <v>402</v>
      </c>
      <c r="H65" s="110">
        <v>69.704517199471169</v>
      </c>
      <c r="I65" s="102">
        <v>89</v>
      </c>
      <c r="J65" s="103">
        <v>13</v>
      </c>
      <c r="K65" s="90"/>
      <c r="L65" s="98">
        <v>9.2927894045967889</v>
      </c>
      <c r="M65" s="99">
        <v>7.3125250073312458</v>
      </c>
      <c r="N65" s="99">
        <v>2.8974388369154251</v>
      </c>
      <c r="O65" s="99">
        <v>2.121</v>
      </c>
      <c r="P65" s="99">
        <v>3.3730000000000002</v>
      </c>
      <c r="Q65" s="99">
        <v>8.1289999999999996</v>
      </c>
      <c r="R65" s="99">
        <v>6.2</v>
      </c>
      <c r="S65" s="99">
        <v>6.508</v>
      </c>
      <c r="T65" s="99">
        <v>0.51400000000000001</v>
      </c>
      <c r="U65" s="99">
        <v>5.3559999999999999</v>
      </c>
      <c r="V65" s="100">
        <v>3.2189999999999999</v>
      </c>
      <c r="W65" s="100">
        <f t="shared" si="0"/>
        <v>4.8133073931781567</v>
      </c>
    </row>
    <row r="66" spans="1:23" x14ac:dyDescent="0.35">
      <c r="A66" s="90" t="s">
        <v>231</v>
      </c>
      <c r="B66" s="90" t="s">
        <v>633</v>
      </c>
      <c r="C66" s="98">
        <v>1.4800990034344652</v>
      </c>
      <c r="D66" s="99">
        <v>1.2580147511245698</v>
      </c>
      <c r="E66" s="100">
        <v>0.45671215262543807</v>
      </c>
      <c r="G66" s="112" t="s">
        <v>419</v>
      </c>
      <c r="H66" s="110">
        <v>87.308557455608167</v>
      </c>
      <c r="I66" s="102">
        <v>31</v>
      </c>
      <c r="J66" s="103">
        <v>20</v>
      </c>
      <c r="K66" s="90"/>
      <c r="L66" s="98">
        <v>-7.3004939606978656</v>
      </c>
      <c r="M66" s="99">
        <v>-3.2414250560129267</v>
      </c>
      <c r="N66" s="99">
        <v>0.73977713855774985</v>
      </c>
      <c r="O66" s="99">
        <v>-0.19600000000000001</v>
      </c>
      <c r="P66" s="99">
        <v>-0.48699999999999999</v>
      </c>
      <c r="Q66" s="99">
        <v>1.0920000000000001</v>
      </c>
      <c r="R66" s="99">
        <v>1.6679999999999999</v>
      </c>
      <c r="S66" s="99">
        <v>1.8839999999999999</v>
      </c>
      <c r="T66" s="99">
        <v>-9.0039999999999996</v>
      </c>
      <c r="U66" s="99">
        <v>8.4339999999999993</v>
      </c>
      <c r="V66" s="100">
        <v>5.9139999999999997</v>
      </c>
      <c r="W66" s="100">
        <f t="shared" si="0"/>
        <v>0.85736345187500396</v>
      </c>
    </row>
    <row r="67" spans="1:23" x14ac:dyDescent="0.35">
      <c r="A67" s="90" t="s">
        <v>579</v>
      </c>
      <c r="B67" s="90" t="s">
        <v>634</v>
      </c>
      <c r="C67" s="98">
        <v>3.3306625930319189</v>
      </c>
      <c r="D67" s="99">
        <v>3.4919746764532578</v>
      </c>
      <c r="E67" s="100">
        <v>3.5384372691175781</v>
      </c>
      <c r="G67" s="112" t="s">
        <v>402</v>
      </c>
      <c r="H67" s="110">
        <v>71.336652243067974</v>
      </c>
      <c r="I67" s="102">
        <v>82</v>
      </c>
      <c r="J67" s="103">
        <v>10</v>
      </c>
      <c r="K67" s="90"/>
      <c r="L67" s="98">
        <v>2.9698574079878068</v>
      </c>
      <c r="M67" s="99">
        <v>3.6975861001947585</v>
      </c>
      <c r="N67" s="99">
        <v>4.4439780738522474</v>
      </c>
      <c r="O67" s="99">
        <v>4.0919999999999996</v>
      </c>
      <c r="P67" s="99">
        <v>2.6779999999999999</v>
      </c>
      <c r="Q67" s="99">
        <v>3.08</v>
      </c>
      <c r="R67" s="99">
        <v>3.407</v>
      </c>
      <c r="S67" s="99">
        <v>4.0019999999999998</v>
      </c>
      <c r="T67" s="99">
        <v>-1.764</v>
      </c>
      <c r="U67" s="99">
        <v>7.9809999999999999</v>
      </c>
      <c r="V67" s="100">
        <v>4.0090000000000003</v>
      </c>
      <c r="W67" s="100">
        <f t="shared" si="0"/>
        <v>3.5152059727854179</v>
      </c>
    </row>
    <row r="68" spans="1:23" x14ac:dyDescent="0.35">
      <c r="A68" s="90" t="s">
        <v>575</v>
      </c>
      <c r="B68" s="90" t="s">
        <v>635</v>
      </c>
      <c r="C68" s="98">
        <v>4.3705772513408236</v>
      </c>
      <c r="D68" s="99">
        <v>4.9898667622307658</v>
      </c>
      <c r="E68" s="100">
        <v>5.729233966321412</v>
      </c>
      <c r="G68" s="112" t="s">
        <v>573</v>
      </c>
      <c r="H68" s="110">
        <v>50.297438492745087</v>
      </c>
      <c r="I68" s="102">
        <v>138</v>
      </c>
      <c r="J68" s="103">
        <v>36</v>
      </c>
      <c r="K68" s="90"/>
      <c r="L68" s="98">
        <v>5.9152881384417997</v>
      </c>
      <c r="M68" s="99">
        <v>3.9456854305126305</v>
      </c>
      <c r="N68" s="99">
        <v>3.6965411823164165</v>
      </c>
      <c r="O68" s="99">
        <v>3.8260000000000001</v>
      </c>
      <c r="P68" s="99">
        <v>10.821</v>
      </c>
      <c r="Q68" s="99">
        <v>10.3</v>
      </c>
      <c r="R68" s="99">
        <v>6.3579999999999997</v>
      </c>
      <c r="S68" s="99">
        <v>5.617</v>
      </c>
      <c r="T68" s="99">
        <v>4.92</v>
      </c>
      <c r="U68" s="99">
        <v>4.2919999999999998</v>
      </c>
      <c r="V68" s="100">
        <v>4.2939999999999996</v>
      </c>
      <c r="W68" s="100">
        <f t="shared" si="0"/>
        <v>5.3595503642760889</v>
      </c>
    </row>
    <row r="69" spans="1:23" x14ac:dyDescent="0.35">
      <c r="A69" s="90" t="s">
        <v>575</v>
      </c>
      <c r="B69" s="90" t="s">
        <v>636</v>
      </c>
      <c r="C69" s="98">
        <v>1.5927018196488341</v>
      </c>
      <c r="D69" s="99">
        <v>2.1053991541019057</v>
      </c>
      <c r="E69" s="100">
        <v>3.2889383993762955</v>
      </c>
      <c r="G69" s="112" t="s">
        <v>573</v>
      </c>
      <c r="H69" s="110">
        <v>54.70982708603303</v>
      </c>
      <c r="I69" s="102">
        <v>134</v>
      </c>
      <c r="J69" s="103">
        <v>34</v>
      </c>
      <c r="K69" s="90"/>
      <c r="L69" s="98">
        <v>-1.7126830118107121</v>
      </c>
      <c r="M69" s="99">
        <v>3.255904265176933</v>
      </c>
      <c r="N69" s="99">
        <v>0.96456075098132787</v>
      </c>
      <c r="O69" s="99">
        <v>6.1340000000000003</v>
      </c>
      <c r="P69" s="99">
        <v>5.3070000000000004</v>
      </c>
      <c r="Q69" s="99">
        <v>4.7889999999999997</v>
      </c>
      <c r="R69" s="99">
        <v>3.7610000000000001</v>
      </c>
      <c r="S69" s="99">
        <v>4.5</v>
      </c>
      <c r="T69" s="99">
        <v>1.5</v>
      </c>
      <c r="U69" s="99">
        <v>6.4</v>
      </c>
      <c r="V69" s="100">
        <v>3.5</v>
      </c>
      <c r="W69" s="100">
        <f t="shared" si="0"/>
        <v>2.6971687767391006</v>
      </c>
    </row>
    <row r="70" spans="1:23" x14ac:dyDescent="0.35">
      <c r="A70" s="90" t="s">
        <v>579</v>
      </c>
      <c r="B70" s="90" t="s">
        <v>637</v>
      </c>
      <c r="C70" s="98">
        <v>40.872083180158647</v>
      </c>
      <c r="D70" s="99">
        <v>25.198248131969379</v>
      </c>
      <c r="E70" s="100">
        <v>13.395686805616647</v>
      </c>
      <c r="G70" s="112" t="s">
        <v>573</v>
      </c>
      <c r="H70" s="110">
        <v>56.740934863022261</v>
      </c>
      <c r="I70" s="102">
        <v>129</v>
      </c>
      <c r="J70" s="103">
        <v>21</v>
      </c>
      <c r="K70" s="90"/>
      <c r="L70" s="98">
        <v>5.3836234687298372</v>
      </c>
      <c r="M70" s="99">
        <v>3.6535047680067998</v>
      </c>
      <c r="N70" s="99">
        <v>1.6860277321410588</v>
      </c>
      <c r="O70" s="99">
        <v>0.68700000000000006</v>
      </c>
      <c r="P70" s="99">
        <v>3.8069999999999999</v>
      </c>
      <c r="Q70" s="99">
        <v>3.734</v>
      </c>
      <c r="R70" s="99">
        <v>4.4409999999999998</v>
      </c>
      <c r="S70" s="99">
        <v>5.3529999999999998</v>
      </c>
      <c r="T70" s="99">
        <v>43.48</v>
      </c>
      <c r="U70" s="99">
        <v>20.059999999999999</v>
      </c>
      <c r="V70" s="100">
        <v>62.287999999999997</v>
      </c>
      <c r="W70" s="100">
        <f t="shared" si="0"/>
        <v>19.296967468793014</v>
      </c>
    </row>
    <row r="71" spans="1:23" x14ac:dyDescent="0.35">
      <c r="A71" s="90" t="s">
        <v>579</v>
      </c>
      <c r="B71" s="90" t="s">
        <v>638</v>
      </c>
      <c r="C71" s="98">
        <v>-0.34574931867293879</v>
      </c>
      <c r="D71" s="99">
        <v>0.64565822904871784</v>
      </c>
      <c r="E71" s="100">
        <v>2.5156599586003026</v>
      </c>
      <c r="G71" s="112" t="s">
        <v>573</v>
      </c>
      <c r="H71" s="110">
        <v>54.401198784391461</v>
      </c>
      <c r="I71" s="102">
        <v>135</v>
      </c>
      <c r="J71" s="103">
        <v>22</v>
      </c>
      <c r="K71" s="90"/>
      <c r="L71" s="98">
        <v>-7.4695954800602468E-2</v>
      </c>
      <c r="M71" s="99">
        <v>9.2111856449685803</v>
      </c>
      <c r="N71" s="99">
        <v>1.9148137793287729</v>
      </c>
      <c r="O71" s="99">
        <v>2.5630000000000002</v>
      </c>
      <c r="P71" s="99">
        <v>1.8120000000000001</v>
      </c>
      <c r="Q71" s="99">
        <v>2.5099999999999998</v>
      </c>
      <c r="R71" s="99">
        <v>1.6679999999999999</v>
      </c>
      <c r="S71" s="99">
        <v>-1.6850000000000001</v>
      </c>
      <c r="T71" s="99">
        <v>-3.343</v>
      </c>
      <c r="U71" s="99">
        <v>-1.798</v>
      </c>
      <c r="V71" s="100">
        <v>-1.6819999999999999</v>
      </c>
      <c r="W71" s="100">
        <f t="shared" si="0"/>
        <v>1.5806590938245102</v>
      </c>
    </row>
    <row r="72" spans="1:23" x14ac:dyDescent="0.35">
      <c r="A72" s="90" t="s">
        <v>579</v>
      </c>
      <c r="B72" s="90" t="s">
        <v>639</v>
      </c>
      <c r="C72" s="98">
        <v>2.1352529558121391</v>
      </c>
      <c r="D72" s="99">
        <v>2.5786313755856494</v>
      </c>
      <c r="E72" s="100">
        <v>3.1291474397337593</v>
      </c>
      <c r="G72" s="112" t="s">
        <v>573</v>
      </c>
      <c r="H72" s="110">
        <v>39.565152370912173</v>
      </c>
      <c r="I72" s="102">
        <v>152</v>
      </c>
      <c r="J72" s="103">
        <v>24</v>
      </c>
      <c r="K72" s="90"/>
      <c r="L72" s="98">
        <v>4.1286877486693667</v>
      </c>
      <c r="M72" s="99">
        <v>2.7915597574680358</v>
      </c>
      <c r="N72" s="99">
        <v>3.0580805621437066</v>
      </c>
      <c r="O72" s="99">
        <v>3.84</v>
      </c>
      <c r="P72" s="99">
        <v>3.8929999999999998</v>
      </c>
      <c r="Q72" s="99">
        <v>4.843</v>
      </c>
      <c r="R72" s="99">
        <v>3.8450000000000002</v>
      </c>
      <c r="S72" s="99">
        <v>2.653</v>
      </c>
      <c r="T72" s="99">
        <v>-8.9649999999999999</v>
      </c>
      <c r="U72" s="99">
        <v>12.534000000000001</v>
      </c>
      <c r="V72" s="100">
        <v>4</v>
      </c>
      <c r="W72" s="100">
        <f t="shared" si="0"/>
        <v>2.8538894076597043</v>
      </c>
    </row>
    <row r="73" spans="1:23" x14ac:dyDescent="0.35">
      <c r="A73" s="90" t="s">
        <v>571</v>
      </c>
      <c r="B73" s="90" t="s">
        <v>640</v>
      </c>
      <c r="C73" s="98">
        <v>-1.3866109004180949</v>
      </c>
      <c r="D73" s="99">
        <v>-0.61127068207094126</v>
      </c>
      <c r="E73" s="100">
        <v>1.1000622223137801</v>
      </c>
      <c r="G73" s="112" t="s">
        <v>419</v>
      </c>
      <c r="H73" s="110">
        <v>95.561927385722356</v>
      </c>
      <c r="I73" s="102">
        <v>18</v>
      </c>
      <c r="J73" s="103">
        <v>5</v>
      </c>
      <c r="K73" s="90"/>
      <c r="L73" s="98">
        <v>1.7002747714417163</v>
      </c>
      <c r="M73" s="99">
        <v>3.1015497799994041</v>
      </c>
      <c r="N73" s="99">
        <v>2.7623919976975242</v>
      </c>
      <c r="O73" s="99">
        <v>2.3879999999999999</v>
      </c>
      <c r="P73" s="99">
        <v>2.1749999999999998</v>
      </c>
      <c r="Q73" s="99">
        <v>3.7959999999999998</v>
      </c>
      <c r="R73" s="99">
        <v>2.847</v>
      </c>
      <c r="S73" s="99">
        <v>-1.6719999999999999</v>
      </c>
      <c r="T73" s="99">
        <v>-6.5449999999999999</v>
      </c>
      <c r="U73" s="99">
        <v>6.4480000000000004</v>
      </c>
      <c r="V73" s="100">
        <v>-3.5070000000000001</v>
      </c>
      <c r="W73" s="100">
        <f t="shared" si="0"/>
        <v>0.24439577012141944</v>
      </c>
    </row>
    <row r="74" spans="1:23" x14ac:dyDescent="0.35">
      <c r="A74" s="90" t="s">
        <v>231</v>
      </c>
      <c r="B74" s="90" t="s">
        <v>641</v>
      </c>
      <c r="C74" s="98">
        <v>2.362570497371097</v>
      </c>
      <c r="D74" s="99">
        <v>3.4329643388785636</v>
      </c>
      <c r="E74" s="100">
        <v>3.366609258538622</v>
      </c>
      <c r="G74" s="112" t="s">
        <v>402</v>
      </c>
      <c r="H74" s="110">
        <v>75.842312832768172</v>
      </c>
      <c r="I74" s="102">
        <v>67</v>
      </c>
      <c r="J74" s="103">
        <v>37</v>
      </c>
      <c r="K74" s="90"/>
      <c r="L74" s="98">
        <v>-1.4717888510830746</v>
      </c>
      <c r="M74" s="99">
        <v>1.9629840486290608</v>
      </c>
      <c r="N74" s="99">
        <v>4.1950824094780925</v>
      </c>
      <c r="O74" s="99">
        <v>3.7069999999999999</v>
      </c>
      <c r="P74" s="99">
        <v>2.2010000000000001</v>
      </c>
      <c r="Q74" s="99">
        <v>4.2720000000000002</v>
      </c>
      <c r="R74" s="99">
        <v>5.3620000000000001</v>
      </c>
      <c r="S74" s="99">
        <v>4.8579999999999997</v>
      </c>
      <c r="T74" s="99">
        <v>-4.5469999999999997</v>
      </c>
      <c r="U74" s="99">
        <v>7.117</v>
      </c>
      <c r="V74" s="100">
        <v>4.9000000000000004</v>
      </c>
      <c r="W74" s="100">
        <f t="shared" si="0"/>
        <v>3.3997867987085928</v>
      </c>
    </row>
    <row r="75" spans="1:23" x14ac:dyDescent="0.35">
      <c r="A75" s="90" t="s">
        <v>231</v>
      </c>
      <c r="B75" s="90" t="s">
        <v>642</v>
      </c>
      <c r="C75" s="98">
        <v>1.1623871589995449</v>
      </c>
      <c r="D75" s="99">
        <v>2.1481166990517275</v>
      </c>
      <c r="E75" s="100">
        <v>3.1810733517810608</v>
      </c>
      <c r="G75" s="112" t="s">
        <v>419</v>
      </c>
      <c r="H75" s="110">
        <v>95.11269526919466</v>
      </c>
      <c r="I75" s="102">
        <v>19</v>
      </c>
      <c r="J75" s="103">
        <v>12</v>
      </c>
      <c r="K75" s="90"/>
      <c r="L75" s="98">
        <v>1.0636366074376145</v>
      </c>
      <c r="M75" s="99">
        <v>4.5524603201510816</v>
      </c>
      <c r="N75" s="99">
        <v>1.687215017506406</v>
      </c>
      <c r="O75" s="99">
        <v>4.4370000000000003</v>
      </c>
      <c r="P75" s="99">
        <v>6.3040000000000003</v>
      </c>
      <c r="Q75" s="99">
        <v>4.1950000000000003</v>
      </c>
      <c r="R75" s="99">
        <v>4.8890000000000002</v>
      </c>
      <c r="S75" s="99">
        <v>1.8049999999999999</v>
      </c>
      <c r="T75" s="99">
        <v>-7.242</v>
      </c>
      <c r="U75" s="99">
        <v>4.3330000000000002</v>
      </c>
      <c r="V75" s="100">
        <v>6.4450000000000003</v>
      </c>
      <c r="W75" s="100">
        <f t="shared" ref="W75:W138" si="1">AVERAGE(D75,E75)</f>
        <v>2.6645950254163941</v>
      </c>
    </row>
    <row r="76" spans="1:23" x14ac:dyDescent="0.35">
      <c r="A76" s="90" t="s">
        <v>571</v>
      </c>
      <c r="B76" s="90" t="s">
        <v>643</v>
      </c>
      <c r="C76" s="98">
        <v>2.7398620097403459</v>
      </c>
      <c r="D76" s="99">
        <v>3.6623835250989556</v>
      </c>
      <c r="E76" s="100">
        <v>5.5227254922200597</v>
      </c>
      <c r="G76" s="112" t="s">
        <v>426</v>
      </c>
      <c r="H76" s="110">
        <v>66.198052259063019</v>
      </c>
      <c r="I76" s="102">
        <v>109</v>
      </c>
      <c r="J76" s="103">
        <v>21</v>
      </c>
      <c r="K76" s="90"/>
      <c r="L76" s="98">
        <v>5.4563589507228496</v>
      </c>
      <c r="M76" s="99">
        <v>6.3861064009482602</v>
      </c>
      <c r="N76" s="99">
        <v>7.410227605088517</v>
      </c>
      <c r="O76" s="99">
        <v>7.9960000000000004</v>
      </c>
      <c r="P76" s="99">
        <v>8.2560000000000002</v>
      </c>
      <c r="Q76" s="99">
        <v>6.7949999999999999</v>
      </c>
      <c r="R76" s="99">
        <v>6.4539999999999997</v>
      </c>
      <c r="S76" s="99">
        <v>3.871</v>
      </c>
      <c r="T76" s="99">
        <v>-5.8310000000000004</v>
      </c>
      <c r="U76" s="99">
        <v>9.0500000000000007</v>
      </c>
      <c r="V76" s="100">
        <v>6.8310000000000004</v>
      </c>
      <c r="W76" s="100">
        <f t="shared" si="1"/>
        <v>4.5925545086595072</v>
      </c>
    </row>
    <row r="77" spans="1:23" x14ac:dyDescent="0.35">
      <c r="A77" s="90" t="s">
        <v>571</v>
      </c>
      <c r="B77" s="90" t="s">
        <v>644</v>
      </c>
      <c r="C77" s="98">
        <v>2.2622053552423305</v>
      </c>
      <c r="D77" s="99">
        <v>3.3867361875690394</v>
      </c>
      <c r="E77" s="100">
        <v>4.2439953782461792</v>
      </c>
      <c r="G77" s="112" t="s">
        <v>402</v>
      </c>
      <c r="H77" s="110">
        <v>71.158529876167961</v>
      </c>
      <c r="I77" s="102">
        <v>83</v>
      </c>
      <c r="J77" s="103">
        <v>14</v>
      </c>
      <c r="K77" s="90"/>
      <c r="L77" s="98">
        <v>6.0300506530561035</v>
      </c>
      <c r="M77" s="99">
        <v>5.5572636889101181</v>
      </c>
      <c r="N77" s="99">
        <v>5.0066684257549943</v>
      </c>
      <c r="O77" s="99">
        <v>4.8760000000000003</v>
      </c>
      <c r="P77" s="99">
        <v>5.0330000000000004</v>
      </c>
      <c r="Q77" s="99">
        <v>5.07</v>
      </c>
      <c r="R77" s="99">
        <v>5.1740000000000004</v>
      </c>
      <c r="S77" s="99">
        <v>5.0190000000000001</v>
      </c>
      <c r="T77" s="99">
        <v>-2.0659999999999998</v>
      </c>
      <c r="U77" s="99">
        <v>3.7029999999999998</v>
      </c>
      <c r="V77" s="100">
        <v>5.3090000000000002</v>
      </c>
      <c r="W77" s="100">
        <f t="shared" si="1"/>
        <v>3.8153657829076093</v>
      </c>
    </row>
    <row r="78" spans="1:23" x14ac:dyDescent="0.35">
      <c r="A78" s="90" t="s">
        <v>231</v>
      </c>
      <c r="B78" s="90" t="s">
        <v>645</v>
      </c>
      <c r="C78" s="98">
        <v>10.534737934438866</v>
      </c>
      <c r="D78" s="99">
        <v>8.9900271540683807</v>
      </c>
      <c r="E78" s="100">
        <v>9.0332345891797274</v>
      </c>
      <c r="G78" s="112" t="s">
        <v>419</v>
      </c>
      <c r="H78" s="110">
        <v>96.106887509545572</v>
      </c>
      <c r="I78" s="102">
        <v>12</v>
      </c>
      <c r="J78" s="103">
        <v>9</v>
      </c>
      <c r="K78" s="90"/>
      <c r="L78" s="98">
        <v>0.22571484300232808</v>
      </c>
      <c r="M78" s="99">
        <v>1.3516340039407124</v>
      </c>
      <c r="N78" s="99">
        <v>8.5566879851340367</v>
      </c>
      <c r="O78" s="99">
        <v>24.370999999999999</v>
      </c>
      <c r="P78" s="99">
        <v>2.0070000000000001</v>
      </c>
      <c r="Q78" s="99">
        <v>9.0050000000000008</v>
      </c>
      <c r="R78" s="99">
        <v>8.5280000000000005</v>
      </c>
      <c r="S78" s="99">
        <v>5.4409999999999998</v>
      </c>
      <c r="T78" s="99">
        <v>6.1840000000000002</v>
      </c>
      <c r="U78" s="99">
        <v>13.587999999999999</v>
      </c>
      <c r="V78" s="100">
        <v>11.97</v>
      </c>
      <c r="W78" s="100">
        <f t="shared" si="1"/>
        <v>9.0116308716240532</v>
      </c>
    </row>
    <row r="79" spans="1:23" x14ac:dyDescent="0.35">
      <c r="A79" s="90" t="s">
        <v>586</v>
      </c>
      <c r="B79" s="90" t="s">
        <v>646</v>
      </c>
      <c r="C79" s="98">
        <v>4.2964072248328211</v>
      </c>
      <c r="D79" s="99">
        <v>4.3056817639917977</v>
      </c>
      <c r="E79" s="100">
        <v>3.9225915638386066</v>
      </c>
      <c r="G79" s="112" t="s">
        <v>419</v>
      </c>
      <c r="H79" s="110">
        <v>91.08708937267636</v>
      </c>
      <c r="I79" s="102">
        <v>24</v>
      </c>
      <c r="J79" s="103">
        <v>2</v>
      </c>
      <c r="K79" s="90"/>
      <c r="L79" s="98">
        <v>2.2572375479441442</v>
      </c>
      <c r="M79" s="99">
        <v>4.1480545517150818</v>
      </c>
      <c r="N79" s="99">
        <v>3.7582001903069706</v>
      </c>
      <c r="O79" s="99">
        <v>2.4860000000000002</v>
      </c>
      <c r="P79" s="99">
        <v>4.5220000000000002</v>
      </c>
      <c r="Q79" s="99">
        <v>4.2759999999999998</v>
      </c>
      <c r="R79" s="99">
        <v>4.07</v>
      </c>
      <c r="S79" s="99">
        <v>4.1559999999999997</v>
      </c>
      <c r="T79" s="99">
        <v>-1.857</v>
      </c>
      <c r="U79" s="99">
        <v>8.6120000000000001</v>
      </c>
      <c r="V79" s="100">
        <v>6.4320000000000004</v>
      </c>
      <c r="W79" s="100">
        <f t="shared" si="1"/>
        <v>4.1141366639152022</v>
      </c>
    </row>
    <row r="80" spans="1:23" x14ac:dyDescent="0.35">
      <c r="A80" s="90" t="s">
        <v>231</v>
      </c>
      <c r="B80" s="90" t="s">
        <v>647</v>
      </c>
      <c r="C80" s="98">
        <v>0.2182802501019987</v>
      </c>
      <c r="D80" s="99">
        <v>0.31439174572445161</v>
      </c>
      <c r="E80" s="100">
        <v>0.34271436280863821</v>
      </c>
      <c r="G80" s="112" t="s">
        <v>419</v>
      </c>
      <c r="H80" s="110">
        <v>88.947746010825512</v>
      </c>
      <c r="I80" s="102">
        <v>29</v>
      </c>
      <c r="J80" s="103">
        <v>18</v>
      </c>
      <c r="K80" s="90"/>
      <c r="L80" s="98">
        <v>-2.9809057682377182</v>
      </c>
      <c r="M80" s="99">
        <v>-1.8410654508824811</v>
      </c>
      <c r="N80" s="99">
        <v>-4.5475423638333965E-3</v>
      </c>
      <c r="O80" s="99">
        <v>0.77800000000000002</v>
      </c>
      <c r="P80" s="99">
        <v>1.2929999999999999</v>
      </c>
      <c r="Q80" s="99">
        <v>1.6679999999999999</v>
      </c>
      <c r="R80" s="99">
        <v>0.92600000000000005</v>
      </c>
      <c r="S80" s="99">
        <v>0.48299999999999998</v>
      </c>
      <c r="T80" s="99">
        <v>-8.9789999999999992</v>
      </c>
      <c r="U80" s="99">
        <v>6.9870000000000001</v>
      </c>
      <c r="V80" s="100">
        <v>3.6749999999999998</v>
      </c>
      <c r="W80" s="100">
        <f t="shared" si="1"/>
        <v>0.32855305426654491</v>
      </c>
    </row>
    <row r="81" spans="1:23" x14ac:dyDescent="0.35">
      <c r="A81" s="90" t="s">
        <v>579</v>
      </c>
      <c r="B81" s="90" t="s">
        <v>648</v>
      </c>
      <c r="C81" s="98">
        <v>-0.70306474958997667</v>
      </c>
      <c r="D81" s="99">
        <v>0.12887839009743107</v>
      </c>
      <c r="E81" s="100">
        <v>0.51362317164571625</v>
      </c>
      <c r="G81" s="112" t="s">
        <v>573</v>
      </c>
      <c r="H81" s="110">
        <v>53.312824662633638</v>
      </c>
      <c r="I81" s="102">
        <v>137</v>
      </c>
      <c r="J81" s="103">
        <v>23</v>
      </c>
      <c r="K81" s="90"/>
      <c r="L81" s="98">
        <v>-0.61363603986913318</v>
      </c>
      <c r="M81" s="99">
        <v>0.51768601280242099</v>
      </c>
      <c r="N81" s="99">
        <v>0.68982235737431619</v>
      </c>
      <c r="O81" s="99">
        <v>0.86899999999999999</v>
      </c>
      <c r="P81" s="99">
        <v>1.498</v>
      </c>
      <c r="Q81" s="99">
        <v>0.67900000000000005</v>
      </c>
      <c r="R81" s="99">
        <v>1.827</v>
      </c>
      <c r="S81" s="99">
        <v>0.97</v>
      </c>
      <c r="T81" s="99">
        <v>-9.92</v>
      </c>
      <c r="U81" s="99">
        <v>4.601</v>
      </c>
      <c r="V81" s="100">
        <v>4</v>
      </c>
      <c r="W81" s="100">
        <f t="shared" si="1"/>
        <v>0.32125078087157366</v>
      </c>
    </row>
    <row r="82" spans="1:23" x14ac:dyDescent="0.35">
      <c r="A82" s="90" t="s">
        <v>571</v>
      </c>
      <c r="B82" s="90" t="s">
        <v>649</v>
      </c>
      <c r="C82" s="98">
        <v>-0.63095756344230258</v>
      </c>
      <c r="D82" s="99">
        <v>2.4039609383130767E-3</v>
      </c>
      <c r="E82" s="100">
        <v>0.62673306790392846</v>
      </c>
      <c r="G82" s="112" t="s">
        <v>419</v>
      </c>
      <c r="H82" s="110">
        <v>96.063700314273362</v>
      </c>
      <c r="I82" s="102">
        <v>13</v>
      </c>
      <c r="J82" s="103">
        <v>4</v>
      </c>
      <c r="K82" s="90"/>
      <c r="L82" s="98">
        <v>1.495089585949261</v>
      </c>
      <c r="M82" s="99">
        <v>2.0002678411015018</v>
      </c>
      <c r="N82" s="99">
        <v>0.3747194763313248</v>
      </c>
      <c r="O82" s="99">
        <v>1.5609999999999999</v>
      </c>
      <c r="P82" s="99">
        <v>0.754</v>
      </c>
      <c r="Q82" s="99">
        <v>1.675</v>
      </c>
      <c r="R82" s="99">
        <v>0.64300000000000002</v>
      </c>
      <c r="S82" s="99">
        <v>-0.40200000000000002</v>
      </c>
      <c r="T82" s="99">
        <v>-4.2789999999999999</v>
      </c>
      <c r="U82" s="99">
        <v>2.145</v>
      </c>
      <c r="V82" s="100">
        <v>1.075</v>
      </c>
      <c r="W82" s="100">
        <f t="shared" si="1"/>
        <v>0.31456851442112077</v>
      </c>
    </row>
    <row r="83" spans="1:23" x14ac:dyDescent="0.35">
      <c r="A83" s="90" t="s">
        <v>586</v>
      </c>
      <c r="B83" s="90" t="s">
        <v>650</v>
      </c>
      <c r="C83" s="98">
        <v>1.1049470799269878</v>
      </c>
      <c r="D83" s="99">
        <v>1.8757952650954479</v>
      </c>
      <c r="E83" s="100">
        <v>2.1806440475090172</v>
      </c>
      <c r="G83" s="112" t="s">
        <v>577</v>
      </c>
      <c r="H83" s="110">
        <v>79.514216326138751</v>
      </c>
      <c r="I83" s="102">
        <v>53</v>
      </c>
      <c r="J83" s="103">
        <v>5</v>
      </c>
      <c r="K83" s="90"/>
      <c r="L83" s="98">
        <v>2.6511707480297244</v>
      </c>
      <c r="M83" s="99">
        <v>2.8287666404585154</v>
      </c>
      <c r="N83" s="99">
        <v>3.0963303471105994</v>
      </c>
      <c r="O83" s="99">
        <v>2.496</v>
      </c>
      <c r="P83" s="99">
        <v>1.994</v>
      </c>
      <c r="Q83" s="99">
        <v>2.4740000000000002</v>
      </c>
      <c r="R83" s="99">
        <v>1.919</v>
      </c>
      <c r="S83" s="99">
        <v>1.927</v>
      </c>
      <c r="T83" s="99">
        <v>-1.57</v>
      </c>
      <c r="U83" s="99">
        <v>2.2280000000000002</v>
      </c>
      <c r="V83" s="100">
        <v>2.7109999999999999</v>
      </c>
      <c r="W83" s="100">
        <f t="shared" si="1"/>
        <v>2.0282196563022326</v>
      </c>
    </row>
    <row r="84" spans="1:23" x14ac:dyDescent="0.35">
      <c r="A84" s="90" t="s">
        <v>571</v>
      </c>
      <c r="B84" s="90" t="s">
        <v>651</v>
      </c>
      <c r="C84" s="98">
        <v>1.6270169093285825</v>
      </c>
      <c r="D84" s="99">
        <v>2.6878144462378906</v>
      </c>
      <c r="E84" s="100">
        <v>2.9947418753666133</v>
      </c>
      <c r="G84" s="112" t="s">
        <v>402</v>
      </c>
      <c r="H84" s="110">
        <v>70.400737065727981</v>
      </c>
      <c r="I84" s="102">
        <v>88</v>
      </c>
      <c r="J84" s="103">
        <v>16</v>
      </c>
      <c r="K84" s="90"/>
      <c r="L84" s="98">
        <v>4.7999999999927256</v>
      </c>
      <c r="M84" s="99">
        <v>5.9999999992556203</v>
      </c>
      <c r="N84" s="99">
        <v>4.2000000006304088</v>
      </c>
      <c r="O84" s="99">
        <v>1</v>
      </c>
      <c r="P84" s="99">
        <v>0.9</v>
      </c>
      <c r="Q84" s="99">
        <v>3.9009999999999998</v>
      </c>
      <c r="R84" s="99">
        <v>4.0999999999999996</v>
      </c>
      <c r="S84" s="99">
        <v>4.5</v>
      </c>
      <c r="T84" s="99">
        <v>-2.6</v>
      </c>
      <c r="U84" s="99">
        <v>4.0999999999999996</v>
      </c>
      <c r="V84" s="100">
        <v>3.214</v>
      </c>
      <c r="W84" s="100">
        <f t="shared" si="1"/>
        <v>2.8412781608022519</v>
      </c>
    </row>
    <row r="85" spans="1:23" x14ac:dyDescent="0.35">
      <c r="A85" s="90" t="s">
        <v>575</v>
      </c>
      <c r="B85" s="90" t="s">
        <v>652</v>
      </c>
      <c r="C85" s="98">
        <v>4.1600595320631983</v>
      </c>
      <c r="D85" s="99">
        <v>5.4481436952905637</v>
      </c>
      <c r="E85" s="100">
        <v>5.4875646773576481</v>
      </c>
      <c r="G85" s="112" t="s">
        <v>426</v>
      </c>
      <c r="H85" s="110">
        <v>68.853006787769303</v>
      </c>
      <c r="I85" s="102">
        <v>97</v>
      </c>
      <c r="J85" s="103">
        <v>18</v>
      </c>
      <c r="K85" s="90"/>
      <c r="L85" s="98">
        <v>4.5632091307112006</v>
      </c>
      <c r="M85" s="99">
        <v>5.8786805667541637</v>
      </c>
      <c r="N85" s="99">
        <v>5.3571256444996713</v>
      </c>
      <c r="O85" s="99">
        <v>4.968</v>
      </c>
      <c r="P85" s="99">
        <v>4.2140000000000004</v>
      </c>
      <c r="Q85" s="99">
        <v>3.8159999999999998</v>
      </c>
      <c r="R85" s="99">
        <v>5.6710000000000003</v>
      </c>
      <c r="S85" s="99">
        <v>5.1139999999999999</v>
      </c>
      <c r="T85" s="99">
        <v>-0.25</v>
      </c>
      <c r="U85" s="99">
        <v>7.5170000000000003</v>
      </c>
      <c r="V85" s="100">
        <v>5.3689999999999998</v>
      </c>
      <c r="W85" s="100">
        <f t="shared" si="1"/>
        <v>5.4678541863241055</v>
      </c>
    </row>
    <row r="86" spans="1:23" x14ac:dyDescent="0.35">
      <c r="A86" s="90" t="s">
        <v>571</v>
      </c>
      <c r="B86" s="90" t="s">
        <v>653</v>
      </c>
      <c r="C86" s="98">
        <v>1.9788311578699647</v>
      </c>
      <c r="D86" s="99">
        <v>2.1951704861675969</v>
      </c>
      <c r="E86" s="100">
        <v>2.6249033043728831</v>
      </c>
      <c r="G86" s="112" t="s">
        <v>419</v>
      </c>
      <c r="H86" s="110">
        <v>90.58627012288828</v>
      </c>
      <c r="I86" s="102">
        <v>26</v>
      </c>
      <c r="J86" s="103">
        <v>6</v>
      </c>
      <c r="K86" s="90"/>
      <c r="L86" s="98">
        <v>2.4025309924618736</v>
      </c>
      <c r="M86" s="99">
        <v>3.1647086364718322</v>
      </c>
      <c r="N86" s="99">
        <v>3.2024537945736018</v>
      </c>
      <c r="O86" s="99">
        <v>2.8090000000000002</v>
      </c>
      <c r="P86" s="99">
        <v>2.9470000000000001</v>
      </c>
      <c r="Q86" s="99">
        <v>3.16</v>
      </c>
      <c r="R86" s="99">
        <v>2.907</v>
      </c>
      <c r="S86" s="99">
        <v>2.2440000000000002</v>
      </c>
      <c r="T86" s="99">
        <v>-0.70899999999999996</v>
      </c>
      <c r="U86" s="99">
        <v>4.1449999999999996</v>
      </c>
      <c r="V86" s="100">
        <v>2.5609999999999999</v>
      </c>
      <c r="W86" s="100">
        <f t="shared" si="1"/>
        <v>2.41003689527024</v>
      </c>
    </row>
    <row r="87" spans="1:23" x14ac:dyDescent="0.35">
      <c r="A87" s="90" t="s">
        <v>586</v>
      </c>
      <c r="B87" s="90" t="s">
        <v>654</v>
      </c>
      <c r="C87" s="98">
        <v>2.9560258753336122E-2</v>
      </c>
      <c r="D87" s="99">
        <v>0.3483533742255629</v>
      </c>
      <c r="E87" s="100">
        <v>0.20315822263521355</v>
      </c>
      <c r="G87" s="112" t="s">
        <v>426</v>
      </c>
      <c r="H87" s="110">
        <v>67.205820265011681</v>
      </c>
      <c r="I87" s="102">
        <v>105</v>
      </c>
      <c r="J87" s="103">
        <v>10</v>
      </c>
      <c r="K87" s="90"/>
      <c r="L87" s="98">
        <v>6.6258183001417628</v>
      </c>
      <c r="M87" s="99">
        <v>1.1493004370652051</v>
      </c>
      <c r="N87" s="99">
        <v>0.5008769821586383</v>
      </c>
      <c r="O87" s="99">
        <v>0.59299999999999997</v>
      </c>
      <c r="P87" s="99">
        <v>2.9260000000000002</v>
      </c>
      <c r="Q87" s="99">
        <v>-4.7140000000000004</v>
      </c>
      <c r="R87" s="99">
        <v>2.4369999999999998</v>
      </c>
      <c r="S87" s="99">
        <v>-0.55200000000000005</v>
      </c>
      <c r="T87" s="99">
        <v>-8.8550000000000004</v>
      </c>
      <c r="U87" s="99">
        <v>1.3080000000000001</v>
      </c>
      <c r="V87" s="100">
        <v>8.1769999999999996</v>
      </c>
      <c r="W87" s="100">
        <f t="shared" si="1"/>
        <v>0.27575579843038822</v>
      </c>
    </row>
    <row r="88" spans="1:23" x14ac:dyDescent="0.35">
      <c r="A88" s="90" t="s">
        <v>571</v>
      </c>
      <c r="B88" s="90" t="s">
        <v>655</v>
      </c>
      <c r="C88" s="98">
        <v>0.51489333561212103</v>
      </c>
      <c r="D88" s="99">
        <v>1.9645834232370651</v>
      </c>
      <c r="E88" s="100">
        <v>3.7392958747352045</v>
      </c>
      <c r="G88" s="112" t="s">
        <v>402</v>
      </c>
      <c r="H88" s="110">
        <v>70.898067394091115</v>
      </c>
      <c r="I88" s="102">
        <v>86</v>
      </c>
      <c r="J88" s="103">
        <v>15</v>
      </c>
      <c r="K88" s="90"/>
      <c r="L88" s="98">
        <v>-8.8150201010635656E-2</v>
      </c>
      <c r="M88" s="99">
        <v>10.915469454314421</v>
      </c>
      <c r="N88" s="99">
        <v>4.024038625768628</v>
      </c>
      <c r="O88" s="99">
        <v>3.8759999999999999</v>
      </c>
      <c r="P88" s="99">
        <v>4.3360000000000003</v>
      </c>
      <c r="Q88" s="99">
        <v>4.74</v>
      </c>
      <c r="R88" s="99">
        <v>3.4590000000000001</v>
      </c>
      <c r="S88" s="99">
        <v>4.601</v>
      </c>
      <c r="T88" s="99">
        <v>-8.6170000000000009</v>
      </c>
      <c r="U88" s="99">
        <v>3.742</v>
      </c>
      <c r="V88" s="100">
        <v>7</v>
      </c>
      <c r="W88" s="100">
        <f t="shared" si="1"/>
        <v>2.8519396489861348</v>
      </c>
    </row>
    <row r="89" spans="1:23" x14ac:dyDescent="0.35">
      <c r="A89" s="90" t="s">
        <v>571</v>
      </c>
      <c r="B89" s="90" t="s">
        <v>656</v>
      </c>
      <c r="C89" s="98">
        <v>1.7571611332634074</v>
      </c>
      <c r="D89" s="99">
        <v>3.3757795121775569</v>
      </c>
      <c r="E89" s="100">
        <v>5.3509947789500245</v>
      </c>
      <c r="G89" s="112" t="s">
        <v>573</v>
      </c>
      <c r="H89" s="110">
        <v>58.394766440551741</v>
      </c>
      <c r="I89" s="102">
        <v>127</v>
      </c>
      <c r="J89" s="103">
        <v>26</v>
      </c>
      <c r="K89" s="90"/>
      <c r="L89" s="98">
        <v>8.0260984340408665</v>
      </c>
      <c r="M89" s="99">
        <v>8.0263002263775007</v>
      </c>
      <c r="N89" s="99">
        <v>7.6119634407438159</v>
      </c>
      <c r="O89" s="99">
        <v>7.27</v>
      </c>
      <c r="P89" s="99">
        <v>7.0229999999999997</v>
      </c>
      <c r="Q89" s="99">
        <v>6.851</v>
      </c>
      <c r="R89" s="99">
        <v>6.2889999999999997</v>
      </c>
      <c r="S89" s="99">
        <v>4.6520000000000001</v>
      </c>
      <c r="T89" s="99">
        <v>-0.435</v>
      </c>
      <c r="U89" s="99">
        <v>2.0609999999999999</v>
      </c>
      <c r="V89" s="100">
        <v>2.2519999999999998</v>
      </c>
      <c r="W89" s="100">
        <f t="shared" si="1"/>
        <v>4.3633871455637907</v>
      </c>
    </row>
    <row r="90" spans="1:23" x14ac:dyDescent="0.35">
      <c r="A90" s="90" t="s">
        <v>231</v>
      </c>
      <c r="B90" s="90" t="s">
        <v>657</v>
      </c>
      <c r="C90" s="98">
        <v>1.2465800540070626</v>
      </c>
      <c r="D90" s="99">
        <v>2.186383184955365</v>
      </c>
      <c r="E90" s="100">
        <v>2.3979634558628948</v>
      </c>
      <c r="G90" s="112" t="s">
        <v>577</v>
      </c>
      <c r="H90" s="110">
        <v>81.044610107182237</v>
      </c>
      <c r="I90" s="102">
        <v>44</v>
      </c>
      <c r="J90" s="103">
        <v>29</v>
      </c>
      <c r="K90" s="90"/>
      <c r="L90" s="98">
        <v>4.1342316499835752</v>
      </c>
      <c r="M90" s="99">
        <v>2.3280042634440163</v>
      </c>
      <c r="N90" s="99">
        <v>1.9151903779433241</v>
      </c>
      <c r="O90" s="99">
        <v>3.8849999999999998</v>
      </c>
      <c r="P90" s="99">
        <v>2.3690000000000002</v>
      </c>
      <c r="Q90" s="99">
        <v>3.3119999999999998</v>
      </c>
      <c r="R90" s="99">
        <v>3.992</v>
      </c>
      <c r="S90" s="99">
        <v>2.57</v>
      </c>
      <c r="T90" s="99">
        <v>-2.2029999999999998</v>
      </c>
      <c r="U90" s="99">
        <v>4.0640000000000001</v>
      </c>
      <c r="V90" s="100">
        <v>1.976</v>
      </c>
      <c r="W90" s="100">
        <f t="shared" si="1"/>
        <v>2.2921733204091299</v>
      </c>
    </row>
    <row r="91" spans="1:23" x14ac:dyDescent="0.35">
      <c r="A91" s="90" t="s">
        <v>586</v>
      </c>
      <c r="B91" s="90" t="s">
        <v>658</v>
      </c>
      <c r="C91" s="98">
        <v>-11.570507599610414</v>
      </c>
      <c r="D91" s="99">
        <v>-8.8972805759156888</v>
      </c>
      <c r="E91" s="100">
        <v>-3.6804003540223951</v>
      </c>
      <c r="G91" s="112" t="s">
        <v>402</v>
      </c>
      <c r="H91" s="110">
        <v>70.925074776605015</v>
      </c>
      <c r="I91" s="102">
        <v>85</v>
      </c>
      <c r="J91" s="103">
        <v>9</v>
      </c>
      <c r="K91" s="90"/>
      <c r="L91" s="98">
        <v>2.5405417890992656</v>
      </c>
      <c r="M91" s="99">
        <v>3.8110224147865268</v>
      </c>
      <c r="N91" s="99">
        <v>2.4536595719223264</v>
      </c>
      <c r="O91" s="99">
        <v>0.46100000000000002</v>
      </c>
      <c r="P91" s="99">
        <v>1.556</v>
      </c>
      <c r="Q91" s="99">
        <v>0.90300000000000002</v>
      </c>
      <c r="R91" s="99">
        <v>-1.885</v>
      </c>
      <c r="S91" s="99">
        <v>-6.915</v>
      </c>
      <c r="T91" s="99">
        <v>-25.907</v>
      </c>
      <c r="U91" s="99">
        <v>-5.4</v>
      </c>
      <c r="V91" s="100">
        <v>-5.4</v>
      </c>
      <c r="W91" s="100">
        <f t="shared" si="1"/>
        <v>-6.2888404649690415</v>
      </c>
    </row>
    <row r="92" spans="1:23" x14ac:dyDescent="0.35">
      <c r="A92" s="90" t="s">
        <v>575</v>
      </c>
      <c r="B92" s="90" t="s">
        <v>659</v>
      </c>
      <c r="C92" s="98">
        <v>-1.7564836758548363</v>
      </c>
      <c r="D92" s="99">
        <v>-1.6866052500791207</v>
      </c>
      <c r="E92" s="100">
        <v>0.46596555472186996</v>
      </c>
      <c r="G92" s="112" t="s">
        <v>426</v>
      </c>
      <c r="H92" s="110">
        <v>68.290636352612694</v>
      </c>
      <c r="I92" s="102">
        <v>100</v>
      </c>
      <c r="J92" s="103">
        <v>20</v>
      </c>
      <c r="K92" s="90"/>
      <c r="L92" s="98">
        <v>6.7436269408569842</v>
      </c>
      <c r="M92" s="99">
        <v>4.1869122037746749</v>
      </c>
      <c r="N92" s="99">
        <v>2.8839688442816156</v>
      </c>
      <c r="O92" s="99">
        <v>3.2480000000000002</v>
      </c>
      <c r="P92" s="99">
        <v>1.877</v>
      </c>
      <c r="Q92" s="99">
        <v>-2.734</v>
      </c>
      <c r="R92" s="99">
        <v>-1.304</v>
      </c>
      <c r="S92" s="99">
        <v>-1.9710000000000001</v>
      </c>
      <c r="T92" s="99">
        <v>-3.9020000000000001</v>
      </c>
      <c r="U92" s="99">
        <v>2.1019999999999999</v>
      </c>
      <c r="V92" s="100">
        <v>2.093</v>
      </c>
      <c r="W92" s="100">
        <f t="shared" si="1"/>
        <v>-0.61031984767862535</v>
      </c>
    </row>
    <row r="93" spans="1:23" x14ac:dyDescent="0.35">
      <c r="A93" s="90" t="s">
        <v>575</v>
      </c>
      <c r="B93" s="90" t="s">
        <v>660</v>
      </c>
      <c r="C93" s="98">
        <v>2.2030305181955034</v>
      </c>
      <c r="D93" s="99">
        <v>1.043410797540445</v>
      </c>
      <c r="E93" s="100">
        <v>1.5173155129903693</v>
      </c>
      <c r="G93" s="112" t="s">
        <v>573</v>
      </c>
      <c r="H93" s="110">
        <v>56.232966845120316</v>
      </c>
      <c r="I93" s="102">
        <v>130</v>
      </c>
      <c r="J93" s="103">
        <v>32</v>
      </c>
      <c r="K93" s="90"/>
      <c r="L93" s="98">
        <v>7.9938156931364137</v>
      </c>
      <c r="M93" s="99">
        <v>8.6872878163968235</v>
      </c>
      <c r="N93" s="99">
        <v>0.70139310028752089</v>
      </c>
      <c r="O93" s="99">
        <v>7.0000000000000001E-3</v>
      </c>
      <c r="P93" s="99">
        <v>-1.63</v>
      </c>
      <c r="Q93" s="99">
        <v>2.4689999999999999</v>
      </c>
      <c r="R93" s="99">
        <v>1.242</v>
      </c>
      <c r="S93" s="99">
        <v>-2.516</v>
      </c>
      <c r="T93" s="99">
        <v>-2.9670000000000001</v>
      </c>
      <c r="U93" s="99">
        <v>5.0110000000000001</v>
      </c>
      <c r="V93" s="100">
        <v>4.8109999999999999</v>
      </c>
      <c r="W93" s="100">
        <f t="shared" si="1"/>
        <v>1.2803631552654071</v>
      </c>
    </row>
    <row r="94" spans="1:23" x14ac:dyDescent="0.35">
      <c r="A94" s="90" t="s">
        <v>575</v>
      </c>
      <c r="B94" s="90" t="s">
        <v>661</v>
      </c>
      <c r="C94" s="98">
        <v>5.1304452243001952</v>
      </c>
      <c r="D94" s="99">
        <v>3.4484900722276279</v>
      </c>
      <c r="E94" s="100">
        <v>1.2335060569262035</v>
      </c>
      <c r="G94" s="112" t="s">
        <v>573</v>
      </c>
      <c r="H94" s="110">
        <v>48.008478383672035</v>
      </c>
      <c r="I94" s="102">
        <v>140</v>
      </c>
      <c r="J94" s="103">
        <v>38</v>
      </c>
      <c r="K94" s="90"/>
      <c r="L94" s="98">
        <v>274.10446739057375</v>
      </c>
      <c r="M94" s="99">
        <v>-13.994834968637873</v>
      </c>
      <c r="N94" s="99">
        <v>-10.842440326997824</v>
      </c>
      <c r="O94" s="99">
        <v>-0.84299999999999997</v>
      </c>
      <c r="P94" s="99">
        <v>-1.4910000000000001</v>
      </c>
      <c r="Q94" s="99">
        <v>32.491999999999997</v>
      </c>
      <c r="R94" s="99">
        <v>7.9409999999999998</v>
      </c>
      <c r="S94" s="99">
        <v>-11.196</v>
      </c>
      <c r="T94" s="99">
        <v>-29.456</v>
      </c>
      <c r="U94" s="99">
        <v>28.335000000000001</v>
      </c>
      <c r="V94" s="100">
        <v>-12.813000000000001</v>
      </c>
      <c r="W94" s="100">
        <f t="shared" si="1"/>
        <v>2.3409980645769157</v>
      </c>
    </row>
    <row r="95" spans="1:23" x14ac:dyDescent="0.35">
      <c r="A95" s="90" t="s">
        <v>231</v>
      </c>
      <c r="B95" s="90" t="s">
        <v>662</v>
      </c>
      <c r="C95" s="98">
        <v>2.5853990379055336</v>
      </c>
      <c r="D95" s="99">
        <v>3.2350334175799356</v>
      </c>
      <c r="E95" s="100">
        <v>3.2063173772679532</v>
      </c>
      <c r="G95" s="112" t="s">
        <v>577</v>
      </c>
      <c r="H95" s="110">
        <v>80.769738018881156</v>
      </c>
      <c r="I95" s="102">
        <v>45</v>
      </c>
      <c r="J95" s="103">
        <v>30</v>
      </c>
      <c r="K95" s="90"/>
      <c r="L95" s="98">
        <v>3.8333027642866848</v>
      </c>
      <c r="M95" s="99">
        <v>3.5584246313476826</v>
      </c>
      <c r="N95" s="99">
        <v>3.5079712171273361</v>
      </c>
      <c r="O95" s="99">
        <v>2.024</v>
      </c>
      <c r="P95" s="99">
        <v>2.5190000000000001</v>
      </c>
      <c r="Q95" s="99">
        <v>4.282</v>
      </c>
      <c r="R95" s="99">
        <v>3.9929999999999999</v>
      </c>
      <c r="S95" s="99">
        <v>4.625</v>
      </c>
      <c r="T95" s="99">
        <v>-2.1999999999999999E-2</v>
      </c>
      <c r="U95" s="99">
        <v>5.9809999999999999</v>
      </c>
      <c r="V95" s="100">
        <v>1.8879999999999999</v>
      </c>
      <c r="W95" s="100">
        <f t="shared" si="1"/>
        <v>3.2206753974239444</v>
      </c>
    </row>
    <row r="96" spans="1:23" x14ac:dyDescent="0.35">
      <c r="A96" s="90" t="s">
        <v>231</v>
      </c>
      <c r="B96" s="90" t="s">
        <v>663</v>
      </c>
      <c r="C96" s="98">
        <v>1.9225945961039326</v>
      </c>
      <c r="D96" s="99">
        <v>1.8607829332780268</v>
      </c>
      <c r="E96" s="100">
        <v>2.36159954003623</v>
      </c>
      <c r="G96" s="112" t="s">
        <v>419</v>
      </c>
      <c r="H96" s="110">
        <v>96.778306193425522</v>
      </c>
      <c r="I96" s="102">
        <v>9</v>
      </c>
      <c r="J96" s="103">
        <v>7</v>
      </c>
      <c r="K96" s="90"/>
      <c r="L96" s="98">
        <v>1.6499020297865346</v>
      </c>
      <c r="M96" s="99">
        <v>3.1717904991600552</v>
      </c>
      <c r="N96" s="99">
        <v>2.6230860157719222</v>
      </c>
      <c r="O96" s="99">
        <v>2.2679999999999998</v>
      </c>
      <c r="P96" s="99">
        <v>4.9779999999999998</v>
      </c>
      <c r="Q96" s="99">
        <v>1.3169999999999999</v>
      </c>
      <c r="R96" s="99">
        <v>1.2190000000000001</v>
      </c>
      <c r="S96" s="99">
        <v>2.3199999999999998</v>
      </c>
      <c r="T96" s="99">
        <v>-0.79700000000000004</v>
      </c>
      <c r="U96" s="99">
        <v>5.1029999999999998</v>
      </c>
      <c r="V96" s="100">
        <v>1.5489999999999999</v>
      </c>
      <c r="W96" s="100">
        <f t="shared" si="1"/>
        <v>2.1111912366571284</v>
      </c>
    </row>
    <row r="97" spans="1:23" x14ac:dyDescent="0.35">
      <c r="A97" s="90" t="s">
        <v>575</v>
      </c>
      <c r="B97" s="90" t="s">
        <v>664</v>
      </c>
      <c r="C97" s="98">
        <v>0.34284241084634459</v>
      </c>
      <c r="D97" s="99">
        <v>1.7120658983774018</v>
      </c>
      <c r="E97" s="100">
        <v>2.5217225637742979</v>
      </c>
      <c r="G97" s="112" t="s">
        <v>573</v>
      </c>
      <c r="H97" s="110">
        <v>48.940679032016362</v>
      </c>
      <c r="I97" s="102">
        <v>139</v>
      </c>
      <c r="J97" s="103">
        <v>37</v>
      </c>
      <c r="K97" s="90"/>
      <c r="L97" s="98">
        <v>3.0111464075530683</v>
      </c>
      <c r="M97" s="99">
        <v>2.3003869344771051</v>
      </c>
      <c r="N97" s="99">
        <v>3.3392022440733014</v>
      </c>
      <c r="O97" s="99">
        <v>3.1320000000000001</v>
      </c>
      <c r="P97" s="99">
        <v>3.9929999999999999</v>
      </c>
      <c r="Q97" s="99">
        <v>3.9329999999999998</v>
      </c>
      <c r="R97" s="99">
        <v>3.194</v>
      </c>
      <c r="S97" s="99">
        <v>4.4109999999999996</v>
      </c>
      <c r="T97" s="99">
        <v>-7.1379999999999999</v>
      </c>
      <c r="U97" s="99">
        <v>5.74</v>
      </c>
      <c r="V97" s="100">
        <v>4.21</v>
      </c>
      <c r="W97" s="100">
        <f t="shared" si="1"/>
        <v>2.1168942310758498</v>
      </c>
    </row>
    <row r="98" spans="1:23" x14ac:dyDescent="0.35">
      <c r="A98" s="90" t="s">
        <v>575</v>
      </c>
      <c r="B98" s="90" t="s">
        <v>665</v>
      </c>
      <c r="C98" s="98">
        <v>1.446318587345985</v>
      </c>
      <c r="D98" s="99">
        <v>2.8212259957555386</v>
      </c>
      <c r="E98" s="100">
        <v>3.4233840163588436</v>
      </c>
      <c r="G98" s="112" t="s">
        <v>402</v>
      </c>
      <c r="H98" s="110">
        <v>72.879134631330203</v>
      </c>
      <c r="I98" s="102">
        <v>77</v>
      </c>
      <c r="J98" s="103">
        <v>8</v>
      </c>
      <c r="K98" s="90"/>
      <c r="L98" s="98">
        <v>1.8857995075156477</v>
      </c>
      <c r="M98" s="99">
        <v>5.1999999956050429</v>
      </c>
      <c r="N98" s="99">
        <v>5.7000000050572197</v>
      </c>
      <c r="O98" s="99">
        <v>2.95</v>
      </c>
      <c r="P98" s="99">
        <v>2.27</v>
      </c>
      <c r="Q98" s="99">
        <v>4</v>
      </c>
      <c r="R98" s="99">
        <v>4.3920000000000003</v>
      </c>
      <c r="S98" s="99">
        <v>5.4480000000000004</v>
      </c>
      <c r="T98" s="99">
        <v>0.91300000000000003</v>
      </c>
      <c r="U98" s="99">
        <v>4.5670000000000002</v>
      </c>
      <c r="V98" s="100">
        <v>0.8</v>
      </c>
      <c r="W98" s="100">
        <f t="shared" si="1"/>
        <v>3.1223050060571911</v>
      </c>
    </row>
    <row r="99" spans="1:23" x14ac:dyDescent="0.35">
      <c r="A99" s="90" t="s">
        <v>571</v>
      </c>
      <c r="B99" s="90" t="s">
        <v>666</v>
      </c>
      <c r="C99" s="98">
        <v>1.9142421361718398</v>
      </c>
      <c r="D99" s="99">
        <v>3.0011020126644361</v>
      </c>
      <c r="E99" s="100">
        <v>4.0922822936961589</v>
      </c>
      <c r="G99" s="112" t="s">
        <v>402</v>
      </c>
      <c r="H99" s="110">
        <v>76.114633172938127</v>
      </c>
      <c r="I99" s="102">
        <v>66</v>
      </c>
      <c r="J99" s="103">
        <v>9</v>
      </c>
      <c r="K99" s="90"/>
      <c r="L99" s="98">
        <v>5.4734541925385383</v>
      </c>
      <c r="M99" s="99">
        <v>4.6937225255789317</v>
      </c>
      <c r="N99" s="99">
        <v>6.0067219455820462</v>
      </c>
      <c r="O99" s="99">
        <v>5.0069999999999997</v>
      </c>
      <c r="P99" s="99">
        <v>4.45</v>
      </c>
      <c r="Q99" s="99">
        <v>5.8129999999999997</v>
      </c>
      <c r="R99" s="99">
        <v>4.843</v>
      </c>
      <c r="S99" s="99">
        <v>4.4130000000000003</v>
      </c>
      <c r="T99" s="99">
        <v>-5.5339999999999998</v>
      </c>
      <c r="U99" s="99">
        <v>3.0920000000000001</v>
      </c>
      <c r="V99" s="100">
        <v>8.6940000000000008</v>
      </c>
      <c r="W99" s="100">
        <f t="shared" si="1"/>
        <v>3.5466921531802975</v>
      </c>
    </row>
    <row r="100" spans="1:23" x14ac:dyDescent="0.35">
      <c r="A100" s="90" t="s">
        <v>575</v>
      </c>
      <c r="B100" s="90" t="s">
        <v>667</v>
      </c>
      <c r="C100" s="98">
        <v>1.8165870919236937</v>
      </c>
      <c r="D100" s="99">
        <v>2.9671130334121942</v>
      </c>
      <c r="E100" s="100">
        <v>4.1460050619633648</v>
      </c>
      <c r="G100" s="112" t="s">
        <v>573</v>
      </c>
      <c r="H100" s="110">
        <v>43.633236095724527</v>
      </c>
      <c r="I100" s="102">
        <v>146</v>
      </c>
      <c r="J100" s="103">
        <v>41</v>
      </c>
      <c r="K100" s="90"/>
      <c r="L100" s="98">
        <v>-0.83662749707312833</v>
      </c>
      <c r="M100" s="99">
        <v>2.3037669581925009</v>
      </c>
      <c r="N100" s="99">
        <v>7.1014223480749816</v>
      </c>
      <c r="O100" s="99">
        <v>6.1719999999999997</v>
      </c>
      <c r="P100" s="99">
        <v>5.8520000000000003</v>
      </c>
      <c r="Q100" s="99">
        <v>5.3049999999999997</v>
      </c>
      <c r="R100" s="99">
        <v>4.7460000000000004</v>
      </c>
      <c r="S100" s="99">
        <v>4.7649999999999997</v>
      </c>
      <c r="T100" s="99">
        <v>-1.244</v>
      </c>
      <c r="U100" s="99">
        <v>3.0550000000000002</v>
      </c>
      <c r="V100" s="100">
        <v>3.7040000000000002</v>
      </c>
      <c r="W100" s="100">
        <f t="shared" si="1"/>
        <v>3.5565590476877795</v>
      </c>
    </row>
    <row r="101" spans="1:23" x14ac:dyDescent="0.35">
      <c r="A101" s="90" t="s">
        <v>231</v>
      </c>
      <c r="B101" s="90" t="s">
        <v>668</v>
      </c>
      <c r="C101" s="98">
        <v>2.6124059576447589</v>
      </c>
      <c r="D101" s="99">
        <v>4.3931536419201889</v>
      </c>
      <c r="E101" s="100">
        <v>5.6722564665051767</v>
      </c>
      <c r="G101" s="112" t="s">
        <v>577</v>
      </c>
      <c r="H101" s="110">
        <v>86.894246999173433</v>
      </c>
      <c r="I101" s="102">
        <v>33</v>
      </c>
      <c r="J101" s="103">
        <v>22</v>
      </c>
      <c r="K101" s="90"/>
      <c r="L101" s="98">
        <v>4.1177072993516513</v>
      </c>
      <c r="M101" s="99">
        <v>5.4733556954527041</v>
      </c>
      <c r="N101" s="99">
        <v>7.6335381123007346</v>
      </c>
      <c r="O101" s="99">
        <v>9.6080000000000005</v>
      </c>
      <c r="P101" s="99">
        <v>3.3809999999999998</v>
      </c>
      <c r="Q101" s="99">
        <v>10.869</v>
      </c>
      <c r="R101" s="99">
        <v>6.1929999999999996</v>
      </c>
      <c r="S101" s="99">
        <v>7.0090000000000003</v>
      </c>
      <c r="T101" s="99">
        <v>-8.6120000000000001</v>
      </c>
      <c r="U101" s="99">
        <v>11.805999999999999</v>
      </c>
      <c r="V101" s="100">
        <v>6.851</v>
      </c>
      <c r="W101" s="100">
        <f t="shared" si="1"/>
        <v>5.0327050542126823</v>
      </c>
    </row>
    <row r="102" spans="1:23" x14ac:dyDescent="0.35">
      <c r="A102" s="90" t="s">
        <v>575</v>
      </c>
      <c r="B102" s="90" t="s">
        <v>669</v>
      </c>
      <c r="C102" s="98">
        <v>10.380851809157976</v>
      </c>
      <c r="D102" s="99">
        <v>8.3436024853472226</v>
      </c>
      <c r="E102" s="100">
        <v>5.9978829377542953</v>
      </c>
      <c r="G102" s="112" t="s">
        <v>426</v>
      </c>
      <c r="H102" s="110">
        <v>67.535233245846925</v>
      </c>
      <c r="I102" s="102">
        <v>103</v>
      </c>
      <c r="J102" s="103">
        <v>23</v>
      </c>
      <c r="K102" s="90"/>
      <c r="L102" s="98">
        <v>4.4700131823368974</v>
      </c>
      <c r="M102" s="99">
        <v>4.150813186271721</v>
      </c>
      <c r="N102" s="99">
        <v>4.2748232713028473</v>
      </c>
      <c r="O102" s="99">
        <v>5.3760000000000003</v>
      </c>
      <c r="P102" s="99">
        <v>1.2609999999999999</v>
      </c>
      <c r="Q102" s="99">
        <v>6.2709999999999999</v>
      </c>
      <c r="R102" s="99">
        <v>4.7729999999999997</v>
      </c>
      <c r="S102" s="99">
        <v>5.4290000000000003</v>
      </c>
      <c r="T102" s="99">
        <v>-0.93799999999999994</v>
      </c>
      <c r="U102" s="99">
        <v>2.4449999999999998</v>
      </c>
      <c r="V102" s="100">
        <v>4.96</v>
      </c>
      <c r="W102" s="100">
        <f t="shared" si="1"/>
        <v>7.1707427115507585</v>
      </c>
    </row>
    <row r="103" spans="1:23" x14ac:dyDescent="0.35">
      <c r="A103" s="90" t="s">
        <v>575</v>
      </c>
      <c r="B103" s="90" t="s">
        <v>670</v>
      </c>
      <c r="C103" s="98">
        <v>-1.3801179259189</v>
      </c>
      <c r="D103" s="99">
        <v>1.2027047615812192</v>
      </c>
      <c r="E103" s="100">
        <v>2.4249070445692134</v>
      </c>
      <c r="G103" s="112" t="s">
        <v>577</v>
      </c>
      <c r="H103" s="110">
        <v>86.159393229935986</v>
      </c>
      <c r="I103" s="102">
        <v>35</v>
      </c>
      <c r="J103" s="103">
        <v>1</v>
      </c>
      <c r="K103" s="90"/>
      <c r="L103" s="98">
        <v>3.4961183375797935</v>
      </c>
      <c r="M103" s="99">
        <v>3.3604061030308432</v>
      </c>
      <c r="N103" s="99">
        <v>3.7445757725785316</v>
      </c>
      <c r="O103" s="99">
        <v>3.6909999999999998</v>
      </c>
      <c r="P103" s="99">
        <v>3.8620000000000001</v>
      </c>
      <c r="Q103" s="99">
        <v>3.9380000000000002</v>
      </c>
      <c r="R103" s="99">
        <v>4.0069999999999997</v>
      </c>
      <c r="S103" s="99">
        <v>2.891</v>
      </c>
      <c r="T103" s="99">
        <v>-14.598000000000001</v>
      </c>
      <c r="U103" s="99">
        <v>3.4990000000000001</v>
      </c>
      <c r="V103" s="100">
        <v>8.3000000000000007</v>
      </c>
      <c r="W103" s="100">
        <f t="shared" si="1"/>
        <v>1.8138059030752163</v>
      </c>
    </row>
    <row r="104" spans="1:23" x14ac:dyDescent="0.35">
      <c r="A104" s="90" t="s">
        <v>579</v>
      </c>
      <c r="B104" s="90" t="s">
        <v>671</v>
      </c>
      <c r="C104" s="98">
        <v>-0.23058449292154837</v>
      </c>
      <c r="D104" s="99">
        <v>0.18053445950247937</v>
      </c>
      <c r="E104" s="100">
        <v>1.3300326593307599</v>
      </c>
      <c r="G104" s="112" t="s">
        <v>402</v>
      </c>
      <c r="H104" s="110">
        <v>70.665681404041052</v>
      </c>
      <c r="I104" s="102">
        <v>87</v>
      </c>
      <c r="J104" s="103">
        <v>11</v>
      </c>
      <c r="K104" s="90"/>
      <c r="L104" s="98">
        <v>3.6423226794134638</v>
      </c>
      <c r="M104" s="99">
        <v>1.3540919615167941</v>
      </c>
      <c r="N104" s="99">
        <v>2.8043401283809737</v>
      </c>
      <c r="O104" s="99">
        <v>3.2930000000000001</v>
      </c>
      <c r="P104" s="99">
        <v>2.6309999999999998</v>
      </c>
      <c r="Q104" s="99">
        <v>2.113</v>
      </c>
      <c r="R104" s="99">
        <v>2.1949999999999998</v>
      </c>
      <c r="S104" s="99">
        <v>-0.19900000000000001</v>
      </c>
      <c r="T104" s="99">
        <v>-7.9880000000000004</v>
      </c>
      <c r="U104" s="99">
        <v>4.7210000000000001</v>
      </c>
      <c r="V104" s="100">
        <v>3.0659999999999998</v>
      </c>
      <c r="W104" s="100">
        <f t="shared" si="1"/>
        <v>0.75528355941661962</v>
      </c>
    </row>
    <row r="105" spans="1:23" x14ac:dyDescent="0.35">
      <c r="A105" s="90" t="s">
        <v>231</v>
      </c>
      <c r="B105" s="90" t="s">
        <v>672</v>
      </c>
      <c r="C105" s="98">
        <v>-0.11659435485397163</v>
      </c>
      <c r="D105" s="99">
        <v>1.5069892590011902</v>
      </c>
      <c r="E105" s="100">
        <v>3.001683990106474</v>
      </c>
      <c r="G105" s="112" t="s">
        <v>577</v>
      </c>
      <c r="H105" s="110">
        <v>79.52270940766131</v>
      </c>
      <c r="I105" s="102">
        <v>52</v>
      </c>
      <c r="J105" s="103">
        <v>33</v>
      </c>
      <c r="K105" s="90"/>
      <c r="L105" s="98">
        <v>-0.58973412591981322</v>
      </c>
      <c r="M105" s="99">
        <v>9.0438654824314977</v>
      </c>
      <c r="N105" s="99">
        <v>4.9996256689180685</v>
      </c>
      <c r="O105" s="99">
        <v>-0.33800000000000002</v>
      </c>
      <c r="P105" s="99">
        <v>4.4089999999999998</v>
      </c>
      <c r="Q105" s="99">
        <v>4.2</v>
      </c>
      <c r="R105" s="99">
        <v>4.0999999999999996</v>
      </c>
      <c r="S105" s="99">
        <v>3.6</v>
      </c>
      <c r="T105" s="99">
        <v>-8.3000000000000007</v>
      </c>
      <c r="U105" s="99">
        <v>13.945</v>
      </c>
      <c r="V105" s="100">
        <v>-5.5759999999999996</v>
      </c>
      <c r="W105" s="100">
        <f t="shared" si="1"/>
        <v>2.2543366245538321</v>
      </c>
    </row>
    <row r="106" spans="1:23" x14ac:dyDescent="0.35">
      <c r="A106" s="90" t="s">
        <v>571</v>
      </c>
      <c r="B106" s="90" t="s">
        <v>673</v>
      </c>
      <c r="C106" s="98">
        <v>0.5652165458427838</v>
      </c>
      <c r="D106" s="99">
        <v>3.0624452280082259</v>
      </c>
      <c r="E106" s="100">
        <v>4.33160969781623</v>
      </c>
      <c r="G106" s="112" t="s">
        <v>577</v>
      </c>
      <c r="H106" s="110">
        <v>78.890549447741549</v>
      </c>
      <c r="I106" s="102">
        <v>56</v>
      </c>
      <c r="J106" s="103">
        <v>8</v>
      </c>
      <c r="K106" s="90"/>
      <c r="L106" s="98">
        <v>12.319819848483753</v>
      </c>
      <c r="M106" s="99">
        <v>11.648916189886327</v>
      </c>
      <c r="N106" s="99">
        <v>7.8852254815193961</v>
      </c>
      <c r="O106" s="99">
        <v>2.41</v>
      </c>
      <c r="P106" s="99">
        <v>1.49</v>
      </c>
      <c r="Q106" s="99">
        <v>5.6369999999999996</v>
      </c>
      <c r="R106" s="99">
        <v>7.7450000000000001</v>
      </c>
      <c r="S106" s="99">
        <v>5.6020000000000003</v>
      </c>
      <c r="T106" s="99">
        <v>-4.5579999999999998</v>
      </c>
      <c r="U106" s="99">
        <v>1.637</v>
      </c>
      <c r="V106" s="100">
        <v>4.8460000000000001</v>
      </c>
      <c r="W106" s="100">
        <f t="shared" si="1"/>
        <v>3.6970274629122279</v>
      </c>
    </row>
    <row r="107" spans="1:23" x14ac:dyDescent="0.35">
      <c r="A107" s="90" t="s">
        <v>575</v>
      </c>
      <c r="B107" s="90" t="s">
        <v>674</v>
      </c>
      <c r="C107" s="98">
        <v>2.7484311837486786</v>
      </c>
      <c r="D107" s="99">
        <v>3.8040844105169391</v>
      </c>
      <c r="E107" s="100">
        <v>4.437166103247403</v>
      </c>
      <c r="G107" s="112" t="s">
        <v>402</v>
      </c>
      <c r="H107" s="110">
        <v>76.129604349240608</v>
      </c>
      <c r="I107" s="102">
        <v>65</v>
      </c>
      <c r="J107" s="103">
        <v>4</v>
      </c>
      <c r="K107" s="90"/>
      <c r="L107" s="98">
        <v>1.2735415748875247</v>
      </c>
      <c r="M107" s="99">
        <v>4.8919045547561728</v>
      </c>
      <c r="N107" s="99">
        <v>5.1501913509219497</v>
      </c>
      <c r="O107" s="99">
        <v>4.3449999999999998</v>
      </c>
      <c r="P107" s="99">
        <v>0.52100000000000002</v>
      </c>
      <c r="Q107" s="99">
        <v>5.0579999999999998</v>
      </c>
      <c r="R107" s="99">
        <v>3.0659999999999998</v>
      </c>
      <c r="S107" s="99">
        <v>2.891</v>
      </c>
      <c r="T107" s="99">
        <v>-7.1870000000000003</v>
      </c>
      <c r="U107" s="99">
        <v>7.93</v>
      </c>
      <c r="V107" s="100">
        <v>1.135</v>
      </c>
      <c r="W107" s="100">
        <f t="shared" si="1"/>
        <v>4.1206252568821711</v>
      </c>
    </row>
    <row r="108" spans="1:23" x14ac:dyDescent="0.35">
      <c r="A108" s="90" t="s">
        <v>575</v>
      </c>
      <c r="B108" s="90" t="s">
        <v>675</v>
      </c>
      <c r="C108" s="98">
        <v>1.7345974801987962</v>
      </c>
      <c r="D108" s="99">
        <v>2.1902907307407293</v>
      </c>
      <c r="E108" s="100">
        <v>3.9391606371984134</v>
      </c>
      <c r="G108" s="112" t="s">
        <v>426</v>
      </c>
      <c r="H108" s="110">
        <v>66.134592515292979</v>
      </c>
      <c r="I108" s="102">
        <v>110</v>
      </c>
      <c r="J108" s="103">
        <v>25</v>
      </c>
      <c r="K108" s="90"/>
      <c r="L108" s="98">
        <v>7.2584392525877934</v>
      </c>
      <c r="M108" s="99">
        <v>6.9636071348707169</v>
      </c>
      <c r="N108" s="99">
        <v>7.3985127971386246</v>
      </c>
      <c r="O108" s="99">
        <v>6.7229999999999999</v>
      </c>
      <c r="P108" s="99">
        <v>3.8239999999999998</v>
      </c>
      <c r="Q108" s="99">
        <v>3.7410000000000001</v>
      </c>
      <c r="R108" s="99">
        <v>3.444</v>
      </c>
      <c r="S108" s="99">
        <v>2.3149999999999999</v>
      </c>
      <c r="T108" s="99">
        <v>-1.1990000000000001</v>
      </c>
      <c r="U108" s="99">
        <v>2.3279999999999998</v>
      </c>
      <c r="V108" s="100">
        <v>4.1479999999999997</v>
      </c>
      <c r="W108" s="100">
        <f t="shared" si="1"/>
        <v>3.0647256839695713</v>
      </c>
    </row>
    <row r="109" spans="1:23" x14ac:dyDescent="0.35">
      <c r="A109" s="90" t="s">
        <v>571</v>
      </c>
      <c r="B109" s="90" t="s">
        <v>676</v>
      </c>
      <c r="C109" s="98">
        <v>-4.7700497073887238</v>
      </c>
      <c r="D109" s="99">
        <v>-0.38368451177455132</v>
      </c>
      <c r="E109" s="100">
        <v>3.2897594501001937</v>
      </c>
      <c r="G109" s="112" t="s">
        <v>426</v>
      </c>
      <c r="H109" s="110">
        <v>65.606474585171327</v>
      </c>
      <c r="I109" s="102">
        <v>111</v>
      </c>
      <c r="J109" s="103">
        <v>22</v>
      </c>
      <c r="K109" s="90"/>
      <c r="L109" s="98">
        <v>6.4857540044064299</v>
      </c>
      <c r="M109" s="99">
        <v>7.8986694782381086</v>
      </c>
      <c r="N109" s="99">
        <v>8.1996637504261933</v>
      </c>
      <c r="O109" s="99">
        <v>7.4729999999999999</v>
      </c>
      <c r="P109" s="99">
        <v>6.4080000000000004</v>
      </c>
      <c r="Q109" s="99">
        <v>5.75</v>
      </c>
      <c r="R109" s="99">
        <v>6.4050000000000002</v>
      </c>
      <c r="S109" s="99">
        <v>6.75</v>
      </c>
      <c r="T109" s="99">
        <v>3.1890000000000001</v>
      </c>
      <c r="U109" s="99">
        <v>-17.937999999999999</v>
      </c>
      <c r="V109" s="100">
        <v>1.9710000000000001</v>
      </c>
      <c r="W109" s="100">
        <f t="shared" si="1"/>
        <v>1.4530374691628212</v>
      </c>
    </row>
    <row r="110" spans="1:23" x14ac:dyDescent="0.35">
      <c r="A110" s="90" t="s">
        <v>575</v>
      </c>
      <c r="B110" s="90" t="s">
        <v>677</v>
      </c>
      <c r="C110" s="98">
        <v>5.9000128031017951</v>
      </c>
      <c r="D110" s="99">
        <v>3.7913046668829331</v>
      </c>
      <c r="E110" s="100">
        <v>3.4125855123770643</v>
      </c>
      <c r="G110" s="112" t="s">
        <v>402</v>
      </c>
      <c r="H110" s="110">
        <v>72.202169838266542</v>
      </c>
      <c r="I110" s="102">
        <v>79</v>
      </c>
      <c r="J110" s="103">
        <v>10</v>
      </c>
      <c r="K110" s="90"/>
      <c r="L110" s="98">
        <v>5.061682013267613</v>
      </c>
      <c r="M110" s="99">
        <v>5.6147197006409399</v>
      </c>
      <c r="N110" s="99">
        <v>5.7577888470497651</v>
      </c>
      <c r="O110" s="99">
        <v>4.2640000000000002</v>
      </c>
      <c r="P110" s="99">
        <v>3.4000000000000002E-2</v>
      </c>
      <c r="Q110" s="99">
        <v>-1.0269999999999999</v>
      </c>
      <c r="R110" s="99">
        <v>1.06</v>
      </c>
      <c r="S110" s="99">
        <v>-0.83899999999999997</v>
      </c>
      <c r="T110" s="99">
        <v>-8.0359999999999996</v>
      </c>
      <c r="U110" s="99">
        <v>2.6560000000000001</v>
      </c>
      <c r="V110" s="100">
        <v>3.8420000000000001</v>
      </c>
      <c r="W110" s="100">
        <f t="shared" si="1"/>
        <v>3.6019450896299987</v>
      </c>
    </row>
    <row r="111" spans="1:23" x14ac:dyDescent="0.35">
      <c r="A111" s="90" t="s">
        <v>571</v>
      </c>
      <c r="B111" s="90" t="s">
        <v>678</v>
      </c>
      <c r="C111" s="98">
        <v>2.509308980392877</v>
      </c>
      <c r="D111" s="99">
        <v>4.3365366697670549</v>
      </c>
      <c r="E111" s="100">
        <v>4.4414058742941132</v>
      </c>
      <c r="G111" s="112" t="s">
        <v>573</v>
      </c>
      <c r="H111" s="110">
        <v>47.880656607147813</v>
      </c>
      <c r="I111" s="102">
        <v>141</v>
      </c>
      <c r="J111" s="103">
        <v>29</v>
      </c>
      <c r="K111" s="90"/>
      <c r="L111" s="98">
        <v>4.6701221485020756</v>
      </c>
      <c r="M111" s="99">
        <v>3.525153173819251</v>
      </c>
      <c r="N111" s="99">
        <v>6.0114828408077567</v>
      </c>
      <c r="O111" s="99">
        <v>3.976</v>
      </c>
      <c r="P111" s="99">
        <v>0.433</v>
      </c>
      <c r="Q111" s="99">
        <v>8.9770000000000003</v>
      </c>
      <c r="R111" s="99">
        <v>7.6219999999999999</v>
      </c>
      <c r="S111" s="99">
        <v>6.657</v>
      </c>
      <c r="T111" s="99">
        <v>-2.37</v>
      </c>
      <c r="U111" s="99">
        <v>4.2469999999999999</v>
      </c>
      <c r="V111" s="100">
        <v>5.8380000000000001</v>
      </c>
      <c r="W111" s="100">
        <f t="shared" si="1"/>
        <v>4.3889712720305845</v>
      </c>
    </row>
    <row r="112" spans="1:23" x14ac:dyDescent="0.35">
      <c r="A112" s="90" t="s">
        <v>231</v>
      </c>
      <c r="B112" s="90" t="s">
        <v>679</v>
      </c>
      <c r="C112" s="98">
        <v>1.7497887812736312</v>
      </c>
      <c r="D112" s="99">
        <v>1.8172353151896914</v>
      </c>
      <c r="E112" s="100">
        <v>1.7415218308118652</v>
      </c>
      <c r="G112" s="112" t="s">
        <v>419</v>
      </c>
      <c r="H112" s="110">
        <v>97.320188246923195</v>
      </c>
      <c r="I112" s="102">
        <v>6</v>
      </c>
      <c r="J112" s="103">
        <v>4</v>
      </c>
      <c r="K112" s="90"/>
      <c r="L112" s="98">
        <v>-1.0303540066027346</v>
      </c>
      <c r="M112" s="99">
        <v>-0.13017522863902575</v>
      </c>
      <c r="N112" s="99">
        <v>1.4233954098743582</v>
      </c>
      <c r="O112" s="99">
        <v>1.958</v>
      </c>
      <c r="P112" s="99">
        <v>2.1920000000000002</v>
      </c>
      <c r="Q112" s="99">
        <v>2.911</v>
      </c>
      <c r="R112" s="99">
        <v>2.3610000000000002</v>
      </c>
      <c r="S112" s="99">
        <v>1.956</v>
      </c>
      <c r="T112" s="99">
        <v>-3.9129999999999998</v>
      </c>
      <c r="U112" s="99">
        <v>4.883</v>
      </c>
      <c r="V112" s="100">
        <v>4.5179999999999998</v>
      </c>
      <c r="W112" s="100">
        <f t="shared" si="1"/>
        <v>1.7793785730007783</v>
      </c>
    </row>
    <row r="113" spans="1:23" x14ac:dyDescent="0.35">
      <c r="A113" s="90" t="s">
        <v>571</v>
      </c>
      <c r="B113" s="90" t="s">
        <v>680</v>
      </c>
      <c r="C113" s="98">
        <v>1.6101427265492019</v>
      </c>
      <c r="D113" s="99">
        <v>2.5126996765094445</v>
      </c>
      <c r="E113" s="100">
        <v>2.926527233523446</v>
      </c>
      <c r="G113" s="112" t="s">
        <v>419</v>
      </c>
      <c r="H113" s="110">
        <v>98.673978139326721</v>
      </c>
      <c r="I113" s="102">
        <v>1</v>
      </c>
      <c r="J113" s="103">
        <v>1</v>
      </c>
      <c r="K113" s="90"/>
      <c r="L113" s="98">
        <v>2.2395634845413639</v>
      </c>
      <c r="M113" s="99">
        <v>2.6288005896782796</v>
      </c>
      <c r="N113" s="99">
        <v>3.6255957672075687</v>
      </c>
      <c r="O113" s="99">
        <v>3.6909999999999998</v>
      </c>
      <c r="P113" s="99">
        <v>3.8839999999999999</v>
      </c>
      <c r="Q113" s="99">
        <v>3.46</v>
      </c>
      <c r="R113" s="99">
        <v>3.524</v>
      </c>
      <c r="S113" s="99">
        <v>3.0750000000000002</v>
      </c>
      <c r="T113" s="99">
        <v>-1.4770000000000001</v>
      </c>
      <c r="U113" s="99">
        <v>6.0880000000000001</v>
      </c>
      <c r="V113" s="100">
        <v>2.4350000000000001</v>
      </c>
      <c r="W113" s="100">
        <f t="shared" si="1"/>
        <v>2.7196134550164452</v>
      </c>
    </row>
    <row r="114" spans="1:23" x14ac:dyDescent="0.35">
      <c r="A114" s="90" t="s">
        <v>579</v>
      </c>
      <c r="B114" s="90" t="s">
        <v>681</v>
      </c>
      <c r="C114" s="98">
        <v>4.0750139508862748</v>
      </c>
      <c r="D114" s="99">
        <v>0.946067021483743</v>
      </c>
      <c r="E114" s="100">
        <v>2.8253976939387693</v>
      </c>
      <c r="G114" s="112" t="s">
        <v>426</v>
      </c>
      <c r="H114" s="110">
        <v>64.641996561099731</v>
      </c>
      <c r="I114" s="102">
        <v>115</v>
      </c>
      <c r="J114" s="103">
        <v>15</v>
      </c>
      <c r="K114" s="90"/>
      <c r="L114" s="98">
        <v>6.4967472990321502</v>
      </c>
      <c r="M114" s="99">
        <v>4.9267922688301464</v>
      </c>
      <c r="N114" s="99">
        <v>4.7858161704434874</v>
      </c>
      <c r="O114" s="99">
        <v>4.7919999999999998</v>
      </c>
      <c r="P114" s="99">
        <v>4.5629999999999997</v>
      </c>
      <c r="Q114" s="99">
        <v>4.6310000000000002</v>
      </c>
      <c r="R114" s="99">
        <v>-3.363</v>
      </c>
      <c r="S114" s="99">
        <v>-3.78</v>
      </c>
      <c r="T114" s="99">
        <v>-1.7889999999999999</v>
      </c>
      <c r="U114" s="99">
        <v>10.345000000000001</v>
      </c>
      <c r="V114" s="100">
        <v>4.024</v>
      </c>
      <c r="W114" s="100">
        <f t="shared" si="1"/>
        <v>1.8857323577112561</v>
      </c>
    </row>
    <row r="115" spans="1:23" x14ac:dyDescent="0.35">
      <c r="A115" s="90" t="s">
        <v>575</v>
      </c>
      <c r="B115" s="90" t="s">
        <v>682</v>
      </c>
      <c r="C115" s="98">
        <v>5.2681473931170952</v>
      </c>
      <c r="D115" s="99">
        <v>5.8171216819006277</v>
      </c>
      <c r="E115" s="100">
        <v>5.6255556295670361</v>
      </c>
      <c r="G115" s="112" t="s">
        <v>426</v>
      </c>
      <c r="H115" s="110">
        <v>68.812447501404833</v>
      </c>
      <c r="I115" s="102">
        <v>98</v>
      </c>
      <c r="J115" s="103">
        <v>19</v>
      </c>
      <c r="K115" s="90"/>
      <c r="L115" s="98">
        <v>10.599907397446637</v>
      </c>
      <c r="M115" s="99">
        <v>5.5657295960540178</v>
      </c>
      <c r="N115" s="99">
        <v>6.5644262265084619</v>
      </c>
      <c r="O115" s="99">
        <v>4.3929999999999998</v>
      </c>
      <c r="P115" s="99">
        <v>5.7409999999999997</v>
      </c>
      <c r="Q115" s="99">
        <v>5.0010000000000003</v>
      </c>
      <c r="R115" s="99">
        <v>7.0069999999999997</v>
      </c>
      <c r="S115" s="99">
        <v>6.1429999999999998</v>
      </c>
      <c r="T115" s="99">
        <v>3.55</v>
      </c>
      <c r="U115" s="99">
        <v>1.399</v>
      </c>
      <c r="V115" s="100">
        <v>11.111000000000001</v>
      </c>
      <c r="W115" s="100">
        <f t="shared" si="1"/>
        <v>5.7213386557338319</v>
      </c>
    </row>
    <row r="116" spans="1:23" x14ac:dyDescent="0.35">
      <c r="A116" s="90" t="s">
        <v>575</v>
      </c>
      <c r="B116" s="90" t="s">
        <v>683</v>
      </c>
      <c r="C116" s="98">
        <v>1.6711254984559387</v>
      </c>
      <c r="D116" s="99">
        <v>1.8286894595159531</v>
      </c>
      <c r="E116" s="100">
        <v>2.3705025942777347</v>
      </c>
      <c r="G116" s="112" t="s">
        <v>573</v>
      </c>
      <c r="H116" s="110">
        <v>54.117482987279544</v>
      </c>
      <c r="I116" s="102">
        <v>136</v>
      </c>
      <c r="J116" s="103">
        <v>35</v>
      </c>
      <c r="K116" s="90"/>
      <c r="L116" s="98">
        <v>4.2300611751055515</v>
      </c>
      <c r="M116" s="99">
        <v>6.6713353928837664</v>
      </c>
      <c r="N116" s="99">
        <v>6.3097186557238203</v>
      </c>
      <c r="O116" s="99">
        <v>2.653</v>
      </c>
      <c r="P116" s="99">
        <v>-1.617</v>
      </c>
      <c r="Q116" s="99">
        <v>0.80600000000000005</v>
      </c>
      <c r="R116" s="99">
        <v>1.923</v>
      </c>
      <c r="S116" s="99">
        <v>2.2080000000000002</v>
      </c>
      <c r="T116" s="99">
        <v>-1.794</v>
      </c>
      <c r="U116" s="99">
        <v>3.6469999999999998</v>
      </c>
      <c r="V116" s="100">
        <v>3.2519999999999998</v>
      </c>
      <c r="W116" s="100">
        <f t="shared" si="1"/>
        <v>2.0995960268968439</v>
      </c>
    </row>
    <row r="117" spans="1:23" x14ac:dyDescent="0.35">
      <c r="A117" s="90" t="s">
        <v>231</v>
      </c>
      <c r="B117" s="90" t="s">
        <v>684</v>
      </c>
      <c r="C117" s="98">
        <v>-7.5001429328758196E-2</v>
      </c>
      <c r="D117" s="99">
        <v>1.3021650287798892</v>
      </c>
      <c r="E117" s="100">
        <v>2.0797979747829265</v>
      </c>
      <c r="G117" s="112" t="s">
        <v>577</v>
      </c>
      <c r="H117" s="110">
        <v>78.35616814320835</v>
      </c>
      <c r="I117" s="102">
        <v>58</v>
      </c>
      <c r="J117" s="103">
        <v>35</v>
      </c>
      <c r="K117" s="90"/>
      <c r="L117" s="98">
        <v>-0.45618322360793873</v>
      </c>
      <c r="M117" s="99">
        <v>2.9252576645048585</v>
      </c>
      <c r="N117" s="99">
        <v>3.6291235127637393</v>
      </c>
      <c r="O117" s="99">
        <v>3.8559999999999999</v>
      </c>
      <c r="P117" s="99">
        <v>2.8479999999999999</v>
      </c>
      <c r="Q117" s="99">
        <v>1.0820000000000001</v>
      </c>
      <c r="R117" s="99">
        <v>2.8809999999999998</v>
      </c>
      <c r="S117" s="99">
        <v>3.91</v>
      </c>
      <c r="T117" s="99">
        <v>-4.6879999999999997</v>
      </c>
      <c r="U117" s="99">
        <v>3.931</v>
      </c>
      <c r="V117" s="100">
        <v>2.2170000000000001</v>
      </c>
      <c r="W117" s="100">
        <f t="shared" si="1"/>
        <v>1.6909815017814078</v>
      </c>
    </row>
    <row r="118" spans="1:23" x14ac:dyDescent="0.35">
      <c r="A118" s="90" t="s">
        <v>231</v>
      </c>
      <c r="B118" s="90" t="s">
        <v>685</v>
      </c>
      <c r="C118" s="98">
        <v>2.1276786032802697</v>
      </c>
      <c r="D118" s="99">
        <v>2.0038500872442633</v>
      </c>
      <c r="E118" s="100">
        <v>1.8376731142071945</v>
      </c>
      <c r="G118" s="112" t="s">
        <v>419</v>
      </c>
      <c r="H118" s="110">
        <v>96.569623372049904</v>
      </c>
      <c r="I118" s="102">
        <v>10</v>
      </c>
      <c r="J118" s="103">
        <v>8</v>
      </c>
      <c r="K118" s="90"/>
      <c r="L118" s="98">
        <v>2.7030738548426481</v>
      </c>
      <c r="M118" s="99">
        <v>1.0340729135363009</v>
      </c>
      <c r="N118" s="99">
        <v>1.9695443007938924</v>
      </c>
      <c r="O118" s="99">
        <v>1.857</v>
      </c>
      <c r="P118" s="99">
        <v>1.165</v>
      </c>
      <c r="Q118" s="99">
        <v>2.464</v>
      </c>
      <c r="R118" s="99">
        <v>0.82899999999999996</v>
      </c>
      <c r="S118" s="99">
        <v>1.1240000000000001</v>
      </c>
      <c r="T118" s="99">
        <v>-1.278</v>
      </c>
      <c r="U118" s="99">
        <v>3.8980000000000001</v>
      </c>
      <c r="V118" s="100">
        <v>3.2810000000000001</v>
      </c>
      <c r="W118" s="100">
        <f t="shared" si="1"/>
        <v>1.9207616007257289</v>
      </c>
    </row>
    <row r="119" spans="1:23" x14ac:dyDescent="0.35">
      <c r="A119" s="90" t="s">
        <v>586</v>
      </c>
      <c r="B119" s="90" t="s">
        <v>686</v>
      </c>
      <c r="C119" s="98">
        <v>1.2841572452507943</v>
      </c>
      <c r="D119" s="99">
        <v>3.5695383112497314</v>
      </c>
      <c r="E119" s="100">
        <v>3.4884405409466579</v>
      </c>
      <c r="G119" s="112" t="s">
        <v>577</v>
      </c>
      <c r="H119" s="110">
        <v>83.929015692724803</v>
      </c>
      <c r="I119" s="102">
        <v>38</v>
      </c>
      <c r="J119" s="103">
        <v>3</v>
      </c>
      <c r="K119" s="90"/>
      <c r="L119" s="98">
        <v>9.3317368265983944</v>
      </c>
      <c r="M119" s="99">
        <v>4.373453291056836</v>
      </c>
      <c r="N119" s="99">
        <v>2.7522002596044053</v>
      </c>
      <c r="O119" s="99">
        <v>5.0170000000000003</v>
      </c>
      <c r="P119" s="99">
        <v>5.0460000000000003</v>
      </c>
      <c r="Q119" s="99">
        <v>0.30399999999999999</v>
      </c>
      <c r="R119" s="99">
        <v>1.2869999999999999</v>
      </c>
      <c r="S119" s="99">
        <v>-1.1299999999999999</v>
      </c>
      <c r="T119" s="99">
        <v>-3.2</v>
      </c>
      <c r="U119" s="99">
        <v>2.9020000000000001</v>
      </c>
      <c r="V119" s="100">
        <v>4.3109999999999999</v>
      </c>
      <c r="W119" s="100">
        <f t="shared" si="1"/>
        <v>3.5289894260981947</v>
      </c>
    </row>
    <row r="120" spans="1:23" x14ac:dyDescent="0.35">
      <c r="A120" s="90" t="s">
        <v>571</v>
      </c>
      <c r="B120" s="90" t="s">
        <v>687</v>
      </c>
      <c r="C120" s="98">
        <v>-2.8988961286927073</v>
      </c>
      <c r="D120" s="99">
        <v>0.9425802646799708</v>
      </c>
      <c r="E120" s="100">
        <v>2.8446311877570185</v>
      </c>
      <c r="G120" s="112" t="s">
        <v>402</v>
      </c>
      <c r="H120" s="110">
        <v>69.599146780385112</v>
      </c>
      <c r="I120" s="102">
        <v>90</v>
      </c>
      <c r="J120" s="103">
        <v>17</v>
      </c>
      <c r="K120" s="90"/>
      <c r="L120" s="98">
        <v>2.8731257161786412</v>
      </c>
      <c r="M120" s="99">
        <v>4.4745926000517917</v>
      </c>
      <c r="N120" s="99">
        <v>5.7909341243793389</v>
      </c>
      <c r="O120" s="99">
        <v>4.0579999999999998</v>
      </c>
      <c r="P120" s="99">
        <v>4.5629999999999997</v>
      </c>
      <c r="Q120" s="99">
        <v>4.609</v>
      </c>
      <c r="R120" s="99">
        <v>6.0960000000000001</v>
      </c>
      <c r="S120" s="99">
        <v>3.12</v>
      </c>
      <c r="T120" s="99">
        <v>-0.94299999999999995</v>
      </c>
      <c r="U120" s="99">
        <v>5.742</v>
      </c>
      <c r="V120" s="100">
        <v>5.9669999999999996</v>
      </c>
      <c r="W120" s="100">
        <f t="shared" si="1"/>
        <v>1.8936057262184947</v>
      </c>
    </row>
    <row r="121" spans="1:23" x14ac:dyDescent="0.35">
      <c r="A121" s="90" t="s">
        <v>579</v>
      </c>
      <c r="B121" s="90" t="s">
        <v>688</v>
      </c>
      <c r="C121" s="98">
        <v>1.349334889011633</v>
      </c>
      <c r="D121" s="99">
        <v>2.1324418529624634</v>
      </c>
      <c r="E121" s="100">
        <v>3.875737232948695</v>
      </c>
      <c r="G121" s="112" t="s">
        <v>426</v>
      </c>
      <c r="H121" s="110">
        <v>61.957917699729606</v>
      </c>
      <c r="I121" s="102">
        <v>122</v>
      </c>
      <c r="J121" s="103">
        <v>19</v>
      </c>
      <c r="K121" s="90"/>
      <c r="L121" s="98">
        <v>9.7789039456094482</v>
      </c>
      <c r="M121" s="99">
        <v>6.9032725658169563</v>
      </c>
      <c r="N121" s="99">
        <v>5.0667432180278205</v>
      </c>
      <c r="O121" s="99">
        <v>5.7329999999999997</v>
      </c>
      <c r="P121" s="99">
        <v>4.9530000000000003</v>
      </c>
      <c r="Q121" s="99">
        <v>5.5910000000000002</v>
      </c>
      <c r="R121" s="99">
        <v>3.6850000000000001</v>
      </c>
      <c r="S121" s="99">
        <v>2.98</v>
      </c>
      <c r="T121" s="99">
        <v>-17.945</v>
      </c>
      <c r="U121" s="99">
        <v>15.336</v>
      </c>
      <c r="V121" s="100">
        <v>10</v>
      </c>
      <c r="W121" s="100">
        <f t="shared" si="1"/>
        <v>3.0040895429555792</v>
      </c>
    </row>
    <row r="122" spans="1:23" x14ac:dyDescent="0.35">
      <c r="A122" s="90" t="s">
        <v>571</v>
      </c>
      <c r="B122" s="90" t="s">
        <v>689</v>
      </c>
      <c r="C122" s="98">
        <v>0.50696592980361554</v>
      </c>
      <c r="D122" s="99">
        <v>1.127965129390196</v>
      </c>
      <c r="E122" s="100">
        <v>3.7955054005958777</v>
      </c>
      <c r="G122" s="112" t="s">
        <v>573</v>
      </c>
      <c r="H122" s="110">
        <v>55.401075093758223</v>
      </c>
      <c r="I122" s="102">
        <v>131</v>
      </c>
      <c r="J122" s="103">
        <v>27</v>
      </c>
      <c r="K122" s="90"/>
      <c r="L122" s="98">
        <v>4.6571195968623904</v>
      </c>
      <c r="M122" s="99">
        <v>3.8249463280067437</v>
      </c>
      <c r="N122" s="99">
        <v>13.543770621654581</v>
      </c>
      <c r="O122" s="99">
        <v>6.5759999999999996</v>
      </c>
      <c r="P122" s="99">
        <v>5.492</v>
      </c>
      <c r="Q122" s="99">
        <v>3.5350000000000001</v>
      </c>
      <c r="R122" s="99">
        <v>-0.27900000000000003</v>
      </c>
      <c r="S122" s="99">
        <v>4.4800000000000004</v>
      </c>
      <c r="T122" s="99">
        <v>-3.1669999999999998</v>
      </c>
      <c r="U122" s="99">
        <v>7.0000000000000007E-2</v>
      </c>
      <c r="V122" s="100">
        <v>4.5359999999999996</v>
      </c>
      <c r="W122" s="100">
        <f t="shared" si="1"/>
        <v>2.4617352649930369</v>
      </c>
    </row>
    <row r="123" spans="1:23" x14ac:dyDescent="0.35">
      <c r="A123" s="90" t="s">
        <v>579</v>
      </c>
      <c r="B123" s="90" t="s">
        <v>690</v>
      </c>
      <c r="C123" s="98">
        <v>1.1388134852348575</v>
      </c>
      <c r="D123" s="99">
        <v>1.2311721995777125</v>
      </c>
      <c r="E123" s="100">
        <v>3.152890592174673</v>
      </c>
      <c r="G123" s="112" t="s">
        <v>426</v>
      </c>
      <c r="H123" s="110">
        <v>63.814130726333779</v>
      </c>
      <c r="I123" s="102">
        <v>118</v>
      </c>
      <c r="J123" s="103">
        <v>17</v>
      </c>
      <c r="K123" s="90"/>
      <c r="L123" s="98">
        <v>-0.53851294250305837</v>
      </c>
      <c r="M123" s="99">
        <v>8.4174952847030529</v>
      </c>
      <c r="N123" s="99">
        <v>4.8608903705532152</v>
      </c>
      <c r="O123" s="99">
        <v>2.9569999999999999</v>
      </c>
      <c r="P123" s="99">
        <v>4.2679999999999998</v>
      </c>
      <c r="Q123" s="99">
        <v>4.8099999999999996</v>
      </c>
      <c r="R123" s="99">
        <v>3.2040000000000002</v>
      </c>
      <c r="S123" s="99">
        <v>-0.40200000000000002</v>
      </c>
      <c r="T123" s="99">
        <v>-0.82</v>
      </c>
      <c r="U123" s="99">
        <v>4.0170000000000003</v>
      </c>
      <c r="V123" s="100">
        <v>0.2</v>
      </c>
      <c r="W123" s="100">
        <f t="shared" si="1"/>
        <v>2.1920313958761928</v>
      </c>
    </row>
    <row r="124" spans="1:23" x14ac:dyDescent="0.35">
      <c r="A124" s="90" t="s">
        <v>579</v>
      </c>
      <c r="B124" s="90" t="s">
        <v>691</v>
      </c>
      <c r="C124" s="98">
        <v>1.205712245399182</v>
      </c>
      <c r="D124" s="99">
        <v>1.959755918859285</v>
      </c>
      <c r="E124" s="100">
        <v>2.7687545080362863</v>
      </c>
      <c r="G124" s="112" t="s">
        <v>426</v>
      </c>
      <c r="H124" s="110">
        <v>62.494421901152251</v>
      </c>
      <c r="I124" s="102">
        <v>121</v>
      </c>
      <c r="J124" s="103">
        <v>18</v>
      </c>
      <c r="K124" s="90"/>
      <c r="L124" s="98">
        <v>6.1397247056043467</v>
      </c>
      <c r="M124" s="99">
        <v>5.8525182108492944</v>
      </c>
      <c r="N124" s="99">
        <v>2.3821573718054045</v>
      </c>
      <c r="O124" s="99">
        <v>3.2519999999999998</v>
      </c>
      <c r="P124" s="99">
        <v>3.9529999999999998</v>
      </c>
      <c r="Q124" s="99">
        <v>2.5190000000000001</v>
      </c>
      <c r="R124" s="99">
        <v>3.9769999999999999</v>
      </c>
      <c r="S124" s="99">
        <v>2.2330000000000001</v>
      </c>
      <c r="T124" s="99">
        <v>-11.013999999999999</v>
      </c>
      <c r="U124" s="99">
        <v>13.551</v>
      </c>
      <c r="V124" s="100">
        <v>2.7010000000000001</v>
      </c>
      <c r="W124" s="100">
        <f t="shared" si="1"/>
        <v>2.3642552134477857</v>
      </c>
    </row>
    <row r="125" spans="1:23" x14ac:dyDescent="0.35">
      <c r="A125" s="90" t="s">
        <v>571</v>
      </c>
      <c r="B125" s="90" t="s">
        <v>692</v>
      </c>
      <c r="C125" s="98">
        <v>0.96069279950485864</v>
      </c>
      <c r="D125" s="99">
        <v>3.0362820733681239</v>
      </c>
      <c r="E125" s="100">
        <v>4.8545875775876546</v>
      </c>
      <c r="G125" s="112" t="s">
        <v>402</v>
      </c>
      <c r="H125" s="110">
        <v>74.806556985260698</v>
      </c>
      <c r="I125" s="102">
        <v>69</v>
      </c>
      <c r="J125" s="103">
        <v>10</v>
      </c>
      <c r="K125" s="90"/>
      <c r="L125" s="98">
        <v>6.8969517105747951</v>
      </c>
      <c r="M125" s="99">
        <v>6.7505313017782687</v>
      </c>
      <c r="N125" s="99">
        <v>6.3479874825028357</v>
      </c>
      <c r="O125" s="99">
        <v>6.3479999999999999</v>
      </c>
      <c r="P125" s="99">
        <v>7.149</v>
      </c>
      <c r="Q125" s="99">
        <v>6.931</v>
      </c>
      <c r="R125" s="99">
        <v>6.3410000000000002</v>
      </c>
      <c r="S125" s="99">
        <v>6.1189999999999998</v>
      </c>
      <c r="T125" s="99">
        <v>-9.5180000000000007</v>
      </c>
      <c r="U125" s="99">
        <v>5.7030000000000003</v>
      </c>
      <c r="V125" s="100">
        <v>7.5990000000000002</v>
      </c>
      <c r="W125" s="100">
        <f t="shared" si="1"/>
        <v>3.9454348254778893</v>
      </c>
    </row>
    <row r="126" spans="1:23" x14ac:dyDescent="0.35">
      <c r="A126" s="90" t="s">
        <v>231</v>
      </c>
      <c r="B126" s="90" t="s">
        <v>693</v>
      </c>
      <c r="C126" s="98">
        <v>3.162865203018228</v>
      </c>
      <c r="D126" s="99">
        <v>3.8363783613865499</v>
      </c>
      <c r="E126" s="100">
        <v>3.5697088266716248</v>
      </c>
      <c r="G126" s="112" t="s">
        <v>577</v>
      </c>
      <c r="H126" s="110">
        <v>85.420553644487129</v>
      </c>
      <c r="I126" s="102">
        <v>36</v>
      </c>
      <c r="J126" s="103">
        <v>23</v>
      </c>
      <c r="K126" s="90"/>
      <c r="L126" s="98">
        <v>1.6079066445646626</v>
      </c>
      <c r="M126" s="99">
        <v>1.3918923212492256</v>
      </c>
      <c r="N126" s="99">
        <v>3.3184475370007722</v>
      </c>
      <c r="O126" s="99">
        <v>4.383</v>
      </c>
      <c r="P126" s="99">
        <v>2.9540000000000002</v>
      </c>
      <c r="Q126" s="99">
        <v>5.14</v>
      </c>
      <c r="R126" s="99">
        <v>5.9450000000000003</v>
      </c>
      <c r="S126" s="99">
        <v>4.45</v>
      </c>
      <c r="T126" s="99">
        <v>-2.02</v>
      </c>
      <c r="U126" s="99">
        <v>6.8479999999999999</v>
      </c>
      <c r="V126" s="100">
        <v>4.8739999999999997</v>
      </c>
      <c r="W126" s="100">
        <f t="shared" si="1"/>
        <v>3.7030435940290873</v>
      </c>
    </row>
    <row r="127" spans="1:23" x14ac:dyDescent="0.35">
      <c r="A127" s="90" t="s">
        <v>231</v>
      </c>
      <c r="B127" s="90" t="s">
        <v>694</v>
      </c>
      <c r="C127" s="98">
        <v>1.0661443105445922</v>
      </c>
      <c r="D127" s="99">
        <v>1.7172276328006886</v>
      </c>
      <c r="E127" s="100">
        <v>1.5719478894561822</v>
      </c>
      <c r="G127" s="112" t="s">
        <v>419</v>
      </c>
      <c r="H127" s="110">
        <v>91.026987497789847</v>
      </c>
      <c r="I127" s="102">
        <v>25</v>
      </c>
      <c r="J127" s="103">
        <v>16</v>
      </c>
      <c r="K127" s="90"/>
      <c r="L127" s="98">
        <v>-4.0572943594235547</v>
      </c>
      <c r="M127" s="99">
        <v>-0.92264378725787455</v>
      </c>
      <c r="N127" s="99">
        <v>0.79219053837650444</v>
      </c>
      <c r="O127" s="99">
        <v>1.792</v>
      </c>
      <c r="P127" s="99">
        <v>2.0190000000000001</v>
      </c>
      <c r="Q127" s="99">
        <v>3.5059999999999998</v>
      </c>
      <c r="R127" s="99">
        <v>2.8490000000000002</v>
      </c>
      <c r="S127" s="99">
        <v>2.6829999999999998</v>
      </c>
      <c r="T127" s="99">
        <v>-8.3010000000000002</v>
      </c>
      <c r="U127" s="99">
        <v>5.5030000000000001</v>
      </c>
      <c r="V127" s="100">
        <v>6.726</v>
      </c>
      <c r="W127" s="100">
        <f t="shared" si="1"/>
        <v>1.6445877611284354</v>
      </c>
    </row>
    <row r="128" spans="1:23" x14ac:dyDescent="0.35">
      <c r="A128" s="90" t="s">
        <v>586</v>
      </c>
      <c r="B128" s="90" t="s">
        <v>695</v>
      </c>
      <c r="C128" s="98">
        <v>0.67674745765720079</v>
      </c>
      <c r="D128" s="99">
        <v>0.80775193577011795</v>
      </c>
      <c r="E128" s="100">
        <v>2.0997114519337501</v>
      </c>
      <c r="G128" s="112" t="s">
        <v>577</v>
      </c>
      <c r="H128" s="110">
        <v>78.783055534449289</v>
      </c>
      <c r="I128" s="102">
        <v>57</v>
      </c>
      <c r="J128" s="103">
        <v>6</v>
      </c>
      <c r="K128" s="90"/>
      <c r="L128" s="98">
        <v>4.730011843607838</v>
      </c>
      <c r="M128" s="99">
        <v>5.5560406430660754</v>
      </c>
      <c r="N128" s="99">
        <v>5.3343232919645871</v>
      </c>
      <c r="O128" s="99">
        <v>4.7530000000000001</v>
      </c>
      <c r="P128" s="99">
        <v>3.0640000000000001</v>
      </c>
      <c r="Q128" s="99">
        <v>-1.498</v>
      </c>
      <c r="R128" s="99">
        <v>1.2350000000000001</v>
      </c>
      <c r="S128" s="99">
        <v>0.68799999999999994</v>
      </c>
      <c r="T128" s="99">
        <v>-3.5579999999999998</v>
      </c>
      <c r="U128" s="99">
        <v>1.589</v>
      </c>
      <c r="V128" s="100">
        <v>4.2409999999999997</v>
      </c>
      <c r="W128" s="100">
        <f t="shared" si="1"/>
        <v>1.453731693851934</v>
      </c>
    </row>
    <row r="129" spans="1:23" x14ac:dyDescent="0.35">
      <c r="A129" s="90" t="s">
        <v>231</v>
      </c>
      <c r="B129" s="90" t="s">
        <v>696</v>
      </c>
      <c r="C129" s="98">
        <v>1.9886029006319417</v>
      </c>
      <c r="D129" s="99">
        <v>2.9733514596169686</v>
      </c>
      <c r="E129" s="100">
        <v>3.7501787507027151</v>
      </c>
      <c r="G129" s="112" t="s">
        <v>577</v>
      </c>
      <c r="H129" s="110">
        <v>84.261081453729389</v>
      </c>
      <c r="I129" s="102">
        <v>37</v>
      </c>
      <c r="J129" s="103">
        <v>24</v>
      </c>
      <c r="K129" s="90"/>
      <c r="L129" s="98">
        <v>2.0771650065377472</v>
      </c>
      <c r="M129" s="99">
        <v>3.5145518040847694</v>
      </c>
      <c r="N129" s="99">
        <v>3.4108091001793088</v>
      </c>
      <c r="O129" s="99">
        <v>3.1629999999999998</v>
      </c>
      <c r="P129" s="99">
        <v>2.8530000000000002</v>
      </c>
      <c r="Q129" s="99">
        <v>8.2129999999999992</v>
      </c>
      <c r="R129" s="99">
        <v>6.03</v>
      </c>
      <c r="S129" s="99">
        <v>3.8439999999999999</v>
      </c>
      <c r="T129" s="99">
        <v>-3.6920000000000002</v>
      </c>
      <c r="U129" s="99">
        <v>5.8739999999999997</v>
      </c>
      <c r="V129" s="100">
        <v>4.7910000000000004</v>
      </c>
      <c r="W129" s="100">
        <f t="shared" si="1"/>
        <v>3.3617651051598418</v>
      </c>
    </row>
    <row r="130" spans="1:23" x14ac:dyDescent="0.35">
      <c r="A130" s="90" t="s">
        <v>231</v>
      </c>
      <c r="B130" s="90" t="s">
        <v>697</v>
      </c>
      <c r="C130" s="98">
        <v>0.31321455831558875</v>
      </c>
      <c r="D130" s="99">
        <v>1.1211784185926943</v>
      </c>
      <c r="E130" s="100">
        <v>0.80914098391451361</v>
      </c>
      <c r="G130" s="112" t="s">
        <v>402</v>
      </c>
      <c r="H130" s="110">
        <v>76.528749373407479</v>
      </c>
      <c r="I130" s="102">
        <v>64</v>
      </c>
      <c r="J130" s="103">
        <v>36</v>
      </c>
      <c r="K130" s="90"/>
      <c r="L130" s="98">
        <v>4.0240861571797915</v>
      </c>
      <c r="M130" s="99">
        <v>1.7554221491628001</v>
      </c>
      <c r="N130" s="99">
        <v>0.736267221403759</v>
      </c>
      <c r="O130" s="99">
        <v>-1.9730000000000001</v>
      </c>
      <c r="P130" s="99">
        <v>0.19400000000000001</v>
      </c>
      <c r="Q130" s="99">
        <v>1.8260000000000001</v>
      </c>
      <c r="R130" s="99">
        <v>2.8069999999999999</v>
      </c>
      <c r="S130" s="99">
        <v>2.198</v>
      </c>
      <c r="T130" s="99">
        <v>-2.6539999999999999</v>
      </c>
      <c r="U130" s="99">
        <v>5.6239999999999997</v>
      </c>
      <c r="V130" s="100">
        <v>-2.0510000000000002</v>
      </c>
      <c r="W130" s="100">
        <f t="shared" si="1"/>
        <v>0.96515970125360395</v>
      </c>
    </row>
    <row r="131" spans="1:23" x14ac:dyDescent="0.35">
      <c r="A131" s="90" t="s">
        <v>575</v>
      </c>
      <c r="B131" s="90" t="s">
        <v>698</v>
      </c>
      <c r="C131" s="98">
        <v>4.5886571318858538</v>
      </c>
      <c r="D131" s="99">
        <v>6.3388189685080754</v>
      </c>
      <c r="E131" s="100">
        <v>6.1347836953729917</v>
      </c>
      <c r="G131" s="112" t="s">
        <v>402</v>
      </c>
      <c r="H131" s="110">
        <v>76.577775011818801</v>
      </c>
      <c r="I131" s="102">
        <v>63</v>
      </c>
      <c r="J131" s="103">
        <v>3</v>
      </c>
      <c r="K131" s="90"/>
      <c r="L131" s="98">
        <v>8.6415388651712988</v>
      </c>
      <c r="M131" s="99">
        <v>4.7198554996618309</v>
      </c>
      <c r="N131" s="99">
        <v>6.1642772027561934</v>
      </c>
      <c r="O131" s="99">
        <v>8.8539999999999992</v>
      </c>
      <c r="P131" s="99">
        <v>5.9720000000000004</v>
      </c>
      <c r="Q131" s="99">
        <v>3.9729999999999999</v>
      </c>
      <c r="R131" s="99">
        <v>8.5779999999999994</v>
      </c>
      <c r="S131" s="99">
        <v>9.4689999999999994</v>
      </c>
      <c r="T131" s="99">
        <v>-3.3570000000000002</v>
      </c>
      <c r="U131" s="99">
        <v>10.874000000000001</v>
      </c>
      <c r="V131" s="100">
        <v>6.7629999999999999</v>
      </c>
      <c r="W131" s="100">
        <f t="shared" si="1"/>
        <v>6.2368013319405335</v>
      </c>
    </row>
    <row r="132" spans="1:23" x14ac:dyDescent="0.35">
      <c r="A132" s="90" t="s">
        <v>586</v>
      </c>
      <c r="B132" s="90" t="s">
        <v>699</v>
      </c>
      <c r="C132" s="98">
        <v>2.4790435166051283</v>
      </c>
      <c r="D132" s="99">
        <v>2.0533451948943071</v>
      </c>
      <c r="E132" s="100">
        <v>2.158001329255721</v>
      </c>
      <c r="G132" s="112" t="s">
        <v>577</v>
      </c>
      <c r="H132" s="110">
        <v>76.963439522680929</v>
      </c>
      <c r="I132" s="102">
        <v>61</v>
      </c>
      <c r="J132" s="103">
        <v>8</v>
      </c>
      <c r="K132" s="90"/>
      <c r="L132" s="98">
        <v>5.4114449021643543</v>
      </c>
      <c r="M132" s="99">
        <v>2.6992547225567329</v>
      </c>
      <c r="N132" s="99">
        <v>3.6524816975790095</v>
      </c>
      <c r="O132" s="99">
        <v>4.6900000000000004</v>
      </c>
      <c r="P132" s="99">
        <v>2.363</v>
      </c>
      <c r="Q132" s="99">
        <v>-7.0000000000000007E-2</v>
      </c>
      <c r="R132" s="99">
        <v>2.762</v>
      </c>
      <c r="S132" s="99">
        <v>0.83199999999999996</v>
      </c>
      <c r="T132" s="99">
        <v>-4.3410000000000002</v>
      </c>
      <c r="U132" s="99">
        <v>3.9220000000000002</v>
      </c>
      <c r="V132" s="100">
        <v>8.7439999999999998</v>
      </c>
      <c r="W132" s="100">
        <f t="shared" si="1"/>
        <v>2.105673262075014</v>
      </c>
    </row>
    <row r="133" spans="1:23" x14ac:dyDescent="0.35">
      <c r="A133" s="90" t="s">
        <v>575</v>
      </c>
      <c r="B133" s="90" t="s">
        <v>700</v>
      </c>
      <c r="C133" s="98">
        <v>4.0137946463164598</v>
      </c>
      <c r="D133" s="99">
        <v>4.5694149693751296</v>
      </c>
      <c r="E133" s="100">
        <v>5.2331571951220512</v>
      </c>
      <c r="G133" s="112" t="s">
        <v>402</v>
      </c>
      <c r="H133" s="110">
        <v>69.313365081609845</v>
      </c>
      <c r="I133" s="102">
        <v>93</v>
      </c>
      <c r="J133" s="103">
        <v>15</v>
      </c>
      <c r="K133" s="90"/>
      <c r="L133" s="98">
        <v>5.1173942367478444</v>
      </c>
      <c r="M133" s="99">
        <v>2.8221056497235883</v>
      </c>
      <c r="N133" s="99">
        <v>6.6135001033739647</v>
      </c>
      <c r="O133" s="99">
        <v>6.367</v>
      </c>
      <c r="P133" s="99">
        <v>6.3559999999999999</v>
      </c>
      <c r="Q133" s="99">
        <v>7.407</v>
      </c>
      <c r="R133" s="99">
        <v>6.2089999999999996</v>
      </c>
      <c r="S133" s="99">
        <v>4.6139999999999999</v>
      </c>
      <c r="T133" s="99">
        <v>1.3260000000000001</v>
      </c>
      <c r="U133" s="99">
        <v>6.0670000000000002</v>
      </c>
      <c r="V133" s="100">
        <v>4.7089999999999996</v>
      </c>
      <c r="W133" s="100">
        <f t="shared" si="1"/>
        <v>4.9012860822485909</v>
      </c>
    </row>
    <row r="134" spans="1:23" x14ac:dyDescent="0.35">
      <c r="A134" s="90" t="s">
        <v>231</v>
      </c>
      <c r="B134" s="90" t="s">
        <v>701</v>
      </c>
      <c r="C134" s="98">
        <v>2.9071913241700997</v>
      </c>
      <c r="D134" s="99">
        <v>3.5107747978878168</v>
      </c>
      <c r="E134" s="100">
        <v>2.5987412011468258</v>
      </c>
      <c r="G134" s="112" t="s">
        <v>402</v>
      </c>
      <c r="H134" s="110">
        <v>74.50245157918026</v>
      </c>
      <c r="I134" s="102">
        <v>71</v>
      </c>
      <c r="J134" s="103">
        <v>38</v>
      </c>
      <c r="K134" s="90"/>
      <c r="L134" s="98">
        <v>-0.68154236933475798</v>
      </c>
      <c r="M134" s="99">
        <v>2.892636733558092</v>
      </c>
      <c r="N134" s="99">
        <v>-1.5895103199025831</v>
      </c>
      <c r="O134" s="99">
        <v>1.776</v>
      </c>
      <c r="P134" s="99">
        <v>3.339</v>
      </c>
      <c r="Q134" s="99">
        <v>2.101</v>
      </c>
      <c r="R134" s="99">
        <v>4.4950000000000001</v>
      </c>
      <c r="S134" s="99">
        <v>4.3319999999999999</v>
      </c>
      <c r="T134" s="99">
        <v>-0.90300000000000002</v>
      </c>
      <c r="U134" s="99">
        <v>7.55</v>
      </c>
      <c r="V134" s="100">
        <v>2.2509999999999999</v>
      </c>
      <c r="W134" s="100">
        <f t="shared" si="1"/>
        <v>3.0547579995173213</v>
      </c>
    </row>
    <row r="135" spans="1:23" x14ac:dyDescent="0.35">
      <c r="A135" s="90" t="s">
        <v>575</v>
      </c>
      <c r="B135" s="90" t="s">
        <v>702</v>
      </c>
      <c r="C135" s="98">
        <v>1.6001817079933423</v>
      </c>
      <c r="D135" s="99">
        <v>2.5822705421283176</v>
      </c>
      <c r="E135" s="99">
        <v>2.323464181185142</v>
      </c>
      <c r="G135" s="112" t="s">
        <v>573</v>
      </c>
      <c r="H135" s="110">
        <v>58.993492167204309</v>
      </c>
      <c r="I135" s="102">
        <v>126</v>
      </c>
      <c r="J135" s="102">
        <v>30</v>
      </c>
      <c r="K135" s="117"/>
      <c r="L135" s="98">
        <v>15.18176908302255</v>
      </c>
      <c r="M135" s="99">
        <v>20.715768285872748</v>
      </c>
      <c r="N135" s="99">
        <v>4.5567723661529431</v>
      </c>
      <c r="O135" s="99">
        <v>-20.492999999999999</v>
      </c>
      <c r="P135" s="99">
        <v>6.3540000000000001</v>
      </c>
      <c r="Q135" s="99">
        <v>3.7650000000000001</v>
      </c>
      <c r="R135" s="99">
        <v>3.4649999999999999</v>
      </c>
      <c r="S135" s="99">
        <v>5.2539999999999996</v>
      </c>
      <c r="T135" s="99">
        <v>-1.9690000000000001</v>
      </c>
      <c r="U135" s="99">
        <v>4.1050000000000004</v>
      </c>
      <c r="V135" s="99">
        <v>2.766</v>
      </c>
      <c r="W135" s="100">
        <f t="shared" si="1"/>
        <v>2.4528673616567298</v>
      </c>
    </row>
    <row r="136" spans="1:23" x14ac:dyDescent="0.35">
      <c r="A136" s="90" t="s">
        <v>571</v>
      </c>
      <c r="B136" s="90" t="s">
        <v>703</v>
      </c>
      <c r="C136" s="98">
        <v>2.254611894692915</v>
      </c>
      <c r="D136" s="99">
        <v>2.3804077568891469</v>
      </c>
      <c r="E136" s="99">
        <v>3.1207966515608421</v>
      </c>
      <c r="G136" s="112" t="s">
        <v>419</v>
      </c>
      <c r="H136" s="110">
        <v>97.805585083414968</v>
      </c>
      <c r="I136" s="102">
        <v>4</v>
      </c>
      <c r="J136" s="102">
        <v>2</v>
      </c>
      <c r="K136" s="117"/>
      <c r="L136" s="98">
        <v>4.461608951013317</v>
      </c>
      <c r="M136" s="99">
        <v>4.8372986457609866</v>
      </c>
      <c r="N136" s="99">
        <v>3.9380027286605586</v>
      </c>
      <c r="O136" s="99">
        <v>2.9769999999999999</v>
      </c>
      <c r="P136" s="99">
        <v>3.6019999999999999</v>
      </c>
      <c r="Q136" s="99">
        <v>4.5449999999999999</v>
      </c>
      <c r="R136" s="99">
        <v>3.5750000000000002</v>
      </c>
      <c r="S136" s="99">
        <v>1.331</v>
      </c>
      <c r="T136" s="99">
        <v>-3.9009999999999998</v>
      </c>
      <c r="U136" s="99">
        <v>8.8819999999999997</v>
      </c>
      <c r="V136" s="99">
        <v>3.6469999999999998</v>
      </c>
      <c r="W136" s="100">
        <f t="shared" si="1"/>
        <v>2.7506022042249945</v>
      </c>
    </row>
    <row r="137" spans="1:23" x14ac:dyDescent="0.35">
      <c r="A137" s="90" t="s">
        <v>231</v>
      </c>
      <c r="B137" s="90" t="s">
        <v>704</v>
      </c>
      <c r="C137" s="98">
        <v>0.39781205843958389</v>
      </c>
      <c r="D137" s="99">
        <v>0.97590941056187042</v>
      </c>
      <c r="E137" s="99">
        <v>1.8214852479931931</v>
      </c>
      <c r="G137" s="112" t="s">
        <v>577</v>
      </c>
      <c r="H137" s="110">
        <v>80.276897229698847</v>
      </c>
      <c r="I137" s="102">
        <v>47</v>
      </c>
      <c r="J137" s="102">
        <v>32</v>
      </c>
      <c r="K137" s="117"/>
      <c r="L137" s="98">
        <v>1.8958108123027844</v>
      </c>
      <c r="M137" s="99">
        <v>0.67084458223160615</v>
      </c>
      <c r="N137" s="99">
        <v>2.7524343314004627</v>
      </c>
      <c r="O137" s="99">
        <v>5.1669999999999998</v>
      </c>
      <c r="P137" s="99">
        <v>1.944</v>
      </c>
      <c r="Q137" s="99">
        <v>2.9380000000000002</v>
      </c>
      <c r="R137" s="99">
        <v>4.0309999999999997</v>
      </c>
      <c r="S137" s="99">
        <v>2.5190000000000001</v>
      </c>
      <c r="T137" s="99">
        <v>-3.375</v>
      </c>
      <c r="U137" s="99">
        <v>3.0139999999999998</v>
      </c>
      <c r="V137" s="99">
        <v>1.6679999999999999</v>
      </c>
      <c r="W137" s="100">
        <f t="shared" si="1"/>
        <v>1.3986973292775318</v>
      </c>
    </row>
    <row r="138" spans="1:23" x14ac:dyDescent="0.35">
      <c r="A138" s="90" t="s">
        <v>231</v>
      </c>
      <c r="B138" s="90" t="s">
        <v>705</v>
      </c>
      <c r="C138" s="98">
        <v>2.9453399614758569</v>
      </c>
      <c r="D138" s="99">
        <v>3.265722456681952</v>
      </c>
      <c r="E138" s="99">
        <v>2.8132202997918521</v>
      </c>
      <c r="G138" s="112" t="s">
        <v>419</v>
      </c>
      <c r="H138" s="110">
        <v>88.920325519387234</v>
      </c>
      <c r="I138" s="102">
        <v>30</v>
      </c>
      <c r="J138" s="102">
        <v>19</v>
      </c>
      <c r="K138" s="117"/>
      <c r="L138" s="98">
        <v>-2.6394387292630763</v>
      </c>
      <c r="M138" s="99">
        <v>-1.029283831306939</v>
      </c>
      <c r="N138" s="99">
        <v>2.7681580195902979</v>
      </c>
      <c r="O138" s="99">
        <v>2.21</v>
      </c>
      <c r="P138" s="99">
        <v>3.1920000000000002</v>
      </c>
      <c r="Q138" s="99">
        <v>4.8159999999999998</v>
      </c>
      <c r="R138" s="99">
        <v>4.4550000000000001</v>
      </c>
      <c r="S138" s="99">
        <v>3.4510000000000001</v>
      </c>
      <c r="T138" s="99">
        <v>-4.3209999999999997</v>
      </c>
      <c r="U138" s="99">
        <v>8.2110000000000003</v>
      </c>
      <c r="V138" s="99">
        <v>5.3739999999999997</v>
      </c>
      <c r="W138" s="100">
        <f t="shared" si="1"/>
        <v>3.0394713782369021</v>
      </c>
    </row>
    <row r="139" spans="1:23" x14ac:dyDescent="0.35">
      <c r="A139" s="90" t="s">
        <v>575</v>
      </c>
      <c r="B139" s="90" t="s">
        <v>706</v>
      </c>
      <c r="C139" s="98">
        <v>8.8409433265779214E-2</v>
      </c>
      <c r="D139" s="99">
        <v>2.1857023030043443</v>
      </c>
      <c r="E139" s="99">
        <v>1.8249844059199605</v>
      </c>
      <c r="G139" s="112" t="s">
        <v>402</v>
      </c>
      <c r="H139" s="110">
        <v>75.182844770260857</v>
      </c>
      <c r="I139" s="102">
        <v>68</v>
      </c>
      <c r="J139" s="102">
        <v>5</v>
      </c>
      <c r="K139" s="117"/>
      <c r="L139" s="98">
        <v>2.2133548084844037</v>
      </c>
      <c r="M139" s="99">
        <v>2.4852005003105813</v>
      </c>
      <c r="N139" s="99">
        <v>1.8469916036571876</v>
      </c>
      <c r="O139" s="99">
        <v>1.3220000000000001</v>
      </c>
      <c r="P139" s="99">
        <v>0.66500000000000004</v>
      </c>
      <c r="Q139" s="99">
        <v>1.1579999999999999</v>
      </c>
      <c r="R139" s="99">
        <v>1.522</v>
      </c>
      <c r="S139" s="99">
        <v>0.30299999999999999</v>
      </c>
      <c r="T139" s="99">
        <v>-6.3419999999999996</v>
      </c>
      <c r="U139" s="99">
        <v>4.9130000000000003</v>
      </c>
      <c r="V139" s="99">
        <v>2.0419999999999998</v>
      </c>
      <c r="W139" s="100">
        <f t="shared" ref="W139:W165" si="2">AVERAGE(D139,E139)</f>
        <v>2.0053433544621524</v>
      </c>
    </row>
    <row r="140" spans="1:23" x14ac:dyDescent="0.35">
      <c r="A140" s="90" t="s">
        <v>231</v>
      </c>
      <c r="B140" s="90" t="s">
        <v>707</v>
      </c>
      <c r="C140" s="98">
        <v>-0.43793400391870518</v>
      </c>
      <c r="D140" s="99">
        <v>0.55931383652465527</v>
      </c>
      <c r="E140" s="99">
        <v>1.23940470018431</v>
      </c>
      <c r="G140" s="112" t="s">
        <v>419</v>
      </c>
      <c r="H140" s="110">
        <v>90.367632171249966</v>
      </c>
      <c r="I140" s="102">
        <v>27</v>
      </c>
      <c r="J140" s="102">
        <v>17</v>
      </c>
      <c r="K140" s="117"/>
      <c r="L140" s="98">
        <v>-2.9594413017355699</v>
      </c>
      <c r="M140" s="99">
        <v>-1.4353942591932869</v>
      </c>
      <c r="N140" s="99">
        <v>1.3839079426702983</v>
      </c>
      <c r="O140" s="99">
        <v>3.8370000000000002</v>
      </c>
      <c r="P140" s="99">
        <v>3.0379999999999998</v>
      </c>
      <c r="Q140" s="99">
        <v>2.9769999999999999</v>
      </c>
      <c r="R140" s="99">
        <v>2.2829999999999999</v>
      </c>
      <c r="S140" s="99">
        <v>1.9830000000000001</v>
      </c>
      <c r="T140" s="99">
        <v>-11.324999999999999</v>
      </c>
      <c r="U140" s="99">
        <v>5.5220000000000002</v>
      </c>
      <c r="V140" s="99">
        <v>5.4749999999999996</v>
      </c>
      <c r="W140" s="100">
        <f t="shared" si="2"/>
        <v>0.89935926835448265</v>
      </c>
    </row>
    <row r="141" spans="1:23" x14ac:dyDescent="0.35">
      <c r="A141" s="90" t="s">
        <v>571</v>
      </c>
      <c r="B141" s="90" t="s">
        <v>708</v>
      </c>
      <c r="C141" s="98">
        <v>-3.0583991155611168</v>
      </c>
      <c r="D141" s="99">
        <v>7.8407546755454582E-2</v>
      </c>
      <c r="E141" s="99">
        <v>2.1593525209882225</v>
      </c>
      <c r="G141" s="112" t="s">
        <v>402</v>
      </c>
      <c r="H141" s="110">
        <v>73.00518117550061</v>
      </c>
      <c r="I141" s="102">
        <v>76</v>
      </c>
      <c r="J141" s="102">
        <v>13</v>
      </c>
      <c r="K141" s="117"/>
      <c r="L141" s="98">
        <v>9.1445722464256534</v>
      </c>
      <c r="M141" s="99">
        <v>3.3957326498342781</v>
      </c>
      <c r="N141" s="99">
        <v>4.960700591697301</v>
      </c>
      <c r="O141" s="99">
        <v>4.2060000000000004</v>
      </c>
      <c r="P141" s="99">
        <v>5.0540000000000003</v>
      </c>
      <c r="Q141" s="99">
        <v>6.4610000000000003</v>
      </c>
      <c r="R141" s="99">
        <v>2.31</v>
      </c>
      <c r="S141" s="99">
        <v>-0.22</v>
      </c>
      <c r="T141" s="99">
        <v>-3.472</v>
      </c>
      <c r="U141" s="99">
        <v>3.327</v>
      </c>
      <c r="V141" s="99">
        <v>-8.6590000000000007</v>
      </c>
      <c r="W141" s="100">
        <f t="shared" si="2"/>
        <v>1.1188800338718385</v>
      </c>
    </row>
    <row r="142" spans="1:23" x14ac:dyDescent="0.35">
      <c r="A142" s="90" t="s">
        <v>575</v>
      </c>
      <c r="B142" s="90" t="s">
        <v>709</v>
      </c>
      <c r="C142" s="98">
        <v>-2.6688383810210325</v>
      </c>
      <c r="D142" s="99">
        <v>-1.5401833642449736</v>
      </c>
      <c r="E142" s="99">
        <v>1.2842213840550842</v>
      </c>
      <c r="G142" s="112" t="s">
        <v>573</v>
      </c>
      <c r="H142" s="110">
        <v>29.302112762792021</v>
      </c>
      <c r="I142" s="102">
        <v>156</v>
      </c>
      <c r="J142" s="102">
        <v>47</v>
      </c>
      <c r="K142" s="117"/>
      <c r="L142" s="98">
        <v>-1.4398357186292348</v>
      </c>
      <c r="M142" s="99">
        <v>4.3946958327458523</v>
      </c>
      <c r="N142" s="99">
        <v>2.6794256681504725</v>
      </c>
      <c r="O142" s="99">
        <v>4.9059999999999997</v>
      </c>
      <c r="P142" s="99">
        <v>4.7</v>
      </c>
      <c r="Q142" s="99">
        <v>0.76800000000000002</v>
      </c>
      <c r="R142" s="99">
        <v>-2.29</v>
      </c>
      <c r="S142" s="99">
        <v>-2.5</v>
      </c>
      <c r="T142" s="99">
        <v>-3.63</v>
      </c>
      <c r="U142" s="99">
        <v>0.5</v>
      </c>
      <c r="V142" s="99">
        <v>-2.5</v>
      </c>
      <c r="W142" s="100">
        <f t="shared" si="2"/>
        <v>-0.12798099009494468</v>
      </c>
    </row>
    <row r="143" spans="1:23" x14ac:dyDescent="0.35">
      <c r="A143" s="90" t="s">
        <v>579</v>
      </c>
      <c r="B143" s="90" t="s">
        <v>710</v>
      </c>
      <c r="C143" s="98">
        <v>-6.0912921553037958</v>
      </c>
      <c r="D143" s="99">
        <v>-2.539464764773447</v>
      </c>
      <c r="E143" s="99">
        <v>-1.6533032843941364</v>
      </c>
      <c r="G143" s="112" t="s">
        <v>402</v>
      </c>
      <c r="H143" s="110">
        <v>69.385821977853183</v>
      </c>
      <c r="I143" s="102">
        <v>92</v>
      </c>
      <c r="J143" s="102">
        <v>12</v>
      </c>
      <c r="K143" s="117"/>
      <c r="L143" s="98">
        <v>2.6903497466884523</v>
      </c>
      <c r="M143" s="99">
        <v>2.9334416518612043</v>
      </c>
      <c r="N143" s="99">
        <v>0.25550303164546423</v>
      </c>
      <c r="O143" s="99">
        <v>-3.4140000000000001</v>
      </c>
      <c r="P143" s="99">
        <v>-4.9119999999999999</v>
      </c>
      <c r="Q143" s="99">
        <v>1.5660000000000001</v>
      </c>
      <c r="R143" s="99">
        <v>4.9480000000000004</v>
      </c>
      <c r="S143" s="99">
        <v>1.0980000000000001</v>
      </c>
      <c r="T143" s="99">
        <v>-15.906000000000001</v>
      </c>
      <c r="U143" s="99">
        <v>-2.742</v>
      </c>
      <c r="V143" s="99">
        <v>1.3280000000000001</v>
      </c>
      <c r="W143" s="100">
        <f t="shared" si="2"/>
        <v>-2.0963840245837915</v>
      </c>
    </row>
    <row r="144" spans="1:23" x14ac:dyDescent="0.35">
      <c r="A144" s="90" t="s">
        <v>231</v>
      </c>
      <c r="B144" s="90" t="s">
        <v>711</v>
      </c>
      <c r="C144" s="98">
        <v>1.8041121232050594</v>
      </c>
      <c r="D144" s="99">
        <v>1.5622302939160004</v>
      </c>
      <c r="E144" s="99">
        <v>2.0743232215396867</v>
      </c>
      <c r="G144" s="112" t="s">
        <v>419</v>
      </c>
      <c r="H144" s="110">
        <v>96.904206369440487</v>
      </c>
      <c r="I144" s="102">
        <v>7</v>
      </c>
      <c r="J144" s="102">
        <v>5</v>
      </c>
      <c r="K144" s="117"/>
      <c r="L144" s="98">
        <v>-0.58830456899072281</v>
      </c>
      <c r="M144" s="99">
        <v>1.1877757159060018</v>
      </c>
      <c r="N144" s="99">
        <v>2.6577982753164227</v>
      </c>
      <c r="O144" s="99">
        <v>4.4889999999999999</v>
      </c>
      <c r="P144" s="99">
        <v>2.0710000000000002</v>
      </c>
      <c r="Q144" s="99">
        <v>2.5680000000000001</v>
      </c>
      <c r="R144" s="99">
        <v>1.95</v>
      </c>
      <c r="S144" s="99">
        <v>1.986</v>
      </c>
      <c r="T144" s="99">
        <v>-2.17</v>
      </c>
      <c r="U144" s="99">
        <v>5.3860000000000001</v>
      </c>
      <c r="V144" s="99">
        <v>2.6419999999999999</v>
      </c>
      <c r="W144" s="100">
        <f t="shared" si="2"/>
        <v>1.8182767577278436</v>
      </c>
    </row>
    <row r="145" spans="1:23" x14ac:dyDescent="0.35">
      <c r="A145" s="90" t="s">
        <v>231</v>
      </c>
      <c r="B145" s="90" t="s">
        <v>712</v>
      </c>
      <c r="C145" s="98">
        <v>1.2890197152698013</v>
      </c>
      <c r="D145" s="99">
        <v>2.1594279609995271</v>
      </c>
      <c r="E145" s="99">
        <v>1.9949438623463989</v>
      </c>
      <c r="G145" s="112" t="s">
        <v>419</v>
      </c>
      <c r="H145" s="110">
        <v>98.385388118004073</v>
      </c>
      <c r="I145" s="102">
        <v>2</v>
      </c>
      <c r="J145" s="102">
        <v>1</v>
      </c>
      <c r="K145" s="117"/>
      <c r="L145" s="98">
        <v>1.0060240943135659</v>
      </c>
      <c r="M145" s="99">
        <v>1.852039766494749</v>
      </c>
      <c r="N145" s="99">
        <v>2.4492180871562819</v>
      </c>
      <c r="O145" s="99">
        <v>1.59</v>
      </c>
      <c r="P145" s="99">
        <v>2.073</v>
      </c>
      <c r="Q145" s="99">
        <v>1.427</v>
      </c>
      <c r="R145" s="99">
        <v>2.867</v>
      </c>
      <c r="S145" s="99">
        <v>1.161</v>
      </c>
      <c r="T145" s="99">
        <v>-2.5070000000000001</v>
      </c>
      <c r="U145" s="99">
        <v>4.2210000000000001</v>
      </c>
      <c r="V145" s="99">
        <v>2.1339999999999999</v>
      </c>
      <c r="W145" s="100">
        <f t="shared" si="2"/>
        <v>2.077185911672963</v>
      </c>
    </row>
    <row r="146" spans="1:23" x14ac:dyDescent="0.35">
      <c r="A146" s="90" t="s">
        <v>571</v>
      </c>
      <c r="B146" s="90" t="s">
        <v>713</v>
      </c>
      <c r="C146" s="98">
        <v>4.1942484708972883</v>
      </c>
      <c r="D146" s="99">
        <v>3.7202264352869774</v>
      </c>
      <c r="E146" s="99">
        <v>3.3189477234561782</v>
      </c>
      <c r="G146" s="112" t="s">
        <v>402</v>
      </c>
      <c r="H146" s="110">
        <v>74.109663332036064</v>
      </c>
      <c r="I146" s="102">
        <v>72</v>
      </c>
      <c r="J146" s="102">
        <v>11</v>
      </c>
      <c r="K146" s="117"/>
      <c r="L146" s="98">
        <v>2.2704029453876053</v>
      </c>
      <c r="M146" s="99">
        <v>2.5430680885972134</v>
      </c>
      <c r="N146" s="99">
        <v>4.9538203190596066</v>
      </c>
      <c r="O146" s="99">
        <v>1.466</v>
      </c>
      <c r="P146" s="99">
        <v>2.165</v>
      </c>
      <c r="Q146" s="99">
        <v>3.3109999999999999</v>
      </c>
      <c r="R146" s="99">
        <v>2.7869999999999999</v>
      </c>
      <c r="S146" s="99">
        <v>3.0640000000000001</v>
      </c>
      <c r="T146" s="99">
        <v>3.387</v>
      </c>
      <c r="U146" s="99">
        <v>6.5279999999999996</v>
      </c>
      <c r="V146" s="99">
        <v>2.452</v>
      </c>
      <c r="W146" s="100">
        <f t="shared" si="2"/>
        <v>3.5195870793715778</v>
      </c>
    </row>
    <row r="147" spans="1:23" x14ac:dyDescent="0.35">
      <c r="A147" s="90" t="s">
        <v>571</v>
      </c>
      <c r="B147" s="90" t="s">
        <v>714</v>
      </c>
      <c r="C147" s="98">
        <v>7.1805428191797027</v>
      </c>
      <c r="D147" s="99">
        <v>7.3081795758255463</v>
      </c>
      <c r="E147" s="99">
        <v>7.0632908095879854</v>
      </c>
      <c r="G147" s="112" t="s">
        <v>426</v>
      </c>
      <c r="H147" s="110">
        <v>65.502149613905985</v>
      </c>
      <c r="I147" s="102">
        <v>113</v>
      </c>
      <c r="J147" s="102">
        <v>23</v>
      </c>
      <c r="K147" s="117"/>
      <c r="L147" s="98">
        <v>7.4999994632152305</v>
      </c>
      <c r="M147" s="99">
        <v>7.3999997470037826</v>
      </c>
      <c r="N147" s="99">
        <v>6.7000006901625362</v>
      </c>
      <c r="O147" s="99">
        <v>6</v>
      </c>
      <c r="P147" s="99">
        <v>6.9</v>
      </c>
      <c r="Q147" s="99">
        <v>7.1</v>
      </c>
      <c r="R147" s="99">
        <v>7.6</v>
      </c>
      <c r="S147" s="99">
        <v>7.4</v>
      </c>
      <c r="T147" s="99">
        <v>4.3899999999999997</v>
      </c>
      <c r="U147" s="99">
        <v>9.4</v>
      </c>
      <c r="V147" s="99">
        <v>8</v>
      </c>
      <c r="W147" s="100">
        <f t="shared" si="2"/>
        <v>7.1857351927067654</v>
      </c>
    </row>
    <row r="148" spans="1:23" x14ac:dyDescent="0.35">
      <c r="A148" s="90" t="s">
        <v>575</v>
      </c>
      <c r="B148" s="90" t="s">
        <v>715</v>
      </c>
      <c r="C148" s="98">
        <v>3.6476767570704727</v>
      </c>
      <c r="D148" s="99">
        <v>4.4330707554891102</v>
      </c>
      <c r="E148" s="99">
        <v>5.5432278987954442</v>
      </c>
      <c r="G148" s="112" t="s">
        <v>426</v>
      </c>
      <c r="H148" s="110">
        <v>68.134404341049418</v>
      </c>
      <c r="I148" s="102">
        <v>101</v>
      </c>
      <c r="J148" s="102">
        <v>21</v>
      </c>
      <c r="K148" s="117"/>
      <c r="L148" s="98">
        <v>4.500153559821273</v>
      </c>
      <c r="M148" s="99">
        <v>6.7815856006531599</v>
      </c>
      <c r="N148" s="99">
        <v>6.732461868324811</v>
      </c>
      <c r="O148" s="99">
        <v>6.1609999999999996</v>
      </c>
      <c r="P148" s="99">
        <v>6.867</v>
      </c>
      <c r="Q148" s="99">
        <v>6.7729999999999997</v>
      </c>
      <c r="R148" s="99">
        <v>6.9589999999999996</v>
      </c>
      <c r="S148" s="99">
        <v>6.9889999999999999</v>
      </c>
      <c r="T148" s="99">
        <v>4.8159999999999998</v>
      </c>
      <c r="U148" s="99">
        <v>4.9470000000000001</v>
      </c>
      <c r="V148" s="99">
        <v>4.6879999999999997</v>
      </c>
      <c r="W148" s="100">
        <f t="shared" si="2"/>
        <v>4.9881493271422777</v>
      </c>
    </row>
    <row r="149" spans="1:23" x14ac:dyDescent="0.35">
      <c r="A149" s="90" t="s">
        <v>571</v>
      </c>
      <c r="B149" s="90" t="s">
        <v>716</v>
      </c>
      <c r="C149" s="98">
        <v>-0.75178730142027028</v>
      </c>
      <c r="D149" s="99">
        <v>0.80617945124625834</v>
      </c>
      <c r="E149" s="99">
        <v>1.8254251122560072</v>
      </c>
      <c r="G149" s="112" t="s">
        <v>426</v>
      </c>
      <c r="H149" s="110">
        <v>67.301316099527455</v>
      </c>
      <c r="I149" s="102">
        <v>104</v>
      </c>
      <c r="J149" s="102">
        <v>19</v>
      </c>
      <c r="K149" s="117"/>
      <c r="L149" s="98">
        <v>7.2427962024964359</v>
      </c>
      <c r="M149" s="99">
        <v>2.6874955632055553</v>
      </c>
      <c r="N149" s="99">
        <v>0.98442510993386245</v>
      </c>
      <c r="O149" s="99">
        <v>3.1339999999999999</v>
      </c>
      <c r="P149" s="99">
        <v>3.4350000000000001</v>
      </c>
      <c r="Q149" s="99">
        <v>4.1779999999999999</v>
      </c>
      <c r="R149" s="99">
        <v>4.2229999999999999</v>
      </c>
      <c r="S149" s="99">
        <v>2.1150000000000002</v>
      </c>
      <c r="T149" s="99">
        <v>-6.1609999999999996</v>
      </c>
      <c r="U149" s="99">
        <v>1.5629999999999999</v>
      </c>
      <c r="V149" s="99">
        <v>2.6440000000000001</v>
      </c>
      <c r="W149" s="100">
        <f t="shared" si="2"/>
        <v>1.3158022817511328</v>
      </c>
    </row>
    <row r="150" spans="1:23" x14ac:dyDescent="0.35">
      <c r="A150" s="90" t="s">
        <v>575</v>
      </c>
      <c r="B150" s="90" t="s">
        <v>717</v>
      </c>
      <c r="C150" s="98">
        <v>4.1237007551626403</v>
      </c>
      <c r="D150" s="99">
        <v>4.5599643087248731</v>
      </c>
      <c r="E150" s="99">
        <v>5.0461931715429786</v>
      </c>
      <c r="G150" s="112" t="s">
        <v>402</v>
      </c>
      <c r="H150" s="110">
        <v>71.06383353175876</v>
      </c>
      <c r="I150" s="102">
        <v>84</v>
      </c>
      <c r="J150" s="102">
        <v>12</v>
      </c>
      <c r="K150" s="117"/>
      <c r="L150" s="98">
        <v>6.543507029266066</v>
      </c>
      <c r="M150" s="99">
        <v>6.1123430766482372</v>
      </c>
      <c r="N150" s="99">
        <v>5.9205885732303445</v>
      </c>
      <c r="O150" s="99">
        <v>5.74</v>
      </c>
      <c r="P150" s="99">
        <v>5.6</v>
      </c>
      <c r="Q150" s="99">
        <v>4.3479999999999999</v>
      </c>
      <c r="R150" s="99">
        <v>4.9669999999999996</v>
      </c>
      <c r="S150" s="99">
        <v>5.4640000000000004</v>
      </c>
      <c r="T150" s="99">
        <v>1.758</v>
      </c>
      <c r="U150" s="99">
        <v>5.2590000000000003</v>
      </c>
      <c r="V150" s="99">
        <v>5.399</v>
      </c>
      <c r="W150" s="100">
        <f t="shared" si="2"/>
        <v>4.8030787401339259</v>
      </c>
    </row>
    <row r="151" spans="1:23" x14ac:dyDescent="0.35">
      <c r="A151" s="90" t="s">
        <v>579</v>
      </c>
      <c r="B151" s="90" t="s">
        <v>718</v>
      </c>
      <c r="C151" s="98">
        <v>-2.1662761553291388</v>
      </c>
      <c r="D151" s="99">
        <v>-0.32249691451342599</v>
      </c>
      <c r="E151" s="99">
        <v>-0.73360970360328848</v>
      </c>
      <c r="G151" s="112" t="s">
        <v>426</v>
      </c>
      <c r="H151" s="110">
        <v>65.576173252463747</v>
      </c>
      <c r="I151" s="102">
        <v>112</v>
      </c>
      <c r="J151" s="102">
        <v>14</v>
      </c>
      <c r="K151" s="117"/>
      <c r="L151" s="98">
        <v>1.2699643652024184</v>
      </c>
      <c r="M151" s="99">
        <v>2.2290748047658071</v>
      </c>
      <c r="N151" s="99">
        <v>-0.91254496880826241</v>
      </c>
      <c r="O151" s="99">
        <v>-0.75600000000000001</v>
      </c>
      <c r="P151" s="99">
        <v>-6.7640000000000002</v>
      </c>
      <c r="Q151" s="99">
        <v>-4.7069999999999999</v>
      </c>
      <c r="R151" s="99">
        <v>-0.871</v>
      </c>
      <c r="S151" s="99">
        <v>0.11</v>
      </c>
      <c r="T151" s="99">
        <v>-7.6779999999999999</v>
      </c>
      <c r="U151" s="99">
        <v>-1.0269999999999999</v>
      </c>
      <c r="V151" s="99">
        <v>2.4809999999999999</v>
      </c>
      <c r="W151" s="100">
        <f t="shared" si="2"/>
        <v>-0.52805330905835723</v>
      </c>
    </row>
    <row r="152" spans="1:23" x14ac:dyDescent="0.35">
      <c r="A152" s="90" t="s">
        <v>575</v>
      </c>
      <c r="B152" s="90" t="s">
        <v>719</v>
      </c>
      <c r="C152" s="98">
        <v>-0.76139414796470017</v>
      </c>
      <c r="D152" s="99">
        <v>1.515468696628397</v>
      </c>
      <c r="E152" s="99">
        <v>1.7677168413122724</v>
      </c>
      <c r="G152" s="112" t="s">
        <v>426</v>
      </c>
      <c r="H152" s="110">
        <v>68.074683718311135</v>
      </c>
      <c r="I152" s="102">
        <v>102</v>
      </c>
      <c r="J152" s="102">
        <v>22</v>
      </c>
      <c r="K152" s="117"/>
      <c r="L152" s="98">
        <v>3.9976740023093633</v>
      </c>
      <c r="M152" s="99">
        <v>2.8755238423073424</v>
      </c>
      <c r="N152" s="99">
        <v>2.9713983451090038</v>
      </c>
      <c r="O152" s="99">
        <v>0.96799999999999997</v>
      </c>
      <c r="P152" s="99">
        <v>1.117</v>
      </c>
      <c r="Q152" s="99">
        <v>2.238</v>
      </c>
      <c r="R152" s="99">
        <v>2.625</v>
      </c>
      <c r="S152" s="99">
        <v>1.5880000000000001</v>
      </c>
      <c r="T152" s="99">
        <v>-8.8179999999999996</v>
      </c>
      <c r="U152" s="99">
        <v>4.4050000000000002</v>
      </c>
      <c r="V152" s="99">
        <v>2.5219999999999998</v>
      </c>
      <c r="W152" s="100">
        <f t="shared" si="2"/>
        <v>1.6415927689703347</v>
      </c>
    </row>
    <row r="153" spans="1:23" x14ac:dyDescent="0.35">
      <c r="A153" s="90" t="s">
        <v>586</v>
      </c>
      <c r="B153" s="90" t="s">
        <v>720</v>
      </c>
      <c r="C153" s="98">
        <v>6.2162334826369348</v>
      </c>
      <c r="D153" s="99">
        <v>4.4468380199269797</v>
      </c>
      <c r="E153" s="99">
        <v>5.2521474880545149</v>
      </c>
      <c r="G153" s="112" t="s">
        <v>577</v>
      </c>
      <c r="H153" s="110">
        <v>79.725975588542326</v>
      </c>
      <c r="I153" s="102">
        <v>49</v>
      </c>
      <c r="J153" s="102">
        <v>4</v>
      </c>
      <c r="K153" s="117"/>
      <c r="L153" s="98">
        <v>4.7899402070344061</v>
      </c>
      <c r="M153" s="99">
        <v>8.4913093926863557</v>
      </c>
      <c r="N153" s="99">
        <v>5.1666907030455222</v>
      </c>
      <c r="O153" s="99">
        <v>6.0839999999999996</v>
      </c>
      <c r="P153" s="99">
        <v>3.323</v>
      </c>
      <c r="Q153" s="99">
        <v>7.5019999999999998</v>
      </c>
      <c r="R153" s="99">
        <v>2.98</v>
      </c>
      <c r="S153" s="99">
        <v>0.78400000000000003</v>
      </c>
      <c r="T153" s="99">
        <v>1.94</v>
      </c>
      <c r="U153" s="99">
        <v>11.353</v>
      </c>
      <c r="V153" s="99">
        <v>5.5659999999999998</v>
      </c>
      <c r="W153" s="100">
        <f t="shared" si="2"/>
        <v>4.8494927539907469</v>
      </c>
    </row>
    <row r="154" spans="1:23" x14ac:dyDescent="0.35">
      <c r="A154" s="90" t="s">
        <v>571</v>
      </c>
      <c r="B154" s="90" t="s">
        <v>721</v>
      </c>
      <c r="C154" s="98">
        <v>5.7825311290508274</v>
      </c>
      <c r="D154" s="99">
        <v>5.9692666570670072</v>
      </c>
      <c r="E154" s="99">
        <v>6.9419375690879193</v>
      </c>
      <c r="G154" s="112" t="s">
        <v>402</v>
      </c>
      <c r="H154" s="110">
        <v>73.971445285212496</v>
      </c>
      <c r="I154" s="102">
        <v>74</v>
      </c>
      <c r="J154" s="102">
        <v>12</v>
      </c>
      <c r="K154" s="117"/>
      <c r="L154" s="98">
        <v>11.099999961554488</v>
      </c>
      <c r="M154" s="99">
        <v>10.200000101398992</v>
      </c>
      <c r="N154" s="99">
        <v>10.299999970545908</v>
      </c>
      <c r="O154" s="99">
        <v>2.9860000000000002</v>
      </c>
      <c r="P154" s="99">
        <v>-0.97699999999999998</v>
      </c>
      <c r="Q154" s="99">
        <v>4.7069999999999999</v>
      </c>
      <c r="R154" s="99">
        <v>0.88200000000000001</v>
      </c>
      <c r="S154" s="99">
        <v>-3.3889999999999998</v>
      </c>
      <c r="T154" s="99">
        <v>-2.9369999999999998</v>
      </c>
      <c r="U154" s="99">
        <v>4.62</v>
      </c>
      <c r="V154" s="99">
        <v>1.7889999999999999</v>
      </c>
      <c r="W154" s="100">
        <f t="shared" si="2"/>
        <v>6.4556021130774628</v>
      </c>
    </row>
    <row r="155" spans="1:23" x14ac:dyDescent="0.35">
      <c r="A155" s="90" t="s">
        <v>575</v>
      </c>
      <c r="B155" s="90" t="s">
        <v>722</v>
      </c>
      <c r="C155" s="98">
        <v>3.8036415692147996</v>
      </c>
      <c r="D155" s="99">
        <v>4.8231874950755982</v>
      </c>
      <c r="E155" s="99">
        <v>4.6664450945707259</v>
      </c>
      <c r="G155" s="112" t="s">
        <v>402</v>
      </c>
      <c r="H155" s="110">
        <v>69.556086736265442</v>
      </c>
      <c r="I155" s="102">
        <v>91</v>
      </c>
      <c r="J155" s="102">
        <v>14</v>
      </c>
      <c r="K155" s="117"/>
      <c r="L155" s="98">
        <v>3.8374556059033003</v>
      </c>
      <c r="M155" s="99">
        <v>3.586905826320109</v>
      </c>
      <c r="N155" s="99">
        <v>5.1063073243118193</v>
      </c>
      <c r="O155" s="99">
        <v>8.0060000000000002</v>
      </c>
      <c r="P155" s="99">
        <v>0.159</v>
      </c>
      <c r="Q155" s="99">
        <v>6.83</v>
      </c>
      <c r="R155" s="99">
        <v>5.5019999999999998</v>
      </c>
      <c r="S155" s="99">
        <v>7.782</v>
      </c>
      <c r="T155" s="99">
        <v>-1.3009999999999999</v>
      </c>
      <c r="U155" s="99">
        <v>6.0039999999999996</v>
      </c>
      <c r="V155" s="99">
        <v>4.9329999999999998</v>
      </c>
      <c r="W155" s="100">
        <f t="shared" si="2"/>
        <v>4.7448162948231616</v>
      </c>
    </row>
    <row r="156" spans="1:23" x14ac:dyDescent="0.35">
      <c r="A156" s="90" t="s">
        <v>231</v>
      </c>
      <c r="B156" s="90" t="s">
        <v>723</v>
      </c>
      <c r="C156" s="98">
        <v>-11.461901799668306</v>
      </c>
      <c r="D156" s="99">
        <v>-5.8295559101049328</v>
      </c>
      <c r="E156" s="99">
        <v>-4.15839598326132</v>
      </c>
      <c r="G156" s="112" t="s">
        <v>402</v>
      </c>
      <c r="H156" s="110">
        <v>74.079326507080765</v>
      </c>
      <c r="I156" s="102">
        <v>73</v>
      </c>
      <c r="J156" s="102">
        <v>39</v>
      </c>
      <c r="K156" s="117"/>
      <c r="L156" s="98">
        <v>0.23868172076808841</v>
      </c>
      <c r="M156" s="99">
        <v>-2.66978900718703E-2</v>
      </c>
      <c r="N156" s="99">
        <v>-6.5526312936576572</v>
      </c>
      <c r="O156" s="99">
        <v>-9.7880000000000003</v>
      </c>
      <c r="P156" s="99">
        <v>2.4169999999999998</v>
      </c>
      <c r="Q156" s="99">
        <v>2.36</v>
      </c>
      <c r="R156" s="99">
        <v>3.488</v>
      </c>
      <c r="S156" s="99">
        <v>3.1989999999999998</v>
      </c>
      <c r="T156" s="99">
        <v>-3.7530000000000001</v>
      </c>
      <c r="U156" s="99">
        <v>3.3530000000000002</v>
      </c>
      <c r="V156" s="99">
        <v>-30.26</v>
      </c>
      <c r="W156" s="100">
        <f t="shared" si="2"/>
        <v>-4.9939759466831264</v>
      </c>
    </row>
    <row r="157" spans="1:23" x14ac:dyDescent="0.35">
      <c r="A157" s="90" t="s">
        <v>586</v>
      </c>
      <c r="B157" s="90" t="s">
        <v>724</v>
      </c>
      <c r="C157" s="98">
        <v>1.9883983839421138</v>
      </c>
      <c r="D157" s="99">
        <v>1.9344501122165347</v>
      </c>
      <c r="E157" s="99">
        <v>2.9471413005852209</v>
      </c>
      <c r="G157" s="112" t="s">
        <v>419</v>
      </c>
      <c r="H157" s="110">
        <v>91.971735408895199</v>
      </c>
      <c r="I157" s="102">
        <v>22</v>
      </c>
      <c r="J157" s="102">
        <v>1</v>
      </c>
      <c r="K157" s="117"/>
      <c r="L157" s="98">
        <v>4.4846260849086921</v>
      </c>
      <c r="M157" s="99">
        <v>5.0533458252665762</v>
      </c>
      <c r="N157" s="99">
        <v>4.2843036857947956</v>
      </c>
      <c r="O157" s="99">
        <v>6.7869999999999999</v>
      </c>
      <c r="P157" s="99">
        <v>5.5609999999999999</v>
      </c>
      <c r="Q157" s="99">
        <v>0.73499999999999999</v>
      </c>
      <c r="R157" s="99">
        <v>1.3140000000000001</v>
      </c>
      <c r="S157" s="99">
        <v>1.1080000000000001</v>
      </c>
      <c r="T157" s="99">
        <v>-4.9569999999999999</v>
      </c>
      <c r="U157" s="99">
        <v>3.9159999999999999</v>
      </c>
      <c r="V157" s="99">
        <v>7.4109999999999996</v>
      </c>
      <c r="W157" s="100">
        <f t="shared" si="2"/>
        <v>2.4407957064008778</v>
      </c>
    </row>
    <row r="158" spans="1:23" x14ac:dyDescent="0.35">
      <c r="A158" s="90" t="s">
        <v>231</v>
      </c>
      <c r="B158" s="90" t="s">
        <v>725</v>
      </c>
      <c r="C158" s="98">
        <v>-0.15570963242206304</v>
      </c>
      <c r="D158" s="99">
        <v>0.73784192060712961</v>
      </c>
      <c r="E158" s="99">
        <v>1.4574433295258649</v>
      </c>
      <c r="G158" s="112" t="s">
        <v>419</v>
      </c>
      <c r="H158" s="110">
        <v>95.869504572225566</v>
      </c>
      <c r="I158" s="102">
        <v>16</v>
      </c>
      <c r="J158" s="102">
        <v>11</v>
      </c>
      <c r="K158" s="117"/>
      <c r="L158" s="98">
        <v>1.4789239471568232</v>
      </c>
      <c r="M158" s="99">
        <v>2.1394857010831609</v>
      </c>
      <c r="N158" s="99">
        <v>2.6074759063105102</v>
      </c>
      <c r="O158" s="99">
        <v>2.3929999999999998</v>
      </c>
      <c r="P158" s="99">
        <v>2.165</v>
      </c>
      <c r="Q158" s="99">
        <v>2.444</v>
      </c>
      <c r="R158" s="99">
        <v>1.7050000000000001</v>
      </c>
      <c r="S158" s="99">
        <v>1.6040000000000001</v>
      </c>
      <c r="T158" s="99">
        <v>-11.031000000000001</v>
      </c>
      <c r="U158" s="99">
        <v>7.5970000000000004</v>
      </c>
      <c r="V158" s="99">
        <v>4.0449999999999999</v>
      </c>
      <c r="W158" s="100">
        <f t="shared" si="2"/>
        <v>1.0976426250664972</v>
      </c>
    </row>
    <row r="159" spans="1:23" x14ac:dyDescent="0.35">
      <c r="A159" s="90" t="s">
        <v>579</v>
      </c>
      <c r="B159" s="90" t="s">
        <v>726</v>
      </c>
      <c r="C159" s="98">
        <v>1.6858959431595322</v>
      </c>
      <c r="D159" s="99">
        <v>2.0522235488571683</v>
      </c>
      <c r="E159" s="99">
        <v>2.1214909700318696</v>
      </c>
      <c r="G159" s="112" t="s">
        <v>419</v>
      </c>
      <c r="H159" s="110">
        <v>95.916666666666671</v>
      </c>
      <c r="I159" s="102">
        <v>14</v>
      </c>
      <c r="J159" s="102">
        <v>1</v>
      </c>
      <c r="K159" s="117"/>
      <c r="L159" s="98">
        <v>2.249545852369943</v>
      </c>
      <c r="M159" s="99">
        <v>1.8420810710110016</v>
      </c>
      <c r="N159" s="99">
        <v>2.4519730353603584</v>
      </c>
      <c r="O159" s="99">
        <v>2.7069999999999999</v>
      </c>
      <c r="P159" s="99">
        <v>1.6679999999999999</v>
      </c>
      <c r="Q159" s="99">
        <v>2.242</v>
      </c>
      <c r="R159" s="99">
        <v>2.9449999999999998</v>
      </c>
      <c r="S159" s="99">
        <v>2.2949999999999999</v>
      </c>
      <c r="T159" s="99">
        <v>-2.7679999999999998</v>
      </c>
      <c r="U159" s="99">
        <v>5.9470000000000001</v>
      </c>
      <c r="V159" s="99">
        <v>2.0680000000000001</v>
      </c>
      <c r="W159" s="100">
        <f t="shared" si="2"/>
        <v>2.0868572594445189</v>
      </c>
    </row>
    <row r="160" spans="1:23" x14ac:dyDescent="0.35">
      <c r="A160" s="90" t="s">
        <v>579</v>
      </c>
      <c r="B160" s="90" t="s">
        <v>727</v>
      </c>
      <c r="C160" s="98">
        <v>0.91343850289404838</v>
      </c>
      <c r="D160" s="99">
        <v>2.2569945604846264</v>
      </c>
      <c r="E160" s="99">
        <v>2.3762166744240032</v>
      </c>
      <c r="G160" s="112" t="s">
        <v>577</v>
      </c>
      <c r="H160" s="110">
        <v>81.172173305315454</v>
      </c>
      <c r="I160" s="102">
        <v>43</v>
      </c>
      <c r="J160" s="102">
        <v>5</v>
      </c>
      <c r="K160" s="117"/>
      <c r="L160" s="98">
        <v>3.5381787068568795</v>
      </c>
      <c r="M160" s="99">
        <v>4.6375386431141186</v>
      </c>
      <c r="N160" s="99">
        <v>3.2387912162160193</v>
      </c>
      <c r="O160" s="99">
        <v>0.371</v>
      </c>
      <c r="P160" s="99">
        <v>1.69</v>
      </c>
      <c r="Q160" s="99">
        <v>1.6279999999999999</v>
      </c>
      <c r="R160" s="99">
        <v>0.47799999999999998</v>
      </c>
      <c r="S160" s="99">
        <v>0.35</v>
      </c>
      <c r="T160" s="99">
        <v>-6.1150000000000002</v>
      </c>
      <c r="U160" s="99">
        <v>4.4020000000000001</v>
      </c>
      <c r="V160" s="99">
        <v>4.8860000000000001</v>
      </c>
      <c r="W160" s="100">
        <f t="shared" si="2"/>
        <v>2.3166056174543148</v>
      </c>
    </row>
    <row r="161" spans="1:23" x14ac:dyDescent="0.35">
      <c r="A161" s="90" t="s">
        <v>571</v>
      </c>
      <c r="B161" s="90" t="s">
        <v>728</v>
      </c>
      <c r="C161" s="98">
        <v>4.966226080132774</v>
      </c>
      <c r="D161" s="99">
        <v>5.1922367720162121</v>
      </c>
      <c r="E161" s="99">
        <v>5.7634254597189516</v>
      </c>
      <c r="G161" s="112" t="s">
        <v>426</v>
      </c>
      <c r="H161" s="110">
        <v>68.759088115548678</v>
      </c>
      <c r="I161" s="102">
        <v>99</v>
      </c>
      <c r="J161" s="102">
        <v>18</v>
      </c>
      <c r="K161" s="117"/>
      <c r="L161" s="98">
        <v>7.1024448870695505</v>
      </c>
      <c r="M161" s="99">
        <v>7.2965503696402285</v>
      </c>
      <c r="N161" s="99">
        <v>6.8738384408295845</v>
      </c>
      <c r="O161" s="99">
        <v>7.2190000000000003</v>
      </c>
      <c r="P161" s="99">
        <v>5.9320000000000004</v>
      </c>
      <c r="Q161" s="99">
        <v>4.3949999999999996</v>
      </c>
      <c r="R161" s="99">
        <v>5.88</v>
      </c>
      <c r="S161" s="99">
        <v>5.9820000000000002</v>
      </c>
      <c r="T161" s="99">
        <v>1.996</v>
      </c>
      <c r="U161" s="99">
        <v>7.4029999999999996</v>
      </c>
      <c r="V161" s="99">
        <v>5.6689999999999996</v>
      </c>
      <c r="W161" s="100">
        <f t="shared" si="2"/>
        <v>5.4778311158675823</v>
      </c>
    </row>
    <row r="162" spans="1:23" x14ac:dyDescent="0.35">
      <c r="A162" s="90" t="s">
        <v>571</v>
      </c>
      <c r="B162" s="90" t="s">
        <v>729</v>
      </c>
      <c r="C162" s="98">
        <v>6.367284609117374</v>
      </c>
      <c r="D162" s="99">
        <v>8.0753375154714711</v>
      </c>
      <c r="E162" s="99">
        <v>8.6445538917790046</v>
      </c>
      <c r="G162" s="112" t="s">
        <v>426</v>
      </c>
      <c r="H162" s="110">
        <v>62.623537935388953</v>
      </c>
      <c r="I162" s="102">
        <v>120</v>
      </c>
      <c r="J162" s="102">
        <v>24</v>
      </c>
      <c r="K162" s="117"/>
      <c r="L162" s="98">
        <v>12.410056463111571</v>
      </c>
      <c r="M162" s="99">
        <v>7.2891294784445284</v>
      </c>
      <c r="N162" s="99">
        <v>9.6841913021478785</v>
      </c>
      <c r="O162" s="99">
        <v>6.9870000000000001</v>
      </c>
      <c r="P162" s="99">
        <v>6.69</v>
      </c>
      <c r="Q162" s="99">
        <v>6.94</v>
      </c>
      <c r="R162" s="99">
        <v>7.4649999999999999</v>
      </c>
      <c r="S162" s="99">
        <v>7.359</v>
      </c>
      <c r="T162" s="99">
        <v>2.867</v>
      </c>
      <c r="U162" s="99">
        <v>2.5619999999999998</v>
      </c>
      <c r="V162" s="99">
        <v>8.0180000000000007</v>
      </c>
      <c r="W162" s="100">
        <f t="shared" si="2"/>
        <v>8.3599457036252378</v>
      </c>
    </row>
    <row r="163" spans="1:23" x14ac:dyDescent="0.35">
      <c r="A163" s="90" t="s">
        <v>586</v>
      </c>
      <c r="B163" s="90" t="s">
        <v>730</v>
      </c>
      <c r="C163" s="98">
        <v>-1.1017371120758623</v>
      </c>
      <c r="D163" s="99">
        <v>-1.4008554823266794</v>
      </c>
      <c r="E163" s="99">
        <v>0.43888765074564517</v>
      </c>
      <c r="G163" s="112" t="s">
        <v>573</v>
      </c>
      <c r="H163" s="110">
        <v>44.737558430285063</v>
      </c>
      <c r="I163" s="102">
        <v>145</v>
      </c>
      <c r="J163" s="102">
        <v>11</v>
      </c>
      <c r="K163" s="117"/>
      <c r="L163" s="98">
        <v>16.665428768467855</v>
      </c>
      <c r="M163" s="99">
        <v>1.9894927620720551</v>
      </c>
      <c r="N163" s="99">
        <v>2.3769293269800476</v>
      </c>
      <c r="O163" s="99">
        <v>-27.995000000000001</v>
      </c>
      <c r="P163" s="99">
        <v>-9.375</v>
      </c>
      <c r="Q163" s="99">
        <v>-5.0720000000000001</v>
      </c>
      <c r="R163" s="99">
        <v>0.752</v>
      </c>
      <c r="S163" s="99">
        <v>1.4</v>
      </c>
      <c r="T163" s="99">
        <v>-8.5</v>
      </c>
      <c r="U163" s="99">
        <v>-1</v>
      </c>
      <c r="V163" s="99">
        <v>1.5</v>
      </c>
      <c r="W163" s="100">
        <f t="shared" si="2"/>
        <v>-0.48098391579051714</v>
      </c>
    </row>
    <row r="164" spans="1:23" x14ac:dyDescent="0.35">
      <c r="A164" s="90" t="s">
        <v>575</v>
      </c>
      <c r="B164" s="90" t="s">
        <v>731</v>
      </c>
      <c r="C164" s="98">
        <v>1.6991659105087376</v>
      </c>
      <c r="D164" s="99">
        <v>2.110140268966143</v>
      </c>
      <c r="E164" s="99">
        <v>3.0449788505192199</v>
      </c>
      <c r="G164" s="112" t="s">
        <v>426</v>
      </c>
      <c r="H164" s="110">
        <v>61.004320674622747</v>
      </c>
      <c r="I164" s="102">
        <v>124</v>
      </c>
      <c r="J164" s="102">
        <v>29</v>
      </c>
      <c r="K164" s="117"/>
      <c r="L164" s="98">
        <v>7.5975932105319126</v>
      </c>
      <c r="M164" s="99">
        <v>5.0572317397973361</v>
      </c>
      <c r="N164" s="99">
        <v>4.6979923625298614</v>
      </c>
      <c r="O164" s="99">
        <v>2.92</v>
      </c>
      <c r="P164" s="99">
        <v>3.7770000000000001</v>
      </c>
      <c r="Q164" s="99">
        <v>3.504</v>
      </c>
      <c r="R164" s="99">
        <v>4.0350000000000001</v>
      </c>
      <c r="S164" s="99">
        <v>1.4410000000000001</v>
      </c>
      <c r="T164" s="99">
        <v>-2.7850000000000001</v>
      </c>
      <c r="U164" s="99">
        <v>4.5990000000000002</v>
      </c>
      <c r="V164" s="99">
        <v>3.4409999999999998</v>
      </c>
      <c r="W164" s="100">
        <f t="shared" si="2"/>
        <v>2.5775595597426815</v>
      </c>
    </row>
    <row r="165" spans="1:23" x14ac:dyDescent="0.35">
      <c r="A165" s="90" t="s">
        <v>575</v>
      </c>
      <c r="B165" s="90" t="s">
        <v>732</v>
      </c>
      <c r="C165" s="98">
        <v>3.5464749905308901</v>
      </c>
      <c r="D165" s="99">
        <v>2.7818952866475843</v>
      </c>
      <c r="E165" s="99">
        <v>2.7261309103552733</v>
      </c>
      <c r="G165" s="112" t="s">
        <v>573</v>
      </c>
      <c r="H165" s="110">
        <v>55.033873809516088</v>
      </c>
      <c r="I165" s="102">
        <v>133</v>
      </c>
      <c r="J165" s="102">
        <v>33</v>
      </c>
      <c r="K165" s="117"/>
      <c r="L165" s="98">
        <v>17.615397198362849</v>
      </c>
      <c r="M165" s="99">
        <v>10.75800212279124</v>
      </c>
      <c r="N165" s="99">
        <v>3.9762602630956336</v>
      </c>
      <c r="O165" s="99">
        <v>1.794</v>
      </c>
      <c r="P165" s="99">
        <v>0.47799999999999998</v>
      </c>
      <c r="Q165" s="99">
        <v>4.9829999999999997</v>
      </c>
      <c r="R165" s="99">
        <v>4.7320000000000002</v>
      </c>
      <c r="S165" s="99">
        <v>-6.1219999999999999</v>
      </c>
      <c r="T165" s="99">
        <v>-7.8250000000000002</v>
      </c>
      <c r="U165" s="99">
        <v>8.4619999999999997</v>
      </c>
      <c r="V165" s="99">
        <v>3.0289999999999999</v>
      </c>
      <c r="W165" s="100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90625" bestFit="1" customWidth="1"/>
    <col min="8" max="8" width="27.90625" customWidth="1"/>
    <col min="9" max="9" width="21" customWidth="1"/>
    <col min="10" max="10" width="33.36328125" customWidth="1"/>
    <col min="11" max="11" width="16" customWidth="1"/>
    <col min="12" max="12" width="17.453125" customWidth="1"/>
    <col min="13" max="13" width="13.08984375" customWidth="1"/>
    <col min="14" max="14" width="13.54296875" customWidth="1"/>
    <col min="15" max="15" width="19.6328125" bestFit="1" customWidth="1"/>
    <col min="16" max="16" width="19.54296875" customWidth="1"/>
    <col min="17" max="17" width="15" customWidth="1"/>
    <col min="18" max="18" width="7.08984375" customWidth="1"/>
    <col min="19" max="19" width="10" customWidth="1"/>
    <col min="20" max="20" width="5.54296875" customWidth="1"/>
    <col min="21" max="21" width="13.08984375" customWidth="1"/>
  </cols>
  <sheetData>
    <row r="1" spans="1:21" x14ac:dyDescent="0.35">
      <c r="L1" s="5">
        <f>Assumption!F55</f>
        <v>0.2</v>
      </c>
      <c r="M1" s="5">
        <f>Assumption!G55</f>
        <v>0.4</v>
      </c>
      <c r="N1" s="5">
        <f>Assumption!H55</f>
        <v>0.4</v>
      </c>
      <c r="O1" s="5">
        <f>Assumption!E55</f>
        <v>0.5</v>
      </c>
      <c r="P1" s="5">
        <f>Assumption!E56</f>
        <v>0.3</v>
      </c>
      <c r="Q1" s="5">
        <f>Assumption!E57</f>
        <v>0.2</v>
      </c>
      <c r="U1" t="s">
        <v>512</v>
      </c>
    </row>
    <row r="2" spans="1:21" x14ac:dyDescent="0.35">
      <c r="B2" s="48" t="s">
        <v>387</v>
      </c>
      <c r="C2" s="48" t="s">
        <v>388</v>
      </c>
      <c r="D2" s="48" t="s">
        <v>62</v>
      </c>
      <c r="E2" s="48" t="s">
        <v>389</v>
      </c>
      <c r="F2" s="48" t="s">
        <v>391</v>
      </c>
      <c r="G2" s="48" t="s">
        <v>390</v>
      </c>
      <c r="H2" s="48" t="s">
        <v>481</v>
      </c>
      <c r="I2" s="48" t="s">
        <v>413</v>
      </c>
      <c r="J2" s="48" t="s">
        <v>475</v>
      </c>
      <c r="L2" s="55" t="s">
        <v>478</v>
      </c>
      <c r="M2" s="48" t="s">
        <v>479</v>
      </c>
      <c r="N2" s="48" t="s">
        <v>480</v>
      </c>
      <c r="O2" t="s">
        <v>492</v>
      </c>
      <c r="P2" t="s">
        <v>493</v>
      </c>
      <c r="Q2" t="s">
        <v>495</v>
      </c>
    </row>
    <row r="3" spans="1:21" x14ac:dyDescent="0.35">
      <c r="A3" t="s">
        <v>435</v>
      </c>
      <c r="B3" t="s">
        <v>473</v>
      </c>
      <c r="C3" t="str" cm="1">
        <f t="array" ref="C3">_xll.FDSB(B3,"FG_COMPANY_NAME")</f>
        <v>New Zealand Dollar per U.S. Dollar</v>
      </c>
      <c r="D3" cm="1">
        <f t="array" ref="D3">_xll.FDSB(B3,"FG_PRICE(0)")</f>
        <v>1.6309222999999999</v>
      </c>
      <c r="E3" cm="1">
        <f t="array" ref="E3">_xll.FDSB(B3,"FG_PRICE_CHANGE(0,-1AY)")</f>
        <v>1.5004516000000001</v>
      </c>
      <c r="F3" cm="1">
        <f t="array" ref="F3">_xll.FDSB(B3,"FG_PRICE_CHANGE(0,-1AM)")</f>
        <v>-0.79914929999999995</v>
      </c>
      <c r="G3" cm="1">
        <f t="array" ref="G3">_xll.FDSB(B3,"FG_PRICE_CHANGE(0,-3AM)")</f>
        <v>1.1905789</v>
      </c>
      <c r="H3" cm="1">
        <f t="array" ref="H3">_xll.FDSB(B3,"FG_PRICE_CHANGE(0,-6AM)")</f>
        <v>-3.4820199999999999</v>
      </c>
      <c r="I3" cm="1">
        <f t="array" ref="I3">_xll.FDS(B3,"STD(FG_PRICE_CHANGE(0,-1AY,AM))")</f>
        <v>2.5716209274681598</v>
      </c>
      <c r="J3" cm="1">
        <f t="array" ref="J3">_xll.FDS(B3,"STD(FG_PRICE_CHANGE(0,-3AY,M))")*SQRT(12)</f>
        <v>12.232759884598119</v>
      </c>
      <c r="L3">
        <f>(1-(_xlfn.PERCENTRANK.EXC($F$3:$F$15,F3)))*100</f>
        <v>50</v>
      </c>
      <c r="M3">
        <f>(1-(_xlfn.PERCENTRANK.EXC($G$3:$G$15,G3)))*100</f>
        <v>42.900000000000006</v>
      </c>
      <c r="N3">
        <f>(1-(_xlfn.PERCENTRANK.EXC($H$3:$H$15,H3)))*100</f>
        <v>85.8</v>
      </c>
      <c r="O3">
        <f>SUMPRODUCT($L$1:$N$1,L3:N3)</f>
        <v>61.480000000000004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34.32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470</v>
      </c>
      <c r="C4" t="str" cm="1">
        <f t="array" ref="C4">_xll.FDSB(B4,"FG_COMPANY_NAME")</f>
        <v>Australian Dollar per U.S. Dollar</v>
      </c>
      <c r="D4" cm="1">
        <f t="array" ref="D4">_xll.FDSB(B4,"FG_PRICE(0)")</f>
        <v>1.5186028</v>
      </c>
      <c r="E4" cm="1">
        <f t="array" ref="E4">_xll.FDSB(B4,"FG_PRICE_CHANGE(0,-1AY)")</f>
        <v>1.1845112</v>
      </c>
      <c r="F4" cm="1">
        <f t="array" ref="F4">_xll.FDSB(B4,"FG_PRICE_CHANGE(0,-1AM)")</f>
        <v>-1.5034139</v>
      </c>
      <c r="G4" cm="1">
        <f t="array" ref="G4">_xll.FDSB(B4,"FG_PRICE_CHANGE(0,-3AM)")</f>
        <v>1.7463922999999999</v>
      </c>
      <c r="H4" cm="1">
        <f t="array" ref="H4">_xll.FDSB(B4,"FG_PRICE_CHANGE(0,-6AM)")</f>
        <v>-2.1032690000000001</v>
      </c>
      <c r="I4" cm="1">
        <f t="array" ref="I4">_xll.FDS(B4,"STD(FG_PRICE_CHANGE(0,-1AY,AM))")</f>
        <v>2.8635929230694201</v>
      </c>
      <c r="J4" cm="1">
        <f t="array" ref="J4">_xll.FDS(B4,"STD(FG_PRICE_CHANGE(0,-3AY,M))")*SQRT(12)</f>
        <v>10.657251729069429</v>
      </c>
      <c r="L4">
        <f t="shared" ref="L4:L15" si="1">(1-(_xlfn.PERCENTRANK.EXC($F$3:$F$15,F4)))*100</f>
        <v>57.2</v>
      </c>
      <c r="M4">
        <f t="shared" ref="M4:M15" si="2">(1-(_xlfn.PERCENTRANK.EXC($G$3:$G$15,G4)))*100</f>
        <v>28.6</v>
      </c>
      <c r="N4">
        <f t="shared" ref="N4:N15" si="3">(1-(_xlfn.PERCENTRANK.EXC($H$3:$H$15,H4)))*100</f>
        <v>71.500000000000014</v>
      </c>
      <c r="O4">
        <f t="shared" ref="O4:O11" si="4">SUMPRODUCT($L$1:$N$1,L4:N4)</f>
        <v>51.480000000000011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40.03</v>
      </c>
      <c r="U4" cm="1">
        <f t="array" ref="U4">_xlfn.PERCENTRANK.EXC(_xlfn._xlws.FILTER(S$3:S$15, ISNUMBER(S$3:S$15)),S4)*100</f>
        <v>28.499999999999996</v>
      </c>
    </row>
    <row r="5" spans="1:21" x14ac:dyDescent="0.35">
      <c r="A5" t="s">
        <v>49</v>
      </c>
      <c r="B5" t="s">
        <v>471</v>
      </c>
      <c r="C5" t="str" cm="1">
        <f t="array" ref="C5">_xll.FDSB(B5,"FG_COMPANY_NAME")</f>
        <v>Canadian Dollar per U.S. Dollar</v>
      </c>
      <c r="D5" cm="1">
        <f t="array" ref="D5">_xll.FDSB(B5,"FG_PRICE(0)")</f>
        <v>1.35185</v>
      </c>
      <c r="E5" cm="1">
        <f t="array" ref="E5">_xll.FDSB(B5,"FG_PRICE_CHANGE(0,-1AY)")</f>
        <v>-1.1480391000000001</v>
      </c>
      <c r="F5" cm="1">
        <f t="array" ref="F5">_xll.FDSB(B5,"FG_PRICE_CHANGE(0,-1AM)")</f>
        <v>-0.27295350000000002</v>
      </c>
      <c r="G5" cm="1">
        <f t="array" ref="G5">_xll.FDSB(B5,"FG_PRICE_CHANGE(0,-3AM)")</f>
        <v>0.72273016000000001</v>
      </c>
      <c r="H5" cm="1">
        <f t="array" ref="H5">_xll.FDSB(B5,"FG_PRICE_CHANGE(0,-6AM)")</f>
        <v>7.4028970000000003E-3</v>
      </c>
      <c r="I5" cm="1">
        <f t="array" ref="I5">_xll.FDS(B5,"STD(FG_PRICE_CHANGE(0,-1AY,AM))")</f>
        <v>1.57299166694209</v>
      </c>
      <c r="J5" cm="1">
        <f t="array" ref="J5">_xll.FDS(B5,"STD(FG_PRICE_CHANGE(0,-3AY,M))")*SQRT(12)</f>
        <v>6.5261579025430958</v>
      </c>
      <c r="L5">
        <f t="shared" si="1"/>
        <v>28.6</v>
      </c>
      <c r="M5">
        <f t="shared" si="2"/>
        <v>64.3</v>
      </c>
      <c r="N5">
        <f t="shared" si="3"/>
        <v>14.3</v>
      </c>
      <c r="O5">
        <f t="shared" si="4"/>
        <v>37.159999999999997</v>
      </c>
      <c r="P5">
        <f t="shared" si="5"/>
        <v>71.5</v>
      </c>
      <c r="Q5">
        <f>VLOOKUP(A5,CAD!$A$3:$J$15, 10, FALSE)</f>
        <v>42.8</v>
      </c>
      <c r="S5">
        <f t="shared" si="0"/>
        <v>48.59</v>
      </c>
      <c r="U5" cm="1">
        <f t="array" ref="U5">_xlfn.PERCENTRANK.EXC(_xlfn._xlws.FILTER(S$3:S$15, ISNUMBER(S$3:S$15)),S5)*100</f>
        <v>35.699999999999996</v>
      </c>
    </row>
    <row r="6" spans="1:21" x14ac:dyDescent="0.35">
      <c r="A6" t="s">
        <v>11</v>
      </c>
      <c r="B6" t="s">
        <v>468</v>
      </c>
      <c r="C6" t="str" cm="1">
        <f t="array" ref="C6">_xll.FDSB(B6,"FG_COMPANY_NAME")</f>
        <v>Euro per U.S. Dollar</v>
      </c>
      <c r="D6" cm="1">
        <f t="array" ref="D6">_xll.FDSB(B6,"FG_PRICE(0)")</f>
        <v>0.91844230000000004</v>
      </c>
      <c r="E6" cm="1">
        <f t="array" ref="E6">_xll.FDSB(B6,"FG_PRICE_CHANGE(0,-1AY)")</f>
        <v>-1.5108406999999999</v>
      </c>
      <c r="F6" cm="1">
        <f t="array" ref="F6">_xll.FDSB(B6,"FG_PRICE_CHANGE(0,-1AM)")</f>
        <v>-1.5338004000000001</v>
      </c>
      <c r="G6" cm="1">
        <f t="array" ref="G6">_xll.FDSB(B6,"FG_PRICE_CHANGE(0,-3AM)")</f>
        <v>0.97814800000000002</v>
      </c>
      <c r="H6" cm="1">
        <f t="array" ref="H6">_xll.FDSB(B6,"FG_PRICE_CHANGE(0,-6AM)")</f>
        <v>-2.0435392999999999</v>
      </c>
      <c r="I6" cm="1">
        <f t="array" ref="I6">_xll.FDS(B6,"STD(FG_PRICE_CHANGE(0,-1AY,AM))")</f>
        <v>2.16792121696743</v>
      </c>
      <c r="J6" cm="1">
        <f t="array" ref="J6">_xll.FDS(B6,"STD(FG_PRICE_CHANGE(0,-3AY,M))")*SQRT(12)</f>
        <v>7.8939456392796519</v>
      </c>
      <c r="L6">
        <f t="shared" si="1"/>
        <v>71.500000000000014</v>
      </c>
      <c r="M6">
        <f t="shared" si="2"/>
        <v>57.2</v>
      </c>
      <c r="N6">
        <f t="shared" si="3"/>
        <v>64.3</v>
      </c>
      <c r="O6">
        <f t="shared" si="4"/>
        <v>62.900000000000006</v>
      </c>
      <c r="P6">
        <f t="shared" si="5"/>
        <v>57.2</v>
      </c>
      <c r="Q6">
        <f>VLOOKUP(A6,CAD!$A$3:$J$15, 10, FALSE)</f>
        <v>78.5</v>
      </c>
      <c r="S6">
        <f t="shared" si="0"/>
        <v>64.31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469</v>
      </c>
      <c r="C7" t="str" cm="1">
        <f t="array" ref="C7">_xll.FDSB(B7,"FG_COMPANY_NAME")</f>
        <v>Japanese Yen per U.S. Dollar</v>
      </c>
      <c r="D7" cm="1">
        <f t="array" ref="D7">_xll.FDSB(B7,"FG_PRICE(0)")</f>
        <v>148.19</v>
      </c>
      <c r="E7" cm="1">
        <f t="array" ref="E7">_xll.FDSB(B7,"FG_PRICE_CHANGE(0,-1AY)")</f>
        <v>10.338412999999999</v>
      </c>
      <c r="F7" cm="1">
        <f t="array" ref="F7">_xll.FDSB(B7,"FG_PRICE_CHANGE(0,-1AM)")</f>
        <v>-1.6165972</v>
      </c>
      <c r="G7" cm="1">
        <f t="array" ref="G7">_xll.FDSB(B7,"FG_PRICE_CHANGE(0,-3AM)")</f>
        <v>4.5874834</v>
      </c>
      <c r="H7" cm="1">
        <f t="array" ref="H7">_xll.FDSB(B7,"FG_PRICE_CHANGE(0,-6AM)")</f>
        <v>0.71703196000000002</v>
      </c>
      <c r="I7" cm="1">
        <f t="array" ref="I7">_xll.FDS(B7,"STD(FG_PRICE_CHANGE(0,-1AY,AM))")</f>
        <v>2.7954515652890701</v>
      </c>
      <c r="J7" cm="1">
        <f t="array" ref="J7">_xll.FDS(B7,"STD(FG_PRICE_CHANGE(0,-3AY,M))")*SQRT(12)</f>
        <v>10.583389736033423</v>
      </c>
      <c r="L7">
        <f t="shared" si="1"/>
        <v>85.8</v>
      </c>
      <c r="M7">
        <f t="shared" si="2"/>
        <v>7.1999999999999957</v>
      </c>
      <c r="N7">
        <f t="shared" si="3"/>
        <v>7.1999999999999957</v>
      </c>
      <c r="O7">
        <f t="shared" si="4"/>
        <v>22.919999999999998</v>
      </c>
      <c r="P7">
        <f t="shared" si="5"/>
        <v>21.5</v>
      </c>
      <c r="Q7">
        <f>VLOOKUP(A7,CAD!$A$3:$J$15, 10, FALSE)</f>
        <v>64.2</v>
      </c>
      <c r="S7">
        <f t="shared" si="0"/>
        <v>30.75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474</v>
      </c>
      <c r="C8" t="str" cm="1">
        <f t="array" ref="C8">_xll.FDSB(B8,"FG_COMPANY_NAME")</f>
        <v>Swiss Franc per U.S. Dollar</v>
      </c>
      <c r="D8" cm="1">
        <f t="array" ref="D8">_xll.FDSB(B8,"FG_PRICE(0)")</f>
        <v>0.88344999999999996</v>
      </c>
      <c r="E8" cm="1">
        <f t="array" ref="E8">_xll.FDSB(B8,"FG_PRICE_CHANGE(0,-1AY)")</f>
        <v>-3.2895504999999998</v>
      </c>
      <c r="F8" cm="1">
        <f t="array" ref="F8">_xll.FDSB(B8,"FG_PRICE_CHANGE(0,-1AM)")</f>
        <v>-0.32718777999999998</v>
      </c>
      <c r="G8" cm="1">
        <f t="array" ref="G8">_xll.FDSB(B8,"FG_PRICE_CHANGE(0,-3AM)")</f>
        <v>2.0091176000000002</v>
      </c>
      <c r="H8" cm="1">
        <f t="array" ref="H8">_xll.FDSB(B8,"FG_PRICE_CHANGE(0,-6AM)")</f>
        <v>-1.2298107</v>
      </c>
      <c r="I8" cm="1">
        <f t="array" ref="I8">_xll.FDS(B8,"STD(FG_PRICE_CHANGE(0,-1AY,AM))")</f>
        <v>2.2829083004357198</v>
      </c>
      <c r="J8" cm="1">
        <f t="array" ref="J8">_xll.FDS(B8,"STD(FG_PRICE_CHANGE(0,-3AY,M))")*SQRT(12)</f>
        <v>8.8357526025271032</v>
      </c>
      <c r="L8">
        <f t="shared" si="1"/>
        <v>42.900000000000006</v>
      </c>
      <c r="M8">
        <f t="shared" si="2"/>
        <v>21.499999999999996</v>
      </c>
      <c r="N8">
        <f t="shared" si="3"/>
        <v>50</v>
      </c>
      <c r="O8">
        <f t="shared" si="4"/>
        <v>37.18</v>
      </c>
      <c r="P8">
        <f t="shared" si="5"/>
        <v>42.900000000000006</v>
      </c>
      <c r="Q8">
        <f>VLOOKUP(A8,CAD!$A$3:$J$15, 10, FALSE)</f>
        <v>85.7</v>
      </c>
      <c r="S8">
        <f t="shared" si="0"/>
        <v>48.6</v>
      </c>
      <c r="U8" cm="1">
        <f t="array" ref="U8">_xlfn.PERCENTRANK.EXC(_xlfn._xlws.FILTER(S$3:S$15, ISNUMBER(S$3:S$15)),S8)*100</f>
        <v>42.8</v>
      </c>
    </row>
    <row r="9" spans="1:21" x14ac:dyDescent="0.35">
      <c r="A9" t="s">
        <v>48</v>
      </c>
      <c r="B9" t="s">
        <v>472</v>
      </c>
      <c r="C9" t="str" cm="1">
        <f t="array" ref="C9">_xll.FDSB(B9,"FG_COMPANY_NAME")</f>
        <v>British Pounds per U.S. Dollar</v>
      </c>
      <c r="D9" cm="1">
        <f t="array" ref="D9">_xll.FDSB(B9,"FG_PRICE(0)")</f>
        <v>0.78440600000000005</v>
      </c>
      <c r="E9" cm="1">
        <f t="array" ref="E9">_xll.FDSB(B9,"FG_PRICE_CHANGE(0,-1AY)")</f>
        <v>-4.722124</v>
      </c>
      <c r="F9" cm="1">
        <f t="array" ref="F9">_xll.FDSB(B9,"FG_PRICE_CHANGE(0,-1AM)")</f>
        <v>-1.5609682</v>
      </c>
      <c r="G9" cm="1">
        <f t="array" ref="G9">_xll.FDSB(B9,"FG_PRICE_CHANGE(0,-3AM)")</f>
        <v>9.4127655000000005E-2</v>
      </c>
      <c r="H9" cm="1">
        <f t="array" ref="H9">_xll.FDSB(B9,"FG_PRICE_CHANGE(0,-6AM)")</f>
        <v>-2.5963843</v>
      </c>
      <c r="I9" cm="1">
        <f t="array" ref="I9">_xll.FDS(B9,"STD(FG_PRICE_CHANGE(0,-1AY,AM))")</f>
        <v>2.1885642551044202</v>
      </c>
      <c r="J9" cm="1">
        <f t="array" ref="J9">_xll.FDS(B9,"STD(FG_PRICE_CHANGE(0,-3AY,M))")*SQRT(12)</f>
        <v>8.3570058740616187</v>
      </c>
      <c r="L9">
        <f t="shared" si="1"/>
        <v>78.600000000000009</v>
      </c>
      <c r="M9">
        <f t="shared" si="2"/>
        <v>71.500000000000014</v>
      </c>
      <c r="N9">
        <f t="shared" si="3"/>
        <v>78.600000000000009</v>
      </c>
      <c r="O9">
        <f>SUMPRODUCT($L$1:$N$1,L9:N9)</f>
        <v>75.760000000000019</v>
      </c>
      <c r="P9">
        <f t="shared" si="5"/>
        <v>50</v>
      </c>
      <c r="Q9">
        <f>VLOOKUP(A9,CAD!$A$3:$J$15, 10, FALSE)</f>
        <v>14.2</v>
      </c>
      <c r="S9">
        <f t="shared" si="0"/>
        <v>55.720000000000013</v>
      </c>
      <c r="U9" cm="1">
        <f t="array" ref="U9">_xlfn.PERCENTRANK.EXC(_xlfn._xlws.FILTER(S$3:S$15, ISNUMBER(S$3:S$15)),S9)*100</f>
        <v>50</v>
      </c>
    </row>
    <row r="10" spans="1:21" x14ac:dyDescent="0.35">
      <c r="A10" t="s">
        <v>51</v>
      </c>
      <c r="B10" t="s">
        <v>560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21.499999999999996</v>
      </c>
      <c r="M10">
        <f t="shared" si="2"/>
        <v>92.9</v>
      </c>
      <c r="N10">
        <f t="shared" si="3"/>
        <v>35.799999999999997</v>
      </c>
      <c r="O10">
        <f t="shared" si="4"/>
        <v>55.78</v>
      </c>
      <c r="P10">
        <f t="shared" si="5"/>
        <v>92.9</v>
      </c>
      <c r="Q10">
        <f>VLOOKUP(A10,CAD!$A$3:$J$15, 10, FALSE)</f>
        <v>21.4</v>
      </c>
      <c r="S10">
        <f t="shared" si="0"/>
        <v>60.040000000000006</v>
      </c>
      <c r="U10" cm="1">
        <f t="array" ref="U10">_xlfn.PERCENTRANK.EXC(_xlfn._xlws.FILTER(S$3:S$15, ISNUMBER(S$3:S$15)),S10)*100</f>
        <v>64.2</v>
      </c>
    </row>
    <row r="11" spans="1:21" x14ac:dyDescent="0.35">
      <c r="A11" t="s">
        <v>1</v>
      </c>
      <c r="B11" t="s">
        <v>560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21.499999999999996</v>
      </c>
      <c r="M11">
        <f t="shared" si="2"/>
        <v>92.9</v>
      </c>
      <c r="N11">
        <f t="shared" si="3"/>
        <v>35.799999999999997</v>
      </c>
      <c r="O11">
        <f t="shared" si="4"/>
        <v>55.78</v>
      </c>
      <c r="P11">
        <f t="shared" si="5"/>
        <v>92.9</v>
      </c>
      <c r="Q11">
        <f>VLOOKUP(A11,CAD!$A$3:$J$15, 10, FALSE)</f>
        <v>21.4</v>
      </c>
      <c r="S11">
        <f t="shared" si="0"/>
        <v>60.040000000000006</v>
      </c>
      <c r="U11" cm="1">
        <f t="array" ref="U11">_xlfn.PERCENTRANK.EXC(_xlfn._xlws.FILTER(S$3:S$15, ISNUMBER(S$3:S$15)),S11)*100</f>
        <v>64.2</v>
      </c>
    </row>
    <row r="12" spans="1:21" x14ac:dyDescent="0.35">
      <c r="A12" t="s">
        <v>872</v>
      </c>
      <c r="B12" t="s">
        <v>474</v>
      </c>
      <c r="C12" t="str" cm="1">
        <f t="array" ref="C12">_xll.FDSB(B12,"FG_COMPANY_NAME")</f>
        <v>Swiss Franc per U.S. Dollar</v>
      </c>
      <c r="D12" cm="1">
        <f t="array" ref="D12">_xll.FDSB(B12,"FG_PRICE(0)")</f>
        <v>0.88344999999999996</v>
      </c>
      <c r="E12" cm="1">
        <f t="array" ref="E12">_xll.FDSB(B12,"FG_PRICE_CHANGE(0,-1AY)")</f>
        <v>-3.2895504999999998</v>
      </c>
      <c r="F12" cm="1">
        <f t="array" ref="F12">_xll.FDSB(B12,"FG_PRICE_CHANGE(0,-1AM)")</f>
        <v>-0.32718777999999998</v>
      </c>
      <c r="G12" cm="1">
        <f t="array" ref="G12">_xll.FDSB(B12,"FG_PRICE_CHANGE(0,-3AM)")</f>
        <v>2.0091176000000002</v>
      </c>
      <c r="H12" cm="1">
        <f t="array" ref="H12">_xll.FDSB(B12,"FG_PRICE_CHANGE(0,-6AM)")</f>
        <v>-1.2298107</v>
      </c>
      <c r="I12" cm="1">
        <f t="array" ref="I12">_xll.FDS(B12,"STD(FG_PRICE_CHANGE(0,-1AY,AM))")</f>
        <v>2.2829083004357198</v>
      </c>
      <c r="J12" cm="1">
        <f t="array" ref="J12">_xll.FDS(B12,"STD(FG_PRICE_CHANGE(0,-3AY,M))")*SQRT(12)</f>
        <v>8.8357526025271032</v>
      </c>
      <c r="L12">
        <f t="shared" si="1"/>
        <v>42.900000000000006</v>
      </c>
      <c r="M12">
        <f t="shared" si="2"/>
        <v>21.499999999999996</v>
      </c>
      <c r="N12">
        <f t="shared" si="3"/>
        <v>50</v>
      </c>
      <c r="O12">
        <f t="shared" ref="O12:O15" si="6">SUMPRODUCT($L$1:$N$1,L12:N12)</f>
        <v>37.18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38.6</v>
      </c>
      <c r="U12" cm="1">
        <f t="array" ref="U12">_xlfn.PERCENTRANK.EXC(_xlfn._xlws.FILTER(S$3:S$15, ISNUMBER(S$3:S$15)),S12)*100</f>
        <v>21.4</v>
      </c>
    </row>
    <row r="13" spans="1:21" s="194" customFormat="1" x14ac:dyDescent="0.35">
      <c r="A13" s="194" t="s">
        <v>874</v>
      </c>
      <c r="B13" s="194" t="s">
        <v>887</v>
      </c>
      <c r="C13" s="194" t="str" cm="1">
        <f t="array" ref="C13">_xll.FDSB(B13,"FG_COMPANY_NAME")</f>
        <v>Netherlands Antilles Guilder per U.S. Dollar</v>
      </c>
      <c r="D13" s="194" cm="1">
        <f t="array" ref="D13">_xll.FDSB(B13,"FG_PRICE(0)")</f>
        <v>1.79</v>
      </c>
      <c r="E13" s="194" cm="1">
        <f t="array" ref="E13">_xll.FDSB(B13,"FG_PRICE_CHANGE(0,-1AY)")</f>
        <v>0</v>
      </c>
      <c r="F13" s="194" cm="1">
        <f t="array" ref="F13">_xll.FDSB(B13,"FG_PRICE_CHANGE(0,-1AM)")</f>
        <v>0</v>
      </c>
      <c r="G13" s="194" cm="1">
        <f t="array" ref="G13">_xll.FDSB(B13,"FG_PRICE_CHANGE(0,-3AM)")</f>
        <v>0</v>
      </c>
      <c r="H13" s="194" cm="1">
        <f t="array" ref="H13">_xll.FDSB(B13,"FG_PRICE_CHANGE(0,-6AM)")</f>
        <v>0</v>
      </c>
      <c r="I13" s="194" cm="1">
        <f t="array" ref="I13">_xll.FDS(B13,"STD(FG_PRICE_CHANGE(0,-1AY,AM))")</f>
        <v>0</v>
      </c>
      <c r="J13" s="194" cm="1">
        <f t="array" ref="J13">_xll.FDS(B13,"STD(FG_PRICE_CHANGE(0,-3AY,M))")*SQRT(12)</f>
        <v>0</v>
      </c>
      <c r="L13" s="194">
        <f t="shared" si="1"/>
        <v>21.499999999999996</v>
      </c>
      <c r="M13" s="194">
        <f t="shared" si="2"/>
        <v>92.9</v>
      </c>
      <c r="N13" s="194">
        <f t="shared" si="3"/>
        <v>35.799999999999997</v>
      </c>
      <c r="O13" s="194">
        <f t="shared" si="6"/>
        <v>55.78</v>
      </c>
      <c r="P13" s="194">
        <f t="shared" si="5"/>
        <v>92.9</v>
      </c>
      <c r="Q13" s="194">
        <f>VLOOKUP(A13,CAD!$A$3:$J$15, 10, FALSE)</f>
        <v>92.800000000000011</v>
      </c>
      <c r="S13" s="194">
        <f t="shared" si="7"/>
        <v>74.320000000000007</v>
      </c>
      <c r="U13" s="194" cm="1">
        <f t="array" ref="U13">_xlfn.PERCENTRANK.EXC(_xlfn._xlws.FILTER(S$3:S$15, ISNUMBER(S$3:S$15)),S13)*100</f>
        <v>92.800000000000011</v>
      </c>
    </row>
    <row r="14" spans="1:21" x14ac:dyDescent="0.35">
      <c r="A14" t="s">
        <v>871</v>
      </c>
      <c r="B14" t="s">
        <v>888</v>
      </c>
      <c r="C14" t="str" cm="1">
        <f t="array" ref="C14">_xll.FDSB(B14,"FG_COMPANY_NAME")</f>
        <v>Swedish Krona per U.S. Dollar</v>
      </c>
      <c r="D14" cm="1">
        <f t="array" ref="D14">_xll.FDSB(B14,"FG_PRICE(0)")</f>
        <v>10.332050000000001</v>
      </c>
      <c r="E14" cm="1">
        <f t="array" ref="E14">_xll.FDSB(B14,"FG_PRICE_CHANGE(0,-1AY)")</f>
        <v>-1.3698518</v>
      </c>
      <c r="F14" cm="1">
        <f t="array" ref="F14">_xll.FDSB(B14,"FG_PRICE_CHANGE(0,-1AM)")</f>
        <v>-1.9301592999999999</v>
      </c>
      <c r="G14" cm="1">
        <f t="array" ref="G14">_xll.FDSB(B14,"FG_PRICE_CHANGE(0,-3AM)")</f>
        <v>1.2891531000000001</v>
      </c>
      <c r="H14" cm="1">
        <f t="array" ref="H14">_xll.FDSB(B14,"FG_PRICE_CHANGE(0,-6AM)")</f>
        <v>-7.4093580000000001</v>
      </c>
      <c r="I14" cm="1">
        <f t="array" ref="I14">_xll.FDS(B14,"STD(FG_PRICE_CHANGE(0,-1AY,AM))")</f>
        <v>3.0932329015232098</v>
      </c>
      <c r="J14" cm="1">
        <f t="array" ref="J14">_xll.FDS(B14,"STD(FG_PRICE_CHANGE(0,-3AY,M))")*SQRT(12)</f>
        <v>10.303259917483741</v>
      </c>
      <c r="L14">
        <f t="shared" si="1"/>
        <v>92.9</v>
      </c>
      <c r="M14">
        <f t="shared" si="2"/>
        <v>35.799999999999997</v>
      </c>
      <c r="N14">
        <f t="shared" si="3"/>
        <v>92.9</v>
      </c>
      <c r="O14">
        <f t="shared" si="6"/>
        <v>70.06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57.89</v>
      </c>
      <c r="U14" cm="1">
        <f t="array" ref="U14">_xlfn.PERCENTRANK.EXC(_xlfn._xlws.FILTER(S$3:S$15, ISNUMBER(S$3:S$15)),S14)*100</f>
        <v>57.099999999999994</v>
      </c>
    </row>
    <row r="15" spans="1:21" x14ac:dyDescent="0.35">
      <c r="A15" t="s">
        <v>873</v>
      </c>
      <c r="B15" t="s">
        <v>889</v>
      </c>
      <c r="C15" t="str" cm="1">
        <f t="array" ref="C15">_xll.FDSB(B15,"FG_COMPANY_NAME")</f>
        <v>Italian Lira per U.S. Dollar</v>
      </c>
      <c r="D15" cm="1">
        <f t="array" ref="D15">_xll.FDSB(B15,"FG_PRICE(0)")</f>
        <v>1778.3523</v>
      </c>
      <c r="E15" cm="1">
        <f t="array" ref="E15">_xll.FDSB(B15,"FG_PRICE_CHANGE(0,-1AY)")</f>
        <v>-1.5108347</v>
      </c>
      <c r="F15" cm="1">
        <f t="array" ref="F15">_xll.FDSB(B15,"FG_PRICE_CHANGE(0,-1AM)")</f>
        <v>-1.5337943999999999</v>
      </c>
      <c r="G15" cm="1">
        <f t="array" ref="G15">_xll.FDSB(B15,"FG_PRICE_CHANGE(0,-3AM)")</f>
        <v>0.97814800000000002</v>
      </c>
      <c r="H15" cm="1">
        <f t="array" ref="H15">_xll.FDSB(B15,"FG_PRICE_CHANGE(0,-6AM)")</f>
        <v>-2.0435392999999999</v>
      </c>
      <c r="I15" cm="1">
        <f t="array" ref="I15">_xll.FDS(B15,"STD(FG_PRICE_CHANGE(0,-1AY,AM))")</f>
        <v>2.1679203017970501</v>
      </c>
      <c r="J15" cm="1">
        <f t="array" ref="J15">_xll.FDS(B15,"STD(FG_PRICE_CHANGE(0,-3AY,M))")*SQRT(12)</f>
        <v>7.8939448470427314</v>
      </c>
      <c r="L15">
        <f t="shared" si="1"/>
        <v>64.3</v>
      </c>
      <c r="M15">
        <f t="shared" si="2"/>
        <v>57.2</v>
      </c>
      <c r="N15">
        <f t="shared" si="3"/>
        <v>64.3</v>
      </c>
      <c r="O15">
        <f t="shared" si="6"/>
        <v>61.46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61.440000000000005</v>
      </c>
      <c r="U15" cm="1">
        <f t="array" ref="U15">_xlfn.PERCENTRANK.EXC(_xlfn._xlws.FILTER(S$3:S$15, ISNUMBER(S$3:S$15)),S15)*100</f>
        <v>78.5</v>
      </c>
    </row>
    <row r="24" spans="10:10" x14ac:dyDescent="0.35">
      <c r="J24" s="62"/>
    </row>
    <row r="26" spans="10:10" x14ac:dyDescent="0.35">
      <c r="J26" s="76"/>
    </row>
    <row r="28" spans="10:10" x14ac:dyDescent="0.35">
      <c r="J28" s="7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9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6328125" customWidth="1"/>
  </cols>
  <sheetData>
    <row r="1" spans="1:10" x14ac:dyDescent="0.35">
      <c r="F1" t="s">
        <v>485</v>
      </c>
      <c r="G1" t="s">
        <v>486</v>
      </c>
      <c r="H1" t="s">
        <v>487</v>
      </c>
      <c r="J1" t="s">
        <v>496</v>
      </c>
    </row>
    <row r="2" spans="1:10" x14ac:dyDescent="0.35">
      <c r="C2" t="s">
        <v>488</v>
      </c>
      <c r="D2" t="s">
        <v>156</v>
      </c>
      <c r="E2" t="s">
        <v>489</v>
      </c>
      <c r="F2" t="s">
        <v>490</v>
      </c>
      <c r="G2" t="s">
        <v>483</v>
      </c>
      <c r="H2" t="s">
        <v>484</v>
      </c>
    </row>
    <row r="3" spans="1:10" x14ac:dyDescent="0.35">
      <c r="A3" t="s">
        <v>435</v>
      </c>
      <c r="B3" t="s">
        <v>473</v>
      </c>
      <c r="C3" t="str" cm="1">
        <f t="array" ref="C3">_xll.FDS($E3,"FG_COMPANY_NAME")</f>
        <v>New Zealand</v>
      </c>
      <c r="D3" t="s">
        <v>201</v>
      </c>
      <c r="E3" t="s">
        <v>202</v>
      </c>
      <c r="F3" t="str">
        <f t="shared" ref="F3:F15" si="0">_xlfn.CONCAT($F$1,D3)</f>
        <v>CAGDPY@NZ</v>
      </c>
      <c r="G3" cm="1">
        <f t="array" ref="G3">IFERROR(_xll.FDS($F3,"EE_ACTUAL_ANNUAL(MED,0)"),0)</f>
        <v>-7.6</v>
      </c>
      <c r="H3" cm="1">
        <f t="array" ref="H3">IFERROR(_xll.FDS($F3,"EE_ACTUAL_ANNUAL(MED,+1)"),0)</f>
        <v>-6.1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470</v>
      </c>
      <c r="C4" t="str" cm="1">
        <f t="array" ref="C4">_xll.FDS($E4,"FG_COMPANY_NAME")</f>
        <v>Australia</v>
      </c>
      <c r="D4" t="s">
        <v>117</v>
      </c>
      <c r="E4" t="s">
        <v>178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471</v>
      </c>
      <c r="C5" t="str" cm="1">
        <f t="array" ref="C5">_xll.FDS($E5,"FG_COMPANY_NAME")</f>
        <v>Canada</v>
      </c>
      <c r="D5" t="s">
        <v>120</v>
      </c>
      <c r="E5" t="s">
        <v>161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-0.7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468</v>
      </c>
      <c r="C6" t="str" cm="1">
        <f t="array" ref="C6">_xll.FDS($E6,"FG_COMPANY_NAME")</f>
        <v>Germany</v>
      </c>
      <c r="D6" t="s">
        <v>106</v>
      </c>
      <c r="E6" t="s">
        <v>561</v>
      </c>
      <c r="F6" t="str">
        <f t="shared" si="0"/>
        <v>CAGDPY@DE</v>
      </c>
      <c r="G6" cm="1">
        <f t="array" ref="G6">IFERROR(_xll.FDS($F6,"EE_ACTUAL_ANNUAL(MED,0)"),0)</f>
        <v>6.0126039845649899</v>
      </c>
      <c r="H6" cm="1">
        <f t="array" ref="H6">IFERROR(_xll.FDS($F6,"EE_ACTUAL_ANNUAL(MED,+1)"),0)</f>
        <v>6.55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469</v>
      </c>
      <c r="C7" t="str" cm="1">
        <f t="array" ref="C7">_xll.FDS($E7,"FG_COMPANY_NAME")</f>
        <v>Japan</v>
      </c>
      <c r="D7" t="s">
        <v>118</v>
      </c>
      <c r="E7" t="s">
        <v>168</v>
      </c>
      <c r="F7" t="str">
        <f t="shared" si="0"/>
        <v>CAGDPY@JP</v>
      </c>
      <c r="G7" cm="1">
        <f t="array" ref="G7">IFERROR(_xll.FDS($F7,"EE_ACTUAL_ANNUAL(MED,0)"),0)</f>
        <v>3.55112124522863</v>
      </c>
      <c r="H7" cm="1">
        <f t="array" ref="H7">IFERROR(_xll.FDS($F7,"EE_ACTUAL_ANNUAL(MED,+1)"),0)</f>
        <v>3.2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474</v>
      </c>
      <c r="C8" t="str" cm="1">
        <f t="array" ref="C8">_xll.FDS($E8,"FG_COMPANY_NAME")</f>
        <v>Switzerland</v>
      </c>
      <c r="D8" t="s">
        <v>114</v>
      </c>
      <c r="E8" t="s">
        <v>280</v>
      </c>
      <c r="F8" t="str">
        <f t="shared" si="0"/>
        <v>CAGDPY@CH</v>
      </c>
      <c r="G8" cm="1">
        <f t="array" ref="G8">IFERROR(_xll.FDS($F8,"EE_ACTUAL_ANNUAL(MED,0)"),0)</f>
        <v>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472</v>
      </c>
      <c r="C9" t="str" cm="1">
        <f t="array" ref="C9">_xll.FDS($E9,"FG_COMPANY_NAME")</f>
        <v>United Kingdom</v>
      </c>
      <c r="D9" t="s">
        <v>119</v>
      </c>
      <c r="E9" t="s">
        <v>171</v>
      </c>
      <c r="F9" t="str">
        <f t="shared" si="0"/>
        <v>CAGDPY@GB</v>
      </c>
      <c r="G9" cm="1">
        <f t="array" ref="G9">IFERROR(_xll.FDS($F9,"EE_ACTUAL_ANNUAL(MED,0)"),0)</f>
        <v>-3</v>
      </c>
      <c r="H9" cm="1">
        <f t="array" ref="H9">IFERROR(_xll.FDS($F9,"EE_ACTUAL_ANNUAL(MED,+1)"),0)</f>
        <v>-3.2</v>
      </c>
      <c r="J9" cm="1">
        <f t="array" ref="J9">_xlfn.PERCENTRANK.EXC(_xlfn._xlws.FILTER(H$3:H$15, ISNUMBER(H$3:H$15)),H9)*100</f>
        <v>14.2</v>
      </c>
    </row>
    <row r="10" spans="1:10" x14ac:dyDescent="0.35">
      <c r="A10" t="s">
        <v>51</v>
      </c>
      <c r="B10" t="s">
        <v>560</v>
      </c>
      <c r="C10" t="str" cm="1">
        <f t="array" ref="C10">_xll.FDS($E10,"FG_COMPANY_NAME")</f>
        <v>United States</v>
      </c>
      <c r="D10" t="s">
        <v>123</v>
      </c>
      <c r="E10" t="s">
        <v>174</v>
      </c>
      <c r="F10" t="str">
        <f>_xlfn.CONCAT($F$1,D10)</f>
        <v>CAGDPY@US</v>
      </c>
      <c r="G10" cm="1">
        <f t="array" ref="G10">IFERROR(_xll.FDS($F10,"EE_ACTUAL_ANNUAL(MED,0)"),0)</f>
        <v>-3.1</v>
      </c>
      <c r="H10" cm="1">
        <f t="array" ref="H10">IFERROR(_xll.FDS($F10,"EE_ACTUAL_ANNUAL(MED,+1)"),0)</f>
        <v>-3.05</v>
      </c>
      <c r="J10" cm="1">
        <f t="array" ref="J10">_xlfn.PERCENTRANK.EXC(_xlfn._xlws.FILTER(H$3:H$15, ISNUMBER(H$3:H$15)),H10)*100</f>
        <v>21.4</v>
      </c>
    </row>
    <row r="11" spans="1:10" x14ac:dyDescent="0.35">
      <c r="A11" t="s">
        <v>1</v>
      </c>
      <c r="B11" t="s">
        <v>560</v>
      </c>
      <c r="C11" t="str" cm="1">
        <f t="array" ref="C11">_xll.FDS($E11,"FG_COMPANY_NAME")</f>
        <v>United States</v>
      </c>
      <c r="D11" t="s">
        <v>123</v>
      </c>
      <c r="E11" t="s">
        <v>174</v>
      </c>
      <c r="F11" t="str">
        <f t="shared" si="0"/>
        <v>CAGDPY@US</v>
      </c>
      <c r="G11" cm="1">
        <f t="array" ref="G11">IFERROR(_xll.FDS($F11,"EE_ACTUAL_ANNUAL(MED,0)"),0)</f>
        <v>-3.1</v>
      </c>
      <c r="H11" cm="1">
        <f t="array" ref="H11">IFERROR(_xll.FDS($F11,"EE_ACTUAL_ANNUAL(MED,+1)"),0)</f>
        <v>-3.05</v>
      </c>
      <c r="J11" cm="1">
        <f t="array" ref="J11">_xlfn.PERCENTRANK.EXC(_xlfn._xlws.FILTER(H$3:H$15, ISNUMBER(H$3:H$15)),H11)*100</f>
        <v>21.4</v>
      </c>
    </row>
    <row r="12" spans="1:10" x14ac:dyDescent="0.35">
      <c r="A12" t="s">
        <v>872</v>
      </c>
      <c r="B12" t="s">
        <v>474</v>
      </c>
      <c r="C12" t="s">
        <v>627</v>
      </c>
      <c r="D12" t="s">
        <v>110</v>
      </c>
      <c r="E12" t="s">
        <v>876</v>
      </c>
      <c r="F12" t="str">
        <f t="shared" si="0"/>
        <v>CAGDPY@FR</v>
      </c>
      <c r="G12" cm="1">
        <f t="array" ref="G12">IFERROR(_xll.FDS($F12,"EE_ACTUAL_ANNUAL(MED,0)"),0)</f>
        <v>-1.20455654888099</v>
      </c>
      <c r="H12" cm="1">
        <f t="array" ref="H12">IFERROR(_xll.FDS($F12,"EE_ACTUAL_ANNUAL(MED,+1)"),0)</f>
        <v>-1.3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874</v>
      </c>
      <c r="B13" t="s">
        <v>887</v>
      </c>
      <c r="C13" t="s">
        <v>679</v>
      </c>
      <c r="D13" t="s">
        <v>882</v>
      </c>
      <c r="E13" t="s">
        <v>877</v>
      </c>
      <c r="F13" t="str">
        <f t="shared" si="0"/>
        <v>CAGDPY@NL</v>
      </c>
      <c r="G13" cm="1">
        <f t="array" ref="G13">IFERROR(_xll.FDS($F13,"EE_ACTUAL_ANNUAL(MED,0)"),0)</f>
        <v>9.1</v>
      </c>
      <c r="H13" cm="1">
        <f t="array" ref="H13">IFERROR(_xll.FDS($F13,"EE_ACTUAL_ANNUAL(MED,+1)"),0)</f>
        <v>9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871</v>
      </c>
      <c r="B14" t="s">
        <v>888</v>
      </c>
      <c r="C14" t="s">
        <v>711</v>
      </c>
      <c r="D14" t="s">
        <v>276</v>
      </c>
      <c r="E14" t="s">
        <v>277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873</v>
      </c>
      <c r="B15" t="s">
        <v>889</v>
      </c>
      <c r="C15" t="s">
        <v>647</v>
      </c>
      <c r="D15" t="s">
        <v>883</v>
      </c>
      <c r="E15" t="s">
        <v>875</v>
      </c>
      <c r="F15" t="str">
        <f t="shared" si="0"/>
        <v>CAGDPY@IT</v>
      </c>
      <c r="G15" cm="1">
        <f t="array" ref="G15">IFERROR(_xll.FDS($F15,"EE_ACTUAL_ANNUAL(MED,0)"),0)</f>
        <v>0.154744313434199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6328125" customWidth="1"/>
    <col min="2" max="2" width="14" customWidth="1"/>
    <col min="3" max="3" width="11.6328125" customWidth="1"/>
    <col min="24" max="24" width="11.08984375" bestFit="1" customWidth="1"/>
    <col min="25" max="25" width="13.6328125" bestFit="1" customWidth="1"/>
    <col min="40" max="40" width="11.36328125" customWidth="1"/>
  </cols>
  <sheetData>
    <row r="1" spans="1:40" x14ac:dyDescent="0.3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108</v>
      </c>
      <c r="I1" t="s">
        <v>109</v>
      </c>
      <c r="J1" t="s">
        <v>108</v>
      </c>
      <c r="K1" t="s">
        <v>110</v>
      </c>
      <c r="L1" t="s">
        <v>111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T1" t="s">
        <v>119</v>
      </c>
      <c r="U1" t="s">
        <v>120</v>
      </c>
      <c r="W1" t="s">
        <v>108</v>
      </c>
      <c r="Y1" t="s">
        <v>121</v>
      </c>
      <c r="AA1" t="s">
        <v>122</v>
      </c>
      <c r="AB1" t="s">
        <v>123</v>
      </c>
      <c r="AC1" t="s">
        <v>123</v>
      </c>
      <c r="AD1" t="s">
        <v>124</v>
      </c>
      <c r="AE1" t="s">
        <v>122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L1" t="s">
        <v>130</v>
      </c>
      <c r="AM1" t="s">
        <v>131</v>
      </c>
    </row>
    <row r="3" spans="1:40" x14ac:dyDescent="0.35">
      <c r="B3" t="s">
        <v>132</v>
      </c>
      <c r="C3" t="s">
        <v>133</v>
      </c>
      <c r="D3" t="s">
        <v>134</v>
      </c>
      <c r="E3" t="s">
        <v>19</v>
      </c>
      <c r="F3" t="s">
        <v>135</v>
      </c>
      <c r="G3" t="s">
        <v>17</v>
      </c>
      <c r="H3" t="s">
        <v>17</v>
      </c>
      <c r="I3" t="s">
        <v>136</v>
      </c>
      <c r="J3" t="s">
        <v>17</v>
      </c>
      <c r="K3" t="s">
        <v>137</v>
      </c>
      <c r="L3" t="s">
        <v>112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T3" t="s">
        <v>145</v>
      </c>
      <c r="U3" t="s">
        <v>146</v>
      </c>
      <c r="V3" t="s">
        <v>144</v>
      </c>
      <c r="W3" t="s">
        <v>17</v>
      </c>
      <c r="X3" t="s">
        <v>144</v>
      </c>
      <c r="Y3" t="s">
        <v>147</v>
      </c>
      <c r="Z3" t="s">
        <v>144</v>
      </c>
      <c r="AA3" t="s">
        <v>18</v>
      </c>
      <c r="AB3" t="s">
        <v>14</v>
      </c>
      <c r="AC3" t="s">
        <v>14</v>
      </c>
      <c r="AD3" t="s">
        <v>148</v>
      </c>
      <c r="AE3" t="s">
        <v>18</v>
      </c>
      <c r="AF3" t="s">
        <v>15</v>
      </c>
      <c r="AG3" t="s">
        <v>149</v>
      </c>
      <c r="AH3" t="s">
        <v>150</v>
      </c>
      <c r="AI3" t="s">
        <v>151</v>
      </c>
      <c r="AJ3" t="s">
        <v>152</v>
      </c>
      <c r="AL3" t="s">
        <v>153</v>
      </c>
      <c r="AM3" t="s">
        <v>20</v>
      </c>
      <c r="AN3" t="s">
        <v>144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t="e" cm="1">
        <f t="array" ref="AA4:AA13">_xll.FDS(AA3,"FG_YIELD(-10AY,0,y,,""YTM"")")</f>
        <v>#N/A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t="e" cm="1">
        <f t="array" ref="AE4:AE13">_xll.FDS(AE3,"FG_YIELD(-10AY,0,y,,""YTM"")")</f>
        <v>#N/A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 t="e">
        <v>#N/A</v>
      </c>
      <c r="AB5">
        <v>2.2961</v>
      </c>
      <c r="AC5">
        <v>2.2961</v>
      </c>
      <c r="AD5" t="e">
        <v>#N/A</v>
      </c>
      <c r="AE5" t="e">
        <v>#N/A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7.4903000000000004</v>
      </c>
      <c r="AB7">
        <v>2.4325000000000001</v>
      </c>
      <c r="AC7">
        <v>2.4325000000000001</v>
      </c>
      <c r="AD7" t="e">
        <v>#N/A</v>
      </c>
      <c r="AE7">
        <v>7.4903000000000004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 t="e">
        <v>#N/A</v>
      </c>
      <c r="AB8">
        <v>2.6836000000000002</v>
      </c>
      <c r="AC8">
        <v>2.6836000000000002</v>
      </c>
      <c r="AD8" t="e">
        <v>#N/A</v>
      </c>
      <c r="AE8" t="e">
        <v>#N/A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 t="e">
        <v>#N/A</v>
      </c>
      <c r="AB9">
        <v>1.9185000000000001</v>
      </c>
      <c r="AC9">
        <v>1.9185000000000001</v>
      </c>
      <c r="AD9" t="e">
        <v>#N/A</v>
      </c>
      <c r="AE9" t="e">
        <v>#N/A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 t="e">
        <v>#N/A</v>
      </c>
      <c r="AB10">
        <v>0.91739999999999999</v>
      </c>
      <c r="AC10">
        <v>0.91739999999999999</v>
      </c>
      <c r="AD10" t="e">
        <v>#N/A</v>
      </c>
      <c r="AE10" t="e">
        <v>#N/A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6.4687999999999999</v>
      </c>
      <c r="AB11">
        <v>1.5119</v>
      </c>
      <c r="AC11">
        <v>1.5119</v>
      </c>
      <c r="AD11" t="e">
        <v>#N/A</v>
      </c>
      <c r="AE11">
        <v>6.4687999999999999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7.3388</v>
      </c>
      <c r="AB12">
        <v>3.8776000000000002</v>
      </c>
      <c r="AC12">
        <v>3.8776000000000002</v>
      </c>
      <c r="AD12" t="e">
        <v>#N/A</v>
      </c>
      <c r="AE12">
        <v>7.3388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7.2</v>
      </c>
      <c r="AB13">
        <v>3.8791000000000002</v>
      </c>
      <c r="AC13">
        <v>3.8791000000000002</v>
      </c>
      <c r="AD13" t="e">
        <v>#N/A</v>
      </c>
      <c r="AE13">
        <v>7.2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95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 t="e">
        <f t="shared" si="0"/>
        <v>#N/A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 t="e">
        <f t="shared" si="0"/>
        <v>#N/A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398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 t="e">
        <f t="shared" si="1"/>
        <v>#N/A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 t="e">
        <f t="shared" si="1"/>
        <v>#N/A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500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7.2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7.2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6328125" customWidth="1"/>
  </cols>
  <sheetData>
    <row r="1" spans="1:14" x14ac:dyDescent="0.35">
      <c r="B1" t="s">
        <v>435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8.3559628430688804</v>
      </c>
      <c r="G17">
        <v>14.538819869127099</v>
      </c>
      <c r="H17">
        <v>12.871054501249599</v>
      </c>
      <c r="I17">
        <v>25.011729152832</v>
      </c>
      <c r="J17">
        <v>18.292929265587201</v>
      </c>
      <c r="K17">
        <v>10.914009651363701</v>
      </c>
      <c r="L17">
        <v>13.091763606585999</v>
      </c>
      <c r="M17">
        <v>13.411796827846301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9.7140774239929009</v>
      </c>
      <c r="F18">
        <v>7.4385994017897303</v>
      </c>
      <c r="G18">
        <v>14.6677795152565</v>
      </c>
      <c r="H18">
        <v>11.205060980823401</v>
      </c>
      <c r="I18">
        <v>24.534442850508999</v>
      </c>
      <c r="J18">
        <v>17.2298191459873</v>
      </c>
      <c r="K18">
        <v>8.94242101240323</v>
      </c>
      <c r="L18">
        <v>9.7785656554204401</v>
      </c>
      <c r="M18">
        <v>11.907032685966399</v>
      </c>
      <c r="N18">
        <v>8.27578853786002</v>
      </c>
    </row>
    <row r="19" spans="1:17" ht="25.5" customHeight="1" x14ac:dyDescent="0.35">
      <c r="A19" s="2">
        <v>44561</v>
      </c>
      <c r="B19">
        <v>6.4440018120205602</v>
      </c>
      <c r="C19">
        <v>12.8471719199911</v>
      </c>
      <c r="D19">
        <v>14.1061782856045</v>
      </c>
      <c r="E19">
        <v>12.1999545354885</v>
      </c>
      <c r="F19">
        <v>9.2207657607753006</v>
      </c>
      <c r="G19">
        <v>16.3837417700753</v>
      </c>
      <c r="H19">
        <v>13.922769947021701</v>
      </c>
      <c r="I19">
        <v>26.637202164256799</v>
      </c>
      <c r="J19">
        <v>20.686290277772699</v>
      </c>
      <c r="K19">
        <v>12.253958118864199</v>
      </c>
      <c r="L19">
        <v>10.899145950205799</v>
      </c>
      <c r="M19">
        <v>15.3602779404436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11.818809345525199</v>
      </c>
      <c r="F20">
        <v>9.2254456272439604</v>
      </c>
      <c r="G20">
        <v>16.690651733527702</v>
      </c>
      <c r="H20">
        <v>15.858744412332101</v>
      </c>
      <c r="I20">
        <v>24.048321572288899</v>
      </c>
      <c r="J20">
        <v>20.598572537804099</v>
      </c>
      <c r="K20">
        <v>13.1475852543623</v>
      </c>
      <c r="L20">
        <v>12.015889172957699</v>
      </c>
      <c r="M20">
        <v>14.691294534808801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13.1440312273413</v>
      </c>
      <c r="E21">
        <v>11.9408562756701</v>
      </c>
      <c r="F21">
        <v>9.2990105044931095</v>
      </c>
      <c r="G21">
        <v>19.299912173728998</v>
      </c>
      <c r="H21">
        <v>14.732463877154</v>
      </c>
      <c r="I21">
        <v>25.2988883001969</v>
      </c>
      <c r="J21">
        <v>20.343260664269501</v>
      </c>
      <c r="K21">
        <v>13.221059503291199</v>
      </c>
      <c r="L21">
        <v>12.7459860312169</v>
      </c>
      <c r="M21">
        <v>15.368050603555201</v>
      </c>
      <c r="N21">
        <v>13.3572177464321</v>
      </c>
    </row>
    <row r="23" spans="1:17" x14ac:dyDescent="0.35">
      <c r="A23" t="s">
        <v>95</v>
      </c>
      <c r="B23" s="8">
        <f t="shared" ref="B23:N23" si="0">MIN(_xlfn.ANCHORARRAY(B2))</f>
        <v>6.4440018120205602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9.7140774239929009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8.94242101240323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398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11.98466060872375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14.44282304978255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500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13.1440312273413</v>
      </c>
      <c r="E25" s="8">
        <f t="shared" si="2"/>
        <v>11.9408562756701</v>
      </c>
      <c r="F25" s="8">
        <f t="shared" si="2"/>
        <v>9.2990105044931095</v>
      </c>
      <c r="G25" s="8">
        <f t="shared" si="2"/>
        <v>19.299912173728998</v>
      </c>
      <c r="H25" s="8">
        <f t="shared" si="2"/>
        <v>14.732463877154</v>
      </c>
      <c r="I25" s="8">
        <f t="shared" si="2"/>
        <v>25.2988883001969</v>
      </c>
      <c r="J25" s="8">
        <f t="shared" si="2"/>
        <v>20.343260664269501</v>
      </c>
      <c r="K25" s="8">
        <f t="shared" si="2"/>
        <v>13.221059503291199</v>
      </c>
      <c r="L25" s="8">
        <f t="shared" si="2"/>
        <v>12.7459860312169</v>
      </c>
      <c r="M25" s="8">
        <f t="shared" si="2"/>
        <v>15.368050603555201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5" zoomScaleNormal="85" workbookViewId="0">
      <selection activeCell="N9" sqref="N9"/>
    </sheetView>
  </sheetViews>
  <sheetFormatPr defaultRowHeight="14.5" x14ac:dyDescent="0.35"/>
  <cols>
    <col min="1" max="1" width="19.6328125" hidden="1" customWidth="1"/>
    <col min="2" max="2" width="12.6328125" hidden="1" customWidth="1"/>
    <col min="3" max="3" width="15.6328125" hidden="1" customWidth="1"/>
    <col min="4" max="4" width="13.90625" hidden="1" customWidth="1"/>
    <col min="5" max="5" width="23.54296875" hidden="1" customWidth="1"/>
    <col min="6" max="6" width="9.6328125" hidden="1" customWidth="1"/>
    <col min="7" max="9" width="19.36328125" customWidth="1"/>
    <col min="10" max="10" width="34.36328125" customWidth="1"/>
    <col min="11" max="11" width="19.36328125" customWidth="1"/>
    <col min="12" max="12" width="11" customWidth="1"/>
    <col min="13" max="13" width="11" bestFit="1" customWidth="1"/>
    <col min="16" max="16" width="11.453125" customWidth="1"/>
    <col min="17" max="17" width="10.36328125" bestFit="1" customWidth="1"/>
    <col min="18" max="18" width="13.36328125" customWidth="1"/>
    <col min="28" max="28" width="13" customWidth="1"/>
  </cols>
  <sheetData>
    <row r="1" spans="1:20" ht="18.5" x14ac:dyDescent="0.55000000000000004">
      <c r="K1" s="71" t="s">
        <v>777</v>
      </c>
      <c r="L1" s="125">
        <f ca="1">TODAY()</f>
        <v>45366</v>
      </c>
      <c r="M1" s="127"/>
    </row>
    <row r="2" spans="1:20" ht="15" thickBot="1" x14ac:dyDescent="0.4">
      <c r="K2" s="12" t="s">
        <v>778</v>
      </c>
      <c r="L2" s="126">
        <f ca="1">EOMONTH((TODAY()-90),MOD(-MONTH((TODAY()-90)),3)-3)</f>
        <v>45199</v>
      </c>
    </row>
    <row r="3" spans="1:20" ht="50.25" customHeight="1" x14ac:dyDescent="0.35">
      <c r="E3" t="s">
        <v>753</v>
      </c>
      <c r="F3" t="s">
        <v>754</v>
      </c>
      <c r="H3" t="s">
        <v>770</v>
      </c>
      <c r="I3" t="s">
        <v>567</v>
      </c>
      <c r="J3" t="s">
        <v>522</v>
      </c>
      <c r="M3" s="123" t="s">
        <v>771</v>
      </c>
      <c r="N3" t="str" cm="1">
        <f t="array" aca="1" ref="N3:O3" ca="1">_xll.FDSRC("-","DUMMY","ECON_DATE("&amp;$L$1&amp;","&amp;$L$2&amp;",'Q', 'MM/YYYY')")</f>
        <v>12/2023</v>
      </c>
      <c r="O3" t="str">
        <f ca="1"/>
        <v>09/2023</v>
      </c>
      <c r="P3" s="123" t="s">
        <v>774</v>
      </c>
      <c r="Q3" s="123" t="s">
        <v>780</v>
      </c>
      <c r="R3" s="128" t="s">
        <v>781</v>
      </c>
      <c r="S3" s="128" t="s">
        <v>556</v>
      </c>
      <c r="T3" s="128" t="s">
        <v>743</v>
      </c>
    </row>
    <row r="4" spans="1:20" x14ac:dyDescent="0.35">
      <c r="A4" t="s">
        <v>435</v>
      </c>
      <c r="B4" t="s">
        <v>450</v>
      </c>
      <c r="C4" t="s">
        <v>435</v>
      </c>
      <c r="D4" t="s">
        <v>756</v>
      </c>
      <c r="E4">
        <v>53.7</v>
      </c>
      <c r="F4">
        <v>5.3</v>
      </c>
      <c r="G4" t="s">
        <v>201</v>
      </c>
      <c r="H4" s="120" t="s">
        <v>761</v>
      </c>
      <c r="I4" s="121" t="s">
        <v>680</v>
      </c>
      <c r="J4" s="122" t="str" cm="1">
        <f t="array" ref="J4">_xll.FDS(K4,"FG_COMPANY_NAME")</f>
        <v>iShares MSCI New Zealand ETF</v>
      </c>
      <c r="K4" s="122" t="s">
        <v>435</v>
      </c>
      <c r="L4" t="s">
        <v>756</v>
      </c>
      <c r="M4" cm="1">
        <f t="array" ref="M4">IF(_xll.FDSRC(,"DUMMY","ECON_EXPR_DATA('FDS_ECON["&amp;H4&amp;"]',,,M)")=0,$J$20,_xll.FDSRC(,"DUMMY","ECON_EXPR_DATA('FDS_ECON["&amp;H4&amp;"]',,,M)"))</f>
        <v>49.270940000000003</v>
      </c>
      <c r="N4" cm="1">
        <f t="array" aca="1" ref="N4:O4" ca="1">_xll.FDSRC("-","DUMMY","ECON_EXPR_DATA('FDS_ECON["&amp;H4&amp;"]',"&amp;$L$1&amp;","&amp;$L$2&amp;",Q)")</f>
        <v>44.351115999999998</v>
      </c>
      <c r="O4">
        <f ca="1"/>
        <v>45.880732999999999</v>
      </c>
      <c r="P4">
        <f t="shared" ref="P4:P12" ca="1" si="0">IFERROR(N4-O4,$M$20)</f>
        <v>-1.5296170000000018</v>
      </c>
      <c r="Q4" cm="1">
        <f t="array" ref="Q4">_xlfn.PERCENTRANK.EXC(_xlfn._xlws.FILTER(M$4:M$16, ISNUMBER(M$4:M$16)),M4)*100</f>
        <v>57.099999999999994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39.94</v>
      </c>
      <c r="T4" cm="1">
        <f t="array" aca="1" ref="T4" ca="1">_xlfn.PERCENTRANK.EXC(_xlfn._xlws.FILTER(S$4:S$16, ISNUMBER(S$4:S$16)),S4)*100</f>
        <v>35.699999999999996</v>
      </c>
    </row>
    <row r="5" spans="1:20" x14ac:dyDescent="0.35">
      <c r="A5" t="s">
        <v>44</v>
      </c>
      <c r="B5" t="s">
        <v>45</v>
      </c>
      <c r="C5" t="s">
        <v>44</v>
      </c>
      <c r="D5" t="s">
        <v>756</v>
      </c>
      <c r="E5">
        <v>53</v>
      </c>
      <c r="F5">
        <v>4.5</v>
      </c>
      <c r="G5" t="s">
        <v>117</v>
      </c>
      <c r="H5" s="120" t="s">
        <v>759</v>
      </c>
      <c r="I5" s="121" t="s">
        <v>582</v>
      </c>
      <c r="J5" s="122" t="str" cm="1">
        <f t="array" ref="J5">_xll.FDS(K5,"FG_COMPANY_NAME")</f>
        <v>iShares MSCI Australia ETF</v>
      </c>
      <c r="K5" s="122" t="s">
        <v>44</v>
      </c>
      <c r="L5" t="s">
        <v>756</v>
      </c>
      <c r="M5" cm="1">
        <f t="array" ref="M5">IF(_xll.FDSRC(,"DUMMY","ECON_EXPR_DATA('FDS_ECON["&amp;H5&amp;"]',,,M)")=0,$J$20,_xll.FDSRC(,"DUMMY","ECON_EXPR_DATA('FDS_ECON["&amp;H5&amp;"]',,,M)"))</f>
        <v>47.823067000000002</v>
      </c>
      <c r="N5" cm="1">
        <f t="array" aca="1" ref="N5:O5" ca="1">_xll.FDSRC("-","DUMMY","ECON_EXPR_DATA('FDS_ECON["&amp;H5&amp;"]',"&amp;$L$1&amp;","&amp;$L$2&amp;",Q)")</f>
        <v>47.862293000000001</v>
      </c>
      <c r="O5">
        <f ca="1"/>
        <v>49.327064999999997</v>
      </c>
      <c r="P5">
        <f t="shared" ca="1" si="0"/>
        <v>-1.4647719999999964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21.4</v>
      </c>
      <c r="S5">
        <f ca="1">Q5*Assumption!$E$27 + R5*Assumption!$F$27</f>
        <v>34.239999999999995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756</v>
      </c>
      <c r="E6">
        <v>53.7</v>
      </c>
      <c r="F6">
        <v>5.3</v>
      </c>
      <c r="G6" t="s">
        <v>120</v>
      </c>
      <c r="H6" s="120" t="s">
        <v>758</v>
      </c>
      <c r="I6" s="121" t="s">
        <v>604</v>
      </c>
      <c r="J6" s="122" t="str" cm="1">
        <f t="array" ref="J6">_xll.FDS(K6,"FG_COMPANY_NAME")</f>
        <v>iShares MSCI Canada ETF</v>
      </c>
      <c r="K6" s="122" t="s">
        <v>49</v>
      </c>
      <c r="L6" t="s">
        <v>756</v>
      </c>
      <c r="M6" cm="1">
        <f t="array" ref="M6">IF(_xll.FDSRC(,"DUMMY","ECON_EXPR_DATA('FDS_ECON["&amp;H6&amp;"]',,,M)")=0,$J$20,_xll.FDSRC(,"DUMMY","ECON_EXPR_DATA('FDS_ECON["&amp;H6&amp;"]',,,M)"))</f>
        <v>49.740319999999997</v>
      </c>
      <c r="N6" cm="1">
        <f t="array" aca="1" ref="N6:O6" ca="1">_xll.FDSRC("-","DUMMY","ECON_EXPR_DATA('FDS_ECON["&amp;H6&amp;"]',"&amp;$L$1&amp;","&amp;$L$2&amp;",Q)")</f>
        <v>47.255585000000004</v>
      </c>
      <c r="O6">
        <f ca="1"/>
        <v>48.335906999999999</v>
      </c>
      <c r="P6">
        <f t="shared" ca="1" si="0"/>
        <v>-1.0803219999999953</v>
      </c>
      <c r="Q6" cm="1">
        <f t="array" ref="Q6">_xlfn.PERCENTRANK.EXC(_xlfn._xlws.FILTER(M$4:M$16, ISNUMBER(M$4:M$16)),M6)*100</f>
        <v>71.399999999999991</v>
      </c>
      <c r="R6" cm="1">
        <f t="array" aca="1" ref="R6" ca="1">_xlfn.PERCENTRANK.EXC(_xlfn._xlws.FILTER(P$4:P$16, ISNUMBER(P$4:P$16)),P6)*100</f>
        <v>28.499999999999996</v>
      </c>
      <c r="S6">
        <f ca="1">Q6*Assumption!$E$27 + R6*Assumption!$F$27</f>
        <v>54.239999999999995</v>
      </c>
      <c r="T6" cm="1">
        <f t="array" aca="1" ref="T6" ca="1">_xlfn.PERCENTRANK.EXC(_xlfn._xlws.FILTER(S$4:S$16, ISNUMBER(S$4:S$16)),S6)*100</f>
        <v>57.099999999999994</v>
      </c>
    </row>
    <row r="7" spans="1:20" x14ac:dyDescent="0.35">
      <c r="A7" t="s">
        <v>11</v>
      </c>
      <c r="B7" t="s">
        <v>39</v>
      </c>
      <c r="C7" t="s">
        <v>11</v>
      </c>
      <c r="D7" t="s">
        <v>756</v>
      </c>
      <c r="E7">
        <v>54.2</v>
      </c>
      <c r="F7">
        <v>3.4</v>
      </c>
      <c r="G7" t="s">
        <v>106</v>
      </c>
      <c r="H7" s="120" t="s">
        <v>762</v>
      </c>
      <c r="I7" s="121" t="s">
        <v>631</v>
      </c>
      <c r="J7" s="122" t="str" cm="1">
        <f t="array" ref="J7">_xll.FDS(K7,"FG_COMPANY_NAME")</f>
        <v>iShares MSCI Germany ETF</v>
      </c>
      <c r="K7" s="122" t="s">
        <v>11</v>
      </c>
      <c r="L7" t="s">
        <v>756</v>
      </c>
      <c r="M7" cm="1">
        <f t="array" ref="M7">IF(_xll.FDSRC(,"DUMMY","ECON_EXPR_DATA('FDS_ECON["&amp;H7&amp;"]',,,M)")=0,$J$20,_xll.FDSRC(,"DUMMY","ECON_EXPR_DATA('FDS_ECON["&amp;H7&amp;"]',,,M)"))</f>
        <v>42.526249999999997</v>
      </c>
      <c r="N7" cm="1">
        <f t="array" aca="1" ref="N7:O7" ca="1">_xll.FDSRC("-","DUMMY","ECON_EXPR_DATA('FDS_ECON["&amp;H7&amp;"]',"&amp;$L$1&amp;","&amp;$L$2&amp;",Q)")</f>
        <v>42.238945000000001</v>
      </c>
      <c r="O7">
        <f ca="1"/>
        <v>39.155673999999998</v>
      </c>
      <c r="P7">
        <f t="shared" ca="1" si="0"/>
        <v>3.0832710000000034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92.800000000000011</v>
      </c>
      <c r="S7">
        <f ca="1">Q7*Assumption!$E$27 + R7*Assumption!$F$27</f>
        <v>41.38</v>
      </c>
      <c r="T7" cm="1">
        <f t="array" aca="1" ref="T7" ca="1">_xlfn.PERCENTRANK.EXC(_xlfn._xlws.FILTER(S$4:S$16, ISNUMBER(S$4:S$16)),S7)*100</f>
        <v>42.8</v>
      </c>
    </row>
    <row r="8" spans="1:20" x14ac:dyDescent="0.35">
      <c r="A8" t="s">
        <v>46</v>
      </c>
      <c r="B8" t="s">
        <v>47</v>
      </c>
      <c r="C8" t="s">
        <v>46</v>
      </c>
      <c r="D8" t="s">
        <v>756</v>
      </c>
      <c r="E8">
        <v>52.9</v>
      </c>
      <c r="F8">
        <v>2.2000000000000002</v>
      </c>
      <c r="G8" t="s">
        <v>118</v>
      </c>
      <c r="H8" s="120" t="s">
        <v>760</v>
      </c>
      <c r="I8" s="121" t="s">
        <v>649</v>
      </c>
      <c r="J8" s="122" t="str" cm="1">
        <f t="array" ref="J8">_xll.FDS(K8,"FG_COMPANY_NAME")</f>
        <v>iShares MSCI Japan ETF</v>
      </c>
      <c r="K8" s="122" t="s">
        <v>46</v>
      </c>
      <c r="L8" t="s">
        <v>756</v>
      </c>
      <c r="M8" cm="1">
        <f t="array" ref="M8">IF(_xll.FDSRC(,"DUMMY","ECON_EXPR_DATA('FDS_ECON["&amp;H8&amp;"]',,,M)")=0,$J$20,_xll.FDSRC(,"DUMMY","ECON_EXPR_DATA('FDS_ECON["&amp;H8&amp;"]',,,M)"))</f>
        <v>47.182769999999998</v>
      </c>
      <c r="N8" cm="1">
        <f t="array" aca="1" ref="N8:O8" ca="1">_xll.FDSRC("-","DUMMY","ECON_EXPR_DATA('FDS_ECON["&amp;H8&amp;"]',"&amp;$L$1&amp;","&amp;$L$2&amp;",Q)")</f>
        <v>48.318770000000001</v>
      </c>
      <c r="O8">
        <f ca="1"/>
        <v>49.252665999999998</v>
      </c>
      <c r="P8">
        <f t="shared" ca="1" si="0"/>
        <v>-0.93389599999999717</v>
      </c>
      <c r="Q8" cm="1">
        <f t="array" ref="Q8">_xlfn.PERCENTRANK.EXC(_xlfn._xlws.FILTER(M$4:M$16, ISNUMBER(M$4:M$16)),M8)*100</f>
        <v>28.499999999999996</v>
      </c>
      <c r="R8" cm="1">
        <f t="array" aca="1" ref="R8" ca="1">_xlfn.PERCENTRANK.EXC(_xlfn._xlws.FILTER(P$4:P$16, ISNUMBER(P$4:P$16)),P8)*100</f>
        <v>35.699999999999996</v>
      </c>
      <c r="S8">
        <f ca="1">Q8*Assumption!$E$27 + R8*Assumption!$F$27</f>
        <v>31.379999999999995</v>
      </c>
      <c r="T8" cm="1">
        <f t="array" aca="1" ref="T8" ca="1">_xlfn.PERCENTRANK.EXC(_xlfn._xlws.FILTER(S$4:S$16, ISNUMBER(S$4:S$16)),S8)*100</f>
        <v>14.2</v>
      </c>
    </row>
    <row r="9" spans="1:20" x14ac:dyDescent="0.35">
      <c r="A9" t="s">
        <v>42</v>
      </c>
      <c r="B9" t="s">
        <v>43</v>
      </c>
      <c r="C9" t="s">
        <v>42</v>
      </c>
      <c r="D9" t="s">
        <v>756</v>
      </c>
      <c r="E9">
        <v>53.7</v>
      </c>
      <c r="F9">
        <v>5.3</v>
      </c>
      <c r="G9" t="s">
        <v>114</v>
      </c>
      <c r="H9" s="120" t="s">
        <v>764</v>
      </c>
      <c r="I9" s="121" t="s">
        <v>712</v>
      </c>
      <c r="J9" s="122" t="str" cm="1">
        <f t="array" ref="J9">_xll.FDS(K9,"FG_COMPANY_NAME")</f>
        <v>iShares MSCI Switzerland ETF</v>
      </c>
      <c r="K9" s="122" t="s">
        <v>42</v>
      </c>
      <c r="L9" t="s">
        <v>756</v>
      </c>
      <c r="M9" cm="1">
        <f t="array" ref="M9">IF(_xll.FDSRC(,"DUMMY","ECON_EXPR_DATA('FDS_ECON["&amp;H9&amp;"]',,,M)")=0,$J$20,_xll.FDSRC(,"DUMMY","ECON_EXPR_DATA('FDS_ECON["&amp;H9&amp;"]',,,M)"))</f>
        <v>43.954456</v>
      </c>
      <c r="N9" cm="1">
        <f t="array" aca="1" ref="N9:O9" ca="1">_xll.FDSRC("-","DUMMY","ECON_EXPR_DATA('FDS_ECON["&amp;H9&amp;"]',"&amp;$L$1&amp;","&amp;$L$2&amp;",Q)")</f>
        <v>41.921543</v>
      </c>
      <c r="O9">
        <f ca="1"/>
        <v>41.102364000000001</v>
      </c>
      <c r="P9">
        <f t="shared" ca="1" si="0"/>
        <v>0.81917899999999833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78.5</v>
      </c>
      <c r="S9">
        <f ca="1">Q9*Assumption!$E$27 + R9*Assumption!$F$27</f>
        <v>39.92</v>
      </c>
      <c r="T9" cm="1">
        <f t="array" aca="1" ref="T9" ca="1">_xlfn.PERCENTRANK.EXC(_xlfn._xlws.FILTER(S$4:S$16, ISNUMBER(S$4:S$16)),S9)*100</f>
        <v>28.499999999999996</v>
      </c>
    </row>
    <row r="10" spans="1:20" x14ac:dyDescent="0.35">
      <c r="A10" t="s">
        <v>48</v>
      </c>
      <c r="B10" t="s">
        <v>451</v>
      </c>
      <c r="C10" t="s">
        <v>48</v>
      </c>
      <c r="D10" t="s">
        <v>756</v>
      </c>
      <c r="E10">
        <v>54.9</v>
      </c>
      <c r="F10">
        <v>6.4</v>
      </c>
      <c r="G10" t="s">
        <v>119</v>
      </c>
      <c r="H10" s="120" t="s">
        <v>763</v>
      </c>
      <c r="I10" s="121" t="s">
        <v>451</v>
      </c>
      <c r="J10" s="122" t="str" cm="1">
        <f t="array" ref="J10">_xll.FDS(K10,"FG_COMPANY_NAME")</f>
        <v>iShares MSCI United Kingdom ETF</v>
      </c>
      <c r="K10" s="122" t="s">
        <v>48</v>
      </c>
      <c r="L10" t="s">
        <v>756</v>
      </c>
      <c r="M10" cm="1">
        <f t="array" ref="M10">IF(_xll.FDSRC(,"DUMMY","ECON_EXPR_DATA('FDS_ECON["&amp;H10&amp;"]',,,M)")=0,$J$20,_xll.FDSRC(,"DUMMY","ECON_EXPR_DATA('FDS_ECON["&amp;H10&amp;"]',,,M)"))</f>
        <v>47.508816000000003</v>
      </c>
      <c r="N10" cm="1">
        <f t="array" aca="1" ref="N10:O10" ca="1">_xll.FDSRC("-","DUMMY","ECON_EXPR_DATA('FDS_ECON["&amp;H10&amp;"]',"&amp;$L$1&amp;","&amp;$L$2&amp;",Q)")</f>
        <v>46.058700000000002</v>
      </c>
      <c r="O10">
        <f ca="1"/>
        <v>44.209952999999999</v>
      </c>
      <c r="P10">
        <f t="shared" ca="1" si="0"/>
        <v>1.848747000000003</v>
      </c>
      <c r="Q10" cm="1">
        <f t="array" ref="Q10">_xlfn.PERCENTRANK.EXC(_xlfn._xlws.FILTER(M$4:M$16, ISNUMBER(M$4:M$16)),M10)*100</f>
        <v>35.699999999999996</v>
      </c>
      <c r="R10" cm="1">
        <f t="array" aca="1" ref="R10" ca="1">_xlfn.PERCENTRANK.EXC(_xlfn._xlws.FILTER(P$4:P$16, ISNUMBER(P$4:P$16)),P10)*100</f>
        <v>85.7</v>
      </c>
      <c r="S10">
        <f ca="1">Q10*Assumption!$E$27 + R10*Assumption!$F$27</f>
        <v>55.7</v>
      </c>
      <c r="T10" cm="1">
        <f t="array" aca="1" ref="T10" ca="1">_xlfn.PERCENTRANK.EXC(_xlfn._xlws.FILTER(S$4:S$16, ISNUMBER(S$4:S$16)),S10)*100</f>
        <v>64.2</v>
      </c>
    </row>
    <row r="11" spans="1:20" x14ac:dyDescent="0.35">
      <c r="A11" t="s">
        <v>51</v>
      </c>
      <c r="B11" t="s">
        <v>452</v>
      </c>
      <c r="C11" t="s">
        <v>51</v>
      </c>
      <c r="D11" t="s">
        <v>756</v>
      </c>
      <c r="E11">
        <v>53.4</v>
      </c>
      <c r="F11">
        <v>6.5</v>
      </c>
      <c r="G11" t="s">
        <v>123</v>
      </c>
      <c r="H11" s="120" t="s">
        <v>757</v>
      </c>
      <c r="I11" s="121" t="s">
        <v>769</v>
      </c>
      <c r="J11" s="122" t="str" cm="1">
        <f t="array" ref="J11">_xll.FDS(K11,"FG_COMPANY_NAME")</f>
        <v>Invesco QQQ Trust Series I</v>
      </c>
      <c r="K11" s="122" t="s">
        <v>51</v>
      </c>
      <c r="L11" t="s">
        <v>756</v>
      </c>
      <c r="M11" cm="1">
        <f t="array" ref="M11">IF(_xll.FDSRC(,"DUMMY","ECON_EXPR_DATA('FDS_ECON["&amp;H11&amp;"]',,,M)")=0,$J$20,_xll.FDSRC(,"DUMMY","ECON_EXPR_DATA('FDS_ECON["&amp;H11&amp;"]',,,M)"))</f>
        <v>52.195070000000001</v>
      </c>
      <c r="N11" cm="1">
        <f t="array" aca="1" ref="N11:O11" ca="1">_xll.FDSRC("-","DUMMY","ECON_EXPR_DATA('FDS_ECON["&amp;H11&amp;"]',"&amp;$L$1&amp;","&amp;$L$2&amp;",Q)")</f>
        <v>49.098827</v>
      </c>
      <c r="O11">
        <f ca="1"/>
        <v>48.914909999999999</v>
      </c>
      <c r="P11">
        <f t="shared" ca="1" si="0"/>
        <v>0.183917000000001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64.2</v>
      </c>
      <c r="S11">
        <f ca="1">Q11*Assumption!$E$27 + R11*Assumption!$F$27</f>
        <v>77.100000000000009</v>
      </c>
      <c r="T11" cm="1">
        <f t="array" aca="1" ref="T11" ca="1">_xlfn.PERCENTRANK.EXC(_xlfn._xlws.FILTER(S$4:S$16, ISNUMBER(S$4:S$16)),S11)*100</f>
        <v>85.7</v>
      </c>
    </row>
    <row r="12" spans="1:20" x14ac:dyDescent="0.35">
      <c r="A12" t="s">
        <v>1</v>
      </c>
      <c r="B12" t="s">
        <v>1</v>
      </c>
      <c r="C12" t="s">
        <v>1</v>
      </c>
      <c r="D12" t="s">
        <v>756</v>
      </c>
      <c r="E12">
        <v>53.4</v>
      </c>
      <c r="F12">
        <v>6.5</v>
      </c>
      <c r="G12" t="s">
        <v>123</v>
      </c>
      <c r="H12" s="120" t="s">
        <v>757</v>
      </c>
      <c r="I12" s="121" t="s">
        <v>769</v>
      </c>
      <c r="J12" s="122" t="str" cm="1">
        <f t="array" ref="J12">_xll.FDS(K12,"FG_COMPANY_NAME")</f>
        <v>SPDR S&amp;P 500 ETF Trust</v>
      </c>
      <c r="K12" s="122" t="s">
        <v>1</v>
      </c>
      <c r="L12" t="s">
        <v>756</v>
      </c>
      <c r="M12" cm="1">
        <f t="array" ref="M12">IF(_xll.FDSRC(,"DUMMY","ECON_EXPR_DATA('FDS_ECON["&amp;H12&amp;"]',,,M)")=0,$J$20,_xll.FDSRC(,"DUMMY","ECON_EXPR_DATA('FDS_ECON["&amp;H12&amp;"]',,,M)"))</f>
        <v>52.195070000000001</v>
      </c>
      <c r="N12" cm="1">
        <f t="array" aca="1" ref="N12:O12" ca="1">_xll.FDSRC("-","DUMMY","ECON_EXPR_DATA('FDS_ECON["&amp;H12&amp;"]',"&amp;$L$1&amp;","&amp;$L$2&amp;",Q)")</f>
        <v>49.098827</v>
      </c>
      <c r="O12">
        <f ca="1"/>
        <v>48.914909999999999</v>
      </c>
      <c r="P12">
        <f t="shared" ca="1" si="0"/>
        <v>0.183917000000001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64.2</v>
      </c>
      <c r="S12">
        <f ca="1">Q12*Assumption!$E$27 + R12*Assumption!$F$27</f>
        <v>77.100000000000009</v>
      </c>
      <c r="T12" cm="1">
        <f t="array" aca="1" ref="T12" ca="1">_xlfn.PERCENTRANK.EXC(_xlfn._xlws.FILTER(S$4:S$16, ISNUMBER(S$4:S$16)),S12)*100</f>
        <v>85.7</v>
      </c>
    </row>
    <row r="13" spans="1:20" x14ac:dyDescent="0.35">
      <c r="G13" t="s">
        <v>110</v>
      </c>
      <c r="H13" s="120" t="s">
        <v>890</v>
      </c>
      <c r="I13" t="s">
        <v>627</v>
      </c>
      <c r="J13" s="122" t="str" cm="1">
        <f t="array" ref="J13">_xll.FDS(K13,"FG_COMPANY_NAME")</f>
        <v>iShares MSCI France ETF</v>
      </c>
      <c r="K13" t="s">
        <v>872</v>
      </c>
      <c r="L13" t="s">
        <v>756</v>
      </c>
      <c r="M13" cm="1">
        <f t="array" ref="M13">IF(_xll.FDSRC(,"DUMMY","ECON_EXPR_DATA('FDS_ECON["&amp;H13&amp;"]',,,M)")=0,$J$20,_xll.FDSRC(,"DUMMY","ECON_EXPR_DATA('FDS_ECON["&amp;H13&amp;"]',,,M)"))</f>
        <v>47.113422</v>
      </c>
      <c r="N13" cm="1">
        <f t="array" aca="1" ref="N13:O13" ca="1">_xll.FDSRC("-","DUMMY","ECON_EXPR_DATA('FDS_ECON["&amp;H13&amp;"]',"&amp;$L$1&amp;","&amp;$L$2&amp;",Q)")</f>
        <v>42.573967000000003</v>
      </c>
      <c r="O13">
        <f ca="1"/>
        <v>45.097969999999997</v>
      </c>
      <c r="P13">
        <f t="shared" ref="P13:P16" ca="1" si="1">IFERROR(N13-O13,$M$20)</f>
        <v>-2.5240029999999933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7.1</v>
      </c>
      <c r="S13">
        <f ca="1">Q13*Assumption!$E$27 + R13*Assumption!$F$27</f>
        <v>15.679999999999998</v>
      </c>
      <c r="T13" cm="1">
        <f t="array" aca="1" ref="T13" ca="1">_xlfn.PERCENTRANK.EXC(_xlfn._xlws.FILTER(S$4:S$16, ISNUMBER(S$4:S$16)),S13)*100</f>
        <v>7.1</v>
      </c>
    </row>
    <row r="14" spans="1:20" x14ac:dyDescent="0.35">
      <c r="G14" t="s">
        <v>882</v>
      </c>
      <c r="H14" s="120" t="s">
        <v>891</v>
      </c>
      <c r="I14" t="s">
        <v>679</v>
      </c>
      <c r="J14" s="122" t="str" cm="1">
        <f t="array" ref="J14">_xll.FDS(K14,"FG_COMPANY_NAME")</f>
        <v>iShares MSCI Netherlands ETF</v>
      </c>
      <c r="K14" t="s">
        <v>874</v>
      </c>
      <c r="L14" t="s">
        <v>756</v>
      </c>
      <c r="M14" cm="1">
        <f t="array" ref="M14">IF(_xll.FDSRC(,"DUMMY","ECON_EXPR_DATA('FDS_ECON["&amp;H14&amp;"]',,,M)")=0,$J$20,_xll.FDSRC(,"DUMMY","ECON_EXPR_DATA('FDS_ECON["&amp;H14&amp;"]',,,M)"))</f>
        <v>49.333509999999997</v>
      </c>
      <c r="N14" cm="1">
        <f t="array" aca="1" ref="N14:O14" ca="1">_xll.FDSRC("-","DUMMY","ECON_EXPR_DATA('FDS_ECON["&amp;H14&amp;"]',"&amp;$L$1&amp;","&amp;$L$2&amp;",Q)")</f>
        <v>44.495136000000002</v>
      </c>
      <c r="O14">
        <f ca="1"/>
        <v>44.945712999999998</v>
      </c>
      <c r="P14">
        <f t="shared" ca="1" si="1"/>
        <v>-0.45057699999999556</v>
      </c>
      <c r="Q14" cm="1">
        <f t="array" ref="Q14">_xlfn.PERCENTRANK.EXC(_xlfn._xlws.FILTER(M$4:M$16, ISNUMBER(M$4:M$16)),M14)*100</f>
        <v>64.2</v>
      </c>
      <c r="R14" cm="1">
        <f t="array" aca="1" ref="R14" ca="1">_xlfn.PERCENTRANK.EXC(_xlfn._xlws.FILTER(P$4:P$16, ISNUMBER(P$4:P$16)),P14)*100</f>
        <v>50</v>
      </c>
      <c r="S14">
        <f ca="1">Q14*Assumption!$E$27 + R14*Assumption!$F$27</f>
        <v>58.52</v>
      </c>
      <c r="T14" cm="1">
        <f t="array" aca="1" ref="T14" ca="1">_xlfn.PERCENTRANK.EXC(_xlfn._xlws.FILTER(S$4:S$16, ISNUMBER(S$4:S$16)),S14)*100</f>
        <v>71.399999999999991</v>
      </c>
    </row>
    <row r="15" spans="1:20" x14ac:dyDescent="0.35">
      <c r="G15" t="s">
        <v>276</v>
      </c>
      <c r="H15" s="120"/>
      <c r="I15" t="s">
        <v>711</v>
      </c>
      <c r="J15" s="122" t="str" cm="1">
        <f t="array" ref="J15">_xll.FDS(K15,"FG_COMPANY_NAME")</f>
        <v>iShares MSCI Sweden ETF</v>
      </c>
      <c r="K15" t="s">
        <v>871</v>
      </c>
      <c r="L15" t="s">
        <v>756</v>
      </c>
      <c r="M15" cm="1">
        <f t="array" ref="M15">IF(_xll.FDSRC(,"DUMMY","ECON_EXPR_DATA('FDS_ECON["&amp;H15&amp;"]',,,M)")=0,$J$20,_xll.FDSRC(,"DUMMY","ECON_EXPR_DATA('FDS_ECON["&amp;H15&amp;"]',,,M)"))</f>
        <v>51.447499999999998</v>
      </c>
      <c r="N15" t="str" cm="1">
        <f t="array" aca="1" ref="N15" ca="1">_xll.FDSRC("-","DUMMY","ECON_EXPR_DATA('FDS_ECON["&amp;H15&amp;"]',"&amp;$L$1&amp;","&amp;$L$2&amp;",Q)")</f>
        <v>-</v>
      </c>
      <c r="P15">
        <f t="shared" ca="1" si="1"/>
        <v>-0.17349399999999804</v>
      </c>
      <c r="Q15" cm="1">
        <f t="array" ref="Q15">_xlfn.PERCENTRANK.EXC(_xlfn._xlws.FILTER(M$4:M$16, ISNUMBER(M$4:M$16)),M15)*100</f>
        <v>78.5</v>
      </c>
      <c r="R15" cm="1">
        <f t="array" aca="1" ref="R15" ca="1">_xlfn.PERCENTRANK.EXC(_xlfn._xlws.FILTER(P$4:P$16, ISNUMBER(P$4:P$16)),P15)*100</f>
        <v>57.099999999999994</v>
      </c>
      <c r="S15">
        <f ca="1">Q15*Assumption!$E$27 + R15*Assumption!$F$27</f>
        <v>69.94</v>
      </c>
      <c r="T15" cm="1">
        <f t="array" aca="1" ref="T15" ca="1">_xlfn.PERCENTRANK.EXC(_xlfn._xlws.FILTER(S$4:S$16, ISNUMBER(S$4:S$16)),S15)*100</f>
        <v>78.5</v>
      </c>
    </row>
    <row r="16" spans="1:20" x14ac:dyDescent="0.35">
      <c r="G16" t="s">
        <v>883</v>
      </c>
      <c r="H16" s="120" t="s">
        <v>892</v>
      </c>
      <c r="I16" t="s">
        <v>647</v>
      </c>
      <c r="J16" s="122" t="str" cm="1">
        <f t="array" ref="J16">_xll.FDS(K16,"FG_COMPANY_NAME")</f>
        <v>iShares MSCI Italy ETF</v>
      </c>
      <c r="K16" t="s">
        <v>873</v>
      </c>
      <c r="L16" t="s">
        <v>756</v>
      </c>
      <c r="M16" cm="1">
        <f t="array" ref="M16">IF(_xll.FDSRC(,"DUMMY","ECON_EXPR_DATA('FDS_ECON["&amp;H16&amp;"]',,,M)")=0,$J$20,_xll.FDSRC(,"DUMMY","ECON_EXPR_DATA('FDS_ECON["&amp;H16&amp;"]',,,M)"))</f>
        <v>48.697094</v>
      </c>
      <c r="N16" cm="1">
        <f t="array" aca="1" ref="N16:O16" ca="1">_xll.FDSRC("-","DUMMY","ECON_EXPR_DATA('FDS_ECON["&amp;H16&amp;"]',"&amp;$L$1&amp;","&amp;$L$2&amp;",Q)")</f>
        <v>44.859454999999997</v>
      </c>
      <c r="O16">
        <f ca="1"/>
        <v>45.562866</v>
      </c>
      <c r="P16">
        <f t="shared" ca="1" si="1"/>
        <v>-0.70341100000000267</v>
      </c>
      <c r="Q16" cm="1">
        <f t="array" ref="Q16">_xlfn.PERCENTRANK.EXC(_xlfn._xlws.FILTER(M$4:M$16, ISNUMBER(M$4:M$16)),M16)*100</f>
        <v>50</v>
      </c>
      <c r="R16" cm="1">
        <f t="array" aca="1" ref="R16" ca="1">_xlfn.PERCENTRANK.EXC(_xlfn._xlws.FILTER(P$4:P$16, ISNUMBER(P$4:P$16)),P16)*100</f>
        <v>42.8</v>
      </c>
      <c r="S16">
        <f ca="1">Q16*Assumption!$E$27 + R16*Assumption!$F$27</f>
        <v>47.120000000000005</v>
      </c>
      <c r="T16" cm="1">
        <f t="array" aca="1" ref="T16" ca="1">_xlfn.PERCENTRANK.EXC(_xlfn._xlws.FILTER(S$4:S$16, ISNUMBER(S$4:S$16)),S16)*100</f>
        <v>50</v>
      </c>
    </row>
    <row r="18" spans="8:13" x14ac:dyDescent="0.35">
      <c r="K18" t="str" cm="1">
        <f t="array" aca="1" ref="K18:L18" ca="1">_xll.FDSRC("-","DUMMY","ECON_DATE("&amp;$L$1&amp;","&amp;$L$2&amp;",'Q', 'MM/YYYY')")</f>
        <v>12/2023</v>
      </c>
      <c r="L18" t="str">
        <f ca="1"/>
        <v>09/2023</v>
      </c>
      <c r="M18" t="s">
        <v>779</v>
      </c>
    </row>
    <row r="19" spans="8:13" x14ac:dyDescent="0.35">
      <c r="H19" s="120" t="s">
        <v>765</v>
      </c>
      <c r="I19" s="120" t="s">
        <v>766</v>
      </c>
      <c r="J19" cm="1">
        <f t="array" ref="J19">_xll.FDSRC("-","DUMMY","ECON_EXPR_DATA('FDS_ECON["&amp;H19&amp;"]',,,M)")</f>
        <v>49.253857000000004</v>
      </c>
      <c r="K19" cm="1">
        <f t="array" aca="1" ref="K19:L19" ca="1">_xll.FDSRC("-","DUMMY","ECON_EXPR_DATA('FDS_ECON["&amp;H19&amp;"]',"&amp;$L$1&amp;","&amp;$L$2&amp;",Q)")</f>
        <v>47.378044000000003</v>
      </c>
      <c r="L19">
        <f ca="1"/>
        <v>47.086407000000001</v>
      </c>
      <c r="M19">
        <f ca="1">K19-L19</f>
        <v>0.29163700000000148</v>
      </c>
    </row>
    <row r="20" spans="8:13" x14ac:dyDescent="0.35">
      <c r="H20" s="120" t="s">
        <v>767</v>
      </c>
      <c r="I20" s="120" t="s">
        <v>768</v>
      </c>
      <c r="J20" cm="1">
        <f t="array" ref="J20">_xll.FDSRC("-","DUMMY","ECON_EXPR_DATA('FDS_ECON["&amp;H20&amp;"]',,,M)")</f>
        <v>51.447499999999998</v>
      </c>
      <c r="K20" cm="1">
        <f t="array" aca="1" ref="K20:L20" ca="1">_xll.FDSRC("-","DUMMY","ECON_EXPR_DATA('FDS_ECON["&amp;H20&amp;"]',"&amp;$L$1&amp;","&amp;$L$2&amp;",Q)")</f>
        <v>50.640650000000001</v>
      </c>
      <c r="L20">
        <f ca="1"/>
        <v>50.814143999999999</v>
      </c>
      <c r="M20">
        <f ca="1">K20-L20</f>
        <v>-0.17349399999999804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A26B-7698-49E2-BF41-DB268906CF26}">
  <dimension ref="A1:T20"/>
  <sheetViews>
    <sheetView tabSelected="1" topLeftCell="H1" zoomScale="85" zoomScaleNormal="85" workbookViewId="0">
      <selection activeCell="O25" sqref="O25"/>
    </sheetView>
  </sheetViews>
  <sheetFormatPr defaultRowHeight="14.5" x14ac:dyDescent="0.35"/>
  <cols>
    <col min="1" max="1" width="19.6328125" hidden="1" customWidth="1"/>
    <col min="2" max="2" width="12.6328125" hidden="1" customWidth="1"/>
    <col min="3" max="3" width="15.6328125" hidden="1" customWidth="1"/>
    <col min="4" max="4" width="13.90625" hidden="1" customWidth="1"/>
    <col min="5" max="5" width="23.54296875" hidden="1" customWidth="1"/>
    <col min="6" max="6" width="9.6328125" hidden="1" customWidth="1"/>
    <col min="7" max="9" width="19.36328125" customWidth="1"/>
    <col min="10" max="10" width="34.36328125" customWidth="1"/>
    <col min="11" max="11" width="19.36328125" customWidth="1"/>
    <col min="12" max="12" width="11" customWidth="1"/>
    <col min="13" max="13" width="13.1796875" bestFit="1" customWidth="1"/>
    <col min="16" max="16" width="11.453125" customWidth="1"/>
    <col min="17" max="17" width="10.36328125" bestFit="1" customWidth="1"/>
    <col min="18" max="18" width="13.36328125" customWidth="1"/>
    <col min="28" max="28" width="13" customWidth="1"/>
  </cols>
  <sheetData>
    <row r="1" spans="1:20" x14ac:dyDescent="0.35">
      <c r="K1" s="71" t="s">
        <v>777</v>
      </c>
      <c r="L1" s="197">
        <f ca="1">EDATE(TODAY(), -1)</f>
        <v>45337</v>
      </c>
    </row>
    <row r="2" spans="1:20" ht="15" thickBot="1" x14ac:dyDescent="0.4">
      <c r="K2" s="12" t="s">
        <v>778</v>
      </c>
      <c r="L2" s="198">
        <f ca="1">EDATE(TODAY(), -4)</f>
        <v>45245</v>
      </c>
    </row>
    <row r="3" spans="1:20" ht="50.25" customHeight="1" x14ac:dyDescent="0.35">
      <c r="E3" t="s">
        <v>753</v>
      </c>
      <c r="F3" t="s">
        <v>754</v>
      </c>
      <c r="H3" t="s">
        <v>770</v>
      </c>
      <c r="I3" t="s">
        <v>567</v>
      </c>
      <c r="J3" t="s">
        <v>522</v>
      </c>
      <c r="M3" s="123" t="s">
        <v>771</v>
      </c>
      <c r="N3" t="str" cm="1">
        <f t="array" aca="1" ref="N3" ca="1">_xll.FDSRC("-","DUMMY","ECON_DATE("&amp;$L$1&amp;",,, 'MM/YYYY')")</f>
        <v>02/2024</v>
      </c>
      <c r="O3" t="str" cm="1">
        <f t="array" aca="1" ref="O3" ca="1">_xll.FDSRC("-","DUMMY","ECON_DATE("&amp;$L$2&amp;",,, 'MM/YYYY')")</f>
        <v>11/2023</v>
      </c>
      <c r="P3" s="123" t="s">
        <v>774</v>
      </c>
      <c r="Q3" s="123" t="s">
        <v>780</v>
      </c>
      <c r="R3" s="128" t="s">
        <v>781</v>
      </c>
      <c r="S3" s="128" t="s">
        <v>556</v>
      </c>
      <c r="T3" s="128" t="s">
        <v>743</v>
      </c>
    </row>
    <row r="4" spans="1:20" x14ac:dyDescent="0.35">
      <c r="A4" t="s">
        <v>435</v>
      </c>
      <c r="B4" t="s">
        <v>450</v>
      </c>
      <c r="C4" t="s">
        <v>435</v>
      </c>
      <c r="D4" t="s">
        <v>756</v>
      </c>
      <c r="E4">
        <v>53.7</v>
      </c>
      <c r="F4">
        <v>5.3</v>
      </c>
      <c r="G4" t="s">
        <v>201</v>
      </c>
      <c r="H4" s="120" t="s">
        <v>761</v>
      </c>
      <c r="I4" s="121" t="s">
        <v>680</v>
      </c>
      <c r="J4" s="122" t="str" cm="1">
        <f t="array" ref="J4">_xll.FDS(K4,"FG_COMPANY_NAME")</f>
        <v>iShares MSCI New Zealand ETF</v>
      </c>
      <c r="K4" s="122" t="s">
        <v>435</v>
      </c>
      <c r="L4" t="s">
        <v>756</v>
      </c>
      <c r="M4" cm="1">
        <f t="array" ref="M4">IF(_xll.FDSRC(,"DUMMY","ECON_EXPR_DATA('FDS_ECON["&amp;H4&amp;"]',,,M)")=0,$J$20,_xll.FDSRC(,"DUMMY","ECON_EXPR_DATA('FDS_ECON["&amp;H4&amp;"]',,,M)"))</f>
        <v>49.270940000000003</v>
      </c>
      <c r="N4" cm="1">
        <f t="array" aca="1" ref="N4" ca="1">_xll.FDSRC("-","DUMMY","ECON_EXPR_DATA('FDS_ECON["&amp;H4&amp;"]',"&amp;$N$3&amp;",,Q)")</f>
        <v>44.351115999999998</v>
      </c>
      <c r="O4" cm="1">
        <f t="array" aca="1" ref="O4" ca="1">_xll.FDSRC("-","DUMMY","ECON_EXPR_DATA('FDS_ECON["&amp;H4&amp;"]',"&amp;$O$3&amp;",,Q)")</f>
        <v>45.880732999999999</v>
      </c>
      <c r="P4">
        <f t="shared" ref="P4:P16" ca="1" si="0">IFERROR(N4-O4,$M$20)</f>
        <v>-1.5296170000000018</v>
      </c>
      <c r="Q4" cm="1">
        <f t="array" ref="Q4">_xlfn.PERCENTRANK.EXC(_xlfn._xlws.FILTER(M$4:M$16, ISNUMBER(M$4:M$16)),M4)*100</f>
        <v>57.099999999999994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39.94</v>
      </c>
      <c r="T4" cm="1">
        <f t="array" aca="1" ref="T4" ca="1">_xlfn.PERCENTRANK.EXC(_xlfn._xlws.FILTER(S$4:S$16, ISNUMBER(S$4:S$16)),S4)*100</f>
        <v>35.699999999999996</v>
      </c>
    </row>
    <row r="5" spans="1:20" x14ac:dyDescent="0.35">
      <c r="A5" t="s">
        <v>44</v>
      </c>
      <c r="B5" t="s">
        <v>45</v>
      </c>
      <c r="C5" t="s">
        <v>44</v>
      </c>
      <c r="D5" t="s">
        <v>756</v>
      </c>
      <c r="E5">
        <v>53</v>
      </c>
      <c r="F5">
        <v>4.5</v>
      </c>
      <c r="G5" t="s">
        <v>117</v>
      </c>
      <c r="H5" s="120" t="s">
        <v>759</v>
      </c>
      <c r="I5" s="121" t="s">
        <v>582</v>
      </c>
      <c r="J5" s="122" t="str" cm="1">
        <f t="array" ref="J5">_xll.FDS(K5,"FG_COMPANY_NAME")</f>
        <v>iShares MSCI Australia ETF</v>
      </c>
      <c r="K5" s="122" t="s">
        <v>44</v>
      </c>
      <c r="L5" t="s">
        <v>756</v>
      </c>
      <c r="M5" cm="1">
        <f t="array" ref="M5">IF(_xll.FDSRC(,"DUMMY","ECON_EXPR_DATA('FDS_ECON["&amp;H5&amp;"]',,,M)")=0,$J$20,_xll.FDSRC(,"DUMMY","ECON_EXPR_DATA('FDS_ECON["&amp;H5&amp;"]',,,M)"))</f>
        <v>47.823067000000002</v>
      </c>
      <c r="N5" cm="1">
        <f t="array" aca="1" ref="N5" ca="1">_xll.FDSRC("-","DUMMY","ECON_EXPR_DATA('FDS_ECON["&amp;H5&amp;"]',"&amp;$N$3&amp;",,Q)")</f>
        <v>47.862293000000001</v>
      </c>
      <c r="O5" cm="1">
        <f t="array" aca="1" ref="O5" ca="1">_xll.FDSRC("-","DUMMY","ECON_EXPR_DATA('FDS_ECON["&amp;H5&amp;"]',"&amp;$O$3&amp;",,Q)")</f>
        <v>49.327064999999997</v>
      </c>
      <c r="P5">
        <f t="shared" ca="1" si="0"/>
        <v>-1.4647719999999964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21.4</v>
      </c>
      <c r="S5">
        <f ca="1">Q5*Assumption!$E$27 + R5*Assumption!$F$27</f>
        <v>34.239999999999995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756</v>
      </c>
      <c r="E6">
        <v>53.7</v>
      </c>
      <c r="F6">
        <v>5.3</v>
      </c>
      <c r="G6" t="s">
        <v>120</v>
      </c>
      <c r="H6" s="120" t="s">
        <v>758</v>
      </c>
      <c r="I6" s="121" t="s">
        <v>604</v>
      </c>
      <c r="J6" s="122" t="str" cm="1">
        <f t="array" ref="J6">_xll.FDS(K6,"FG_COMPANY_NAME")</f>
        <v>iShares MSCI Canada ETF</v>
      </c>
      <c r="K6" s="122" t="s">
        <v>49</v>
      </c>
      <c r="L6" t="s">
        <v>756</v>
      </c>
      <c r="M6" cm="1">
        <f t="array" ref="M6">IF(_xll.FDSRC(,"DUMMY","ECON_EXPR_DATA('FDS_ECON["&amp;H6&amp;"]',,,M)")=0,$J$20,_xll.FDSRC(,"DUMMY","ECON_EXPR_DATA('FDS_ECON["&amp;H6&amp;"]',,,M)"))</f>
        <v>49.740319999999997</v>
      </c>
      <c r="N6" cm="1">
        <f t="array" aca="1" ref="N6" ca="1">_xll.FDSRC("-","DUMMY","ECON_EXPR_DATA('FDS_ECON["&amp;H6&amp;"]',"&amp;$N$3&amp;",,Q)")</f>
        <v>47.255585000000004</v>
      </c>
      <c r="O6" cm="1">
        <f t="array" aca="1" ref="O6" ca="1">_xll.FDSRC("-","DUMMY","ECON_EXPR_DATA('FDS_ECON["&amp;H6&amp;"]',"&amp;$O$3&amp;",,Q)")</f>
        <v>48.335906999999999</v>
      </c>
      <c r="P6">
        <f t="shared" ca="1" si="0"/>
        <v>-1.0803219999999953</v>
      </c>
      <c r="Q6" cm="1">
        <f t="array" ref="Q6">_xlfn.PERCENTRANK.EXC(_xlfn._xlws.FILTER(M$4:M$16, ISNUMBER(M$4:M$16)),M6)*100</f>
        <v>71.399999999999991</v>
      </c>
      <c r="R6" cm="1">
        <f t="array" aca="1" ref="R6" ca="1">_xlfn.PERCENTRANK.EXC(_xlfn._xlws.FILTER(P$4:P$16, ISNUMBER(P$4:P$16)),P6)*100</f>
        <v>28.499999999999996</v>
      </c>
      <c r="S6">
        <f ca="1">Q6*Assumption!$E$27 + R6*Assumption!$F$27</f>
        <v>54.239999999999995</v>
      </c>
      <c r="T6" cm="1">
        <f t="array" aca="1" ref="T6" ca="1">_xlfn.PERCENTRANK.EXC(_xlfn._xlws.FILTER(S$4:S$16, ISNUMBER(S$4:S$16)),S6)*100</f>
        <v>57.099999999999994</v>
      </c>
    </row>
    <row r="7" spans="1:20" x14ac:dyDescent="0.35">
      <c r="A7" t="s">
        <v>11</v>
      </c>
      <c r="B7" t="s">
        <v>39</v>
      </c>
      <c r="C7" t="s">
        <v>11</v>
      </c>
      <c r="D7" t="s">
        <v>756</v>
      </c>
      <c r="E7">
        <v>54.2</v>
      </c>
      <c r="F7">
        <v>3.4</v>
      </c>
      <c r="G7" t="s">
        <v>106</v>
      </c>
      <c r="H7" s="120" t="s">
        <v>762</v>
      </c>
      <c r="I7" s="121" t="s">
        <v>631</v>
      </c>
      <c r="J7" s="122" t="str" cm="1">
        <f t="array" ref="J7">_xll.FDS(K7,"FG_COMPANY_NAME")</f>
        <v>iShares MSCI Germany ETF</v>
      </c>
      <c r="K7" s="122" t="s">
        <v>11</v>
      </c>
      <c r="L7" t="s">
        <v>756</v>
      </c>
      <c r="M7" cm="1">
        <f t="array" ref="M7">IF(_xll.FDSRC(,"DUMMY","ECON_EXPR_DATA('FDS_ECON["&amp;H7&amp;"]',,,M)")=0,$J$20,_xll.FDSRC(,"DUMMY","ECON_EXPR_DATA('FDS_ECON["&amp;H7&amp;"]',,,M)"))</f>
        <v>42.526249999999997</v>
      </c>
      <c r="N7" cm="1">
        <f t="array" aca="1" ref="N7" ca="1">_xll.FDSRC("-","DUMMY","ECON_EXPR_DATA('FDS_ECON["&amp;H7&amp;"]',"&amp;$N$3&amp;",,Q)")</f>
        <v>42.238945000000001</v>
      </c>
      <c r="O7" cm="1">
        <f t="array" aca="1" ref="O7" ca="1">_xll.FDSRC("-","DUMMY","ECON_EXPR_DATA('FDS_ECON["&amp;H7&amp;"]',"&amp;$O$3&amp;",,Q)")</f>
        <v>39.155673999999998</v>
      </c>
      <c r="P7">
        <f t="shared" ca="1" si="0"/>
        <v>3.0832710000000034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92.800000000000011</v>
      </c>
      <c r="S7">
        <f ca="1">Q7*Assumption!$E$27 + R7*Assumption!$F$27</f>
        <v>41.38</v>
      </c>
      <c r="T7" cm="1">
        <f t="array" aca="1" ref="T7" ca="1">_xlfn.PERCENTRANK.EXC(_xlfn._xlws.FILTER(S$4:S$16, ISNUMBER(S$4:S$16)),S7)*100</f>
        <v>42.8</v>
      </c>
    </row>
    <row r="8" spans="1:20" x14ac:dyDescent="0.35">
      <c r="A8" t="s">
        <v>46</v>
      </c>
      <c r="B8" t="s">
        <v>47</v>
      </c>
      <c r="C8" t="s">
        <v>46</v>
      </c>
      <c r="D8" t="s">
        <v>756</v>
      </c>
      <c r="E8">
        <v>52.9</v>
      </c>
      <c r="F8">
        <v>2.2000000000000002</v>
      </c>
      <c r="G8" t="s">
        <v>118</v>
      </c>
      <c r="H8" s="120" t="s">
        <v>760</v>
      </c>
      <c r="I8" s="121" t="s">
        <v>649</v>
      </c>
      <c r="J8" s="122" t="str" cm="1">
        <f t="array" ref="J8">_xll.FDS(K8,"FG_COMPANY_NAME")</f>
        <v>iShares MSCI Japan ETF</v>
      </c>
      <c r="K8" s="122" t="s">
        <v>46</v>
      </c>
      <c r="L8" t="s">
        <v>756</v>
      </c>
      <c r="M8" cm="1">
        <f t="array" ref="M8">IF(_xll.FDSRC(,"DUMMY","ECON_EXPR_DATA('FDS_ECON["&amp;H8&amp;"]',,,M)")=0,$J$20,_xll.FDSRC(,"DUMMY","ECON_EXPR_DATA('FDS_ECON["&amp;H8&amp;"]',,,M)"))</f>
        <v>47.182769999999998</v>
      </c>
      <c r="N8" cm="1">
        <f t="array" aca="1" ref="N8" ca="1">_xll.FDSRC("-","DUMMY","ECON_EXPR_DATA('FDS_ECON["&amp;H8&amp;"]',"&amp;$N$3&amp;",,Q)")</f>
        <v>48.318770000000001</v>
      </c>
      <c r="O8" cm="1">
        <f t="array" aca="1" ref="O8" ca="1">_xll.FDSRC("-","DUMMY","ECON_EXPR_DATA('FDS_ECON["&amp;H8&amp;"]',"&amp;$O$3&amp;",,Q)")</f>
        <v>49.252665999999998</v>
      </c>
      <c r="P8">
        <f t="shared" ca="1" si="0"/>
        <v>-0.93389599999999717</v>
      </c>
      <c r="Q8" cm="1">
        <f t="array" ref="Q8">_xlfn.PERCENTRANK.EXC(_xlfn._xlws.FILTER(M$4:M$16, ISNUMBER(M$4:M$16)),M8)*100</f>
        <v>28.499999999999996</v>
      </c>
      <c r="R8" cm="1">
        <f t="array" aca="1" ref="R8" ca="1">_xlfn.PERCENTRANK.EXC(_xlfn._xlws.FILTER(P$4:P$16, ISNUMBER(P$4:P$16)),P8)*100</f>
        <v>35.699999999999996</v>
      </c>
      <c r="S8">
        <f ca="1">Q8*Assumption!$E$27 + R8*Assumption!$F$27</f>
        <v>31.379999999999995</v>
      </c>
      <c r="T8" cm="1">
        <f t="array" aca="1" ref="T8" ca="1">_xlfn.PERCENTRANK.EXC(_xlfn._xlws.FILTER(S$4:S$16, ISNUMBER(S$4:S$16)),S8)*100</f>
        <v>14.2</v>
      </c>
    </row>
    <row r="9" spans="1:20" x14ac:dyDescent="0.35">
      <c r="A9" t="s">
        <v>42</v>
      </c>
      <c r="B9" t="s">
        <v>43</v>
      </c>
      <c r="C9" t="s">
        <v>42</v>
      </c>
      <c r="D9" t="s">
        <v>756</v>
      </c>
      <c r="E9">
        <v>53.7</v>
      </c>
      <c r="F9">
        <v>5.3</v>
      </c>
      <c r="G9" t="s">
        <v>114</v>
      </c>
      <c r="H9" s="120" t="s">
        <v>764</v>
      </c>
      <c r="I9" s="121" t="s">
        <v>712</v>
      </c>
      <c r="J9" s="122" t="str" cm="1">
        <f t="array" ref="J9">_xll.FDS(K9,"FG_COMPANY_NAME")</f>
        <v>iShares MSCI Switzerland ETF</v>
      </c>
      <c r="K9" s="122" t="s">
        <v>42</v>
      </c>
      <c r="L9" t="s">
        <v>756</v>
      </c>
      <c r="M9" cm="1">
        <f t="array" ref="M9">IF(_xll.FDSRC(,"DUMMY","ECON_EXPR_DATA('FDS_ECON["&amp;H9&amp;"]',,,M)")=0,$J$20,_xll.FDSRC(,"DUMMY","ECON_EXPR_DATA('FDS_ECON["&amp;H9&amp;"]',,,M)"))</f>
        <v>43.954456</v>
      </c>
      <c r="N9" cm="1">
        <f t="array" aca="1" ref="N9" ca="1">_xll.FDSRC("-","DUMMY","ECON_EXPR_DATA('FDS_ECON["&amp;H9&amp;"]',"&amp;$N$3&amp;",,Q)")</f>
        <v>41.921543</v>
      </c>
      <c r="O9" cm="1">
        <f t="array" aca="1" ref="O9" ca="1">_xll.FDSRC("-","DUMMY","ECON_EXPR_DATA('FDS_ECON["&amp;H9&amp;"]',"&amp;$O$3&amp;",,Q)")</f>
        <v>41.102364000000001</v>
      </c>
      <c r="P9">
        <f t="shared" ca="1" si="0"/>
        <v>0.81917899999999833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78.5</v>
      </c>
      <c r="S9">
        <f ca="1">Q9*Assumption!$E$27 + R9*Assumption!$F$27</f>
        <v>39.92</v>
      </c>
      <c r="T9" cm="1">
        <f t="array" aca="1" ref="T9" ca="1">_xlfn.PERCENTRANK.EXC(_xlfn._xlws.FILTER(S$4:S$16, ISNUMBER(S$4:S$16)),S9)*100</f>
        <v>28.499999999999996</v>
      </c>
    </row>
    <row r="10" spans="1:20" x14ac:dyDescent="0.35">
      <c r="A10" t="s">
        <v>48</v>
      </c>
      <c r="B10" t="s">
        <v>451</v>
      </c>
      <c r="C10" t="s">
        <v>48</v>
      </c>
      <c r="D10" t="s">
        <v>756</v>
      </c>
      <c r="E10">
        <v>54.9</v>
      </c>
      <c r="F10">
        <v>6.4</v>
      </c>
      <c r="G10" t="s">
        <v>119</v>
      </c>
      <c r="H10" s="120" t="s">
        <v>763</v>
      </c>
      <c r="I10" s="121" t="s">
        <v>451</v>
      </c>
      <c r="J10" s="122" t="str" cm="1">
        <f t="array" ref="J10">_xll.FDS(K10,"FG_COMPANY_NAME")</f>
        <v>iShares MSCI United Kingdom ETF</v>
      </c>
      <c r="K10" s="122" t="s">
        <v>48</v>
      </c>
      <c r="L10" t="s">
        <v>756</v>
      </c>
      <c r="M10" cm="1">
        <f t="array" ref="M10">IF(_xll.FDSRC(,"DUMMY","ECON_EXPR_DATA('FDS_ECON["&amp;H10&amp;"]',,,M)")=0,$J$20,_xll.FDSRC(,"DUMMY","ECON_EXPR_DATA('FDS_ECON["&amp;H10&amp;"]',,,M)"))</f>
        <v>47.508816000000003</v>
      </c>
      <c r="N10" cm="1">
        <f t="array" aca="1" ref="N10" ca="1">_xll.FDSRC("-","DUMMY","ECON_EXPR_DATA('FDS_ECON["&amp;H10&amp;"]',"&amp;$N$3&amp;",,Q)")</f>
        <v>46.058700000000002</v>
      </c>
      <c r="O10" cm="1">
        <f t="array" aca="1" ref="O10" ca="1">_xll.FDSRC("-","DUMMY","ECON_EXPR_DATA('FDS_ECON["&amp;H10&amp;"]',"&amp;$O$3&amp;",,Q)")</f>
        <v>44.209952999999999</v>
      </c>
      <c r="P10">
        <f t="shared" ca="1" si="0"/>
        <v>1.848747000000003</v>
      </c>
      <c r="Q10" cm="1">
        <f t="array" ref="Q10">_xlfn.PERCENTRANK.EXC(_xlfn._xlws.FILTER(M$4:M$16, ISNUMBER(M$4:M$16)),M10)*100</f>
        <v>35.699999999999996</v>
      </c>
      <c r="R10" cm="1">
        <f t="array" aca="1" ref="R10" ca="1">_xlfn.PERCENTRANK.EXC(_xlfn._xlws.FILTER(P$4:P$16, ISNUMBER(P$4:P$16)),P10)*100</f>
        <v>85.7</v>
      </c>
      <c r="S10">
        <f ca="1">Q10*Assumption!$E$27 + R10*Assumption!$F$27</f>
        <v>55.7</v>
      </c>
      <c r="T10" cm="1">
        <f t="array" aca="1" ref="T10" ca="1">_xlfn.PERCENTRANK.EXC(_xlfn._xlws.FILTER(S$4:S$16, ISNUMBER(S$4:S$16)),S10)*100</f>
        <v>64.2</v>
      </c>
    </row>
    <row r="11" spans="1:20" x14ac:dyDescent="0.35">
      <c r="A11" t="s">
        <v>51</v>
      </c>
      <c r="B11" t="s">
        <v>452</v>
      </c>
      <c r="C11" t="s">
        <v>51</v>
      </c>
      <c r="D11" t="s">
        <v>756</v>
      </c>
      <c r="E11">
        <v>53.4</v>
      </c>
      <c r="F11">
        <v>6.5</v>
      </c>
      <c r="G11" t="s">
        <v>123</v>
      </c>
      <c r="H11" s="120" t="s">
        <v>757</v>
      </c>
      <c r="I11" s="121" t="s">
        <v>769</v>
      </c>
      <c r="J11" s="122" t="str" cm="1">
        <f t="array" ref="J11">_xll.FDS(K11,"FG_COMPANY_NAME")</f>
        <v>Invesco QQQ Trust Series I</v>
      </c>
      <c r="K11" s="122" t="s">
        <v>51</v>
      </c>
      <c r="L11" t="s">
        <v>756</v>
      </c>
      <c r="M11" cm="1">
        <f t="array" ref="M11">IF(_xll.FDSRC(,"DUMMY","ECON_EXPR_DATA('FDS_ECON["&amp;H11&amp;"]',,,M)")=0,$J$20,_xll.FDSRC(,"DUMMY","ECON_EXPR_DATA('FDS_ECON["&amp;H11&amp;"]',,,M)"))</f>
        <v>52.195070000000001</v>
      </c>
      <c r="N11" cm="1">
        <f t="array" aca="1" ref="N11" ca="1">_xll.FDSRC("-","DUMMY","ECON_EXPR_DATA('FDS_ECON["&amp;H11&amp;"]',"&amp;$N$3&amp;",,Q)")</f>
        <v>49.098827</v>
      </c>
      <c r="O11" cm="1">
        <f t="array" aca="1" ref="O11" ca="1">_xll.FDSRC("-","DUMMY","ECON_EXPR_DATA('FDS_ECON["&amp;H11&amp;"]',"&amp;$O$3&amp;",,Q)")</f>
        <v>48.914909999999999</v>
      </c>
      <c r="P11">
        <f t="shared" ca="1" si="0"/>
        <v>0.183917000000001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64.2</v>
      </c>
      <c r="S11">
        <f ca="1">Q11*Assumption!$E$27 + R11*Assumption!$F$27</f>
        <v>77.100000000000009</v>
      </c>
      <c r="T11" cm="1">
        <f t="array" aca="1" ref="T11" ca="1">_xlfn.PERCENTRANK.EXC(_xlfn._xlws.FILTER(S$4:S$16, ISNUMBER(S$4:S$16)),S11)*100</f>
        <v>85.7</v>
      </c>
    </row>
    <row r="12" spans="1:20" x14ac:dyDescent="0.35">
      <c r="A12" t="s">
        <v>1</v>
      </c>
      <c r="B12" t="s">
        <v>1</v>
      </c>
      <c r="C12" t="s">
        <v>1</v>
      </c>
      <c r="D12" t="s">
        <v>756</v>
      </c>
      <c r="E12">
        <v>53.4</v>
      </c>
      <c r="F12">
        <v>6.5</v>
      </c>
      <c r="G12" t="s">
        <v>123</v>
      </c>
      <c r="H12" s="120" t="s">
        <v>757</v>
      </c>
      <c r="I12" s="121" t="s">
        <v>769</v>
      </c>
      <c r="J12" s="122" t="str" cm="1">
        <f t="array" ref="J12">_xll.FDS(K12,"FG_COMPANY_NAME")</f>
        <v>SPDR S&amp;P 500 ETF Trust</v>
      </c>
      <c r="K12" s="122" t="s">
        <v>1</v>
      </c>
      <c r="L12" t="s">
        <v>756</v>
      </c>
      <c r="M12" cm="1">
        <f t="array" ref="M12">IF(_xll.FDSRC(,"DUMMY","ECON_EXPR_DATA('FDS_ECON["&amp;H12&amp;"]',,,M)")=0,$J$20,_xll.FDSRC(,"DUMMY","ECON_EXPR_DATA('FDS_ECON["&amp;H12&amp;"]',,,M)"))</f>
        <v>52.195070000000001</v>
      </c>
      <c r="N12" cm="1">
        <f t="array" aca="1" ref="N12" ca="1">_xll.FDSRC("-","DUMMY","ECON_EXPR_DATA('FDS_ECON["&amp;H12&amp;"]',"&amp;$N$3&amp;",,Q)")</f>
        <v>49.098827</v>
      </c>
      <c r="O12" cm="1">
        <f t="array" aca="1" ref="O12" ca="1">_xll.FDSRC("-","DUMMY","ECON_EXPR_DATA('FDS_ECON["&amp;H12&amp;"]',"&amp;$O$3&amp;",,Q)")</f>
        <v>48.914909999999999</v>
      </c>
      <c r="P12">
        <f t="shared" ca="1" si="0"/>
        <v>0.183917000000001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64.2</v>
      </c>
      <c r="S12">
        <f ca="1">Q12*Assumption!$E$27 + R12*Assumption!$F$27</f>
        <v>77.100000000000009</v>
      </c>
      <c r="T12" cm="1">
        <f t="array" aca="1" ref="T12" ca="1">_xlfn.PERCENTRANK.EXC(_xlfn._xlws.FILTER(S$4:S$16, ISNUMBER(S$4:S$16)),S12)*100</f>
        <v>85.7</v>
      </c>
    </row>
    <row r="13" spans="1:20" x14ac:dyDescent="0.35">
      <c r="G13" t="s">
        <v>110</v>
      </c>
      <c r="H13" s="120" t="s">
        <v>890</v>
      </c>
      <c r="I13" t="s">
        <v>627</v>
      </c>
      <c r="J13" s="122" t="str" cm="1">
        <f t="array" ref="J13">_xll.FDS(K13,"FG_COMPANY_NAME")</f>
        <v>iShares MSCI France ETF</v>
      </c>
      <c r="K13" t="s">
        <v>872</v>
      </c>
      <c r="L13" t="s">
        <v>756</v>
      </c>
      <c r="M13" cm="1">
        <f t="array" ref="M13">IF(_xll.FDSRC(,"DUMMY","ECON_EXPR_DATA('FDS_ECON["&amp;H13&amp;"]',,,M)")=0,$J$20,_xll.FDSRC(,"DUMMY","ECON_EXPR_DATA('FDS_ECON["&amp;H13&amp;"]',,,M)"))</f>
        <v>47.113422</v>
      </c>
      <c r="N13" cm="1">
        <f t="array" aca="1" ref="N13" ca="1">_xll.FDSRC("-","DUMMY","ECON_EXPR_DATA('FDS_ECON["&amp;H13&amp;"]',"&amp;$N$3&amp;",,Q)")</f>
        <v>42.573967000000003</v>
      </c>
      <c r="O13" cm="1">
        <f t="array" aca="1" ref="O13" ca="1">_xll.FDSRC("-","DUMMY","ECON_EXPR_DATA('FDS_ECON["&amp;H13&amp;"]',"&amp;$O$3&amp;",,Q)")</f>
        <v>45.097969999999997</v>
      </c>
      <c r="P13">
        <f t="shared" ca="1" si="0"/>
        <v>-2.5240029999999933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7.1</v>
      </c>
      <c r="S13">
        <f ca="1">Q13*Assumption!$E$27 + R13*Assumption!$F$27</f>
        <v>15.679999999999998</v>
      </c>
      <c r="T13" cm="1">
        <f t="array" aca="1" ref="T13" ca="1">_xlfn.PERCENTRANK.EXC(_xlfn._xlws.FILTER(S$4:S$16, ISNUMBER(S$4:S$16)),S13)*100</f>
        <v>7.1</v>
      </c>
    </row>
    <row r="14" spans="1:20" x14ac:dyDescent="0.35">
      <c r="G14" t="s">
        <v>882</v>
      </c>
      <c r="H14" s="120" t="s">
        <v>891</v>
      </c>
      <c r="I14" t="s">
        <v>679</v>
      </c>
      <c r="J14" s="122" t="str" cm="1">
        <f t="array" ref="J14">_xll.FDS(K14,"FG_COMPANY_NAME")</f>
        <v>iShares MSCI Netherlands ETF</v>
      </c>
      <c r="K14" t="s">
        <v>874</v>
      </c>
      <c r="L14" t="s">
        <v>756</v>
      </c>
      <c r="M14" cm="1">
        <f t="array" ref="M14">IF(_xll.FDSRC(,"DUMMY","ECON_EXPR_DATA('FDS_ECON["&amp;H14&amp;"]',,,M)")=0,$J$20,_xll.FDSRC(,"DUMMY","ECON_EXPR_DATA('FDS_ECON["&amp;H14&amp;"]',,,M)"))</f>
        <v>49.333509999999997</v>
      </c>
      <c r="N14" cm="1">
        <f t="array" aca="1" ref="N14" ca="1">_xll.FDSRC("-","DUMMY","ECON_EXPR_DATA('FDS_ECON["&amp;H14&amp;"]',"&amp;$N$3&amp;",,Q)")</f>
        <v>44.495136000000002</v>
      </c>
      <c r="O14" cm="1">
        <f t="array" aca="1" ref="O14" ca="1">_xll.FDSRC("-","DUMMY","ECON_EXPR_DATA('FDS_ECON["&amp;H14&amp;"]',"&amp;$O$3&amp;",,Q)")</f>
        <v>44.945712999999998</v>
      </c>
      <c r="P14">
        <f t="shared" ca="1" si="0"/>
        <v>-0.45057699999999556</v>
      </c>
      <c r="Q14" cm="1">
        <f t="array" ref="Q14">_xlfn.PERCENTRANK.EXC(_xlfn._xlws.FILTER(M$4:M$16, ISNUMBER(M$4:M$16)),M14)*100</f>
        <v>64.2</v>
      </c>
      <c r="R14" cm="1">
        <f t="array" aca="1" ref="R14" ca="1">_xlfn.PERCENTRANK.EXC(_xlfn._xlws.FILTER(P$4:P$16, ISNUMBER(P$4:P$16)),P14)*100</f>
        <v>50</v>
      </c>
      <c r="S14">
        <f ca="1">Q14*Assumption!$E$27 + R14*Assumption!$F$27</f>
        <v>58.52</v>
      </c>
      <c r="T14" cm="1">
        <f t="array" aca="1" ref="T14" ca="1">_xlfn.PERCENTRANK.EXC(_xlfn._xlws.FILTER(S$4:S$16, ISNUMBER(S$4:S$16)),S14)*100</f>
        <v>71.399999999999991</v>
      </c>
    </row>
    <row r="15" spans="1:20" x14ac:dyDescent="0.35">
      <c r="G15" t="s">
        <v>276</v>
      </c>
      <c r="H15" s="120"/>
      <c r="I15" t="s">
        <v>711</v>
      </c>
      <c r="J15" s="122" t="str" cm="1">
        <f t="array" ref="J15">_xll.FDS(K15,"FG_COMPANY_NAME")</f>
        <v>iShares MSCI Sweden ETF</v>
      </c>
      <c r="K15" t="s">
        <v>871</v>
      </c>
      <c r="L15" t="s">
        <v>756</v>
      </c>
      <c r="M15" cm="1">
        <f t="array" ref="M15">IF(_xll.FDSRC(,"DUMMY","ECON_EXPR_DATA('FDS_ECON["&amp;H15&amp;"]',,,M)")=0,$J$20,_xll.FDSRC(,"DUMMY","ECON_EXPR_DATA('FDS_ECON["&amp;H15&amp;"]',,,M)"))</f>
        <v>51.447499999999998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0"/>
        <v>-0.17349399999999804</v>
      </c>
      <c r="Q15" cm="1">
        <f t="array" ref="Q15">_xlfn.PERCENTRANK.EXC(_xlfn._xlws.FILTER(M$4:M$16, ISNUMBER(M$4:M$16)),M15)*100</f>
        <v>78.5</v>
      </c>
      <c r="R15" cm="1">
        <f t="array" aca="1" ref="R15" ca="1">_xlfn.PERCENTRANK.EXC(_xlfn._xlws.FILTER(P$4:P$16, ISNUMBER(P$4:P$16)),P15)*100</f>
        <v>57.099999999999994</v>
      </c>
      <c r="S15">
        <f ca="1">Q15*Assumption!$E$27 + R15*Assumption!$F$27</f>
        <v>69.94</v>
      </c>
      <c r="T15" cm="1">
        <f t="array" aca="1" ref="T15" ca="1">_xlfn.PERCENTRANK.EXC(_xlfn._xlws.FILTER(S$4:S$16, ISNUMBER(S$4:S$16)),S15)*100</f>
        <v>78.5</v>
      </c>
    </row>
    <row r="16" spans="1:20" x14ac:dyDescent="0.35">
      <c r="G16" t="s">
        <v>883</v>
      </c>
      <c r="H16" s="120" t="s">
        <v>892</v>
      </c>
      <c r="I16" t="s">
        <v>647</v>
      </c>
      <c r="J16" s="122" t="str" cm="1">
        <f t="array" ref="J16">_xll.FDS(K16,"FG_COMPANY_NAME")</f>
        <v>iShares MSCI Italy ETF</v>
      </c>
      <c r="K16" t="s">
        <v>873</v>
      </c>
      <c r="L16" t="s">
        <v>756</v>
      </c>
      <c r="M16" cm="1">
        <f t="array" ref="M16">IF(_xll.FDSRC(,"DUMMY","ECON_EXPR_DATA('FDS_ECON["&amp;H16&amp;"]',,,M)")=0,$J$20,_xll.FDSRC(,"DUMMY","ECON_EXPR_DATA('FDS_ECON["&amp;H16&amp;"]',,,M)"))</f>
        <v>48.697094</v>
      </c>
      <c r="N16" cm="1">
        <f t="array" aca="1" ref="N16" ca="1">_xll.FDSRC("-","DUMMY","ECON_EXPR_DATA('FDS_ECON["&amp;H16&amp;"]',"&amp;$N$3&amp;",,Q)")</f>
        <v>44.859454999999997</v>
      </c>
      <c r="O16" cm="1">
        <f t="array" aca="1" ref="O16" ca="1">_xll.FDSRC("-","DUMMY","ECON_EXPR_DATA('FDS_ECON["&amp;H16&amp;"]',"&amp;$O$3&amp;",,Q)")</f>
        <v>45.562866</v>
      </c>
      <c r="P16">
        <f t="shared" ca="1" si="0"/>
        <v>-0.70341100000000267</v>
      </c>
      <c r="Q16" cm="1">
        <f t="array" ref="Q16">_xlfn.PERCENTRANK.EXC(_xlfn._xlws.FILTER(M$4:M$16, ISNUMBER(M$4:M$16)),M16)*100</f>
        <v>50</v>
      </c>
      <c r="R16" cm="1">
        <f t="array" aca="1" ref="R16" ca="1">_xlfn.PERCENTRANK.EXC(_xlfn._xlws.FILTER(P$4:P$16, ISNUMBER(P$4:P$16)),P16)*100</f>
        <v>42.8</v>
      </c>
      <c r="S16">
        <f ca="1">Q16*Assumption!$E$27 + R16*Assumption!$F$27</f>
        <v>47.120000000000005</v>
      </c>
      <c r="T16" cm="1">
        <f t="array" aca="1" ref="T16" ca="1">_xlfn.PERCENTRANK.EXC(_xlfn._xlws.FILTER(S$4:S$16, ISNUMBER(S$4:S$16)),S16)*100</f>
        <v>50</v>
      </c>
    </row>
    <row r="18" spans="8:13" x14ac:dyDescent="0.35">
      <c r="K18" t="str" cm="1">
        <f t="array" aca="1" ref="K18" ca="1">_xll.FDSRC("-","DUMMY","ECON_DATE("&amp;$L$1&amp;",,, 'MM/YYYY')")</f>
        <v>02/2024</v>
      </c>
      <c r="L18" t="str" cm="1">
        <f t="array" aca="1" ref="L18" ca="1">_xll.FDSRC("-","DUMMY","ECON_DATE("&amp;$L$2&amp;",,, 'MM/YYYY')")</f>
        <v>11/2023</v>
      </c>
      <c r="M18" t="s">
        <v>779</v>
      </c>
    </row>
    <row r="19" spans="8:13" x14ac:dyDescent="0.35">
      <c r="H19" s="120" t="s">
        <v>765</v>
      </c>
      <c r="I19" s="120" t="s">
        <v>766</v>
      </c>
      <c r="J19" cm="1">
        <f t="array" ref="J19">_xll.FDSRC("-","DUMMY","ECON_EXPR_DATA('FDS_ECON["&amp;H19&amp;"]',,,M)")</f>
        <v>49.253857000000004</v>
      </c>
      <c r="K19" cm="1">
        <f t="array" aca="1" ref="K19" ca="1">_xll.FDSRC("-","DUMMY","ECON_EXPR_DATA('FDS_ECON["&amp;H19&amp;"]',"&amp;$K$18&amp;",,Q)")</f>
        <v>47.378044000000003</v>
      </c>
      <c r="L19" cm="1">
        <f t="array" aca="1" ref="L19" ca="1">_xll.FDSRC("-","DUMMY","ECON_EXPR_DATA('FDS_ECON["&amp;H19&amp;"]',"&amp;$L$18&amp;",,Q)")</f>
        <v>47.086407000000001</v>
      </c>
      <c r="M19">
        <f ca="1">K19-L19</f>
        <v>0.29163700000000148</v>
      </c>
    </row>
    <row r="20" spans="8:13" x14ac:dyDescent="0.35">
      <c r="H20" s="120" t="s">
        <v>767</v>
      </c>
      <c r="I20" s="120" t="s">
        <v>768</v>
      </c>
      <c r="J20" cm="1">
        <f t="array" ref="J20">_xll.FDSRC("-","DUMMY","ECON_EXPR_DATA('FDS_ECON["&amp;H20&amp;"]',,,M)")</f>
        <v>51.447499999999998</v>
      </c>
      <c r="K20" cm="1">
        <f t="array" aca="1" ref="K20" ca="1">_xll.FDSRC("-","DUMMY","ECON_EXPR_DATA('FDS_ECON["&amp;H20&amp;"]',"&amp;$K$18&amp;",,Q)")</f>
        <v>50.640650000000001</v>
      </c>
      <c r="L20" cm="1">
        <f t="array" aca="1" ref="L20" ca="1">_xll.FDSRC("-","DUMMY","ECON_EXPR_DATA('FDS_ECON["&amp;H20&amp;"]',"&amp;$L$18&amp;",,Q)")</f>
        <v>50.814143999999999</v>
      </c>
      <c r="M20">
        <f ca="1">K20-L20</f>
        <v>-0.17349399999999804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G10" sqref="G10:G14"/>
    </sheetView>
  </sheetViews>
  <sheetFormatPr defaultRowHeight="14.5" x14ac:dyDescent="0.35"/>
  <cols>
    <col min="1" max="1" width="14.08984375" customWidth="1"/>
    <col min="2" max="2" width="34.36328125" bestFit="1" customWidth="1"/>
    <col min="3" max="3" width="9.6328125" bestFit="1" customWidth="1"/>
    <col min="4" max="4" width="15.36328125" customWidth="1"/>
    <col min="5" max="5" width="17.6328125" customWidth="1"/>
    <col min="6" max="6" width="19.453125" customWidth="1"/>
    <col min="7" max="7" width="18" customWidth="1"/>
  </cols>
  <sheetData>
    <row r="1" spans="1:7" x14ac:dyDescent="0.35">
      <c r="A1" t="s">
        <v>746</v>
      </c>
      <c r="B1" t="s">
        <v>523</v>
      </c>
      <c r="C1" t="s">
        <v>827</v>
      </c>
      <c r="D1" t="s">
        <v>853</v>
      </c>
      <c r="E1" t="s">
        <v>567</v>
      </c>
      <c r="F1" t="s">
        <v>854</v>
      </c>
      <c r="G1" t="s">
        <v>855</v>
      </c>
    </row>
    <row r="2" spans="1:7" x14ac:dyDescent="0.35">
      <c r="A2" t="s">
        <v>202</v>
      </c>
      <c r="B2" t="s">
        <v>450</v>
      </c>
      <c r="C2" t="s">
        <v>435</v>
      </c>
      <c r="D2" s="154" cm="1">
        <f t="array" ref="D2">_xll.FDS(C2,"FREF_MARKET_VALUE_COMPANY(0,,,USD,,0,,""LEGACY"")")</f>
        <v>99.99</v>
      </c>
      <c r="E2" t="s">
        <v>680</v>
      </c>
      <c r="F2" t="str">
        <f t="shared" ref="F2:F14" si="0">_xlfn.CONCAT("FC0000",RIGHT(A2,2))</f>
        <v>FC0000NZ</v>
      </c>
      <c r="G2" s="153" cm="1">
        <f t="array" ref="G2">_xll.FDSZ(F2,"FMA_MCAP(0,,,USD,""PORTAGG"")")</f>
        <v>91759.45</v>
      </c>
    </row>
    <row r="3" spans="1:7" x14ac:dyDescent="0.35">
      <c r="A3" t="s">
        <v>178</v>
      </c>
      <c r="B3" t="s">
        <v>45</v>
      </c>
      <c r="C3" t="s">
        <v>44</v>
      </c>
      <c r="D3" s="154" cm="1">
        <f t="array" ref="D3">_xll.FDS(C3,"FREF_MARKET_VALUE_COMPANY(0,,,USD,,0,,""LEGACY"")")</f>
        <v>1968.192</v>
      </c>
      <c r="E3" t="s">
        <v>582</v>
      </c>
      <c r="F3" t="str">
        <f t="shared" si="0"/>
        <v>FC0000AU</v>
      </c>
      <c r="G3" s="153" cm="1">
        <f t="array" ref="G3">_xll.FDSZ(F3,"FMA_MCAP(0,,,USD,""PORTAGG"")")</f>
        <v>1666016.6</v>
      </c>
    </row>
    <row r="4" spans="1:7" x14ac:dyDescent="0.35">
      <c r="A4" t="s">
        <v>161</v>
      </c>
      <c r="B4" t="s">
        <v>50</v>
      </c>
      <c r="C4" t="s">
        <v>49</v>
      </c>
      <c r="D4" s="154" cm="1">
        <f t="array" ref="D4">_xll.FDS(C4,"FREF_MARKET_VALUE_COMPANY(0,,,USD,,0,,""LEGACY"")")</f>
        <v>2798.7570000000001</v>
      </c>
      <c r="E4" t="s">
        <v>604</v>
      </c>
      <c r="F4" t="str">
        <f t="shared" si="0"/>
        <v>FC0000CA</v>
      </c>
      <c r="G4" s="153" cm="1">
        <f t="array" ref="G4">_xll.FDSZ(F4,"FMA_MCAP(0,,,USD,""PORTAGG"")")</f>
        <v>2704108.8</v>
      </c>
    </row>
    <row r="5" spans="1:7" s="1" customFormat="1" x14ac:dyDescent="0.35">
      <c r="A5" s="156" t="s">
        <v>561</v>
      </c>
      <c r="B5" s="156" t="s">
        <v>39</v>
      </c>
      <c r="C5" s="156" t="s">
        <v>11</v>
      </c>
      <c r="D5" s="154" cm="1">
        <f t="array" ref="D5">_xll.FDS(C5,"FREF_MARKET_VALUE_COMPANY(0,,,USD,,0,,""LEGACY"")")</f>
        <v>1009.26</v>
      </c>
      <c r="E5" s="156" t="s">
        <v>631</v>
      </c>
      <c r="F5" s="156" t="str">
        <f t="shared" si="0"/>
        <v>FC0000DE</v>
      </c>
      <c r="G5" s="157" cm="1">
        <f t="array" ref="G5">_xll.FDSZ(F5,"FMA_MCAP(0,,,USD,""PORTAGG"")")</f>
        <v>2337301</v>
      </c>
    </row>
    <row r="6" spans="1:7" x14ac:dyDescent="0.35">
      <c r="A6" t="s">
        <v>168</v>
      </c>
      <c r="B6" t="s">
        <v>47</v>
      </c>
      <c r="C6" t="s">
        <v>46</v>
      </c>
      <c r="D6" s="154" cm="1">
        <f t="array" ref="D6">_xll.FDS(C6,"FREF_MARKET_VALUE_COMPANY(0,,,USD,,0,,""LEGACY"")")</f>
        <v>16450.092000000001</v>
      </c>
      <c r="E6" t="s">
        <v>649</v>
      </c>
      <c r="F6" t="str">
        <f t="shared" si="0"/>
        <v>FC0000JP</v>
      </c>
      <c r="G6" s="153" cm="1">
        <f t="array" ref="G6">_xll.FDSZ(F6,"FMA_MCAP(0,,,USD,""PORTAGG"")")</f>
        <v>6652499</v>
      </c>
    </row>
    <row r="7" spans="1:7" x14ac:dyDescent="0.35">
      <c r="A7" t="s">
        <v>280</v>
      </c>
      <c r="B7" t="s">
        <v>43</v>
      </c>
      <c r="C7" t="s">
        <v>42</v>
      </c>
      <c r="D7" s="154" cm="1">
        <f t="array" ref="D7">_xll.FDS(C7,"FREF_MARKET_VALUE_COMPANY(0,,,USD,,0,,""LEGACY"")")</f>
        <v>1178.2874999999999</v>
      </c>
      <c r="E7" t="s">
        <v>712</v>
      </c>
      <c r="F7" t="str">
        <f t="shared" si="0"/>
        <v>FC0000CH</v>
      </c>
      <c r="G7" s="153" cm="1">
        <f t="array" ref="G7">_xll.FDSZ(F7,"FMA_MCAP(0,,,USD,""PORTAGG"")")</f>
        <v>2177973.5</v>
      </c>
    </row>
    <row r="8" spans="1:7" x14ac:dyDescent="0.35">
      <c r="A8" t="s">
        <v>171</v>
      </c>
      <c r="B8" t="s">
        <v>451</v>
      </c>
      <c r="C8" t="s">
        <v>48</v>
      </c>
      <c r="D8" s="154" cm="1">
        <f t="array" ref="D8">_xll.FDS(C8,"FREF_MARKET_VALUE_COMPANY(0,,,USD,,0,,""LEGACY"")")</f>
        <v>2542.65</v>
      </c>
      <c r="E8" t="s">
        <v>725</v>
      </c>
      <c r="F8" t="str">
        <f t="shared" si="0"/>
        <v>FC0000GB</v>
      </c>
      <c r="G8" s="153" cm="1">
        <f t="array" ref="G8">_xll.FDSZ(F8,"FMA_MCAP(0,,,USD,""PORTAGG"")")</f>
        <v>3096719.5</v>
      </c>
    </row>
    <row r="9" spans="1:7" x14ac:dyDescent="0.35">
      <c r="A9" t="s">
        <v>174</v>
      </c>
      <c r="B9" t="s">
        <v>452</v>
      </c>
      <c r="C9" t="s">
        <v>51</v>
      </c>
      <c r="D9" s="154" cm="1">
        <f t="array" ref="D9">_xll.FDS(C9,"FREF_MARKET_VALUE_COMPANY(0,,,USD,,0,,""LEGACY"")")</f>
        <v>253252.038</v>
      </c>
      <c r="E9" t="s">
        <v>726</v>
      </c>
      <c r="F9" t="str">
        <f t="shared" si="0"/>
        <v>FC0000US</v>
      </c>
      <c r="G9" s="153" cm="1">
        <f t="array" ref="G9">_xll.FDSZ(F9,"FMA_MCAP(0,,,USD,""PORTAGG"")")</f>
        <v>53747804</v>
      </c>
    </row>
    <row r="10" spans="1:7" x14ac:dyDescent="0.35">
      <c r="A10" t="s">
        <v>174</v>
      </c>
      <c r="B10" t="s">
        <v>1</v>
      </c>
      <c r="C10" t="s">
        <v>1</v>
      </c>
      <c r="D10" s="154" cm="1">
        <f t="array" ref="D10">_xll.FDS(C10,"FREF_MARKET_VALUE_COMPANY(0,,,USD,,0,,""LEGACY"")")</f>
        <v>506263.89549299999</v>
      </c>
      <c r="E10" t="s">
        <v>726</v>
      </c>
      <c r="F10" t="str">
        <f t="shared" si="0"/>
        <v>FC0000US</v>
      </c>
      <c r="G10" s="153" cm="1">
        <f t="array" ref="G10">_xll.FDSZ(F10,"FMA_MCAP(0,,,USD,""PORTAGG"")")</f>
        <v>53747804</v>
      </c>
    </row>
    <row r="11" spans="1:7" x14ac:dyDescent="0.35">
      <c r="A11" t="s">
        <v>876</v>
      </c>
      <c r="B11" t="s">
        <v>881</v>
      </c>
      <c r="C11" t="s">
        <v>872</v>
      </c>
      <c r="D11" s="154" cm="1">
        <f t="array" ref="D11">_xll.FDS(C11,"FREF_MARKET_VALUE_COMPANY(0,,,USD,,0,,""LEGACY"")")</f>
        <v>680.43600000000004</v>
      </c>
      <c r="E11" t="s">
        <v>627</v>
      </c>
      <c r="F11" t="str">
        <f t="shared" si="0"/>
        <v>FC0000FR</v>
      </c>
      <c r="G11" s="153" cm="1">
        <f t="array" ref="G11">_xll.FDSZ(F11,"FMA_MCAP(0,,,USD,""PORTAGG"")")</f>
        <v>3464222</v>
      </c>
    </row>
    <row r="12" spans="1:7" x14ac:dyDescent="0.35">
      <c r="A12" t="s">
        <v>877</v>
      </c>
      <c r="B12" t="s">
        <v>879</v>
      </c>
      <c r="C12" t="s">
        <v>874</v>
      </c>
      <c r="D12" s="154" cm="1">
        <f t="array" ref="D12">_xll.FDS(C12,"FREF_MARKET_VALUE_COMPANY(0,,,USD,,0,,""LEGACY"")")</f>
        <v>227.66800000000001</v>
      </c>
      <c r="E12" t="s">
        <v>679</v>
      </c>
      <c r="F12" t="str">
        <f t="shared" si="0"/>
        <v>FC0000NL</v>
      </c>
      <c r="G12" s="153" cm="1">
        <f t="array" ref="G12">_xll.FDSZ(F12,"FMA_MCAP(0,,,USD,""PORTAGG"")")</f>
        <v>1118533.3999999999</v>
      </c>
    </row>
    <row r="13" spans="1:7" x14ac:dyDescent="0.35">
      <c r="A13" t="s">
        <v>277</v>
      </c>
      <c r="B13" t="s">
        <v>880</v>
      </c>
      <c r="C13" t="s">
        <v>871</v>
      </c>
      <c r="D13" s="154" cm="1">
        <f t="array" ref="D13">_xll.FDS(C13,"FREF_MARKET_VALUE_COMPANY(0,,,USD,,0,,""LEGACY"")")</f>
        <v>254.91374999999999</v>
      </c>
      <c r="E13" t="s">
        <v>711</v>
      </c>
      <c r="F13" t="str">
        <f t="shared" si="0"/>
        <v>FC0000SE</v>
      </c>
      <c r="G13" s="153" cm="1">
        <f t="array" ref="G13">_xll.FDSZ(F13,"FMA_MCAP(0,,,USD,""PORTAGG"")")</f>
        <v>1062384</v>
      </c>
    </row>
    <row r="14" spans="1:7" x14ac:dyDescent="0.35">
      <c r="A14" t="s">
        <v>875</v>
      </c>
      <c r="B14" t="s">
        <v>878</v>
      </c>
      <c r="C14" t="s">
        <v>873</v>
      </c>
      <c r="D14" s="154" cm="1">
        <f t="array" ref="D14">_xll.FDS(C14,"FREF_MARKET_VALUE_COMPANY(0,,,USD,,0,,""LEGACY"")")</f>
        <v>402.04874999999998</v>
      </c>
      <c r="E14" t="s">
        <v>647</v>
      </c>
      <c r="F14" t="str">
        <f t="shared" si="0"/>
        <v>FC0000IT</v>
      </c>
      <c r="G14" s="153" cm="1">
        <f t="array" ref="G14">_xll.FDSZ(F14,"FMA_MCAP(0,,,USD,""PORTAGG"")")</f>
        <v>880727.1</v>
      </c>
    </row>
    <row r="15" spans="1:7" x14ac:dyDescent="0.35">
      <c r="D15" s="154"/>
      <c r="G15" s="153"/>
    </row>
    <row r="17" spans="1:7" x14ac:dyDescent="0.35">
      <c r="A17" s="55" t="s">
        <v>370</v>
      </c>
      <c r="B17" s="55" t="str" cm="1">
        <f t="array" ref="B17">_xll.FDS(C17,"FG_COMPANY_NAME")</f>
        <v>Nasdaq South Africa</v>
      </c>
      <c r="C17" s="55" t="s">
        <v>859</v>
      </c>
      <c r="D17" s="160" cm="1">
        <f t="array" ref="D17">_xll.FDSZ(C17,"FMA_MCAP(0,,,USD,""PORTAGG"")")</f>
        <v>0</v>
      </c>
      <c r="E17" s="55" t="str" cm="1">
        <f t="array" ref="E17">_xll.FDS(A17,"FG_COMPANY_NAME")</f>
        <v>South Africa</v>
      </c>
      <c r="F17" s="55" t="str">
        <f>_xlfn.CONCAT("FC0000",RIGHT(A17,2))</f>
        <v>FC0000ZA</v>
      </c>
      <c r="G17" s="160" cm="1">
        <f t="array" ref="G17">_xll.FDS(F17,"FG_MCAP_IDX(0,,,USD)")</f>
        <v>296158.71999999997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502757"><![CDATA[{"FC0000ZA^FG_MCAP_IDX(0,,,USD)":296158.72,"EWI^FREF_MARKET_VALUE_COMPANY(0,,,USD,,0,,\"LEGACY\")":402.04875,"EWN^FREF_MARKET_VALUE_COMPANY(0,,,USD,,0,,\"LEGACY\")":227.668,"EWQ^FREF_MARKET_VALUE_COMPANY(0,,,USD,,0,,\"LEGACY\")":680.436,"FC0000FR^FMA_MCAP(0,,,USD,\"PORTAGG\")":3464222.0,"FC0000US^FMA_MCAP(0,,,USD,\"PORTAGG\")":53747804.0,"FC0000IT^FMA_MCAP(0,,,USD,\"PORTAGG\")":880727.1,"EWD^FREF_MARKET_VALUE_COMPANY(0,,,USD,,0,,\"LEGACY\")":254.91375,"FC0000SE^FMA_MCAP(0,,,USD,\"PORTAGG\")":1062384.0,"FC0000NL^FMA_MCAP(0,,,USD,\"PORTAGG\")":1118533.4,"SPY^FREF_MARKET_VALUE_COMPANY(0,,,USD,,0,,\"LEGACY\")":506263.895493,"QQQ^FREF_MARKET_VALUE_COMPANY(0,,,USD,,0,,\"LEGACY\")":253252.038,"EWU^FREF_MARKET_VALUE_COMPANY(0,,,USD,,0,,\"LEGACY\")":2542.65,"FC0000CH^FMA_MCAP(0,,,USD,\"PORTAGG\")":2177973.5,"FC0000DE^FMA_MCAP(0,,,USD,\"PORTAGG\")":2337301.0,"EWC^FREF_MARKET_VALUE_COMPANY(0,,,USD,,0,,\"LEGACY\")":2798.757,"FC0000CA^FMA_MCAP(0,,,USD,\"PORTAGG\")":2704108.8,"EWA^FREF_MARKET_VALUE_COMPANY(0,,,USD,,0,,\"LEGACY\")":1968.192,"FC0000AU^FMA_MCAP(0,,,USD,\"PORTAGG\")":1666016.6,"ENZL^FREF_MARKET_VALUE_COMPANY(0,,,USD,,0,,\"LEGACY\")":99.99,"FC0000NZ^FMA_MCAP(0,,,USD,\"PORTAGG\")":91759.45,"NQG00809^FG_COMPANY_NAME":"Nasdaq South Africa","CC_ZA^FG_COMPANY_NAME":"South Africa","NQG00809^FMA_MCAP(0,,,USD,\"PORTAGG\")":null,"FC0000GB^FMA_MCAP(0,,,USD,\"PORTAGG\")":3096719.5,"EWL^FREF_MARKET_VALUE_COMPANY(0,,,USD,,0,,\"LEGACY\")":1178.2875,"EWJ^FREF_MARKET_VALUE_COMPANY(0,,,USD,,0,,\"LEGACY\")":16450.092,"FC0000JP^FMA_MCAP(0,,,USD,\"PORTAGG\")":6652499.0,"EWG^FREF_MARKET_VALUE_COMPANY(0,,,USD,,0,,\"LEGACY\")":1009.26,"DUMMY^ECON_EXPR_DATA('FDS_ECON[]',,,M)":null,"DUMMY^ECON_EXPR_DATA('FDS_ECON[NTCPMIMFGSA@IT]',,,M)":48.697094,"DUMMY^ECON_EXPR_DATA('FDS_ECON[NTCPMIMFGSA@NZ]',,,M)":49.27094,"DUMMY^ECON_EXPR_DATA('FDS_ECON[NTCPMIMFGMESA@US]',,,M)":52.19507,"DUMMY^ECON_EXPR_DATA('FDS_ECON[NTCPMIMFGSA@NL]',,,M)":49.33351,"DUMMY^ECON_EXPR_DATA('FDS_ECON[NTCPMIMFGSA@AU]',,,M)":47.823067,"DUMMY^ECON_EXPR_DATA('FDS_ECON[NTCPMIMFGSA@FR]',,,M)":47.113422,"DUMMY^ECON_EXPR_DATA('FDS_ECON[NTCPMIMFGSA@JP]',,,M)":47.18277,"DUMMY^ECON_EXPR_DATA('FDS_ECON[NTCPMIMFGSA@CA]',,,M)":49.74032,"DUMMY^ECON_EXPR_DATA('FDS_ECON[NTCPMIMFGSA@GB]',,,M)":47.508816,"DUMMY^ECON_EXPR_DATA('FDS_ECON[NTCPMIMFGSA@CH]',,,M)":43.954456,"DUMMY^ECON_EXPR_DATA('FDS_ECON[NTCPMIMFGSA@DE]',,,M)":42.52625,"DUMMY^ECON_EXPR_DATA('FDS_ECON[NTCPMIMFGSA@EME]',,,M)":51.4475,"DUMMY^ECON_EXPR_DATA('FDS_ECON[PMIDMMANHE]',,,M)":49.253857,"EWQ^FG_COMPANY_NAME":"iShares MSCI France ETF","EWL^FG_COMPANY_NAME":"iShares MSCI Switzerland ETF","EWG^FG_COMPANY_NAME":"iShares MSCI Germany ETF","ENZL^FG_COMPANY_NAME":"iShares MSCI New Zealand ETF","EWD^FG_COMPANY_NAME":"iShares MSCI Sweden ETF","EWI^FG_COMPANY_NAME":"iShares MSCI Italy ETF","QQQ^FG_COMPANY_NAME":"Invesco QQQ Trust Series I","EWN^FG_COMPANY_NAME":"iShares MSCI Netherlands ETF","EWJ^FG_COMPANY_NAME":"iShares MSCI Japan ETF","SPY^FG_COMPANY_NAME":"SPDR S&P 500 ETF Trust","EWC^FG_COMPANY_NAME":"iShares MSCI Canada ETF","EWU^FG_COMPANY_NAME":"iShares MSCI United Kingdom ETF","EWA^FG_COMPANY_NAME":"iShares MSCI Australia ETF","CAGDPY@FR^EE_ACTUAL_ANNUAL(MED,+1)":-1.3,"CAGDPY@AU^EE_ACTUAL_ANNUAL(MED,+1)":0.5,"USDITL^FG_PRICE_CHANGE(0,-3AM)":0.978148,"USDANG^FG_PRICE_CHANGE(0,-3AM)":0.0,"USDUSD^FG_PRICE_CHANGE(0,-3AM)":0.0,"USDGBP^FG_PRICE_CHANGE(0,-3AM)":0.094127655,"USDJPY^FG_PRICE_CHANGE(0,-3AM)":4.5874834,"USDCAD^FG_PRICE_CHANGE(0,-3AM)":0.72273016,"USDNZD^FG_PRICE_CHANGE(0,-3AM)":1.1905789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12,41743,41773,41803,41834,41865,41894,41926,41957,41985,42018,42048,42076,42108,42138,42167,42199,42230,42261,42291,42321,42352,42383,42412,42443,42474,42503,42535,42565,42594,42627,42657,42688,42718,42748,42780,42808,42838,42867,42900,42930,42961,42992,43021,43053,43083,43112,43145,43173,43203,43234,43265,43294,43326,43357,43385,43418,43448,43479,43510,43538,43567,43599,43630,43658,43691,43721,43752,43783,43812,43844,43875,43903,43935,43965,43994,44026,44057,44088,44118,44148,44179,44210,44239,44267,44300,44330,44361,44391,44421,44453,44483,44512,44544,44575,44606,44634,44665,44694,44726,44756,44785,44818,44848,44879,44909,44939,44971,44999,45030,45058,45091,45121,45152,45183,45212,45244,45274,45303,45336,45365],"EWD^FMA_DIV_YLD(NTMA,-10AY,0,AM,\"PORTAGG\",\"MEANR\")":[4.10185456080676,4.07866711982389,4.06114628829869,4.09985389996815,4.16404753894486,4.30763263191146,4.22047377924378,4.51279493312419,4.18268956704712,4.18745699090756,4.19031898725854,3.69143980802822,3.66961632479926,3.60154601991829,3.84220070337017,3.92024969248168,3.91334548053964,4.04417191036633,4.39859660811141,4.42477513394378,4.27171881297169,4.50666319703329,4.62045379800109,4.66418460022768,4.22986081385194,4.32532086737461,4.50342036797399,4.70302901964646,4.37933258228485,4.22174436836216,4.27100687658542,4.11098159435338,4.12815284787231,3.84782706108552,3.88572117946763,3.65334568747486,3.63891836384767,3.6684849386335,3.51828255882125,3.56177718370758,3.5213665862665,3.73625795502832,3.68776399817957,3.55888289875184,3.62101154890634,3.69778327018151,3.64644225551985,3.94393386565029,3.8575585418583,4.11540745083266,3.98993013974383,4.09062665356579,4.17081175416842,4.12585778182225,4.08058916067028,4.31993114086404,4.47814148192389,4.56195796126793,4.54297482605531,4.17903871529413,4.12403093359536,4.03031489722101,4.23365473739761,4.24133892632964,4.1449582812668,4.38078154377135,3.86346118341728,3.89217727392929,3.65585130433811,3.61927085144533,3.55833376935072,3.40744365907009,4.63963110095262,3.53873468156989,3.49464579855686,3.12958100938874,2.97320603293709,3.02495951605587,2.9797756348822,3.00605824980376,3.05125843334507,3.06180904749764,2.97985628476472,2.98527286924005,2.77421395116556,2.74037959605409,2.81516634540007,2.67650271113204,2.64470888636189,2.68963775416454,2.75601167280138,2.84397550419058,2.93576496532472,2.92597474226793,2.96678581008885,2.99397105769658,3.16217200645647,3.16103775835847,3.40171166399656,3.51982938058053,3.75138586942614,3.47544811915898,3.6981339981153,3.77598137902504,3.54888989976737,3.55404065129296,3.49166934337423,3.51780761044248,3.64500112949502,3.60996686860655,3.73490842089338,3.67678788767533,3.77410789288633,3.89139656462779,3.95590916663097,3.75715828393585,3.75559144482174,2.97057887766399,2.99345003047088,3.38885876016221,3.1840074488808],"EWQ^FMA_PE(NTMA,-10AY,0,AM,\"PORTAGG\",\"MEANR\")":[13.2793834970696,13.7167991333318,14.1342344188173,14.325964218381,13.6952835930463,13.2201632846572,13.776792837184,12.6555786163049,13.1655248503178,13.2450955020514,13.8362395720929,15.8488584265041,16.4818424227142,17.021424415265,16.280127755947,15.7148232250822,15.8459206666731,15.3171938742882,14.0225249599745,14.3722897911792,14.9247815566812,14.0452829407325,13.755395838929,13.0724355785714,14.716467354799,14.7341294164834,14.1462465728977,13.2702974303184,14.0253738762007,14.2110563818159,13.7123501489426,13.8918054533823,13.7040553929448,14.3996496875668,14.7056745434906,14.3845239157354,14.4547681413363,14.7212955994013,15.4449960293393,14.9247687716487,14.9215579661956,14.5337257315106,14.854899542268,15.1514289187621,14.8245896022518,14.9375854917671,15.2610205624904,14.2799448173878,14.4402036073831,14.4984968865028,14.8263821835328,14.5442261209661,14.1446834610285,13.8054919710794,13.6030159786348,12.7696063528263,12.7159081988449,12.2094578569747,12.1648162152828,12.9809887492313,13.6709932266014,13.9819519930681,13.534586007946,13.5046128718021,14.000503148273,13.270716675953,14.2115092913557,14.1797871818116,14.7442487234284,14.7805671843826,15.0236944505801,15.2160122704363,10.9983815706705,14.736679893144,15.8612235505048,18.2989596804185,19.3936282601004,19.773981873938,19.2596768839713,18.3491127710873,18.9086632270224,18.3883924218042,18.0768186569787,17.8835863176883,18.4692729448882,18.2255338103149,17.8286365090389,18.0581246770881,17.1789792643476,16.9210040173335,16.1422536685044,15.58526804621,15.9249689787193,15.3276380442029,15.5336392866879,14.3264423776913,13.217726862438,13.1565561464288,12.2351875437038,11.2600205662116,10.9366463783088,11.8434447240065,11.2197308243531,10.5206998865338,11.8993208364081,12.2625406624524,12.9474866461828,13.2510383643946,13.0181963732448,13.6439372892256,13.3691438121457,13.2375454340992,13.2832509002037,13.0621698651086,12.8576219755923,12.2251292478788,12.7202889053669,13.4586032543694,13.3245817072192,13.8255751281549,14.6538922159081],"QQQ^FMA_PE(LTMA,-10AY,0,AM,\"PORTAGG\",\"MEANR\")":[19.1527296124599,18.8149437465297,18.7228223038945,18.9082508072172,19.1969617116632,19.1333273051789,19.3997030773728,18.4310623877491,20.0326641392295,19.935976692912,19.5922457444552,20.5031059244572,20.5977290581868,20.4540541967223,20.342933803047,20.0988882694733,20.0516758008911,20.2437480939497,19.4670046081942,19.4525026382937,19.7947644689412,19.9996431180014,18.8724694212211,17.6074768266086,18.2673462144257,18.4868066246691,18.3073068622234,18.4835440068309,19.0323905738429,19.5557290844995,19.5053098318302,19.8251060114457,19.4299418683191,20.3749571987939,21.0330392307996,21.6784305755378,21.6839948877905,21.5288296751513,21.8417708303109,21.847549025344,22.0800955859887,22.1161135754014,22.2709403855634,22.6404777915012,22.9143549530273,23.2862612534971,24.7973158807691,23.6336264382481,24.1017011205559,23.5066934333558,23.3456096597662,23.4340061572499,23.3931313026631,23.1578848030502,23.1419176232441,22.112471239717,20.4628152064486,19.6038273260475,19.3575248507187,20.6693598305703,20.9494230358037,21.2375851783933,21.0993989729305,21.2593235364343,22.0715741859966,21.4225169368756,22.2942348215395,22.3669791265905,23.4747848292146,24.5110099975939,26.2275816283775,27.2039443898194,23.529123029894,24.3693842325811,25.6064799915881,26.8460780978105,28.7801716956008,29.2795952245304,30.2059988353889,32.4187142447288,32.0005079239386,34.0131054585728,34.9881838120538,35.5964685538244,32.7438575839471,32.8034443498712,31.5634398327118,31.637222529655,32.0750465696725,31.3416059519543,31.3277972169998,30.5914245758493,31.9140198758575,31.097157744797,30.3904090478216,26.8858012228423,26.2091155745905,26.3372751480124,25.3602704099337,24.1012514045387,24.2018539309258,26.4409387397847,24.4179489825581,22.1476503641879,23.7012149800801,23.4506361842657,23.9337093840476,26.2198067321117,25.2377469108306,25.6639898287924,25.7392483524467,27.0983510430151,27.7840421165945,26.5402785743002,26.8283613735729,26.3940336489604,27.446960828836,28.5536704248744,29.0656234256096,30.1314928763973,30.1496782510742],"DDR3512M-FDS^FG_PRICE(0)":0.9630008,"PASP-FDS^FG_PRICE(0)":1088.0,"PLATI-FDS^FG_PRICE(0)":939.0,"W-FDS^FG_PRICE(0)":5.195,"COPP-FDS^FG_PRICE(0)":4.037,"FC0000US^FG_PRICE(0)":386.89856,"FC0000GR^FG_PRICE(0)":9.666257,"EWI^FG_PRICE(0)":36.97,"SPY^FG_PRICE(0)":514.95,"EWJ^FG_PRICE(0)":69.06,"ENZL^FG_PRICE(0)":45.45,"FXI^P_PRICE(0)/P_PRICE_HIGH_PR(0,,,USD,,,\"PRICE\",\"INTRA\",\"52W\")":0.7904387,"VWO^P_PRICE(0)/P_PRICE_HIGH_PR(0,,,USD,,,\"PRICE\",\"INTRA\",\"52W\")":0.9689095,"EWN^P_PRICE(0)/P_PRICE_HIGH_PR(0,,,USD,,,\"PRICE\",\"INTRA\",\"52W\")":0.9691877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8463,11.9070326859664,15.3602779404436,14.6912945348088,15.3680506035552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WJ^PERCENT_CHANGE(FMA_EPS(+1,0,,,,\"PORTAGG\",\"MEAN\"),FMA_EPS(+1,-3AM,,,,\"PORTAGG\",\"MEAN\"))":-3.00640915962454,"EWD^PERCENT_CHANGE(FMA_EPS(+1,0,,,,\"PORTAGG\",\"MEAN\"),FMA_EPS(+1,-1AM,,,,\"PORTAGG\",\"MEAN\"))":3.22684907312877,"ENZL^PERCENT_CHANGE(FMA_EPS(+1,0,,,,\"PORTAGG\",\"MEAN\"),FMA_EPS(+1,-3AM,,,,\"PORTAGG\",\"MEAN\"))":-14.6188502023565,"EWQ^FMA_COS_UP(\"EPS\",\"1M\",+1,0,,,\"PORTAGG\",\"MEANR\")":27.0,"EWL^FMA_RBICS_REV_CURRENT(30, LOC, \"PORTAGG\")":18.5381872854438,"EWC^FG_ROE(0)":10.9941383352515,"REFSEREPO-FDS^(SUBARRAY(NOT_NA(NO_REPEAT_F(FG_YIELD(NOW,-10AY,D))),0,1)-SUBARRAY(NOT_NA(NO_REPEAT_F(FG_YIELD(NOW,-10AY,D))),1,1))*100":25.0,"REFGBBANK-FDS^FG_YIELD(NOW,,,0)":5.25,"REFAUCASH-FDS^PROPER_NAME(0,,,\"SECURITY\",\"NAME\")":"Australia Target Cash Rate","TRYIT10Y-FDS^FG_YIELD(0,,,,\"YTM\")":3.637,"TRYJP10Y-FDS^FG_YIELD(0,,,,\"YTM\")":0.7721,"CC_GB^IMF_IFS_RCPI_Q(0)":4.3536315,"EWD^FMA_PE(NTMA,0,,,\"PORTAGG\",\"MEANR\")":16.6778575461911,"EWQ^JULIAN(FMA_DIV_YLD(NTMA,NOW,NOW,M,\"PORTAGG\",\"MEANR\").DATES)":45351,"EWU^FMA_EVAL_EBITDA(NTMA,0,,,\"PORTAGG\",\"MEANR\")":7.4022014166368,"EWJ^FMA_DIV_YLD(NTMA,NOW,NOW,M,\"PORTAGG\",\"MEANR\")":2.19308426995126,"CC_US^IMF_IFS_RCPI_Q(0)":3.2433991,"UUP^FG_TOTAL_RETURNC(0,-1AM)":-0.85136294,"FXI^FG_TOTAL_RETURNC(0,-3AM)":2.4816036,"SPY^SIZE(FG_CONSTITUENTS)":504,"TRYIT10Y-FDS^FG_YIELD_NAME":"Italy Benchmark Bond - 10 Year","CAGDPY@FR^EE_ACTUAL_ANNUAL(MED,0)":-1.20455654888099,"CAGDPY@AU^EE_ACTUAL_ANNUAL(MED,0)":1.21871580460395,"USDITL^FG_PRICE_CHANGE(0,-1AM)":-1.5337944,"USDANG^FG_PRICE_CHANGE(0,-1AM)":0.0,"USDUSD^FG_PRICE_CHANGE(0,-1AM)":0.0,"USDGBP^FG_PRICE_CHANGE(0,-1AM)":-1.5609682,"USDJPY^FG_PRICE_CHANGE(0,-1AM)":-1.6165972,"USDCAD^FG_PRICE_CHANGE(0,-1AM)":-0.2729535,"USDNZD^FG_PRICE_CHANGE(0,-1AM)":-0.7991493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0.48105717,4.9072504,-2.1677196,4.7230244,-5.204982,-7.921386,4.527807,-11.138618,-0.6267369,-3.7140906,-4.948032,11.333847,-1.3850391,6.0393333,5.7615876,-2.6299298,-0.4632473,2.5641084,-6.089747,3.0716777,-7.152319,-2.3537874,-5.046302,-14.583338,13.098467,-2.8754056,-2.4671078,-6.0708227,2.29522,1.8050551,-1.6843915,-1.9837737,-0.22998452,9.036422,4.763329,-2.484721,2.0467877,1.3098598,12.727272,1.254487,4.4872284,3.1045198,3.6801577,-0.032269955,-1.1297643,-0.4570663,9.093165,-1.4812648,-1.0125875,3.657782,0.41867495,-8.874332,-1.5652418,-6.2457323,1.4561415,-7.2838187,-2.5541782,-1.0722816,3.2294035,2.2449732,5.238831,4.0629625,-5.1002502,1.0007381,8.568466,-11.612452,10.8428955,-0.82113147,5.6515455,-0.34071803,1.970005,1.0803461,-30.494326,2.3065925,-6.012213,18.790604,6.785047,3.5827994,-1.5757084,-2.18665,8.942127,6.2200904,4.243481,3.2032013,2.1985173,1.0439754,3.0056357,3.803587,-4.7421513,5.6005,-3.62404,0.3362894,3.351605,-4.974878,5.412209,-5.104476,-13.652092,5.9016347,-6.74234,-7.8039827,-9.195876,15.395093,-5.548996,-9.375,24.321842,3.6809206,7.24113,3.8487434,-3.2834828,6.6890717,-1.3232529,1.3088107,6.457865,-3.0330658,-0.90709925,-5.082071,7.7153325,5.27941,0.6380081,0.11802912,8.959627],"EWN^FMA_DIV_YLD(NTMA,-10AY,0,AM,\"PORTAGG\",\"MEANR\")":[2.81474059593887,2.79097602106349,2.80850302348909,2.79833170280322,2.88490460642445,3.08590314033712,3.00312785407198,3.22068977501972,3.10996616655944,3.13475473373686,3.11031020586817,2.83180979558115,2.62806858070778,2.59993190750181,2.7442928267334,2.92179443853623,2.8528040196178,3.20741110135269,3.52515127055327,3.51432805038759,3.24652605435845,3.4293701652807,3.31632176277648,3.66522513263701,3.29218338400624,3.24462718144103,3.41557741930806,3.38818804994177,3.24724439732316,3.13896510352899,3.21027531897418,3.1309973680063,3.16678314411237,3.04044811840426,2.94438739934246,2.89338028121424,2.77708698634103,2.77082339462495,2.69470200247365,2.73257527991098,2.77064150014811,2.79691927927581,2.82357312084389,2.7549358622198,2.82694497684813,2.82373254312759,2.78955391180591,2.98881879861099,2.94677900431444,2.93074126161989,2.8877704371889,2.84830011677486,2.92914478460565,2.91688671247021,3.03393208312088,3.2226147030557,3.17486778404633,3.34084486376781,3.42140874984438,3.15841508058821,3.09028714664019,3.00134530181539,3.07289853945389,3.07516594022319,2.97536640444643,3.0708719313045,2.83797260436097,2.75294417257227,2.66501650750807,2.61646597277481,2.58588925117044,2.46133900626106,3.56941216852224,2.87541811422641,2.69320750930199,2.46502180074497,2.32386468620242,2.34938864440447,2.32340951679655,2.25259624670763,2.18632035936206,2.08133562991164,1.92011538467583,1.88278995616925,2.02377355093157,1.91651175873832,1.99722544738678,1.98378997304378,1.98944608316033,1.94658492049408,1.84101149114632,1.9518504753787,1.84147941923812,2.00233339849434,2.00582946910454,2.24944474726173,2.4356643887753,2.31574787712823,2.55245120280917,3.53160443354287,3.44922511603681,3.05380148639764,3.69571245325169,3.15768879054058,2.70246605641723,2.62388615104124,2.57136862365842,2.56223742178599,2.72951408134682,2.6666799816401,2.7230529756398,2.62688069026585,2.64357432006096,2.76852920488908,2.95726069574742,3.0424413200038,2.83669622296095,2.6613022715342,2.71901916195277,2.49423854575626,2.57716492210216],"SPY^FMA_PE(NTMA,-10AY,0,AM,\"PORTAGG\",\"MEANR\")":[14.8355329631453,14.7150655036006,14.9773354617365,15.2208671061235,15.3947909210726,15.0445158617306,15.1731429771878,14.3157020979994,15.6408499114879,15.4666051675582,15.8467147505662,16.8655024277584,16.4715700397736,16.6814026446282,16.7204479790711,16.3842740921224,16.4233031212953,16.3116711700079,15.2111145017789,15.6020020528123,15.8518400680542,15.8103040052423,15.1294103882385,15.5099438140132,15.5167363536305,16.5004635460184,16.5226770167304,16.3451893447138,16.973364225043,16.9893615444774,16.4032412270491,16.3374777379563,16.507058929478,17.0005023630975,16.9866013196807,17.4986401242405,17.6128103124359,17.1920351489964,17.4302331447348,17.6080188579254,17.6511810503286,17.5315369700805,17.6169971599899,17.9062776252455,17.8745374610734,18.1780329747213,18.4026634406931,16.9008955448401,17.0420807368445,16.3370571512776,16.4450307272493,16.5878339986003,16.5410134438428,16.5254777325383,16.7577243542326,15.8733227670383,15.4211053587979,14.8681503657254,14.9873726121851,15.9929110337089,16.3077934676564,16.8169558614715,16.2264744141716,16.4305701344293,17.1438587505649,16.1339966456963,16.9726645349066,16.7547230346741,17.4721819150233,17.8300929134262,18.3873509517232,18.9533239724107,15.4518513140321,18.6457423892028,20.3440958868055,21.4402587711939,22.2320553410045,22.3525206683586,21.8850995289215,22.034121760949,21.8795328682119,21.6909627140793,22.4184212640134,22.272524621837,21.902108676982,22.2750116579345,21.3239020275107,21.3399313984579,21.4983077436802,21.1247877794726,20.7592566235124,20.5705354741011,21.3661311374642,20.8253706237472,20.7518253992605,19.3111345133931,18.0363737908996,18.6746450820291,16.9880370004583,15.586025713793,15.8383728430587,18.069953072686,16.5701285730914,15.2019820928396,17.1484965717522,17.2925308123705,17.4300283886606,18.2386812193173,17.199564496613,18.1842479024581,17.9390719471174,18.7975870840168,19.3427264043136,18.9949568468728,18.7693341591569,17.9373983848549,18.5715751923818,19.3295749399117,19.5561977490333,20.2381639017704,20.5854571411061],"EWU^FMA_PE(LTMA,-10AY,0,AM,\"PORTAGG\",\"MEANR\")":[14.2814641287795,14.2680653077857,14.4178587241949,14.3668182943823,14.334121353608,14.1566962930804,14.1692022582628,13.4579088534793,13.8915771326427,13.2758443481195,13.2988996791408,14.6601635158196,15.1195627248523,15.4916004584287,15.7038200731292,15.6456275393428,15.7094202085688,15.6220284400382,14.957303966788,15.5339027265009,15.3701191934467,14.8720728792343,14.8664815806905,14.4445419127267,15.6512632566129,15.9445378335698,15.8312454919475,15.6331076804091,16.4632428568546,16.9476907494451,16.6064482470664,16.9153118390797,16.2995020481425,16.9190118969788,17.3701048915432,17.2993821263294,17.247105014344,17.0231368797814,16.8844672209117,16.6154873881546,16.458803516706,16.1611252019735,15.8893159244143,15.908369719248,15.2754213713869,15.192948000722,15.7490795361722,14.5164556824089,13.9435006087283,13.9760879557659,14.1268415110782,14.0084372709233,13.837812378318,13.7091903533387,13.3854774505723,12.9027782632447,12.8046871417628,12.1910621665007,12.2291637145426,12.7379394546846,12.9477379957589,13.0231609895238,12.867710003218,12.9374450235495,13.1114565868899,12.6635310489898,13.1259522146345,13.0278018778633,13.3330923582828,13.7872665261463,14.2209663753727,13.852430312727,11.9795855851686,12.8384989491005,13.7607157913396,14.8368077384867,15.365372143459,16.2809797549966,16.8362463714816,17.0591041972637,18.300762254294,19.3461783413858,20.4307564174099,19.5026366790681,18.6633672541346,18.0109762832521,17.4369715305291,16.9232089755942,16.0298016116194,15.2508189460952,14.3538531333025,13.8892995773735,13.2937801101589,12.3357559489566,12.7048407343751,12.6317689710793,12.4022690257289,12.2458605880157,11.7572441318259,11.3108383500887,10.7932470286566,10.8233562003743,10.164163470558,9.39993382228298,9.72621352702094,9.9224509271721,10.1921051480166,10.261820502608,10.2081535590348,10.3971491828293,10.3497110067704,10.3529395499968,10.4247879196603,10.5190523574414,10.6747854537856,10.5651257834785,10.6168298005584,11.1461326642189,11.2537585935427,11.1379079096067,11.4714269776909],"WL-FDS^MAX(FG_PRICE(0,-5AY))":763.4,"NI-FDS^MAX(FG_PRICE(0,-5AY))":48241.0,"CPALM-FDS^MAX(FG_PRICE(0,-5AY))":8163.0,"BRENT-FDS^MAX(FG_PRICE(0,-5AY))":140.85,"TIOS-FDS^MAX(FG_PRICE(0,-5AY))":219.77,"FC0000GB^FG_PRICE(0)":120.76473,"FC0000CA^FG_PRICE(0)":289.11832,"EWD^FG_PRICE_MAVG(0,,,,200)":35.54845,"QQQ^FG_PRICE_MAVG(0,,,,200)":386.42334,"EWG^FG_PRICE_MAVG(0,,,,200)":28.19675,"FXI^FG_TOTAL_RETURNC(0,-6AM)":-9.230572,"VWO^FG_TOTAL_RETURNC(0,-6AM)":5.5372357,"EWN^FG_TOTAL_RETURNC(0,-6AM)":22.811937,"EWU^FG_TOTAL_RETURNC(0,-6AM)":5.223286,"EWC^FG_TOTAL_RETURNC(0,-6AM)":8.639681,"EWU^FMA_PCT_ABOVE_MAVG(200,0,,,,\"PORTAGG\")":58.3333333333333,"VWO^FMA_COS_DOWN(\"EPS\",\"1M\",+1,0,,,\"PORTAGG\",\"MEANR\")":1292.0,"EWG^SIZE(FG_CONSTITUENTS)":57,"TRYGB10Y-FDS^PCTCHG(FG_YIELD(0,,,,\"YTM\"),FG_YIELD(-3AM,,,,\"YTM\"))":10.957445,"VGK^FG_FCF_YIELD_NTM(0)":5.63338351138935,"EWC^FMA_PE(LTM,0,,,\"PORTAGG\",\"MEANR\")":17.1156136637614,"TLT^FG_TOTAL_RETURNC(0,-1AM)":0.47461987,"VWO^FG_TOTAL_RETURNC(0,-3AM)":3.2642484,"EWJ^PERCENT_CHANGE(FMA_EPS(+1,0,,,,\"PORTAGG\",\"MEAN\"),FMA_EPS(+1,-1AM,,,,\"PORTAGG\",\"MEAN\"))":2.01515521215302,"EWL^PERCENT_CHANGE(FMA_EPS(+1,0,,,,\"PORTAGG\",\"MEAN\"),FMA_EPS(+1,-3AM,,,,\"PORTAGG\",\"MEAN\"))":-5.21103946134435,"VWO^FMA_COS_UP(\"EPS\",\"1M\",+1,0,,,\"PORTAGG\",\"MEANR\")":761.0,"EWG^FMA_COS_DOWN(\"EPS\",\"1M\",+1,0,,,\"PORTAGG\",\"MEANR\")":32.0,"EWJ^FMA_RBICS_REV_CURRENT(30, LOC, \"PORTAGG\")":17.7091909618779,"EWA^FG_ROE(0)":12.6033937297308,"REFSEREPO-FDS^FG_YIELD(NOW,,,0)":4.0,"REFGBBANK-FDS^PROPER_NAME(0,,,\"SECURITY\",\"NAME\")":"UK Bank Rate","REFNZOCR-FDS^(SUBARRAY(NOT_NA(NO_REPEAT_F(FG_YIELD(NOW,-10AY,D))),0,1)-SUBARRAY(NOT_NA(NO_REPEAT_F(FG_YIELD(NOW,-10AY,D))),1,1))*100":25.0,"TRYGB10Y-FDS^PCTCHG(FG_YIELD(0,,,,\"YTM\"),FG_YIELD(-1AM,,,,\"YTM\"))":2.6574755,"CC_CH^IMF_IFS_RCPI_Q(0)":1.6172575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60312169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EWQ^FMA_DIV_YLD(NTMA,-10AY,0,AM,\"PORTAGG\",\"MEANR\")":[3.62654284837564,3.53130933029843,3.43866541472323,3.38170060164439,3.50159846151318,3.65513773625996,3.50817932606881,3.83628889219416,3.71816952999506,3.77124410594999,3.6774161951545,3.23508532695014,3.20569973465628,3.09743636758259,3.25800078890226,3.36378958681836,3.30593293289473,3.38424968896145,3.72315413261865,3.61876701705788,3.50314760571842,3.73153440721664,3.8885715358962,4.12483905729615,3.68110016650792,3.67732309270477,3.81422781927042,4.02017146809675,3.77938790309308,3.68360356948952,3.78502640041712,3.73570870454285,3.73284304098172,3.52770061593412,3.42321925511695,3.46552383010616,3.44031908270661,3.39030113551082,3.19646113125766,3.29510394066475,3.32210990274986,3.40525449071536,3.34470486591859,3.29175786120145,3.3418528698821,3.29125556139667,3.21265992845555,3.44142269186923,3.40946466253575,3.38687472864202,3.28356815730387,3.33341533593434,3.394472954806,3.45739705409967,3.49324813213937,3.70639423314567,3.73423327116963,3.90365942878534,3.97255679320837,3.76979157594912,3.58455687293215,3.50679918678585,3.62814309082374,3.62873377142535,3.51843577443813,3.74660241731353,3.48883304161738,3.51681821097565,3.38105398907472,3.3788319663069,3.32419657196051,3.28173165019035,4.76490030940509,3.90753789188372,3.70520797569216,3.22340179392994,3.09846292155732,3.1258146845772,3.10629455452278,3.19703258738316,2.96640418289389,2.93237024479246,2.89631559445934,2.88448622323021,2.73772240817695,2.7073166599209,2.69740797944061,2.63562323688029,2.69674731222198,2.66955522472936,2.78325582731,2.83404967328497,2.72802900403404,2.83172701370117,2.76815185439589,2.96159921949124,3.23739361031659,3.12950561359218,3.26895261675648,3.51771941659738,3.55547303107533,3.25202154555738,3.4726154480645,3.68345478440867,3.31434997171001,3.25182517385678,3.11803476220091,3.12978143362978,3.23559968806883,3.09874112898923,3.18817141907244,3.23676310197718,3.24486582952405,3.30172840476849,3.33695079422454,3.49328278800912,3.38854069540763,3.21788951921168,3.26325067739479,3.19511867719556,3.06125950437077],"QQQ^FMA_PE(NTMA,-10AY,0,AM,\"PORTAGG\",\"MEANR\")":[17.3608310509696,16.5107696714535,16.6425953924764,17.2196500379218,17.692572716007,17.4775717874564,17.6767686852003,16.319755112307,17.9690043435943,17.5899395414054,16.9838108058426,17.9161326809444,17.5774806600673,17.8610866757605,18.0430655886704,17.7599237226918,17.904072650948,18.3615253723083,17.3473226844686,17.4542498107447,18.0491442946264,18.2478810967474,17.1581107216542,16.2335874734538,17.4391184895745,18.1070606124144,17.3670650173386,17.5619653881531,18.293072189468,18.8250707244361,18.3040637907012,18.3218733537774,17.7351023421516,18.3579162285603,18.7052007770418,19.9018241216386,20.0878719540206,19.7520475929053,20.7111332124772,20.5521490934518,20.6994070110152,20.5928579917023,20.5179861964778,20.6459027679879,20.7952223402608,20.8323268675273,21.7719607257055,20.4198753185398,21.2565573527226,19.832218086232,20.2013498441054,20.8480677370632,20.9741453050148,20.6681851132351,20.7113743374634,19.5348109136791,18.3124164336133,17.8324881299539,17.9500064151949,19.396677355026,20.0063786868694,20.9504580309277,20.1870701980602,20.2867765968932,21.4580699956696,20.0217188784386,20.8971302320021,20.5837408199687,21.5256691877039,22.1199045288424,23.3936987044622,24.352441860662,20.3392333778782,23.5991274621326,26.0417052042912,27.4277932948509,29.5705971970123,29.2731358448595,29.0895534880965,30.3996739270794,29.1890780655368,29.754523088202,29.8472749346416,30.3313841706796,27.7459490459471,29.2727469492813,26.6188914118138,27.6311396584399,28.8261274831772,28.0002626448063,28.108160756188,27.4303015591504,29.3974665714559,28.4229737678723,27.7465202880656,25.039689227813,22.5837706910826,23.8929411883424,21.4935467705821,19.4541204991285,20.427687738716,24.1950769118847,21.4792122455148,19.1199622567763,21.7844483402537,21.7995815634052,22.046034715593,24.3268680771665,23.2663364754659,24.765238308669,24.5969142791046,26.874090784658,27.2149031909694,24.7012877454245,24.4728087097473,23.5008199918911,24.3680486521329,24.834055920064,24.9788577238995,26.106485566992,25.9922661972384],"WL-FDS^FG_PRICE(0)/MAX(FG_PRICE(0,-1AY))":0.805344511396385,"NI-FDS^FG_PRICE(0)/MAX(FG_PRICE(0,-1AY))":0.695184025058731,"CPALM-FDS^FG_PRICE(0)/MAX(FG_PRICE(0,-1AY))":1.0,"BRENT-FDS^FG_PRICE(0)/MAX(FG_PRICE(0,-1AY))":0.870614479821537,"TIOS-FDS^FG_PRICE(0)/MAX(FG_PRICE(0,-1AY))":0.769561598224195,"EWD^FG_PRICE_MAVG(0,,,,60)":38.488834,"EWG^FG_PRICE_MAVG(0,,,,60)":29.669,"EWN^FG_TOTAL_RETURNC(0,-3AM)":8.649742,"EWU^FG_TOTAL_RETURNC(0,-3AM)":2.2411227,"EWD^FMA_PCT_ABOVE_MAVG(200,0,,,,\"PORTAGG\")":83.7209302325581,"ENZL^PERCENT_CHANGE(FMA_EPS(+1,0,,,,\"PORTAGG\",\"MEAN\"),FMA_EPS(+1,-1AM,,,,\"PORTAGG\",\"MEAN\"))":-10.2152526644544,"TRYJP10Y-FDS^FG_YIELD_NAME":"Japan Benchmark Bond - 10 Year","VGK^FMA_DIV_YLD(NTMA,NOW,NOW,M,\"PORTAGG\",\"MEANR\")":3.63222181867579,"EWD^FMA_PE(LTM,0,,,\"PORTAGG\",\"MEANR\")":15.4364162150434,"SPY^FMA_EVAL_EBIT(LTMA,NOW,NOW,M,\"PORTAGG\",\"MEANR\")":20.7856911044755,"EWU^FG_FCF_YIELD_NTM(0)":6.29394689232276,"EWJ^FMA_PE(NTMA,0,,,\"PORTAGG\",\"MEANR\")":15.2504713833785,"EWC^JULIAN(FMA_DIV_YLD(NTMA,NOW,NOW,M,\"PORTAGG\",\"MEANR\").DATES)":45351,"CAGDPY@US^EE_ACTUAL_ANNUAL(MED,+1)":-3.05,"CAGDPY@NZ^EE_ACTUAL_ANNUAL(MED,+1)":-6.1,"USDITL^FG_PRICE_CHANGE(0,-1AY)":-1.5108347,"USDANG^FG_PRICE_CHANGE(0,-1AY)":0.0,"USDUSD^FG_PRICE_CHANGE(0,-1AY)":0.0,"USDGBP^FG_PRICE_CHANGE(0,-1AY)":-4.722124,"USDJPY^FG_PRICE_CHANGE(0,-1AY)":10.338413,"USDCAD^FG_PRICE_CHANGE(0,-1AY)":-1.1480391,"USDNZD^FG_PRICE_CHANGE(0,-1AY)":1.5004516,"EWA^JULIAN(FMA_EPS(NTMA,-20AY,0,CY,,\"PORTAGG\",\"MEANR\").DATES)":[38352,38716,39080,39447,39813,40178,40543,40907,41274,41639,42004,42369,42734,43098,43465,43830,44196,44561,44925,45289],"EWD^FG_TOTAL_RETURNC(-10AY,0,AM)":[-0.47605038,1.2099028,2.835703,-0.45958757,-2.8358698,-2.4151802,-1.9446075,-8.112979,7.194245,-1.8608928,-4.9646616,10.444808,-1.8794775,2.949226,2.0377994,0.028944016,-2.3224533,-1.7786026,-4.8392115,0.1640439,-4.4546366,-2.5025725,-3.9232612,-3.18681,11.350739,2.8202534,-5.5849314,-2.6251316,3.8843274,3.8848877,-0.83102584,-1.5363097,-4.1489363,5.6973696,3.3427835,3.9634109,0.78201294,0.7436156,8.472395,1.4792919,5.2826643,-3.4834325,3.7265182,1.867044,-3.9711118,-2.0821333,7.1457386,-3.6191523,0.028896332,-4.937923,3.371811,-1.6162217,-3.7180543,0.48701763,2.487874,-4.4451475,-4.256016,-2.0330787,1.8194914,3.249228,1.5065193,6.464374,-6.1338305,1.2211204,3.773582,-11.381322,11.41603,-3.1855524,8.276796,4.07269,0.9182453,2.3557782,-23.517263,3.1635761,-1.7576635,15.036154,10.8703375,4.9401164,1.5691876,1.6573071,5.8303475,3.5630465,5.842006,2.831769,5.344224,3.85468,3.1569958,1.8631816,-0.8516848,2.597952,-2.4300635,-1.8627048,3.7961125,-7.264936,2.746141,-10.031134,-7.9604506,2.6322842,-9.343105,-5.719602,-5.229992,12.466764,-10.9665985,-9.661359,22.418236,4.6778917,2.0190358,1.328814,-3.4040213,5.5170417,-1.3687372,-0.9714067,1.6535878,-5.7347717,-3.8900197,1.3085842,4.1754246,13.119947,-1.3179958,-0.6617248,9.112716],"EWL^FMA_PE(LTMA,-10AY,0,AM,\"PORTAGG\",\"MEANR\")":[17.0132008588652,17.009413940424,17.1819401508354,17.185362217148,17.1600527773533,17.161818549871,17.3949110072358,16.5667209244549,17.4709973983293,17.1279019254896,17.3298708808378,17.3349180242138,17.9792582948901,18.1975549444859,18.0069697552719,17.9499873531111,18.1399466434176,17.9847158056531,17.204781128651,17.2796742885798,17.3100798028196,16.8016242043509,16.3987614750617,16.1151152552656,16.6757382942143,16.8052054667774,16.8396802499462,16.7036818359318,17.3582721258858,17.9483342957115,17.9239327081556,17.9042062599483,17.6017069737687,18.0083428215111,18.7173341123518,19.4067316225377,19.6199178529466,19.4216073651036,19.5670433299075,19.4396637184718,19.4379880252634,19.2552967644609,19.3053312825366,19.8352477782488,20.0702271057106,20.5832183947668,21.0736052692754,21.5737019067589,21.0001436119139,20.5095504297549,20.1900541805826,19.57496469343,19.3212938870117,18.9346817464268,18.6590302815512,17.6443748157601,17.6823498893344,16.9757461007628,16.8546707824806,17.7504509060992,18.3225475070803,18.2895294226761,18.0422350160657,18.2649458859688,18.2455741632582,18.0385727138847,18.46555732748,18.3395258129672,18.7752980220123,19.1787937502588,19.6981112702641,20.0796816455627,17.4283298288154,18.1644852954159,18.5910157834968,19.0399905210721,19.9287867320894,20.3263758076134,20.9259933563515,21.0543932689966,21.1884112952978,21.0927343903965,22.0063220277673,21.2469123004081,20.4640769373124,20.5822629290062,20.4377771559567,20.8782080264449,21.0149034360916,21.2130667008635,20.7982906206007,20.4324969511551,21.0671234391185,20.7865235665466,20.8293094697787,18.3614968977472,18.3873064361227,18.6824282673389,18.1588891094123,17.4306809314525,17.5584167907447,18.371616356872,17.7905764983148,17.0184135519917,19.5721423072622,20.6124057391573,21.384247861151,21.3909929672602,20.4806069265962,20.4094736216653,20.1955945993587,19.4724077310292,19.2356833443926,18.9244427374267,18.8033791924577,18.3420822320292,17.8553992988309,18.4700035598723,18.4583991509618,18.8292711125927,19.2352179019083],"QQQ^FG_PRICE_MAVG(0,,,,60)":423.49634,"EWC^FG_TOTAL_RETURNC(0,-3AM)":5.525434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42101240323,12.2539581188642,13.1475852543623,13.221059503291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US^EE_ACTUAL_ANNUAL(MED,0)":-3.1,"CAGDPY@NZ^EE_ACTUAL_ANNUAL(MED,0)":-7.6,"USDITL^FG_PRICE(0)":1778.3523,"USDANG^FG_PRICE(0)":1.79,"USDUSD^FG_PRICE(0)":1.0,"USDGBP^FG_PRICE(0)":0.784406,"USDJPY^FG_PRICE(0)":148.19,"USDCAD^FG_PRICE(0)":1.35185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55872,17.2298191459873,20.6862902777727,20.5985725378041,20.3432606642695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9499,9.791837,10.764477,11.358896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11.683226,12.356007,16.047085,16.727638,13.454008,3.5678983,0.95881224,-6.9046316,1.2818813,1.7658949,-11.413407,-2.353245,-4.430312,-2.459687,-3.216505,-2.5297105,-2.2275627,-1.5897632,-4.494846,4.108107,-7.3185086,-7.8121424,-6.8019447,-17.59193,-7.2894096,-7.405567,-12.988061,-16.596115,-11.29632,-5.1750603,-2.2299826,-3.8896918,-3.5821855,4.526937,13.513124,20.735836,9.276331,6.8221807,21.64818,28.19569,29.921257,20.706236,26.253569,31.035662,30.859793,21.22829,27.023363,16.522276,15.651548,9.129262,3.997779,0.8254528,-6.9775343,-4.0010986,-5.147457,-11.000281,-11.288977,-11.244535,-15.656609,-9.646052,-8.311331,2.6551485,-6.75627,-4.0671644,3.4644961,-8.814758,-1.3996661,0.43547153,13.582409,19.401443,19.59337,18.558502,-9.926313,-13.438601,-9.402996,2.8613925,10.003269,30.263233,18.75069,24.690842,22.026455,21.276712,27.19376,26.515984,90.48357,77.18532,86.049164,64.74438,47.326397,41.020668,38.36677,33.575665,32.46068,17.31063,13.879311,-0.3655076,-12.949056,-13.973671,-22.57275,-30.02584,-33.115845,-26.184887,-33.09698,-38.413555,-27.36429,-18.009943,-20.239998,-8.310914,-3.7718356,-1.06709,11.43111,13.056028,21.267796,1.6419291,9.720659,21.1738,4.7080994,13.152588,9.420431,7.301271,21.205187],"EWQ^FG_TOTAL_RETURNC(-10AY,0,AM)":[-1.1921465,3.4421563,2.8816462,0.3334403,-3.4709632,-5.061513,1.8511653,-10.287166,2.674234,-2.801901,-1.4055431,8.766103,-3.2085538,5.6827188,3.8461447,-3.0204952,0.22132397,0.1504898,-7.400453,3.6916852,-2.9733956,-2.822578,-4.9672546,-4.1191936,10.831809,1.1958838,-2.5264919,-3.80435,4.6289682,3.1529546,-2.0239532,0.042164326,-1.0956585,3.4512162,4.327476,-0.5150497,1.7522812,2.191782,10.953653,1.3462305,1.902163,0.44202805,3.317535,1.8020988,-1.126492,0.6510496,6.3702226,-3.080207,0.40905476,1.2848616,1.6707897,-1.7346323,-0.8196771,-3.2515168,1.4168024,-5.1656904,-2.7406693,-5.0017595,0.23639202,4.5336246,5.5101395,2.9649615,-3.0431926,1.4174819,4.4234514,-7.1195307,7.278478,-0.78662634,4.757178,1.2929678,2.0849347,-1.3141811,-26.819456,3.0892968,-5.418718,17.230904,5.721426,2.678883,1.5104771,-2.908355,10.51898,4.422319,3.4880161,0.17585754,4.0959716,2.3327708,5.355668,3.2785535,-3.3435464,4.4626474,-2.4267018,-0.20725131,3.997922,-4.236931,5.1165223,-5.784917,-9.89992,2.9420614,-5.4243207,-5.4310856,-3.222561,13.111341,-8.1263485,-8.144188,18.168604,5.360198,6.7955494,2.0021915,-1.9628942,7.8442097,-1.5259385,-0.668782,4.7846913,-3.2217085,-3.093052,-6.1130705,6.3382387,6.529391,-1.7037094,0.8072853,7.1816087],"QQQ^FMA_DIV_YLD(NTMA,-10AY,0,AM,\"PORTAGG\",\"MEANR\")":[1.39414067432917,1.45054955120242,1.35895339433302,1.30244503276166,1.24575813344274,1.2430588632901,1.21899396306363,1.32022336354795,1.21142839046464,1.2343405232945,1.23344970961245,1.22393974869272,1.2770310211224,1.26160255143043,1.23769598461041,1.25645393428369,1.2401074086649,1.2810129803344,1.35465847615768,1.34601402334946,1.31674365074279,1.29908032756749,1.35512854461238,1.4698693982285,1.3670327078556,1.31642517305457,1.39899173975275,1.37429052612242,1.31623325686069,1.27553203786919,1.29944648215052,1.28040101312223,1.32350022315077,1.28138275271382,1.25394655088973,1.23063302097694,1.21704288073547,1.23117429046041,1.17332644505465,1.17570574160181,1.17828338641177,1.17390984859652,1.16565040954465,1.14403636962419,1.11678673264097,1.10859609551741,1.04544876277119,1.08357353537508,1.04232816844685,1.11865661543598,1.08169633151711,1.04123753233604,1.03205641056176,1.07307215381362,1.07000615593036,1.1354286671093,1.21238922698988,1.26850797440335,1.28142999539852,1.20284801212541,1.15741950016437,1.10470758827079,1.14958076058526,1.14515142345375,1.0787266771886,1.14631549259809,1.09216343096593,1.10656882041797,1.0652176403514,1.06922344500458,1.01530889337404,0.958465335608105,1.16086598624648,1.06830956607806,1.00441130517139,0.939960940167681,0.852519245707061,0.818504510439343,0.811534376651817,0.767068252164214,0.775451368216124,0.748479538952709,0.765323871382098,0.721027809118542,0.775199106347857,0.729584753728806,0.754915963688602,0.722976134178483,0.689272472519911,0.698512348971834,0.690803643886699,0.712067387473389,0.66544005352602,0.6837281550839,0.700387072133097,0.781053548270321,0.862376349295692,0.812428980811977,0.915805477479094,1.01008484276833,0.979361709185164,0.853200765541201,0.961669089466279,1.10144420986243,1.0151960502776,1.00711856247792,0.987444152827314,0.916757395185174,0.95138368526574,0.890634034312112,0.859811039518702,0.771096909827828,0.747155810475077,0.887988931316158,0.876379680765201,0.931426837341479,0.894405004601038,0.866701745839036,0.914816291290609,0.887976029557402,0.886171930455795],"EWL^FMA_PE(NTMA,-10AY,0,AM,\"PORTAGG\",\"MEANR\")":[15.4927569289015,15.7744398610961,16.3330520082828,16.2469404220411,16.0574324835513,15.8796060429457,16.1418752325687,15.0406603760737,16.014286017292,15.6489850724165,15.8691666466701,17.0092735242894,17.5406999845865,18.2312906038608,17.544942499872,17.3256641821199,17.615558669438,17.3889131770669,16.3076794899913,16.3200957143395,16.6495905761574,16.1726427824531,16.0005169191462,15.6779693546216,16.7042218552591,16.8527083666529,16.6291498538371,16.0653633962098,17.0397189422573,17.6160580413198,17.1642942973926,16.8735422040242,16.4287491412571,16.6985994994332,17.2527591954783,17.2750332732447,17.6272079890415,17.3892783728153,18.0923990885338,17.8584430695236,17.9295624157615,17.6572419013358,17.6740454373441,18.0385061798631,17.5538809078722,17.7016334321102,17.8993111783041,16.6786880366231,16.3575310892856,16.0816321124181,16.336327618286,15.801536970536,15.9640795564181,15.9943805523269,16.0030177472669,15.1319977221845,15.5020906129142,15.0404707209747,15.1174136257644,15.748033469993,16.526100487266,16.7920948899664,16.3383491161297,16.9755995114709,16.9318110130903,16.6148460980219,17.190042058638,16.9672096775741,17.2863261322934,17.5061231896488,17.8712147869773,18.479282265282,14.1581434761179,17.516151382324,18.1691646687959,18.7766596934647,19.659799073265,19.504439383691,19.5772251028204,19.0992967698206,18.977057114399,18.3588344808065,19.0239718541162,19.000922289717,18.53647495722,19.282431020921,18.923964193882,19.899022295774,19.9052058367176,20.0525721554627,19.2627209647786,18.6754503781565,19.4462035681926,19.0995198461435,18.9367884259307,18.028762901945,17.4952898416652,18.5527374737237,16.8835129230028,15.3324159517696,15.788248835272,16.9119963255214,15.9528666798394,14.9799063108732,16.8500331724599,16.9678543825439,17.2338498725642,17.4308597373239,16.6497124478985,17.4960596194177,17.5286340552556,16.5656039125365,16.6306143927291,16.6028024454249,16.5896383850023,16.1190760988368,16.0347501362056,16.8267504008761,17.025320829921,17.2257177738088,17.864966132392],"EWG^FMA_PE(LTMA,-10AY,0,AM,\"PORTAGG\",\"MEANR\")":[14.6932215840629,14.5989216288091,14.6597874055845,14.6801581144297,14.489698697207,14.0067254671078,14.2773260602564,13.2847387672575,13.6314449461168,14.0426136947858,14.2922706741372,15.8521558227276,16.5565247450152,16.5855534914463,16.1146056353189,15.6856312016131,15.6680605945252,15.0386280276146,14.1063099218873,13.7063459730628,14.3772036149549,13.438422729471,12.755286943623,11.8821369605081,12.7613374019471,12.8572444605082,12.7834179318133,12.5331249402816,12.9160380921467,13.4364864067603,13.3924607976196,13.6820613375122,13.7125601372246,14.4180308561845,14.9405384559455,15.0408584675748,14.9634086602619,14.88237161468,14.9118486583776,14.7936451652036,14.6527198892945,14.2287503464474,14.3826581701874,14.7957171222489,15.1958746296984,15.4310809422793,15.5807821514817,14.3324911893271,14.183212930398,14.1430577168787,14.2077960887181,14.2838273374362,14.0322196984777,13.9474711382758,13.8469045000514,13.2492303707181,13.0712173286757,12.4810842264307,12.3862610023761,12.8054781421051,13.21223747028,13.2891373410779,13.2487333855557,13.1926774487072,13.4989856607263,13.1883831125379,14.0684475231483,14.2132658496986,15.0777899817357,15.4104144504806,15.7306715883892,16.2720882887277,13.4496531080948,14.3550877210543,15.0980255874187,16.8837185007981,18.5565898784501,19.4808725171808,20.4842626317752,20.793330946598,20.5346440571437,20.9264816108518,22.196035264687,21.4635819856194,20.2176550639544,19.8933995811522,19.0535854672247,18.6990737059063,18.1437452084668,17.3488624325988,16.5974125532791,15.9366549982436,15.3798783449365,14.1957304254276,14.0934614594799,13.0556590293251,12.4116047974249,12.3439547091355,12.0748639764708,11.6890792471476,11.1679939258479,11.3225370901876,10.7980781605279,10.1306437642402,11.0689823756694,10.840528875515,11.3913696276024,11.5934756693557,11.3214365819844,11.4250553409291,11.3303447725284,11.3473615284104,11.2803055681378,11.2285825996027,11.2498307874756,10.9290196500916,11.2088085127791,11.9488414575719,11.8855013811955,12.0332069177938,12.5442418080061],"WL-FDS^FG_PRICE_CHANGE(0,-6AM)":-18.827567995775,"CPALM-FDS^FG_PRICE_CHANGE(0,-6AM)":18.3060109289618,"BRENT-FDS^FG_PRICE_CHANGE(0,-6AM)":-10.1788890051261,"EWG^FG_PRICE(0)":31.15,"SPY^P_PRICE(0)/P_PRICE_HIGH_PR(0,,,USD,,,\"PRICE\",\"INTRA\",\"52W\")":0.9936898,"EWQ^P_PRICE(0)/P_PRICE_HIGH_PR(0,,,USD,,,\"PRICE\",\"INTRA\",\"52W\")":0.9936535,"EWL^P_PRICE(0)/P_PRICE_HIGH_PR(0,,,USD,,,\"PRICE\",\"INTRA\",\"52W\")":0.987841,"EWA^P_PRICE(0)/P_PRICE_HIGH_PR(0,,,USD,,,\"PRICE\",\"INTRA\",\"52W\")":0.9632588,"URTH^PERCENT_CHANGE(FMA_EPS(+1,0,,,,\"PORTAGG\",\"MEAN\"),FMA_EPS(+1,-3AM,,,,\"PORTAGG\",\"MEAN\"))":-1.84764592625523,"FXI^SIZE(FG_CONSTITUENTS)":51,"VGK^FMA_COS_DOWN(\"EPS\",\"1M\",+1,0,,,\"PORTAGG\",\"MEANR\")":636.0,"EWC^SIZE(FG_CONSTITUENTS)":88,"REFNZOCR-FDS^PROPER_NAME(0,,,\"SECURITY\",\"NAME\")":"New Zealand Official Cash Rate","VGK^FG_PE(0)":12.3190540866361,"SPY^FG_FCF_YIELD_NTM(0)":4.17423824713432,"NI-FDS^FG_PRICE_CHANGE(0,-6AM)":-12.3426314490249,"TIOS-FDS^FG_PRICE_CHANGE(0,-6AM)":-7.9794293297943,"EWD^FG_PRICE(0)":40.95,"QQQ^FG_PRICE(0)":439.14,"VGK^P_PRICE(0)/P_PRICE_HIGH_PR(0,,,USD,,,\"PRICE\",\"INTRA\",\"52W\")":0.9902627,"EWN^PERCENT_CHANGE(FMA_EPS(+1,0,,,,\"PORTAGG\",\"MEAN\"),FMA_EPS(+1,-1AM,,,,\"PORTAGG\",\"MEAN\"))":3.20179389881122,"EWL^FMA_PCT_ABOVE_MAVG(200,0,,,,\"PORTAGG\")":62.2222222222222,"SPY^FMA_COS_UP(\"EPS\",\"1M\",+1,0,,,\"PORTAGG\",\"MEANR\")":181.0,"EWC^FMA_RBICS_REV_CURRENT(30, LOC, \"PORTAGG\")":40.9198307473676,"REFEUREFI-FDS^(SUBARRAY(NOT_NA(NO_REPEAT_F(FG_YIELD(NOW,-10AY,D))),0,1)-SUBARRAY(NOT_NA(NO_REPEAT_F(FG_YIELD(NOW,-10AY,D))),1,1))*100":25.0,"REFCHMPR-FDS^FG_YIELD(NOW,,,0)":1.75,"TRYCH10Y-FDS^PCTCHG(FG_YIELD(0,,,,\"YTM\"),FG_YIELD(-1AM,,,,\"YTM\"))":-19.488821,"TRYSE10Y-FDS^FG_YIELD_NAME":"Sweden Benchmark Bond - 10 Year","TRYDE10Y-FDS^FG_YIELD_NAME":"Germany Benchmark Bond - 10 Year","CC_DE^IMF_IFS_RCPI_Q(0)":3.5546436,"EWN^FMA_EVAL_EBIT(LTMA,NOW,NOW,M,\"PORTAGG\",\"MEANR\")":22.4826719023839,"EWU^FMA_PE(NTMA,0,,,\"PORTAGG\",\"MEANR\")":11.3487384521514,"EWJ^JULIAN(FMA_DIV_YLD(NTMA,NOW,NOW,M,\"PORTAGG\",\"MEANR\").DATES)":45351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2988883001969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2.97429494344496,"USDCHF^STD(FG_PRICE_CHANGE(0,-3AY,M))":2.55066207178098,"USDUSD^STD(FG_PRICE_CHANGE(0,-3AY,M))":0.0,"USDEUR^STD(FG_PRICE_CHANGE(0,-3AY,M))":2.27878581990319,"USDAUD^STD(FG_PRICE_CHANGE(0,-3AY,M))":3.07648357729992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9,2.96400297596909,3.54736708862932,3.81180346997282],"EWN^P_PRICE_RETURNS_PR('52W',2,-10AY,0,AM)":[20.710075,22.362555,19.889938,20.833588,15.159249,2.9116392,6.683719,-3.5942972,-1.9457161,0.66150427,-8.467161,-0.060522556,2.349639,4.839349,7.920742,3.0856729,7.9176545,9.55925,-1.5262067,8.9450245,2.6252747,0.07858276,-0.98767877,-10.950476,-1.532203,-3.4693956,-8.211702,-9.94007,-9.13865,-3.9779365,3.9924026,1.776576,-0.49987435,3.9776087,12.589192,18.908775,12.125111,10.883724,22.563326,29.851341,29.521168,27.319277,31.511806,34.67933,35.781097,34.76882,36.563503,29.521679,24.476444,24.535084,13.500273,10.261941,7.7830195,2.3352265,-1.1048675,-8.832574,-6.5549316,-11.708575,-16.385752,-7.3039474,-6.0017347,-3.0400455,-3.7646055,-2.1070957,2.8215408,-0.8475244,8.607912,15.124369,17.317604,25.277351,30.084955,22.48013,-10.26085,-7.9931555,-5.0268946,5.304599,12.172389,20.483124,11.942827,16.919815,19.109608,20.36879,29.041302,33.864044,82.08716,73.81693,73.232315,59.361065,43.673264,45.645844,51.885986,39.92313,41.18017,21.59419,14.703822,-1.6004682,-12.321967,-14.903975,-20.445663,-29.736954,-30.060785,-23.105484,-34.81012,-40.252792,-28.046535,-16.15646,-13.224215,-3.366989,5.762279,7.6619983,18.641317,27.340721,36.440742,13.309431,18.334162,24.7913,12.761343,15.126753,6.6300154,11.941981,22.219574],"SPY^FG_TOTAL_RETURNC(-10AY,0,AM)":[0.3477931,-0.49265623,3.3452988,2.6816964,2.2740483,-0.9311795,1.7215014,-5.298877,8.811939,-1.6402304,0.53452253,4.4409037,-1.8842638,2.2298098,1.2983918,-1.0367155,0.8092165,-0.5980611,-6.403404,2.2109866,1.630795,0.17814636,-4.834014,-2.7614176,8.5034485,3.2485247,-1.5624225,1.6018748,4.426348,1.0827422,-2.4306595,0.49299002,1.6281962,4.28921,1.1115551,2.928865,1.3692737,-1.4253259,2.7826786,2.2010207,1.0306835,0.39908886,1.439929,2.448368,1.0904193,3.0768633,5.145371,-2.9972732,2.1180272,-3.3016384,2.9530525,2.1063805,0.7593751,1.541543,2.45862,-4.702979,-2.0837128,-3.6010385,-0.5893111,6.596744,2.4710298,3.6533952,-2.3297548,2.0677567,4.443753,-5.5712643,6.0549498,-1.2511849,4.595363,2.5101066,3.6974907,3.0997038,-20.22512,6.020117,0.415802,6.751585,5.2995563,5.6189537,0.48093796,3.2143235,2.9229999,1.8318892,4.2285085,3.7467718,0.36164522,4.7555923,1.246798,2.0836353,2.9221177,2.2189617,-0.3924489,-0.0536561,5.5977345,-0.8367777,0.65039396,-5.5302143,-5.0157127,5.3082347,-8.239115,-6.9326935,1.5162468,13.016331,-7.609457,-8.993727,10.482895,1.083219,0.23839474,3.5483122,-5.0673723,5.6985497,-0.21092892,6.2173486,3.1508803,-0.26041865,0.5021095,-3.845632,3.9930463,5.1879764,1.399529,4.5921803,3.285396],"EWU^FMA_DIV_YLD(NTMA,-10AY,0,AM,\"PORTAGG\",\"MEANR\")":[4.00235640364743,3.95168338830844,3.80967024739782,3.85984902929679,3.87833846844669,3.96791090632845,3.92980686965837,4.22920832496579,4.06533360615068,4.29163473287798,4.28519284074933,3.96921039819391,4.06917449986335,3.88723304269849,3.86881018796264,4.01767392468039,4.07943708403233,4.15916149073414,4.51475660219788,4.3024774475636,4.39711418117795,4.53713356345013,4.53997475299604,4.65940023851053,4.35798772900708,4.23950500841555,4.38282741137914,4.55928389657697,4.15137081711764,4.06085857639101,4.24079190958924,4.2699743183425,4.44528282134332,4.32789089288405,4.22318648939383,4.25984733011411,4.3347633790409,4.34263509161154,4.25799264108268,4.2764289167943,4.28866480052332,4.34347495707769,4.35232067723128,4.2509955131102,4.3763012472775,4.33162361021579,4.137597051683,4.44248165334476,4.52346884178776,4.42221295537622,4.26534956420991,4.30750491935538,4.39811235034254,4.49189222161081,4.63551652907502,4.85521550953691,4.8790529522632,5.13514795276401,5.20819330860833,4.9819281164625,4.92694920168707,4.81619065104957,4.98460037368189,4.84418453366357,4.78301237239974,5.15525927026355,4.90812993352614,4.95678980656819,4.83127084397814,4.67015391506006,4.56293291705727,4.70109236989143,6.64820306413493,5.74647895223002,4.61189717494629,4.15143675976307,4.06571656128498,3.96615615010635,4.09299707157577,4.25694749848651,4.0399656851572,3.91688619648532,3.8292912714064,3.98490796682858,3.96184288109783,3.97549669336824,3.90126087527332,3.87224654138621,4.03147336729397,4.12219733097678,4.23192087003174,4.08612878498688,4.01891917399117,4.0453931184567,3.82058456617092,3.83399139506521,4.15317569985007,3.93120684931638,4.17814770763849,4.35481751144485,4.47822845381623,4.18285712063798,4.44526712783655,4.68958048151192,4.3447647426352,4.20127145313295,4.05015353895335,4.05124218906178,4.26646503137895,4.13920454034218,4.27309789399246,4.34791052318018,4.3963499957914,4.45062180400165,4.40898735100376,4.48346140414167,4.53204521662589,4.30282356059069,4.32317105563279,4.32174332582991,4.1144916583532],"EWJ^FMA_PE(NTMA,-10AY,0,AM,\"PORTAGG\",\"MEANR\")":[12.8914243496855,12.5142846150365,13.0333164035511,13.6718209818312,13.7409236200759,13.6205984266201,13.9407136115072,12.8248077967044,14.6319284028082,14.2531287900094,13.6706235662865,14.4092456046216,15.4135775920773,15.6355005353714,15.7117664012768,15.9038899955519,15.4182173453989,15.434675539156,13.4665111330003,13.5418585351691,14.6459822527216,13.9464802048396,12.7697352241119,11.0013808009965,13.138122922812,13.1421089166391,12.8965821603457,12.7754159432461,13.3985752098176,13.4356193501105,13.2999594412237,13.4380329423782,13.8853193551402,15.0204019145494,14.8336948170236,14.3853435249018,14.3761185713015,13.3281886615521,14.3116276988095,14.3092292147053,14.3062999319394,13.7489015538162,13.6749069125515,14.1903557112306,14.6476581399916,14.6565436790564,15.2294733698464,13.4598658637301,13.0351207947885,12.8753621804691,13.4424746464146,13.1675870114407,12.8050528997419,12.581886703337,12.6494566729728,12.421521541262,12.0079052358416,11.7721150439616,11.5233332795712,12.2115704467784,12.4473522194652,12.6040045673112,12.1346035165889,12.5867009091973,12.9252043577657,12.3593948792242,13.4384653972499,13.2624010209468,14.0215655061178,14.7145609286569,14.7112760644336,14.363900356377,10.9717310958284,13.2104810835872,14.1995745868415,17.2579856193933,17.7801132915672,17.9868563309234,18.5631729837401,18.0881908368275,18.2440398593218,18.4653286945993,18.877918577142,18.9153677713221,17.962679578018,17.3527860170988,16.2251686397118,16.5277352777783,16.2714039015602,15.6944564996077,16.2900926631656,15.1267102236444,15.4044345899898,14.4650439415818,14.3255593852813,13.6397394306165,12.3777454991292,12.9832706077435,12.5939109367175,12.4304045373824,12.4540796038497,12.9635297716022,12.7084530101531,12.2793186445071,12.7279877587195,12.8372689194063,12.3664819874094,13.0702143011785,12.7989169085457,13.274932652591,13.7494743247834,15.0198144617325,14.4659054693794,14.3672831617725,14.9725264844866,14.2682235064226,14.2598075645272,13.8515072200999,14.8105719967006,15.1192793879173,15.2504713833785],"EWC^FMA_PE(LTMA,-10AY,0,AM,\"PORTAGG\",\"MEANR\")":[16.5065788514138,16.3222948995573,16.2831227255021,16.2574871176846,16.2747093865094,16.3085304228902,16.4250048759668,15.1619084395346,15.8154587589195,14.8072666396075,15.0262115588083,16.6524746640292,16.9688255904431,17.2376487369614,17.2048413820052,17.1208002137,17.0462559258917,16.9580897846264,16.3528793849223,16.990800063271,16.3304639807208,15.7798277317411,14.9728995395304,14.9497150856927,15.8977705693712,16.1510800275984,16.4473021211926,16.6357913016486,17.1448765806728,17.4514686515311,17.3912959437356,17.8748831438829,18.3346141789876,19.0948079547502,19.5543775533161,19.8518931884839,19.2454657404148,18.9603326297772,18.6533510647507,18.1767146171044,18.0113469672725,17.7810724719591,17.3907531941439,17.5562818092178,17.2827140864976,17.1468149338984,17.271454816987,15.9838026018429,15.8137523496978,15.5799164297714,15.6478512729144,15.6192375412968,15.5761536672732,15.4048604312738,15.0159706571943,14.5102549502659,14.0894551377937,13.490435769898,13.7638066823999,14.5629747558736,14.7282302374944,14.7010571244936,14.4910415693674,14.4515406449411,14.4831957247194,14.225744112938,14.6400822436633,14.5614836273438,15.0892731212539,15.158617801813,15.4621847005137,15.7344230156377,14.0171229787097,14.8845147001551,16.3066162135362,17.0070582743184,17.7180658772199,18.1787020406619,18.341906231444,18.8115074190254,19.1834456162841,20.0837626547858,21.195952122587,20.9761429933679,19.8566267002582,19.4506723417828,18.991606527611,18.649971276045,18.1111113085828,17.5551770236694,16.8925796747867,16.651207499189,16.6119244869799,15.3671520986897,15.5671639505639,15.5243855114656,15.0765765439325,14.9320499078101,14.3108687395819,13.8251181852824,13.0090463585379,13.3467989073145,12.8354542473158,11.9861223582625,12.5856553164725,12.482905825692,12.632659695047,12.9047180099484,12.5400261409678,12.7615777286765,12.8502503556866,12.9414822716816,13.2771766078323,13.4389387863888,13.7553569026303,13.2488895583534,13.589353712999,14.3376313654919,14.595242895602,14.5069282904497,14.9420327585893],"WL-FDS^FG_PRICE_CHANGE(0,-3AM)":-2.50555026958453,"NI-FDS^FG_PRICE_CHANGE(0,-3AM)":7.60606060606062,"CPALM-FDS^FG_PRICE_CHANGE(0,-3AM)":20.2443765620661,"BRENT-FDS^FG_PRICE_CHANGE(0,-3AM)":0.0,"TIOS-FDS^FG_PRICE_CHANGE(0,-3AM)":-17.955923679929,"FC0000CH^FG_PRICE(0)":330.3604,"FC0000AU^FG_PRICE(0)":355.5656,"EWN^FG_PRICE_MAVG(0,,,,200)":42.59108,"EWU^FG_PRICE_MAVG(0,,,,200)":32.2374,"EWC^FG_PRICE_MAVG(0,,,,200)":34.91975,"SPY^FG_TOTAL_RETURNC(0,-6AM)":15.216184,"VGK^FG_TOTAL_RETURNC(0,-6AM)":12.6433735,"EWQ^FG_TOTAL_RETURNC(0,-6AM)":12.95706,"EWL^FG_TOTAL_RETURNC(0,-6AM)":6.452322,"EWA^FG_TOTAL_RETURNC(0,-6AM)":10.241628,"URTH^PERCENT_CHANGE(FMA_EPS(+1,0,,,,\"PORTAGG\",\"MEAN\"),FMA_EPS(+1,-1AM,,,,\"PORTAGG\",\"MEAN\"))":0.713897876530525,"EWN^FMA_PCT_ABOVE_MAVG(200,0,,,,\"PORTAGG\")":61.1111111111111,"FXI^FMA_COS_DOWN(\"EPS\",\"1M\",+1,0,,,\"PORTAGG\",\"MEANR\")":19.0,"VGK^FMA_COS_UP(\"EPS\",\"1M\",+1,0,,,\"PORTAGG\",\"MEANR\")":397.0,"QQQ^SIZE(FG_CONSTITUENTS)":102,"EWC^FMA_COS_DOWN(\"EPS\",\"1M\",+1,0,,,\"PORTAGG\",\"MEANR\")":42.0,"EWA^FMA_RBICS_REV_CURRENT(30, LOC, \"PORTAGG\")":40.7151096463949,"REFEUREFI-FDS^FG_YIELD(NOW,,,0)":4.5,"REFCHMPR-FDS^PROPER_NAME(0,,,\"SECURITY\",\"NAME\")":"Swiss Policy Rate - Sight Deposit Rate","TRYIT10Y-FDS^PCTCHG(FG_YIELD(0,,,,\"YTM\"),FG_YIELD(-3AM,,,,\"YTM\"))":-4.6407924,"TRYJP10Y-FDS^PCTCHG(FG_YIELD(0,,,,\"YTM\"),FG_YIELD(-3AM,,,,\"YTM\"))":12.913131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32463877154],"TRYMX10Y-FDS^FG_YIELD(-10AY,0,Y,,\"YTM\")":[5.8237,6.2537,7.5651,7.6401,8.7069,6.8373,5.552,7.558,9.0223,8.95],"TRYPE10Y-FDS^FG_YIELD(-10AY,0,Y,,\"YTM\")":[5.681629,7.426917,6.415413,5.167133,5.645114,4.243226,3.535983,5.889906,7.923381,6.6087],"EWC^FG_PRICE_MAVG(0,,,,60)":36.551,"VGK^FG_TOTAL_RETURNC(0,-3AM)":5.320728,"EWL^FG_TOTAL_RETURNC(0,-3AM)":2.4586678,"URTH^FMA_PCT_ABOVE_MAVG(200,0,,,,\"PORTAGG\")":71.448087431694,"FXI^FMA_COS_UP(\"EPS\",\"1M\",+1,0,,,\"PORTAGG\",\"MEANR\")":18.0,"EWI^SIZE(FG_CONSTITUENTS)":26,"QQQ^FMA_COS_DOWN(\"EPS\",\"1M\",+1,0,,,\"PORTAGG\",\"MEANR\")":40.0,"EWC^FMA_COS_UP(\"EPS\",\"1M\",+1,0,,,\"PORTAGG\",\"MEANR\")":33.0,"REFEUREFI-FDS^PROPER_NAME(0,,,\"SECURITY\",\"NAME\")":"Eurozone Main Refinancing Operations Minimum Bid Rate","TRYNL10Y-FDS^FG_YIELD_NAME":"Netherlands Benchmark Bond - 10 Year","CC_AU^IMF_IFS_RCPI_Q(0)":4.051988,"EWN^FG_FCF_YIELD_NTM(0)":4.02242126532412,"SPY^FMA_PE(NTMA,0,,,\"PORTAGG\",\"MEANR\")":20.5854571411061,"CAGDPY@GB^EE_ACTUAL_ANNUAL(MED,+1)":-3.2,"CC_GB^FG_COMPANY_NAME":"United Kingdom","USDSEK^STD(FG_PRICE_CHANGE(0,-1AY,AM))":3.09323290152321,"USDCHF^STD(FG_PRICE_CHANGE(0,-1AY,AM))":2.28290830043572,"USDUSD^STD(FG_PRICE_CHANGE(0,-1AY,AM))":0.0,"USDEUR^STD(FG_PRICE_CHANGE(0,-1AY,AM))":2.16792121696743,"USDAUD^STD(FG_PRICE_CHANGE(0,-1AY,AM))":2.86359292306942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470961,2.21381527836792,2.4898156587914,2.56419575016557,2.5100925842499],"EWQ^P_PRICE_RETURNS_PR('52W',2,-10AY,0,AM)":[19.304157,26.056421,23.214828,23.036062,20.459318,5.598688,7.7589035,-8.000219,-5.8820605,-6.2788067,-11.834335,-5.017638,-7.412946,-5.373955,-4.486835,-7.9854546,-4.148352,1.1137843,-8.070856,6.253338,0.9666681,0.38747787,-3.2390118,-14.604235,-2.3289561,-6.475645,-10.476565,-12.924409,-9.094894,-6.85944,-0.9332478,-4.4199944,-2.5702477,3.7198424,14.870989,18.14438,8.465791,9.577894,22.933805,31.356943,27.93355,24.571383,31.362797,34.1259,33.632053,30.014956,33.193897,29.142666,27.437866,26.306879,15.739512,12.221098,9.896255,5.207169,3.271675,-4.043764,-5.367279,-10.682076,-15.832591,-9.220558,-4.6086907,-2.9061913,-7.522571,-4.5561194,0.93997717,-3.5280943,1.6843796,6.7599297,14.990187,20.465624,24.870777,17.885256,-17.904293,-18.137478,-20.143175,-8.392745,-6.5441847,3.3149362,-2.2399783,-4.330635,1.1226773,4.0495157,5.479598,6.151724,63.366936,51.18756,68.410385,48.366844,35.645283,36.040306,32.64922,36.339546,30.47434,17.656076,19.507551,12.39649,-2.7154207,-2.1361828,-10.230666,-19.558174,-19.457489,-12.212217,-17.883514,-24.414587,-14.115381,-5.508232,-4.096675,3.935802,13.091636,18.47713,27.204704,29.572916,40.293633,20.035494,26.611637,28.015757,16.455341,17.747677,9.004629,7.107222,17.097736],"QQQ^FG_TOTAL_RETURNC(-10AY,0,AM)":[-0.86200833,-4.176986,3.6097765,5.1121473,4.0915728,1.1373162,2.6307702,-6.321746,11.025059,-0.53284764,-1.3009131,5.893433,-1.4685333,1.9697785,2.248764,-0.75743794,1.6230106,0.22673607,-4.7597528,0.8944869,3.691113,1.6296387,-6.4817905,-5.813396,8.82473,4.292023,-4.8864007,2.3980975,3.9354205,4.661536,-1.160413,1.3756037,-2.1427393,4.86784,2.7580976,4.360175,2.1473527,-0.47112107,6.2883496,0.8297205,1.9744515,1.2735724,1.1325002,2.1334887,3.3504128,1.6763449,5.7425976,-1.1003792,5.532336,-5.8498025,5.1930428,4.62445,1.3485551,1.024437,1.3998389,-5.085826,-5.231762,-2.4939418,-0.8338511,7.502985,3.206408,5.352056,-2.846694,1.1631846,6.1965823,-5.565029,5.351281,-0.5529523,5.4110646,2.8595567,6.4508557,6.61577,-18.027615,10.38307,4.7059417,6.333685,10.572195,4.528177,1.1022925,6.2959194,-0.38690567,4.5062423,3.5788655,7.03038,-6.238675,6.804955,-3.0073404,5.551636,5.5087924,1.5837193,1.7461061,-2.1891594,7.6562166,-1.6468227,-1.9833744,-8.557677,-8.437645,6.4994335,-10.782141,-8.620918,4.0947795,15.25098,-10.399837,-11.764156,9.473038,0.37486553,-1.6953528,9.17536,-3.0578673,7.2945,2.0278096,12.57422,3.7416458,-2.3003697,1.8684983,-3.0381978,5.488932,4.686904,1.7844796,5.77693,1.3665199],"EWL^FMA_DIV_YLD(NTMA,-10AY,0,AM,\"PORTAGG\",\"MEANR\")":[3.30306642392798,3.26198866762829,3.18066799882133,3.23382354955647,3.31771223668687,3.38894043419198,3.29357269738732,3.52161682291924,3.2790066892827,3.32257632241545,3.26966685007249,3.27185207080714,3.15842228343829,3.02950675542757,3.12539568923146,3.17743579390929,3.13254680615491,3.14946789237375,3.37440997934673,3.38070037836894,3.30946987018078,3.42508089662905,3.48720724168356,3.6480781466079,3.46506404221393,3.47489518055046,3.55533808979782,3.682665630932,3.49150222521164,3.41297798451788,3.4895377980632,3.53893587347619,3.63749585322913,3.57975042883236,3.45879132170879,3.43384679280073,3.35145791292656,3.42841148640405,3.28749648857413,3.35100466126641,3.26016883417296,3.29694030230315,3.27867889744457,3.21961293608313,3.29238156020295,3.22036084950621,3.16540207840941,3.37737328214554,3.438726119462,3.4875735385117,3.42003946506134,3.52393206201761,3.47283507290576,3.43208326034864,3.41397838368394,3.63205222229507,3.55736009227279,3.63273475197637,3.5622094927425,3.40948098590174,3.31986731779412,3.27446593401153,3.36843865531439,3.25118606650274,3.26441827039413,3.31319442633035,3.18947284758149,3.23127318070275,3.15428360261408,3.10462021890715,3.03070038352157,2.93200138192295,3.86368065777976,3.35825686567377,3.34635013656935,3.17601841969189,3.04744851354423,2.9527693845201,2.89222133553833,2.93381972560404,2.89148987521942,2.91546826873979,2.814600127585,2.80591910359979,2.85211612839531,2.74889674568091,2.77153866730078,2.61888366812909,2.61047214944762,2.54745794168173,2.62927236206766,2.70415810052631,2.56947660468959,2.62241271830937,2.63094610546142,2.79718823653122,2.90423784931157,2.75022212337241,2.97746865915342,3.25525387688192,3.20865308535852,3.06429911171943,3.22927228502507,3.42845684950685,3.12040804940768,3.09112695230301,3.0650610171053,3.05986392952181,3.24737433070605,3.09701902722542,3.06753768442508,3.16132230859273,3.16453157943341,3.21160572478486,3.27169905010663,3.36741551234152,3.42188749231552,3.27668543021211,3.27551764293224,3.37104084865236,3.2188114977846],"EWG^FMA_PE(NTMA,-10AY,0,AM,\"PORTAGG\",\"MEANR\")":[12.4899181615474,12.7222965603622,13.1697698088425,13.2939779082844,12.9896732171757,12.3102771047948,12.7640312246931,11.6490998019409,12.2076243999072,12.6140545513023,12.8785811076913,14.2886855812265,15.4349626366232,15.6916592768264,14.4252286897179,13.7275961497461,13.9802314095971,13.2744546978587,12.2349766377223,12.2003159773529,13.3288568991972,12.6398717127845,12.1484572489961,11.3732567940769,12.7317741074829,12.8738224329256,12.4370012438733,11.749362805553,12.4153321241763,13.1512439580967,12.7509539324969,12.9261583050711,12.8232402422416,13.4251640017606,13.7707020331007,13.7503865369021,13.8710466172393,13.804441353196,14.0443225095291,13.8418672113558,13.6201731117836,13.0651418328918,13.3960007662718,13.8209267650486,13.8562314402595,13.9460959930191,14.0563175615472,13.0577732316787,12.9274174818453,13.0612487600414,13.4051795645038,13.5536612788291,12.9864254568374,12.790729536139,12.5862041964867,11.8801994813437,11.7155820507163,11.273842873834,11.2897856107754,11.6962975909269,12.2415676495909,12.6627812798449,12.4879174321966,12.3427111688941,12.8080491134829,12.1411649728349,13.1471170088523,13.1014010742,13.8607597217528,14.1713357375567,14.3375493641496,14.5433827283186,9.97865038780621,13.7071284914508,14.7723467562521,17.3288670006862,18.3167272795566,17.9807394843818,17.6732971129687,16.8823670638447,16.10004981814,15.7657408277185,16.210947338463,15.8623919642842,15.8913177921663,16.0587468174922,14.8377992008927,14.9977779588263,14.7364722162264,14.4278366041525,14.0908086946026,13.6902648967049,13.8013495034117,13.1439759392871,13.3450077522965,12.4848898240291,11.3325726958324,11.3203859587289,10.7558131576644,10.1425202049616,9.54555000775651,10.3435496235475,9.73109204605257,9.23331859705206,10.7865737451949,10.7712944752607,11.4048337696508,11.6530591175096,11.2816199304305,11.4565428165154,11.0472285877559,11.0014633323693,10.7850024898991,10.6754444204553,10.6136397673834,10.1579974909546,10.5371323800575,11.2297960534434,11.1084540077934,11.5121454321323,12.1825679319545],"EWA^FMA_PE(LTMA,-10AY,0,AM,\"PORTAGG\",\"MEANR\")":[15.2584171867823,15.2381047175838,15.2316780385959,15.1298565139047,15.3342290422773,15.3452538510161,15.2487152257446,14.6023870016482,15.1098108753778,14.1659501262923,14.6416666756835,15.992758416721,16.146771947462,16.376269016058,16.2803861337635,15.9774469485795,16.0000998106198,15.7391463649467,15.311820298683,15.5341697117207,15.1281328575469,14.8805382982834,14.7731825514463,14.5687737263046,15.17786077811,15.2547832818796,15.6158153964433,15.6120864658022,16.08819417176,16.609676108332,16.0967040192029,16.7829674339016,16.9576683340942,17.5705435796263,17.8994780160689,17.7596848917559,17.4372445338715,17.3439459848615,17.1268254270935,16.9632926880252,16.8503678981852,16.7222838655336,16.5822714508393,16.5366616559205,16.6897720731067,16.6666961195096,16.7844566738707,16.1318981747732,16.4723687929869,16.2718284249743,16.3857727620579,16.0843872544811,16.324867049336,16.3407630702116,16.0022337727002,15.414780971712,15.0297080375237,14.596807754415,14.9845924405887,15.6560454959259,15.8650091271355,15.8579386987641,15.7796117347335,16.0974121842654,16.2652980835206,16.2934635017302,16.7062563116354,16.8740870873576,17.4265986902493,17.691391181435,18.3811514125371,18.8899791188243,16.5009586256373,16.9108898150794,17.2737339159739,18.2982321148561,18.6289691549499,19.5686680567047,19.3350420355164,20.0705326579792,21.1583679077484,22.6500957715027,23.3576353893216,22.9374277053511,21.6524389955929,21.2600843411237,20.767569135073,20.5560431019943,19.5929710241359,19.328353597446,18.7670076770473,18.5752578815229,18.4226841181656,17.7314237774147,17.6988894954391,16.1536534290113,15.6763275123126,15.6625557741543,15.0694966852221,14.3380442929712,14.0276372002917,14.6190928816561,13.9648914140577,13.3955053427908,14.2096392146054,14.3891610168839,14.5110175390165,14.7572341397175,14.1579584110515,14.3633661614595,14.3444266458699,14.4974419590541,14.8721127696045,14.9189301808384,15.0153349895935,14.6812870456116,14.9178139165934,15.8821006440039,16.2673596155824,16.2452626916542,16.62195570019],"WL-FDS^FG_PRICE_CHANGE(0,-1AM)":-6.66464247760742,"NI-FDS^FG_PRICE_CHANGE(0,-1AM)":10.1768538628607,"CPALM-FDS^FG_PRICE_CHANGE(0,-1AM)":8.3854818523154,"BRENT-FDS^FG_PRICE_CHANGE(0,-1AM)":0.0,"TIOS-FDS^FG_PRICE_CHANGE(0,-1AM)":-14.0666150271108,"EWN^FG_PRICE_MAVG(0,,,,60)":45.86508,"EWU^FG_PRICE_MAVG(0,,,,60)":32.705166,"SPY^FG_TOTAL_RETURNC(0,-3AM)":9.540331,"EWQ^FG_TOTAL_RETURNC(0,-3AM)":6.2060714,"EWA^FG_TOTAL_RETURNC(0,-3AM)":2.6134014,"EWQ^PERCENT_CHANGE(FMA_EPS(+1,0,,,,\"PORTAGG\",\"MEAN\"),FMA_EPS(+1,-3AM,,,,\"PORTAGG\",\"MEAN\"))":-4.77998387703614,"ENZL^FMA_RBICS_REV_CURRENT(30, LOC, \"PORTAGG\")":13.7517044499309,"REFJPTON-FDS^(SUBARRAY(NOT_NA(NO_REPEAT_F(FG_YIELD(NOW,-10AY,D))),0,1)-SUBARRAY(NOT_NA(NO_REPEAT_F(FG_YIELD(NOW,-10AY,D))),1,1))*100":-20.0,"TRYIT10Y-FDS^PCTCHG(FG_YIELD(0,,,,\"YTM\"),FG_YIELD(-1AM,,,,\"YTM\"))":-6.044949,"TRYJP10Y-FDS^PCTCHG(FG_YIELD(0,,,,\"YTM\"),FG_YIELD(-1AM,,,,\"YTM\"))":2.3326707,"TRYCA10Y-FDS^FG_YIELD_NAME":"Canada Benchmark Bond - 10 Year","EWI^FMA_EVAL_EBIT(LTMA,NOW,NOW,M,\"PORTAGG\",\"MEANR\")":11.2668444196391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2565,16.3837417700753,16.6906517335277,19.299912173729],"TRYIN10Y-FDS^FG_YIELD(-10AY,0,Y,,\"YTM\")":[null,null,6.63,7.4903,null,null,null,6.4688,7.3388,7.2],"TRYGR10Y-FDS^FG_YIELD(-10AY,0,Y,,\"YTM\")":[9.61,8.24,7.15,4.14,4.37,1.45,0.618,1.315,4.585,3.099],"CAGDPY@GB^EE_ACTUAL_ANNUAL(MED,0)":-3.0,"CC_CH^FG_COMPANY_NAME":"Switzerland","USDSEK^FG_PRICE_CHANGE(0,-6AM)":-7.409358,"USDCHF^FG_PRICE_CHANGE(0,-6AM)":-1.2298107,"USDUSD^FG_PRICE_CHANGE(0,-6AM)":0.0,"USDEUR^FG_PRICE_CHANGE(0,-6AM)":-2.0435393,"USDAUD^FG_PRICE_CHANGE(0,-6AM)":-2.103269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8181579],"SPY^P_PRICE_RETURNS_PR('52W',2,-10AY,0,AM)":[20.198654,17.524206,16.72926,20.604086,20.28222,18.29356,20.180428,11.93782,16.14206,14.968145,11.494434,16.86573,13.320017,16.748201,14.435816,10.627996,8.712101,9.077644,0.36517382,8.324205,1.2000084,3.0456543,-2.456987,-8.809787,0.4312873,1.4320612,-0.40470362,1.1955023,4.826522,6.8541527,11.123681,9.255886,9.253097,13.736582,22.826218,27.913929,19.50351,14.098871,18.09188,19.832527,15.935898,15.151787,19.719864,22.112392,21.403515,19.99222,25.065697,17.595089,18.463684,16.208792,16.40141,16.293621,16.52229,17.301094,18.479073,10.342873,6.748271,-0.16747713,-5.612403,3.7229538,4.0815115,11.240339,5.8427334,5.802703,9.757864,1.9892097,5.587232,9.3929405,16.854858,21.968306,29.621292,25.368893,-2.4612963,-0.1703322,2.63592,7.6696634,8.225405,21.050585,14.688433,19.874727,18.129803,17.177666,17.777729,18.580128,61.84759,47.32311,48.542297,42.04695,38.83985,34.374428,33.20247,28.985,34.169186,28.868925,24.444914,13.317108,7.2456,7.8113794,-0.78920126,-10.919655,-12.136448,-2.6786447,-9.89399,-17.953861,-14.158243,-12.49618,-12.818718,-4.4796824,-4.531634,-4.1777906,6.6970587,18.929588,20.844603,6.6482067,16.011547,19.78085,15.374052,20.059132,21.921026,22.674202,33.46783],"EWU^FG_TOTAL_RETURNC(-10AY,0,AM)":[-2.785784,1.6798377,5.782318,0.04593134,0.1975298,-2.7403831,-0.9886265,-8.337492,3.1590462,-6.071806,-0.20443797,8.615744,-5.393976,5.030751,5.9073925,-3.8693488,-0.20008683,-1.9733369,-8.813924,3.520286,-4.207492,-2.9482663,-4.5163274,-3.0463576,6.76229,2.6231647,-2.493769,-3.6445081,5.867338,1.1560678,-1.1428595,-3.0186236,-0.7947087,3.4045458,2.5301576,1.8831849,-0.6578982,2.2390366,5.089462,0.20545721,1.5242815,-0.8554578,2.6777625,2.4340749,-2.6591182,2.818954,6.8716884,-4.8234997,-1.4439344,4.2229176,1.5435576,-1.085782,-1.5266299,-3.8231075,-1.2755871,-2.8846145,-0.8044481,-6.019968,3.0000567,4.708588,3.9937139,2.6307821,-3.8008153,-0.52068233,1.8715262,-8.865463,7.5850368,-0.7903874,3.7603617,4.729724,0.97498894,-2.718681,-27.03523,3.788507,-2.9281974,8.429742,1.2837052,2.4064183,-2.6482642,-0.8812249,9.431767,3.5037875,7.3524356,-1.8006384,4.354942,1.2237191,4.8977137,1.4793277,-2.3393571,2.243793,-2.9062867,2.2296906,0.11949539,-2.5518477,8.810579,-1.3880968,-7.067442,7.604921,-7.5366497,-4.7528625,-3.3231616,9.6808195,-7.6431093,-9.037394,13.094783,7.5430155,3.6213398,1.3182163,-4.1149735,5.932462,-1.0425925,-0.42036176,0.8628607,-1.069349,0.58677197,-2.7632773,0.47363043,5.342555,-0.017344952,-2.2283256,4.5894504],"EWJ^FMA_DIV_YLD(NTMA,-10AY,0,AM,\"PORTAGG\",\"MEANR\")":[2.16697620281495,2.23667369047767,2.18169022046736,2.09275198343229,2.07681511157093,2.08360102858944,2.03087911859775,2.21544928353686,1.93525354744567,1.98230305646273,2.06466355609562,1.9646430271835,1.8498009923156,1.84293804629947,1.89419450096731,1.88186802131432,1.91835992934058,1.90734367392337,2.18156588111487,2.17168446001355,2.02257399959464,2.11213467100765,2.31772580890418,2.72611818648658,2.33401918088365,2.34262783406322,2.43054599167972,2.4834211692707,2.39994618778415,2.38061433558784,2.40501092370859,2.37037703564221,2.29607159264737,2.08524759124058,2.0992942701875,2.14026195481349,2.12125431601155,2.29404287345227,2.1557088412763,2.18671533210715,2.15701708964624,2.21175774822903,2.20237815407903,2.12405738967706,2.06617168927406,2.06234289032929,1.99754769207599,2.23778460119993,2.22479811699371,2.25800327933796,2.18255300526919,2.23570741124189,2.29955192372787,2.34138913576634,2.32342756235546,2.3726804706327,2.48127854970252,2.5662940847468,2.69159928198638,2.59705243336944,2.59441336027583,2.5835619632294,2.69953821138859,2.69534778552739,2.64662359293902,2.78303602430059,2.57818337901685,2.6160025456464,2.49169604461191,2.41241534857624,2.4196519355388,2.46803093913849,3.29129245237948,2.87146312389536,2.82659703742537,2.5086080027474,2.4950160187318,2.38838264678941,2.34081692134208,2.36276272604789,2.28235476162493,2.15799316786624,2.0671471748886,2.02971237430774,2.05453214048549,2.08026958001258,2.201190562217,2.15894965533725,2.18524854199102,2.21960544132988,2.10536176168286,2.25182690778966,2.2159991569452,2.33014772456469,2.34939970706464,2.4573767305043,2.69988974101582,2.5738578744378,2.65636630359102,2.68522433544455,2.67626140667017,2.57203473004138,2.62655965795628,2.72704342886353,2.63129320982023,2.62432029631705,2.72698807325846,2.60118206418325,2.67785411933897,2.6019292609667,2.53137962835267,2.30949857604455,2.39711620346027,2.38902838182386,2.28686731069294,2.39537622216364,2.3919755164769,2.46575348198985,2.29696717519077,2.25730806466937,2.23335911332336],"EWC^FMA_PE(NTMA,-10AY,0,AM,\"PORTAGG\",\"MEANR\")":[15.065999866507,14.7239036231781,14.8638836311386,14.9419446970441,15.0076886882821,14.9824547941178,15.1331289476547,13.539044773064,14.656949438133,14.4756396890698,15.1648760839653,17.4078061118425,16.8889986361693,17.4065271212958,16.7310092689878,16.2098284864258,15.8049316622078,15.4507964870292,14.5158527366361,15.1408667760085,14.2643654664393,13.8787262289174,13.6441526377108,14.2089876539957,15.6927145376562,16.2089701744471,16.4751897592953,16.3094885190936,16.6193016284255,16.5464967313097,15.8432977221324,15.8839604485531,15.6765335947669,15.8418106013121,15.9586827809231,16.2950674272405,15.7763987450871,15.7418719508532,15.6157592980341,15.20070489133,15.3516295187364,15.5297045430537,15.3087113676122,15.7554105015151,15.7956575812348,15.8561101805234,15.8605221565807,14.52632223278,14.5115042036129,13.9519023587795,14.4135376482076,14.4276816847667,14.3758713952182,14.0397552161661,13.5207625926032,12.8759536274433,12.5897848703959,12.3527384252626,12.9483566564639,13.8207636313911,14.1799664270454,14.0674127514822,13.5603040456018,13.5589115892928,13.6863297284055,13.329329281247,13.9564269021485,13.7661329510784,14.3462750865204,14.3742179183141,14.544062217956,15.0411560507486,12.1382675883925,15.1065264670543,17.4492667874055,17.698490819762,17.7024178580282,17.4583187008753,16.794026704167,16.293603015931,15.9816436076636,15.9732052633736,16.1270728299752,16.2879756623633,15.4849233659695,15.5351446331955,15.3628896749062,15.5885651510747,15.2124394586115,15.070826504876,14.772036125294,14.8172588736859,15.0832653452175,14.0930946849279,14.3824611150688,14.1834039739505,13.3688433528084,13.3947497629698,12.1170865169325,11.6547173254194,10.7197630789796,11.8424093117307,11.5548133958588,10.7471379957532,11.858267460784,12.1198808473345,12.6686151277673,12.9448307878214,12.4080779185644,13.0409962558059,13.0603870933842,12.9449250189692,13.2747436270659,13.1623483397555,13.3142363713538,12.5126495329089,12.7019835971739,13.4565023238693,13.6303965640804,13.8133267934449,14.603137299534],"ENZL^FMA_PE(LTMA,-10AY,0,AM,\"PORTAGG\",\"MEANR\")":[17.9673130237466,17.8845828867895,18.0863584446227,17.9694723488328,17.9575927831452,17.87299915699,17.9183637763083,17.6248550673084,18.7856298745461,18.9364000454241,19.518690877178,20.0170029440265,20.459712180041,20.2215097592304,19.9776431975794,19.9608641740254,19.6466059033607,19.3545693602136,19.1112928660701,18.8717505558904,19.3736745263038,19.3117644351378,19.0796872404814,18.4106846123147,19.3569773545915,19.4442513964298,19.6297764744358,19.5694500239083,19.9945027499499,20.6738365589074,20.6949494088644,20.4744921967783,19.6575997068699,19.6146229089096,20.4151542588447,20.6542578506806,19.7761158897697,19.8158037117437,20.0152583091748,20.0034597169237,20.1520044961196,20.6045492230681,20.5471688526667,20.9045520888902,21.1530316590745,22.0986231613712,21.8488627491897,21.6736274122125,22.5875722678052,22.3788953397548,22.4836925485584,22.8039063933447,22.9221282452391,23.0462913626038,23.5735467937231,22.730182309972,22.7687283323163,22.6113893100361,23.274468077263,23.9827579979022,24.0771811751845,24.0774912388268,24.2156854381079,24.3369438491701,25.0577862933579,25.3836045761232,28.5598213671919,29.0129545812475,29.1017475669687,31.3729911298712,32.4889412117038,33.3238883850852,30.2237769179724,30.9430599342695,32.144391030325,32.0777544676088,33.4434639144911,33.6441676556668,33.8498873407544,35.4565568777144,36.0651831936691,36.8079780432806,37.8883004691405,34.9563876207825,34.4423549580636,34.6300694773583,34.6809179173974,35.3609147175413,36.5396776121229,36.9693838698734,38.3975464079033,38.673033727614,38.7604880513004,39.0655948015805,38.1292729645446,36.4218841707149,35.0011882831167,34.4962054461311,34.0650854945549,32.7009925085415,33.189845731311,33.3462320873665,34.0401391776128,31.0581131250816,31.0317684488946,29.4341939468871,29.6400465486256,29.775264202247,29.101705784127,28.6640480628038,28.2728400774899,26.3208620717843,25.8381185940531,24.7563459230549,23.9701324956464,23.3600010527978,22.7088989544269,24.048923240525,24.0566025420845,22.8727402320621,23.7786056583395],"WL-FDS^FG_PRICE_MAVG(0,,,,30)":629.9,"NI-FDS^FG_PRICE_MAVG(0,,,,30)":16786.0,"CPALM-FDS^FG_PRICE_MAVG(0,,,,30)":4007.7666,"BRENT-FDS^FG_PRICE_MAVG(0,,,,30)":85.86,"TIOS-FDS^FG_PRICE_MAVG(0,,,,30)":123.59534,"EWN^FG_PRICE_MAVG(0,,,,30)":47.5115,"EWU^FG_PRICE_MAVG(0,,,,30)":32.775665,"EWC^FG_PRICE_MAVG(0,,,,30)":36.791,"EWJ^P_PRICE(0)/P_PRICE_LOW_PR(0,,,USD,,,\"PRICE\",\"INTRA\",\"52W\")-1":0.26587844,"CAGDPY@IT^EE_ACTUAL_ANNUAL(MED,+1)":0.9,"CAGDPY@JP^EE_ACTUAL_ANNUAL(MED,+1)":3.2,"CC_CA^FG_COMPANY_NAME":"Canada","USDSEK^FG_PRICE_CHANGE(0,-1AY)":-1.3698518,"USDCHF^FG_PRICE_CHANGE(0,-1AY)":-3.2895505,"USDEUR^FG_PRICE_CHANGE(0,-1AY)":-1.5108407,"USDAUD^FG_PRICE_CHANGE(0,-1AY)":1.184511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27849383645],"EWL^P_PRICE_RETURNS_PR('52W',2,-10AY,0,AM)":[15.153193,16.84147,17.464388,19.017529,17.429901,10.992992,11.946392,0.91307163,3.884101,4.6156883,-2.024746,0.4916191,-0.8619368,3.10601,5.2400947,1.6569734,3.0323386,3.4372568,-3.2998443,6.303239,-4.008931,-2.659142,-4.64617,-12.0646,-6.661648,-9.229094,-13.516885,-13.639146,-10.618294,-5.3179083,-1.026535,-3.9622784,-3.1065404,-2.1896362,7.3699594,11.952209,9.458923,8.065248,16.178417,20.359337,17.89893,13.742352,17.168045,22.138596,21.021961,23.254765,22.733711,18.80622,13.148535,9.930981,3.093779,0.12317896,-0.8000314,2.2378683,2.6845813,-5.6500196,-2.1068692,-6.4518986,-8.183688,-3.8075924,2.9183626,6.2368035,5.031717,13.125467,13.750065,9.594655,10.845256,16.970694,20.51673,23.695385,27.319193,27.606796,0.910604,5.207479,5.257714,5.413127,11.277223,15.13735,13.983417,13.903009,12.416113,11.604727,12.938094,9.787345,40.04383,27.022766,31.530678,33.379173,24.633944,24.511814,18.852627,18.176914,22.994923,18.595064,14.737892,8.243429,6.2241316,9.372878,-4.3748674,-19.360888,-16.368204,-11.146397,-15.918321,-21.920849,-15.122956,-11.987477,-11.338472,-4.775107,-2.9459834,-2.1449327,14.762676,19.415855,19.281567,7.868409,13.853431,20.683014,6.481087,10.945642,10.134708,5.199349,13.360572],"EWG^FG_TOTAL_RETURNC(-10AY,0,AM)":[-5.1314535,2.3372293,3.1973839,0.4742384,-0.87180734,-6.897664,0.7304311,-10.669881,4.0587544,2.6745915,-1.9536853,7.7121735,0.0,4.0424824,0.55975914,-4.3876886,0.62054396,-2.8047085,-6.1275363,-1.1385262,0.0,-1.1516273,-4.7378597,-5.748063,9.169542,2.337563,-1.4711559,-3.889984,3.9794087,6.7257404,-2.3018897,-0.46349764,-2.0566583,3.090334,4.2633414,1.1799455,1.7128229,0.8599043,8.49024,2.9796958,0.78053474,-1.1900961,4.0039063,2.7855992,0.030446053,0.12177229,5.1903486,-3.7959933,-1.9578338,1.0445476,0.6080866,-1.5110314,-3.7448764,-3.3627152,0.37162304,-5.923927,-2.6833653,-5.955887,1.9546509,0.26839972,4.474187,3.294289,-1.594609,-0.28808117,2.5180817,-8.034742,8.26447,-0.6179571,5.4133177,2.047193,1.3940811,-1.1401772,-28.019,9.660709,-3.1800568,19.041275,6.8824053,4.5118093,2.3608804,-1.5486062,0.16733408,3.8987875,5.9915304,1.2288809,0.72836876,4.2181373,2.399528,2.4456382,-1.8778086,0.94258785,-1.8675745,-3.7773967,2.217567,-5.3489265,4.159677,-6.3287377,-12.103743,-1.0200381,-5.1159325,-4.98578,-9.68014,12.767946,-8.842981,-8.884853,22.636806,4.213512,8.216513,1.2234569,-2.452892,6.1953306,-0.9951949,1.7130852,2.275908,-3.7315905,-3.0938864,-5.7614684,6.5420628,8.114028,-1.2118697,-0.205338,6.824422],"EWA^FMA_DIV_YLD(NTMA,-10AY,0,AM,\"PORTAGG\",\"MEANR\")":[4.91184008084457,4.84151765390694,4.74695402103916,4.84038529184913,4.73008204192005,4.74379526918984,4.8052723800259,5.14488727595988,4.91118845114226,5.14562330070198,5.04121212887083,4.618311590846,4.68187158745944,4.56668155365355,4.7005970898141,4.90949735949374,4.89082590452327,5.10791159386685,5.41131171256665,5.24906409881144,5.41668061144677,5.51362178490055,5.53870179083491,5.3109486475608,4.7090405026498,4.78152915536029,4.59766981783266,4.7123823837001,4.53917663603793,4.45046731935085,4.73348845400571,4.54815502393868,4.62161476805157,4.51499387401859,4.47686615468953,4.51589182746554,4.56741453005858,4.49241857908844,4.56118458433826,4.5568231655954,4.56231754683531,4.60756283246133,4.56728736138145,4.53685515543787,4.47176215416553,4.49132478049664,4.45728095530157,4.69971179573182,4.66885697467708,4.78323949451702,4.58764741361808,4.77784265559858,4.56211945827358,4.5852892880627,4.76945326768688,5.02426204733035,5.23385059258006,5.40791565395275,5.18558672763674,4.95592691471928,4.964712178216,4.89112712028864,4.92936526393701,4.68737642622889,4.61857063885436,4.65372897801502,4.47937054324022,4.46290433021058,4.35577188347537,4.3029217614979,4.17592881556301,4.07327895528173,5.20012743401364,4.42557492501316,3.8900763068621,3.46658433815307,3.46240502210055,3.33913985231138,3.58891729897078,3.54225069884672,3.53253549938006,3.52648549665719,3.52980852401204,3.61076405482337,3.8938234026468,3.88664031805721,3.94546016722028,3.87103570450648,4.06154588945511,4.00076630991481,4.07306709164286,4.05968344982147,3.95580794033634,3.93953978319005,3.87700807266834,4.25057900320775,4.33778570932445,4.33388876302986,4.75718159489333,5.15967616418707,5.19642984439964,4.72951926897852,4.92440556538563,5.08928712528076,4.62108276112838,4.45819214766092,4.39724632312393,4.29833564352954,4.65997046902876,4.36084801518595,4.44080452883409,4.36545169235255,4.17666727173991,4.22472624477333,4.20678170981515,4.37051189686638,4.36273795016295,4.12139378258208,4.04808637053867,4.05078541004921,3.96328217967791],"ENZL^JULIAN(FMA_DIV_YLD(NTMA,-10AY,0,AM,\"PORTAGG\",\"MEANR\").DATES)":[41712,41743,41773,41803,41834,41865,41894,41926,41957,41985,42018,42048,42076,42108,42138,42167,42199,42230,42261,42291,42321,42352,42383,42412,42443,42474,42503,42535,42565,42594,42627,42657,42688,42718,42748,42780,42808,42838,42867,42900,42930,42961,42992,43021,43053,43083,43112,43145,43173,43203,43234,43265,43294,43326,43357,43385,43418,43448,43479,43510,43538,43567,43599,43630,43658,43691,43721,43752,43783,43812,43844,43875,43903,43935,43965,43994,44026,44057,44088,44118,44148,44179,44210,44239,44267,44300,44330,44361,44391,44421,44453,44483,44512,44544,44575,44606,44634,44665,44694,44726,44756,44785,44818,44848,44879,44909,44939,44971,44999,45030,45058,45091,45121,45152,45183,45212,45244,45274,45303,45336,45364],"DDR3512M-FDS^FG_PRICE(0)/MAX(FG_PRICE(0,-1AY))":0.813886738668961,"PASP-FDS^FG_PRICE(0)/MAX(FG_PRICE(0,-1AY))":0.663414634146341,"PLATI-FDS^FG_PRICE(0)/MAX(FG_PRICE(0,-1AY))":0.827312775330396,"W-FDS^FG_PRICE(0)/MAX(FG_PRICE(0,-1AY))":0.683327852680039,"COPP-FDS^FG_PRICE(0)/MAX(FG_PRICE(0,-1AY))":0.973709599614086,"FC0000JP^FG_PRICE(0)":178.07106,"FC0000NZ^FG_PRICE(0)":391.46954,"EWQ^FG_PRICE_MAVG(0,,,,60)":39.17375,"EWL^FG_PRICE_MAVG(0,,,,60)":47.376335,"EWA^FG_PRICE_MAVG(0,,,,60)":23.845667,"EWJ^FG_TOTAL_RETURNC(0,-3AM)":9.90802,"EWI^FG_TOTAL_RETURNC(0,-3AM)":9.784222,"ENZL^FG_TOTAL_RETURNC(0,-3AM)":-3.4225225,"VGK^PERCENT_CHANGE(FMA_EPS(+1,0,,,,\"PORTAGG\",\"MEAN\"),FMA_EPS(+1,-3AM,,,,\"PORTAGG\",\"MEAN\"))":-3.71271239633812,"SPY^PERCENT_CHANGE(FMA_EPS(+1,0,,,,\"PORTAGG\",\"MEAN\"),FMA_EPS(+1,-1AM,,,,\"PORTAGG\",\"MEAN\"))":0.572270303705405,"EWG^FMA_PCT_ABOVE_MAVG(200,0,,,,\"PORTAGG\")":71.9298245614035,"EWJ^SIZE(FG_CONSTITUENTS)":219,"EWD^FMA_COS_DOWN(\"EPS\",\"1M\",+1,0,,,\"PORTAGG\",\"MEANR\")":15.0,"EWU^FMA_COS_UP(\"EPS\",\"1M\",+1,0,,,\"PORTAGG\",\"MEANR\")":34.0,"ENZL^SIZE(FG_CONSTITUENTS)":14,"EWI^FMA_RBICS_REV_CURRENT(30, LOC, \"PORTAGG\")":34.5462492743982,"EWQ^FG_ROE(0)":12.1723873373532,"TRYGB10Y-FDS^FG_YIELD_NAME":"United Kingdom Benchmark Bond - 10 Year","REFFFUND-FDS^(SUBARRAY(NOT_NA(NO_REPEAT_F(FG_YIELD(NOW,-10AY,D))),0,1)-SUBARRAY(NOT_NA(NO_REPEAT_F(FG_YIELD(NOW,-10AY,D))),1,1))*100":25.0,"CAGDPY@SE^EE_ACTUAL_ANNUAL(MED,0)":6.76905401199225,"CAGDPY@DE^EE_ACTUAL_ANNUAL(MED,0)":6.01260398456499,"USDITL^STD(FG_PRICE_CHANGE(0,-3AY,M))":2.27878559120409,"USDANG^STD(FG_PRICE_CHANGE(0,-3AY,M))":0.0,"USDGBP^STD(FG_PRICE_CHANGE(0,-3AY,M))":2.41245979550438,"USDJPY^STD(FG_PRICE_CHANGE(0,-3AY,M))":3.05516145651881,"USDCAD^STD(FG_PRICE_CHANGE(0,-3AY,M))":1.88393951090363,"USDNZD^STD(FG_PRICE_CHANGE(0,-3AY,M))":3.53129360615239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19874125,3.67789534776584,4.61613845138492,4.46089531352278,4.56547544298887],"EWC^P_PRICE_RETURNS_PR('52W',2,-10AY,0,AM)":[4.7064543,9.927738,11.756695,16.987669,20.792913,17.45045,17.075657,2.0513773,5.032742,-1.0899127,-3.3954918,-0.9020865,-7.354796,-1.9316852,-4.0528717,-10.070783,-16.736263,-19.750845,-26.188564,-11.32893,-23.106533,-20.09787,-25.493223,-25.495165,-10.513508,-12.750035,-14.417857,-8.905565,-1.143831,3.2059312,8.754206,4.801643,12.61462,26.714588,42.5112,38.51149,15.144289,11.446857,8.891022,9.421802,10.408342,8.04578,17.67273,17.399883,18.688274,11.831474,13.878298,3.7707806,8.090914,6.9368124,14.122796,11.972057,8.584225,8.3670025,1.1568189,-4.5971813,-6.536579,-11.274642,-12.119722,-1.7672539,2.0034075,4.2378306,-2.1542907,-0.8790016,2.3510456,-2.9246986,4.15107,7.0753336,14.148199,18.625402,19.562197,15.713251,-17.387777,-15.941536,-13.19654,-6.2170267,-6.3659725,5.490446,-0.12949109,1.9592524,-0.27762055,7.511723,8.978069,9.85496,73.709045,53.187706,59.30877,52.226578,41.82564,35.65315,34.203888,39.103065,42.23353,21.612978,23.967922,19.369162,12.086046,15.282261,0.8226156,-7.11053,-11.411535,-1.980567,-5.1906166,-19.673275,-11.8037405,-6.6335735,-8.838081,-5.3245187,-10.913658,-8.682812,1.9789934,1.951623,12.685657,-1.7285585,4.865718,8.954037,1.3882041,9.200203,7.1401477,3.1071424,17.012178],"ENZL^FG_TOTAL_RETURNC(-10AY,0,AM)":[5.659902,1.7055035,2.6688695,-1.5182853,0.57703257,-4.6329317,-0.9965062,-4.8314095,8.80487,-1.9927084,2.7032852,-1.0918319,-0.3415346,2.7849078,-2.2782981,-5.5653095,-5.8821144,-3.4143507,-4.3079734,9.1663,0.17235279,4.4088244,-3.201723,-0.28867722,10.741162,8.130717,-0.33848882,2.4017453,7.0335984,4.2142987,-1.5702367,-4.392481,-5.348569,0.9659529,3.8505554,3.0736208,-4.715663,2.6443481,1.8671632,6.4269185,3.7774444,0.25678873,-0.6189883,2.4055004,-5.7676196,5.564213,2.4581313,0.0838995,4.4216275,0.5619049,-3.5721421,4.9047947,-3.2112896,-2.7979255,2.494669,-5.512798,4.0070534,-1.1219382,4.4792414,2.962041,1.6815186,2.7495503,-0.096952915,-0.6793499,8.395708,-3.7335277,0.38022995,-0.24621487,0.35694838,7.0225835,3.5754323,-0.3137529,-14.040917,-3.0801415,4.518974,7.577479,8.092713,-1.2651742,4.36697,4.690397,4.7703505,2.8197527,1.7100453,-2.3657143,-2.7735472,0.29780865,-1.6565084,-1.0030985,0.32393932,-0.5166292,2.6127934,-0.72749853,-1.9754708,-4.837811,0.08670092,-9.372836,1.6058087,-0.018817186,-12.909299,-5.8222294,4.387188,11.652207,-8.265281,-13.547552,12.832748,10.459555,2.308154,1.2072086,-4.7321024,1.2109995,1.3790369,-2.1912515,5.184877,-7.698345,-5.2978754,-2.3590207,3.2443643,7.064855,2.2509933,-7.0033255,1.5642524],"EWI^FMA_PE(NTMA,-10AY,0,AM,\"PORTAGG\",\"MEANR\")":[12.9778502255185,13.5734962197466,13.7754011372725,14.5888732738745,13.8460168795323,13.0560077498886,14.0367275641081,12.4642627416881,12.566323629492,12.2693076711912,12.0410670348895,14.62394735332,15.5851339871113,16.1369155551393,15.9534506831449,15.2023251459669,15.0652080082579,15.2929084118395,14.2200947994526,14.3608774217726,14.5157390606785,13.5576625654789,13.3378046621181,11.8941230188023,13.717286254361,13.3306627712923,13.5082172291081,11.8690187366414,12.429387220636,12.7699715220756,11.9424489512518,11.7829982941884,11.7014953277816,13.2191401605084,13.4553553952506,13.2343182577071,13.1694909483257,12.9901808620348,13.8504926056749,13.3217177521307,13.5759248046259,13.3551831423087,13.4371587784693,13.5552089361186,13.2512131107901,13.2600648787736,13.6443184132609,12.5076503357347,12.5324283134098,12.7955426561836,12.9067184455301,11.857841202924,11.4306726135023,10.9666131883562,10.7260255709366,9.87071874186469,9.68827233957357,9.49309686499545,9.62135822039394,10.2312576681016,10.5512842527427,10.9293200999984,10.3747316524049,10.1996098077383,10.9466900290377,9.854780703171,10.8849673323702,10.8153575564101,11.3365243199604,11.3340184750654,11.5730354446359,11.8433227288521,7.93263523425419,11.10253065473,14.4709869064245,17.0033739989701,17.3710492992678,16.5140518104341,15.601463234832,14.8194015434583,14.7260320543259,14.8164992235329,14.8782572679924,14.3642110167861,13.9810237556395,13.8765306962895,13.3196482716872,13.8195695235478,13.1758674612345,12.4683343205807,11.7714933428848,11.6910532573936,11.7934113909717,10.7872370054603,11.077434246242,10.4478148711067,9.35638741369434,9.73310447423821,9.15376002476104,7.93090825256188,7.36547955159584,7.73687142592395,7.7859271449903,7.30226109134474,8.30869921411259,7.89135503301554,8.2154269201636,8.44076294881808,8.40494524782875,8.77301863021218,8.39269248312189,8.78013520420303,8.82770551554842,8.29408369008333,8.51861930517423,8.17609614533267,8.32241983228357,8.84561977964837,8.98267940217932,9.03769860571177,9.5952746189439],"EWN^FMA_PE(LTMA,-10AY,0,AM,\"PORTAGG\",\"MEANR\")":[17.2187413924626,16.9975297125602,16.8520639805153,16.8403987094338,16.5386435974662,16.2048316043063,16.7564180225009,15.953833649959,17.2602401688342,17.1197986578401,17.668146863063,19.2336068246071,20.1240020383847,19.9735896096617,19.5108676483512,19.0927020763043,19.1487934858596,18.3055441095897,16.9846358974163,16.7337150414076,17.7350351908805,16.5983105218563,15.7493373930082,14.7508105727415,16.4322292641527,16.4008164026235,16.1434028920266,15.7471911150822,15.9784234025006,16.2220108363401,15.8380835695787,15.8482008666429,15.4985146303392,15.9373575789315,16.4408764074805,16.330015629588,16.4896259750188,16.5432632357665,16.7432103059388,16.6832418305033,16.6944146245128,16.6418780811098,16.8432337374571,17.2642493918652,17.231843308814,17.2904951931341,17.5270297534334,16.5054557741314,16.6313236237997,16.6149063581327,16.6290808935148,16.7452216955823,16.6290856453298,16.5952932207721,16.2832623845787,15.4917908262192,15.6549099849285,14.906782510018,14.5355808991335,15.9087621370713,16.1459311308122,16.2517276393038,16.156108531733,16.2267686134815,16.4380431841224,16.0810886652633,17.1385577800331,17.1858399099487,17.878652898796,18.461589692337,18.7341268582995,20.0690061901101,16.5531008767703,17.2187354961025,17.723862381405,18.9383279996941,20.1077968836167,20.8266747708089,21.5609853649831,22.7736258004413,24.5616236451619,26.0544528833982,28.7511590756958,29.898961082611,28.7582833699093,28.431259848172,27.3622206992482,27.0063527065058,26.466138745956,26.0552634693985,25.7139803257387,24.2740115618702,24.5563165309537,22.1437754950833,21.8209922276867,19.7024469967139,18.1700257751306,18.4235799240869,17.9994770486884,17.8315485025255,18.0569493453507,19.7354950710584,18.3739541020684,16.6994357716997,18.5062472146905,18.782381098075,19.3902703283975,20.7972285289515,20.410416375194,20.1749445094447,19.6042671193608,19.4525304819732,19.3483047980113,18.3368735284742,17.3215025392183,16.4034953277814,16.4909669384114,16.9180577005196,16.4201949677075,17.6382928553406,18.5163245101294],"DDR3512M-FDS^FG_PRICE_CHANGE(0,-3AM)":-3.39904279464993,"PASP-FDS^FG_PRICE_CHANGE(0,-3AM)":5.12077294685991,"PLATI-FDS^FG_PRICE_CHANGE(0,-3AM)":-0.844772967265051,"W-FDS^FG_PRICE_CHANGE(0,-3AM)":-12.5420875420875,"COPP-FDS^FG_PRICE_CHANGE(0,-3AM)":3.81895332390381,"EWI^FG_PRICE_MAVG(0,,,,200)":32.3756,"SPY^FG_PRICE_MAVG(0,,,,200)":456.06076,"EWJ^FG_PRICE_MAVG(0,,,,200)":62.9419,"ENZL^FG_PRICE_MAVG(0,,,,200)":46.260063,"URTH^FG_TOTAL_RETURNC(0,-6AM)":14.212143,"EWD^FG_TOTAL_RETURNC(0,-6AM)":27.696991,"QQQ^FG_TOTAL_RETURNC(0,-6AM)":16.860294,"EWG^FG_TOTAL_RETURNC(0,-6AM)":14.317905,"FXI^FMA_PCT_ABOVE_MAVG(200,0,,,,\"PORTAGG\")":45.0980392156863,"EWI^PERCENT_CHANGE(FMA_EPS(+1,0,,,,\"PORTAGG\",\"MEAN\"),FMA_EPS(+1,-3AM,,,,\"PORTAGG\",\"MEAN\"))":-0.160867146018886,"QQQ^PERCENT_CHANGE(FMA_EPS(+1,0,,,,\"PORTAGG\",\"MEAN\"),FMA_EPS(+1,-1AM,,,,\"PORTAGG\",\"MEAN\"))":0.55495918682442,"EWC^FMA_PCT_ABOVE_MAVG(200,0,,,,\"PORTAGG\")":68.1818181818182,"URTH^SIZE(FG_CONSTITUENTS)":1467,"EWN^FMA_COS_DOWN(\"EPS\",\"1M\",+1,0,,,\"PORTAGG\",\"MEANR\")":26.0,"EWL^FMA_COS_UP(\"EPS\",\"1M\",+1,0,,,\"PORTAGG\",\"MEANR\")":13.0,"EWQ^FMA_RBICS_REV_CURRENT(30, LOC, \"PORTAGG\")":10.7535343809748,"EWU^FG_ROE(0)":15.8716272215686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77464321],"TRYVN10Y-FDS^FG_YIELD(-10AY,0,Y,,\"YTM\")":[7.3,6.277413,7.1117578,5.6717234,4.738006,3.5404546,2.4877946,2.059403,4.687226,2.9473283],"TRYTW10Y-FDS^FG_YIELD(-10AY,0,Y,,\"YTM\")":[1.6015,1.015,1.2037,0.9478,0.8648,0.672,0.315,0.7413,1.2812,1.211],"EWU^P_PRICE(0)/P_PRICE_HIGH_PR(0,,,USD,,,\"PRICE\",\"INTRA\",\"52W\")":0.9839918,"EWC^P_PRICE(0)/P_PRICE_HIGH_PR(0,,,USD,,,\"PRICE\",\"INTRA\",\"52W\")":0.9878384,"SPY^FMA_PCT_ABOVE_MAVG(200,0,,,,\"PORTAGG\")":75.7455268389662,"EWD^PERCENT_CHANGE(FMA_EPS(+1,0,,,,\"PORTAGG\",\"MEAN\"),FMA_EPS(+1,-3AM,,,,\"PORTAGG\",\"MEAN\"))":-4.47082188472482,"EWU^PERCENT_CHANGE(FMA_EPS(+1,0,,,,\"PORTAGG\",\"MEAN\"),FMA_EPS(+1,-1AM,,,,\"PORTAGG\",\"MEAN\"))":1.00030761852542,"EWA^FMA_PCT_ABOVE_MAVG(200,0,,,,\"PORTAGG\")":74.5762711864407,"VWO^SIZE(FG_CONSTITUENTS)":4677,"EWQ^FMA_COS_DOWN(\"EPS\",\"1M\",+1,0,,,\"PORTAGG\",\"MEANR\")":27.0,"EWJ^FMA_COS_UP(\"EPS\",\"1M\",+1,0,,,\"PORTAGG\",\"MEANR\")":115.0,"EWU^FMA_RBICS_REV_CURRENT(30, LOC, \"PORTAGG\")":17.7139371648032,"EWG^FG_ROE(0)":10.5083144050553,"TRYNZ10Y-FDS^FG_YIELD_NAME":"New Zealand Benchmark Bond - 10 Year","REFGBBANK-FDS^(SUBARRAY(NOT_NA(NO_REPEAT_F(FG_YIELD(NOW,-10AY,D))),0,1)-SUBARRAY(NOT_NA(NO_REPEAT_F(FG_YIELD(NOW,-10AY,D))),1,1))*100":25.0,"REFAUCASH-FDS^FG_YIELD(NOW,,,0)":4.35,"TRYUS10Y-FDS^FG_YIELD(-10AY,0,Y,,\"YTM\")":[2.1881,2.2961,2.4752,2.4325,2.6836,1.9185,0.9174,1.5119,3.8776,3.8791],"CAGDPY@SE^EE_ACTUAL_ANNUAL(MED,+1)":5.4,"USDEUR^FG_PRICE(0)":0.9184423,"ENZL^JULIAN(FG_TOTAL_RETURNC(-10AY,0,AM).DATES)":[41712,41743,41773,41803,41834,41865,41894,41926,41957,41985,42018,42048,42076,42108,42138,42167,42199,42230,42261,42291,42321,42352,42383,42412,42443,42474,42503,42535,42565,42594,42627,42657,42688,42718,42748,42780,42808,42838,42867,42900,42930,42961,42992,43021,43053,43083,43112,43145,43173,43203,43234,43265,43294,43326,43357,43385,43418,43448,43479,43510,43538,43567,43599,43630,43658,43691,43721,43752,43783,43812,43844,43875,43903,43935,43965,43994,44026,44057,44088,44118,44148,44179,44210,44239,44267,44300,44330,44361,44391,44421,44453,44483,44512,44544,44575,44606,44634,44665,44694,44726,44756,44785,44818,44848,44879,44909,44939,44971,44999,45030,45058,45091,45121,45152,45183,45212,45244,45274,45303,45336,45365],"SPY^FMA_PE(LTMA,-10AY,0,AM,\"PORTAGG\",\"MEANR\")":[16.3120938834611,16.1952973495996,16.2181359487101,16.3092176938252,16.4413853815699,16.2698447274258,16.4536586232447,15.7879949147533,16.8936009190974,16.6886501133442,16.8957576219884,17.5494875429706,17.5030515248939,17.5410419296972,17.5694941748408,17.4577741585105,17.5142629759943,17.4701055353205,16.6808139379335,16.9278799854373,17.0159669718827,16.9462329904171,16.1291658011906,16.2966838906097,16.18819342752,16.4452153070474,16.565182572191,16.7261987001481,17.2509404483665,17.5214305052838,17.4009154802444,17.5949663885182,17.916486639189,18.7757207844568,19.0233107786646,19.3371355417081,19.4312807629024,19.2070548104936,19.1845115873076,19.198598690696,19.2019749054996,19.1019208968796,19.1796911624296,19.5510217651472,19.5725144145377,20.0743433847366,20.9981464084675,19.8191828987257,19.7209096511444,19.3137726161765,19.0944783680728,18.9464203281689,18.7507653360432,18.5765711281617,18.6182054680109,17.8149109554598,17.0825793128113,16.2170730943309,15.9653443037577,16.8918581293827,17.1137417073279,17.2510356633696,17.0892071209993,17.215534801208,17.6891546597349,17.1824585104354,17.9046492898608,17.9156120873054,18.7090573308101,19.3381208964062,20.1649666283754,20.5215638560382,17.6446337385543,18.5281345826247,19.5795650913774,20.652926901795,21.9429561234393,22.7727949088,23.3551044919938,24.3644305718766,24.8600215167399,25.762531193547,27.4582889451526,27.4302747263545,26.2151677082477,25.9663266722424,25.304447391429,24.9767188669039,24.7372809759193,24.1138366716552,23.5544587597856,23.1095263078168,23.4119556767161,22.7561966025215,22.6077894742329,20.9503127293915,20.4524211225739,20.4553189088115,19.7265825717626,18.8183887916452,18.5942820783623,19.7058387573659,18.5001258934876,17.1314232273275,18.2973919353326,18.2189329030387,18.1304319054134,18.7852997155424,17.9984285176483,18.2909087299347,18.2951491597439,18.8379197744397,19.3815665041577,19.4508684141363,19.6364885729944,19.2233317392763,20.077671831427,21.2434436423029,21.8194767187395,22.4440989953171,22.7301846321427],"NI-FDS^FG_PRICE_CHANGE(0,-1AY)":-23.6508277789723,"BRENT-FDS^FG_PRICE_CHANGE(0,-1AY)":8.66978863435008,"SPY^FG_PRICE_MAVG(0,,,,60)":490.79382,"EWJ^FMA_COS_DOWN(\"EPS\",\"1M\",+1,0,,,\"PORTAGG\",\"MEANR\")":91.0,"REFJPTON-FDS^PROPER_NAME(0,,,\"SECURITY\",\"NAME\")":"Japan Policy Rate","TRYUS10Y-FDS^PCTCHG(FG_YIELD(0,,,,\"YTM\"),FG_YIELD(-1AM,,,,\"YTM\"))":0.9115629,"EWU^JULIAN(FMA_DIV_YLD(NTMA,NOW,NOW,M,\"PORTAGG\",\"MEANR\").DATES)":45351,"VGK^FG_TOTAL_RETURNC(0,-1AM)":5.6342483,"GLD^P_PRICE(0)/P_PRICE_HIGH_PR(0,,,USD,,,\"PRICE\",\"INTRA\",\"52W\")":0.9854894,"CPALM-FDS^FG_PRICE(0)":4330.0,"EWQ^SIZE(FG_CONSTITUENTS)":63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523278574567],"W-FDS^FG_PRICE_CHANGE(0,-1AM)":-11.2724167378309,"USDITL^FG_PRICE_CHANGE(0,-6AM)":-2.0435393,"EWJ^FMA_PE(LTMA,-10AY,0,AM,\"PORTAGG\",\"MEANR\")":[15.5951399833229,15.2518985474815,15.1991126199706,15.3231129784518,15.241291081434,15.0739925497244,15.2585615979241,14.3888152807069,15.9825767546697,15.6711940372779,15.2776000149591,16.0616306388166,16.932912698453,16.9066164830026,16.8992065017699,17.0182069184101,16.7568018273441,16.7898805113723,15.302639505151,15.1958923925933,16.1374401491894,15.4785865640691,14.3607143432812,12.4005548182792,13.9311921541875,13.8959604515515,13.8150023298499,13.7538327968348,14.0979069299582,14.1438707735123,14.1702652845379,14.3625418902155,14.9267222196842,16.534637388168,16.6314603625066,16.251942360436,15.9340902705558,15.5214720725998,15.6974544801761,15.6109600081893,15.5096257915626,15.0444711116175,14.8013505612557,15.1285208372042,15.6929010708714,16.1803850680878,16.8554473808461,14.8560619513755,14.3993903787279,14.2381202740088,14.337572676697,14.1445026927713,13.8786754005506,13.6251900595783,13.5555643097804,13.2519175787343,12.7281738121472,12.2795198837491,11.7912307340953,12.5030719427999,12.6810740270971,12.7270649391396,12.5854728943222,12.7774068883139,12.9844540862258,12.7155132518844,13.5142277015692,13.5114797168294,14.3685754104084,15.3019189856006,15.5309955558658,15.3906451381308,13.5416688661305,13.9917505609627,14.4519061291426,16.3134715095968,17.3856240559851,18.1584824956244,19.8235705990185,20.5751106596834,21.7155726581256,22.8576178922856,24.152726344401,23.7008484772791,21.5926033192353,21.1224552561858,20.3508297102713,20.105436994714,19.6222460307335,18.8983756824237,18.9227658226905,17.6528732266311,17.5921176297997,16.2694048011373,15.8660230156558,15.1173232599083,14.5057095679436,14.480912234076,14.2150291888616,13.9810815853462,13.8354400977848,14.0392787703173,13.6433911592122,13.1761378075134,13.437188870956,13.4751086026631,12.8891006256096,13.5310837354772,13.5861376007305,13.6875541571783,13.8766420500067,14.5429574994342,14.4504571487018,14.5668381418397,15.168996651637,14.7955171303172,15.0673201828906,14.9253606857095,16.2127511908202,16.5027036679186,16.9399777480746],"EWJ^P_PRICE(0)/P_PRICE_HIGH_PR(0,,,USD,,,\"PRICE\",\"INTRA\",\"52W\")":0.9624416,"EWJ^FMA_PCT_ABOVE_MAVG(200,0,,,,\"PORTAGG\")":66.6666666666667,"QQQ^FMA_PCT_ABOVE_MAVG(200,0,,,,\"PORTAGG\")":74.5098039215686,"EWU^FMA_COS_DOWN(\"EPS\",\"1M\",+1,0,,,\"PORTAGG\",\"MEANR\")":42.0,"EWJ^FG_ROE(0)":9.61210955405445,"TRYUS10Y-FDS^FG_YIELD(0,,,,\"YTM\")":4.2952,"CC_FR^IMF_IFS_RCPI_Q(0)":3.7187452,"EWI^FG_FCF_YIELD_NTM(0)":6.3839386089715,"EWQ^FG_FCF_YIELD_NTM(0)":5.49936707270707,"EWG^JULIAN(FMA_DIV_YLD(NTMA,NOW,NOW,M,\"PORTAGG\",\"MEANR\").DATES)":45351,"ENZL^FMA_PE(LTM,0,,,\"PORTAGG\",\"MEANR\")":29.6305548570072,"EWQ^FMA_DIV_YLD(NTMA,NOW,NOW,M,\"PORTAGG\",\"MEANR\")":3.13188282593286,"EWC^FMA_EVAL_EBIT(LTMA,NOW,NOW,M,\"PORTAGG\",\"MEANR\")":16.3648080905648,"GLD^FG_TOTAL_RETURNC(0,-3AM)":6.156945,"TRYCH10Y-FDS^PCTCHG(FG_YIELD(0,,,,\"YTM\"),FG_YIELD(-3AM,,,,\"YTM\"))":14.372159,"EWA^FMA_COS_DOWN(\"EPS\",\"1M\",+1,0,,,\"PORTAGG\",\"MEANR\")":21.0,"EWD^JULIAN(FMA_DIV_YLD(NTMA,NOW,NOW,M,\"PORTAGG\",\"MEANR\").DATES)":45351,"EWJ^FMA_EVAL_EBITDA(NTMA,0,,,\"PORTAGG\",\"MEANR\")":10.5600700076735,"USDNZD^STD(FG_PRICE_CHANGE(0,-1AY,AM))":2.57162092746816,"TIOS-FDS^FG_PRICE(0)":110.94,"EWA^FG_TOTAL_RETURNC(-10AY,0,AM)":[-0.64335465,6.191826,1.8292665,-0.97305775,2.31148,-0.14998317,-2.7037144,-9.26283,6.2526584,-11.008805,1.9025207,5.8796644,-2.4537206,2.7361035,1.8470764,-7.59173,-2.0643473,-5.2028656,-7.1500483,4.446852,-5.9709253,-0.055217743,-2.4889946,-1.3395429,15.171194,0.9226084,-1.4728308,-1.649481,8.699942,2.0048857,-6.8072853,6.4814806,-1.0628104,2.1484375,5.1769376,2.5664926,-0.045496225,2.0937681,-3.0316532,2.2068977,2.336657,0.35939217,2.8200507,-0.043535233,-0.9146273,1.5824199,4.945159,-2.8305888,0.43478012,-3.1168878,2.3235083,-1.8777311,3.5894036,-1.7082751,-2.584672,-5.8097005,0.97135305,-3.6075056,4.325819,3.0799866,2.9397607,2.3408294,-2.7904868,4.5176387,3.88062,-6.7226887,6.9701195,-2.6595771,2.959931,1.1499405,3.3372164,-0.5179167,-25.119305,-0.6952524,-3.6172627999999998,16.222763,3.808105,4.7352314,-1.166749,2.213478,6.785369,7.3476434,4.8687577,1.4533639,0.03979206,2.4264097,2.9126167,3.4981847,-3.7707925,2.2282004,-3.2318711,1.1262178,0.11520386,-4.6268225,2.54488,-3.6178887,1.5605211,9.593021,-10.458506,-7.210326,-2.7306974,12.536299,-7.1827946,-9.267843,15.015327,4.2142153,4.210067,1.7492771,-8.227592,4.6387076,-2.4296641,1.5340686,2.1481752,-4.9785376,0.85817575,-5.239588,4.867673,8.111763,0.8691311,-1.4339864,3.2092452],"USDEUR^FG_COMPANY_NAME":"Euro per U.S. Dollar"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7990608176048,2.44949512523756,2.36388795150729,2.65680492825543],"EWI^FMA_DIV_YLD(NTMA,-10AY,0,AM,\"PORTAGG\",\"MEANR\")":[3.55071889946704,3.45011373186564,3.49628064872052,3.39136304444844,3.49929636253426,3.74852556593978,3.51543329623409,3.98801583681067,4.02290992528502,4.13076116290824,4.22688594988961,3.63234371246209,3.24224568698529,3.09575222153836,3.1454561545873,3.30007642644915,3.25766418849694,3.15805107064817,3.45034264770366,3.62870665525586,3.6858353651983,3.97315772448031,4.16912132403744,4.81654836132896,4.18349916587472,4.38038239496175,4.52733402111726,5.01589851151739,4.75197571321077,4.68540837418352,4.90867863062452,4.9375960449522,4.80440228727907,4.41953758231724,4.28902672126053,4.3899084498856,4.09029225640549,4.05345804219064,3.76320828119867,3.79346879758346,3.74476470191503,3.76864838540097,3.72239629624641,3.80324046632163,3.878434996906,3.91160479900449,3.75590048320343,3.98685479261225,4.06332398522689,3.97183940807466,3.89273761033042,4.30205765899747,4.46257301717596,4.62308486268883,4.65340551184904,5.04516185646594,5.12119144918829,5.234511278456,5.20436200017939,5.00551336676117,4.76191452371819,4.60573267049851,4.86854458117748,4.96082340470295,4.63363573748548,5.17788043341775,4.70821635919761,4.7554567596125,4.53652378366794,4.52960154149881,4.4555282202371,4.44293913230754,6.82627287687373,5.70457210008741,5.17719009326606,4.3719146224742,4.30072781035739,3.93919472595609,4.05292623131883,4.07862748795025,4.02388761022947,3.9785489237988,3.94162633077274,3.91190722889868,4.04639910196407,4.0762923383598,4.1706429096372,4.02678470511714,4.17543856658262,4.22900145640868,4.47197356966828,4.43214997056943,4.30408854354832,4.68610080535352,4.59371642495364,4.91012731136381,5.37152380665351,5.03558338301538,5.1828956207796,5.79208075904304,6.17684911880997,5.55776897783925,5.56186889617813,6.14511238023485,5.39793577161365,5.71347175875822,5.43108017361592,5.40355840870979,5.46284548056941,5.29321499500373,5.50974108942096,5.32611971259526,5.24764498462923,5.53822821505478,5.3934343094297,5.57875546594491,5.49841651570302,5.46153583870067,5.41268848837577,5.49188076421836,5.14588973998209],"SPY^FG_PRICE_MAVG(0,,,,30)":504.234,"ENZL^FG_PRICE_MAVG(0,,,,60)":46.526,"EWD^P_PRICE(0)/P_PRICE_LOW_PR(0,,,USD,,,\"PRICE\",\"INTRA\",\"52W\")-1":0.33452833,"TRYUS10Y-FDS^PCTCHG(FG_YIELD(0,,,,\"YTM\"),FG_YIELD(-3AM,,,,\"YTM\"))":9.70576,"EWL^FMA_EVAL_EBIT(LTMA,NOW,NOW,M,\"PORTAGG\",\"MEANR\")":16.67910157144,"ENZL^JULIAN(FMA_DIV_YLD(NTMA,NOW,NOW,M,\"PORTAGG\",\"MEANR\").DATES)":45351,"TLT^P_PRICE(0)/P_PRICE_HIGH_PR(0,,,USD,,,\"PRICE\",\"INTRA\",\"52W\")":0.85395426,"GLD^FG_TOTAL_RETURNC(0,-6AM)":13.083482,"EWI^FMA_DIV_YLD(NTMA,NOW,NOW,M,\"PORTAGG\",\"MEANR\")":5.32575352475591,"EWI^FMA_PE(NTMA,0,,,\"PORTAGG\",\"MEANR\")":9.5952746189439,"EWQ^FMA_PE(NTMA,0,,,\"PORTAGG\",\"MEANR\")":14.6538922159081,"EWC^FMA_EVAL_EBITDA(NTMA,0,,,\"PORTAGG\",\"MEANR\")":9.950770576389,"TLT^FG_TOTAL_RETURNC(0,-3AM)":-5.5382195,"REFNZOCR-FDS^FG_YIELD(NOW,,,0)":5.5,"ENZL^P_PRICE_RETURNS_PR('52W',2,-10AY,0,AM)":[18.87871,15.5557995,17.898905,25.44458,26.49418,18.821049,13.207542,1.7155647,6.8191767,10.927284,7.761657,7.020557,0.11053085,1.3917565,-3.4938812,-8.061039,-13.402742,-12.296224,-15.229744,-2.7614474,-9.730446,-4.628885,-10.112333,-9.108484,0.69487095,5.9319735,8.688677,17.149174,33.225464,39.81091,47.860683,29.49593,22.358847,18.32409,26.470364,31.225252,12.909328,6.8704367,8.551847,13.858819,10.395026,6.202793,7.2291613,14.9060135,14.345002,19.552565,18.062126,14.528406,25.511097,22.964752,16.398918,14.734184,8.211732,3.7471652,6.997621,-0.22950172,8.964861,2.063322,4.076636,7.0696115,4.2600155,6.591928,10.36731,4.49239,16.444016,15.896821,13.270271,19.832552,15.627062,22.502338,24.068535,20.12123,1.3254881,-4.213929,0.21176338,7.6381564,8.239281,11.014641,15.4237385,21.135818,26.410389,21.49675,19.308603,15.659534,43.169083,36.77609,28.694702,18.429792,9.91807,9.650839,8.889914,3.2546878,-2.6449263,-10.588371,-12.01542,-18.32999,-14.6513405,-14.920771,-24.977701,-28.323544,-25.420553,-15.405637,-25.171297,-34.83468,-24.99038,-12.932563,-11.444986,-0.6099999,-6.8096995,-5.663413,10.86775,14.047503,14.919019,-4.997712,-1.9246161,8.081043,1.355207,-1.7596841,-0.2150178,-9.77996,-3.8172185],"EWD^FG_PRICE_MAVG(0,,,,30)":38.991333,"ENZL^P_PRICE(0)/P_PRICE_HIGH_PR(0,,,USD,,,\"PRICE\",\"INTRA\",\"52W\")":0.88596493,"EWI^FG_ROE(0)":13.0728580263773,"URTH^FG_TOTAL_RETURNC(0,-3AM)":8.482552,"TRYAU10Y-FDS^FG_YIELD_NAME":"Australia Benchmark Bond - 10 Year","ENZL^FMA_COS_UP(\"EPS\",\"1M\",+1,0,,,\"PORTAGG\",\"MEANR\")":4.0,"EWJ^FG_TOTAL_RETURNC(0,-1AM)":3.0746222,"CAGDPY@NL^EE_ACTUAL_ANNUAL(MED,+1)":9.0,"USDSEK^FG_PRICE_CHANGE(0,-3AM)":1.2891531,"SPY^FMA_DIV_YLD(NTMA,-10AY,0,AM,\"PORTAGG\",\"MEANR\")":[2.19877647118388,2.22059395903031,2.15594626685652,2.1156816090426,2.09110739679907,2.13079264374755,2.11026912673755,2.24601295726489,2.08981761912827,2.14980447837433,2.15806553215046,2.10604062913922,2.19237359466593,2.15523511704102,2.14248908687457,2.17634430099422,2.16344202716943,2.21045830907253,2.37960062974529,2.33525910802671,2.33448330452586,2.33221471961502,2.47001498053205,2.45182025901469,2.47519773454617,2.29179874134034,2.29270141173246,2.30120942561684,2.21649861597909,2.20341664155043,2.26782089968565,2.25893253253315,2.24067770266886,2.1695899741761,2.1612069884052,2.12306754515369,2.10826239645759,2.15093950389525,2.10952993394301,2.08223914003155,2.08852115986716,2.09567367083041,2.07899058249246,2.03870731281238,2.02230542208557,1.97348545007993,1.89000774206863,1.98503321299076,1.97019326385586,2.05575943027115,2.02068256975354,1.99244539964108,2.00323932845769,1.99423100631717,1.95855025211312,2.06684288990431,2.12461887121735,2.22468361929695,2.25460032679182,2.13256651214282,2.09623135660136,2.04401004961559,2.10766198704209,2.08347783398823,2.00642321885782,2.13778900388156,2.02950472899431,2.06783352064204,1.99531345796928,1.96231167230161,1.90933100441995,1.86880880384791,2.33416209116096,2.17588686167945,2.12584905117136,1.98159846050906,1.86153241620151,1.76604733701542,1.76483482438922,1.71509823577344,1.66991381947957,1.64837627121496,1.56623281226263,1.52505351724656,1.53153744353795,1.47335469578822,1.46399395889851,1.44944402467758,1.4307736266279,1.41039247604924,1.42873190169093,1.43848987445069,1.36993187404431,1.39416232878612,1.38895022635071,1.49396130499605,1.58277380250835,1.50085068016276,1.64736654700154,1.78863451900408,1.77540736460805,1.58623958909689,1.7352320752634,1.91786159299005,1.74828583451751,1.73480650312783,1.73957406560789,1.69266560398143,1.79490487158621,1.70731669918574,1.71056008734227,1.62509250264836,1.58003001650873,1.59765281769881,1.59913023860195,1.67864393257714,1.62121721033635,1.55050547247127,1.54163816159338,1.49709228544548,1.45974206692317],"ENZL^JULIAN(FMA_DIV_YLD(LTMA,-10AY,0,AM,\"PORTAGG\",\"MEANR\").DATES)":[41712,41743,41773,41803,41834,41865,41894,41926,41957,41985,42018,42048,42076,42108,42138,42167,42199,42230,42261,42291,42321,42352,42383,42412,42443,42474,42503,42535,42565,42594,42627,42657,42688,42718,42748,42780,42808,42838,42867,42900,42930,42961,42992,43021,43053,43083,43112,43145,43173,43203,43234,43265,43294,43326,43357,43385,43418,43448,43479,43510,43538,43567,43599,43630,43658,43691,43721,43752,43783,43812,43844,43875,43903,43935,43965,43994,44026,44057,44088,44118,44148,44179,44210,44239,44267,44300,44330,44361,44391,44421,44453,44483,44512,44544,44575,44606,44634,44665,44694,44726,44756,44785,44818,44848,44879,44909,44939,44971,44999,45030,45058,45091,45121,45152,45183,45212,45244,45274,45303,45336,45364],"NI-FDS^FG_PRICE(0)":17755.0,"BRENT-FDS^FG_PRICE(0)":85.86,"EWJ^FG_TOTAL_RETURNC(0,-6AM)":10.567403,"VWO^PERCENT_CHANGE(FMA_EPS(+1,0,,,,\"PORTAGG\",\"MEAN\"),FMA_EPS(+1,-3AM,,,,\"PORTAGG\",\"MEAN\"))":-4.3408333882002,"EWU^PERCENT_CHANGE(FMA_EPS(+1,0,,,,\"PORTAGG\",\"MEAN\"),FMA_EPS(+1,-3AM,,,,\"PORTAGG\",\"MEAN\"))":-5.61856991391505,"ENZL^FG_ROE(0)":5.44505133334689,"TRYUS10Y-FDS^FG_YIELD_NAME":"US Benchmark Bond - 10 Year","EWL^PERCENT_CHANGE(FMA_EPS(+1,0,,,,\"PORTAGG\",\"MEAN\"),FMA_EPS(+1,-1AM,,,,\"PORTAGG\",\"MEAN\"))":0.746132020003152,"TRYFR10Y-FDS^FG_YIELD_NAME":"France Benchmark Bond - 10 Year","GLD^FG_TOTAL_RETURNC(0,-1AM)":8.637894,"EWD^FMA_EVAL_EBIT(LTMA,NOW,NOW,M,\"PORTAGG\",\"MEANR\")":15.9080249848251,"CPALM-FDS^FG_PRICE_CHANGE(0,-1AY)":5.5325371679259,"USDCHF^FG_PRICE_CHANGE(0,-3AM)":2.0091176,"USDCHF^FG_PRICE(0)":0.88345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EWN^FMA_EVAL_EBITDA(NTMA,0,,,\"PORTAGG\",\"MEANR\")":12.674509822792,"W-FDS^MAX(FG_PRICE(0,-5AY))":14.2525,"QQQ^FMA_DIV_YLD(NTMA,NOW,NOW,M,\"PORTAGG\",\"MEANR\")":0.882715245238905,"DUMMY^ECON_DATE(45245,,, 'MM/YYYY')":"11/2023","EWJ^FG_TOTAL_RETURNC(-10AY,0,AM)":[-2.9877007,-0.8152187,2.6484013,5.249107,2.8121471,-1.0761619,-1.338911,-6.785411,7.0973635,-3.4834385,-1.1824489,6.899643,4.6102166,3.6458373,1.082325,-0.87953806,0.1167655,0.0774622,-9.365326,1.1955619,4.219413,-1.8623531,-4.424751,-9.478265,11.239195,2.6770353,-3.027761,-1.2142181,5.4836392,3.4395933,-1.622057,1.7312407,0.40519238,2.0177603,1.8332005,0.62880516,0.058591366,-1.2295127,3.4775734,4.1244984,-1.016897,1.5662909,1.2667537,4.0246606,1.9693255,2.3243904,6.706536,-4.853445,0.7618427,-1.0026336,2.3078203,-1.590395,-4.335773,-0.29534698,1.2719989,-2.3916006,-4.2129397,-2.5395691,0.18569231,2.184236,-0.20446181,2.5516868,-2.6698172,0.7650733,2.9447913,-4.9555244,8.613443,0.05276203,4.4639707,2.1702528,-0.22868514,-2.3881078,-20.838326,10.417116,1.0373831,8.756292,0.44261217,3.4143686,1.9360423,0.93268156,6.485212,4.3992877,6.0840487,2.331245,-3.6477983,0.88483095,-3.652048,3.5150528,-0.15974641,-0.16000271,6.934738,-6.9209814,2.5761127,-3.400302,0.6286621,-4.863906,-8.348966,-0.3752947,-3.5616457,-5.153525,-1.3043523,9.231949,-8.679634,-6.9508495,11.824179,3.3293486,1.610887,1.8143415,-2.9757738,4.2082667,3.011644,6.7282557,-2.1630108,-2.5632799,4.143369,-5.9362173,3.4575343,3.3744335,5.7224154,0.8580446,3.0746222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7073894672,22.9690023603335,24.3477044403499],"UUP^P_PRICE(0)/P_PRICE_HIGH_PR(0,,,USD,,,\"PRICE\",\"INTRA\",\"52W\")":0.92657053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QQQ^FG_PRICE_MAVG(0,,,,30)":435.21768,"ENZL^FG_PRICE_MAVG(0,,,,30)":45.6865,"EWD^P_PRICE(0)/P_PRICE_HIGH_PR(0,,,USD,,,\"PRICE\",\"INTRA\",\"52W\")":0.9853224,"EWL^SIZE(FG_CONSTITUENTS)":46,"EWL^FMA_EVAL_EBITDA(NTMA,0,,,\"PORTAGG\",\"MEANR\")":13.2264679310387,"TLT^FG_TOTAL_RETURNC(0,-6AM)":1.3159633,"VWO^PERCENT_CHANGE(FMA_EPS(+1,0,,,,\"PORTAGG\",\"MEAN\"),FMA_EPS(+1,-1AM,,,,\"PORTAGG\",\"MEAN\"))":0.0,"TRYPH10Y-FDS^FG_YIELD(-10AY,0,Y,,\"YTM\")":[3.8633,4.1,4.6281,5.6986,7.1730304,4.847582,3.4208684,4.796723,6.9293385,6.0028777],"CAGDPY@NL^EE_ACTUAL_ANNUAL(MED,0)":9.1,"USDSEK^FG_PRICE_CHANGE(0,-1AM)":-1.9301593,"USDCAD^STD(FG_PRICE_CHANGE(0,-1AY,AM))":1.57299166694209,"EWI^P_PRICE_RETURNS_PR('52W',2,-10AY,0,AM)":[36.432182,45.557045,31.849552,41.03261,43.035053,14.50088,19.685268,-4.461664,-3.4235537,-3.3575594,-16.867054,-10.152167,-12.726188,-12.048351,-4.9198627,-11.595768,-7.173705,3.3969283,-7.1057615,7.74945,1.8876314,2.0961165,1.9905686,-21.479733,-10.259313,-17.803823,-22.59965,-26.877707,-24.851263,-25.645733,-21.90826,-25.738495,-20.201874,-10.893613,-0.61445236,12.237072,1.2695551,6.0695767,20.464611,31.61124,34.431435,36.14737,43.57618,47.657333,45.11416,32.47949,38.575745,39.374424,35.195984,38.32923,23.225164,10.898554,5.1639557,-4.9997926,-7.0376277,-13.808846,-15.023166,-15.548361,-20.087646,-17.06515,-11.827505,-11.217367,-16.347683,-7.2824774,2.6831865,-3.5911083,4.6154737,12.670493,22.158264,21.16462,21.560265,20.175625,-20.33763,-21.968842,-22.718699,-8.738285,-10.599756,4.7695875,-6.9685698,-8.24945,-5.456257,0.836432,3.0846357,4.34345,72.124626,52.845097,67.51014,46.376503,30.575502,31.801987,30.348623,33.710754,29.993069,13.480067,14.752352,5.5149913,-10.849995,-6.5641284,-13.968247,-24.86593,-28.378773,-21.155035,-23.298996,-30.722696,-16.666204,-9.075361,-7.8005433,1.22962,13.385212,14.228296,24.116528,32.812534,55.708122,30.842125,37.272514,42.14132,24.570107,26.49064,18.622185,14.437962,28.924381],"EWG^FMA_DIV_YLD(NTMA,-10AY,0,AM,\"PORTAGG\",\"MEANR\")":[3.0954207711104,3.05355207355697,2.9818191717131,2.98037365682393,3.06939873742183,3.24648147568606,3.12056939103687,3.4323118899646,3.35375031000128,3.25471664018052,3.19205410646404,2.87514862004182,2.67702364842334,2.64045023426705,2.87452299442916,3.01079436468088,2.95038360215307,3.1071143406151,3.37189746417836,3.36919725934608,3.02524501940281,3.20837258219867,3.33738395964124,3.66381175684841,3.28614667514841,3.25822543296522,3.35534822446799,3.53146340690515,3.3493611147211,3.14439179500874,3.23711215255956,3.13761306977243,3.17777418284568,3.02525305400379,2.94285311543887,2.94926671142381,2.95026822177531,2.94226077264417,2.87009759506073,2.91149483920843,2.96479966206862,3.095183279079,3.04294286852118,2.95209275135233,2.94918645415853,2.91318615492746,2.8856312831675,3.15034486927769,3.19302436007344,3.18301752127529,3.10668328181466,3.06715077542423,3.21353332551167,3.26964614546269,3.3270890147803,3.54638743823307,3.61089126216275,3.83260562643701,3.834815780181,3.73747127285163,3.59313632325058,3.47734890093575,3.54029111067107,3.58033519115343,3.48411784281128,3.67420227738149,3.37548867014192,3.38154747439027,3.13300829457794,3.0852074531355,3.05680568682681,2.99908874490686,4.44654209242415,3.53452209622355,3.48296336004733,2.98053909761156,2.84200293057688,2.82779682796726,2.80096156311236,2.80874671857517,2.84558790355991,2.80642651573514,2.69768326126615,2.72718562852408,2.75623195068549,2.70390867815983,2.81705434352803,2.78055247365325,2.78299909499547,2.81374063466055,2.8615232724635,2.94570999422672,2.93904801258185,3.08026417298175,3.05803917487999,3.27625591605875,3.60373314264275,3.62641465046835,3.83164322303926,4.05032202717481,4.31707622362751,3.91844034990568,4.14567732453871,4.36138687373826,3.78261260815758,3.72099657602678,3.53782013108308,3.47107421493135,3.60355842936044,3.50247259238765,3.58325900325829,3.56642933491945,3.65441437488633,3.70808450391071,3.73814364874345,3.91213572436178,3.78291557392983,3.53816652270847,3.59807215654268,3.5316255281277,3.29913485675023],"DDR3512M-FDS^MAX(FG_PRICE(0,-5AY))":3.3053632,"PLATI-FDS^MAX(FG_PRICE(0,-5AY))":1272.59,"COPP-FDS^MAX(FG_PRICE(0,-5AY))":4.929,"URTH^FMA_COS_DOWN(\"EPS\",\"1M\",+1,0,,,\"PORTAGG\",\"MEANR\")":632.0,"TRYCN10Y-FDS^FG_YIELD(-10AY,0,Y,,\"YTM\")":[3.653331,2.901145,3.070911,3.93859,3.259862,3.197311,3.1948,2.7893,2.855,2.574],"EWN^FMA_PE(NTMA,-10AY,0,AM,\"PORTAGG\",\"MEANR\")":[13.7074385943418,13.9461586141512,14.1794268005629,14.5116842271613,14.1769584539095,13.8105026279211,14.6202063653862,13.6954993647045,14.7453221406543,14.5120042300371,14.7349641278394,16.1618023240271,17.5215378807294,17.6847510900181,16.8563295988262,16.3770760510902,16.8535411661481,15.8954448349697,14.4683779158499,14.7458630621135,15.8843692170388,14.9617255678047,14.4626856827912,13.605002475377,15.3666917549405,15.3966806941605,14.7373383813247,13.9856302714255,14.5413393129505,15.0113317918091,14.5928470059147,14.7400104948729,14.4253693451835,14.8115599188039,15.0630903257718,15.3868092194683,15.9885702172457,16.115731773968,16.5092772337628,16.1337813478996,15.9960624979577,15.8251251605005,15.8941373622738,16.2009077344754,15.9877331968745,16.0499924303388,16.2257148449815,15.2509013999455,15.5616648391936,15.6594941513437,15.8165063097559,16.0251467702064,15.7128073876759,15.5713132236309,14.9539043284919,14.0187873257544,14.3239413738223,13.6393486589638,13.2670286849251,14.6893474255779,15.041814689799,15.5421307089545,15.1879780965816,15.2225768393764,15.5320361131098,14.8373933377541,16.118121322609,16.1503028961679,16.6507193558218,16.9839683349906,17.1605492683125,18.2286010756931,12.7281716108759,15.976352616608,17.0117877607125,18.9755304572255,20.1669140634714,19.8968791195131,19.5687110299093,20.1535389729683,20.6206155737785,20.167363372694,21.465452920343,22.6498308647518,21.7226901035616,22.6640543632723,21.1564631725854,21.606606668806,21.423323386723,21.6936535541759,21.8882259085088,20.5846041103148,21.616029496162,19.8235414042558,19.7897495125527,18.0811550347671,16.6987442789012,17.6621551515907,16.3451224184693,15.6717341280494,15.8458009925992,17.8869214160058,15.8411630009717,14.0284099398273,16.3532645043847,16.4779125761798,16.9773890047418,17.02032656985,16.008172969469,16.3798625393298,15.5731470072406,15.9802192953395,16.2266079416437,15.3130945995405,14.1715613762587,13.463647804403,14.5330594582501,15.2569906203921,14.8053711394143,16.0741705860469,16.1467016282411],"EWA^FMA_PE(NTMA,0,,,\"PORTAGG\",\"MEANR\")":16.6193384530605,"EWD^FMA_COS_UP(\"EPS\",\"1M\",+1,0,,,\"PORTAGG\",\"MEANR\")":11.0,"EWA^PERCENT_CHANGE(FMA_EPS(+1,0,,,,\"PORTAGG\",\"MEAN\"),FMA_EPS(+1,-3AM,,,,\"PORTAGG\",\"MEAN\"))":-2.53884877339946,"TRYAU10Y-FDS^FG_YIELD(0,,,,\"YTM\")":4.055,"VWO^FG_PE_NTM(0,,,90,0)":11.8406596277676,"USDCHF^FG_COMPANY_NAME":"Swiss Franc per U.S. Dollar","FXI^P_PRICE(0)/P_PRICE_LOW_PR(0,,,USD,,,\"PRICE\",\"INTRA\",\"52W\")-1":0.15723872,"EWG^P_PRICE(0)/P_PRICE_LOW_PR(0,,,USD,,,\"PRICE\",\"INTRA\",\"52W\")-1":0.26087832,"EWL^FMA_COS_DOWN(\"EPS\",\"1M\",+1,0,,,\"PORTAGG\",\"MEANR\")":29.0,"CC_JP^IMF_IFS_RCPI_Q(0)":2.9194753,"EWQ^FMA_PE(LTM,0,,,\"PORTAGG\",\"MEANR\")":17.0789594521192,"EWL^FG_FCF_YIELD_NTM(0)":4.86528848786778,"USO^P_PRICE(0)/P_PRICE_HIGH_PR(0,,,USD,,,\"PRICE\",\"INTRA\",\"52W\")":0.91607636,"EWI^FMA_PE(LTM,0,,,\"PORTAGG\",\"MEANR\")":10.7888994603983,"EWC^FG_FCF_YIELD_NTM(0)":5.04073431235704,"TRYGB10Y-FDS^FG_YIELD(0,,,,\"YTM\")":4.172,"EWI^JULIAN(FMA_DIV_YLD(NTMA,NOW,NOW,M,\"PORTAGG\",\"MEANR\").DATES)":45351,"SPY^FMA_DIV_YLD(NTMA,NOW,NOW,M,\"PORTAGG\",\"MEANR\")":1.47138423796435,"WL-FDS^FG_PRICE_CHANGE(0,-1AY)":5.76294512300017,"EWC^PERCENT_CHANGE(FMA_EPS(+1,0,,,,\"PORTAGG\",\"MEAN\"),FMA_EPS(+1,-1AM,,,,\"PORTAGG\",\"MEAN\"))":-0.470371712461365,"TRYDE10Y-FDS^FG_YIELD(0,,,,\"YTM\")":2.42,"EWJ^FMA_EVAL_EBIT(LTMA,NOW,NOW,M,\"PORTAGG\",\"MEANR\")":18.2171194214832,"EWI^FG_PRICE_MAVG(0,,,,30)":35.214333,"EWI^FMA_PCT_ABOVE_MAVG(200,0,,,,\"PORTAGG\")":72.0,"TRYAU10Y-FDS^PCTCHG(FG_YIELD(0,,,,\"YTM\"),FG_YIELD(-1AM,,,,\"YTM\"))":-4.9683704,"VWO^FMA_DIV_YLD(NTMA,NOW,NOW,M,\"PORTAGG\",\"MEANR\")":3.15410773796907,"URTH^P_PRICE(0)/P_PRICE_HIGH_PR(0,,,USD,,,\"PRICE\",\"INTRA\",\"52W\")":0.99157435,"TRYSE10Y-FDS^PCTCHG(FG_YIELD(0,,,,\"YTM\"),FG_YIELD(-3AM,,,,\"YTM\"))":8.321899,"EWG^FG_PRICE_MAVG(0,,,,30)":30.100666,"ENZL^FG_TOTAL_RETURNC(0,-6AM)":4.236853,"VGK^FMA_EVAL_EBIT(LTMA,NOW,NOW,M,\"PORTAGG\",\"MEANR\")":13.0685870551554,"EWG^FG_FCF_YIELD_NTM(0)":6.14234985178329,"FXI^PERCENT_CHANGE(FMA_EPS(+1,0,,,,\"PORTAGG\",\"MEAN\"),FMA_EPS(+1,-1AM,,,,\"PORTAGG\",\"MEAN\"))":-0.365042085990234,"CAGDPY@CH^EE_ACTUAL_ANNUAL(MED,+1)":8.0,"USDCAD^FG_PRICE_CHANGE(0,-6AM)":0.007402897,"QQQ^P_PRICE_RETURNS_PR('52W',2,-10AY,0,AM)":[30.813873,23.12783,21.360445,28.897,29.23479,28.135086,29.483116,18.235706,24.989664,22.62621,16.948187,21.104717,19.301832,27.828074,26.14894,19.454002,16.280031,15.233111,6.935084,15.172529,7.8991175,9.903156,4.1341424,-6.583029,2.2977233,4.6274424,-1.2498617,0.42089224,2.7059555,7.2407603,11.3036995,11.834455,5.5424333,8.905304,22.213804,32.591164,24.455511,18.782162,32.236908,30.692852,28.227043,24.076223,26.954592,28.056728,35.08346,30.972422,35.237564,27.724314,31.956863,24.825727,23.539389,28.1888,28.404903,27.088594,27.42455,18.874311,8.584202,4.130578,-2.3456037,6.149435,3.8098931,15.559519,7.283056,3.7338257,8.786821,1.6061187,5.2566648,10.607136,23.028732,26.623451,39.317383,38.167606,9.554577,14.981127,23.919678,30.467583,35.620106,50.11517,44.06078,53.982197,45.397152,47.842182,43.853462,44.640957,79.1736,59.82735,48.05349,46.964622,40.234695,36.124374,37.15228,26.204098,37.5908,28.363728,21.47051,3.7793756,1.3454556,1.0555506,-4.992759,-19.526123,-20.604628,-9.606457,-20.675611,-28.440916,-27.233278,-25.737524,-25.055843,-11.075574,-5.85078,-5.1479044,12.49094,33.630585,33.177258,12.895929,28.354,36.807884,35.914185,41.75297,47.780643,42.20209,48.69211],"EWC^FMA_DIV_YLD(NTMA,-10AY,0,AM,\"PORTAGG\",\"MEANR\")":[2.91311916678313,2.94308630735194,2.87152024877792,2.82850573881603,2.79726879073221,2.79839343556975,2.75966064471016,3.0842384074974,2.92683205402861,3.12805441277927,3.0696663017869,2.83919569314153,2.94728738109468,2.82445243072545,2.89173481291648,2.95679757740146,3.01643498426706,3.06878136022445,3.28445501483203,3.17318341606131,3.38484276603167,3.47408692543123,3.55910375117662,3.45973871518972,3.14103056105822,3.10916479264378,3.09416081386268,3.10200181629419,2.99117640006099,2.94639855111516,3.02476921244581,2.96368497944282,2.96081834052166,2.85213222557025,2.81112142195296,2.78757308338301,2.92882392245378,2.93663049030182,2.95319853189571,3.04125545911926,3.04078888631953,3.05317293486801,3.07728630212143,2.9507302059102,2.93709496706854,2.93208985263772,2.89618561555678,3.13572529668869,3.11764614656091,3.21874850736278,3.06142154993042,3.04825813434602,3.02921272572134,3.07924765186178,3.18150356099117,3.33450563755827,3.39903511809269,3.52405817682192,3.44888534619507,3.30824518545992,3.27300324110126,3.19934838128118,3.28614479136125,3.33309653485574,3.30692695815727,3.45896257684523,3.32146467356768,3.371195633591,3.25519512474645,3.25862360279777,3.2231741980071,3.2083159761728,4.20415315458589,4.04720168849636,3.83663520132801,3.60569963088323,3.46135407229399,3.35474142934162,3.38611341462237,3.38786364667215,3.33243732239772,3.1416327638042,3.02744995883959,2.93004478567325,2.84287861092634,2.76454030285003,2.73044371267063,2.56642887032891,2.72101195033569,2.69165430836072,2.76106662428796,2.73262227799667,2.66321960706979,2.85320874411473,2.76472550600424,2.79374227243945,2.88490923225492,2.84438195246633,3.19589021391299,3.29893997276664,3.54457527925773,3.25785974228348,3.39185304422254,3.65889703986376,3.35211610372651,3.38352704654635,3.35626827084282,3.25092965258033,3.43717271085428,3.25402756607469,3.26096236903705,3.29371148199555,3.21636777209817,3.44301664566506,3.45010603324646,3.65759204178765,3.53227082067162,3.39379921125037,3.35206216040865,3.3468410779759,3.13444053326595],"EWU^FG_PRICE(0)":33.5,"EWD^FG_TOTAL_RETURNC(0,-3AM)":6.9621086,"VWO^FMA_PCT_ABOVE_MAVG(200,0,,,,\"PORTAGG\")":32.6952695269527,"URTH^FMA_COS_UP(\"EPS\",\"1M\",+1,0,,,\"PORTAGG\",\"MEANR\")":593.0,"TRYDE10Y-FDS^PCTCHG(FG_YIELD(0,,,,\"YTM\"),FG_YIELD(-3AM,,,,\"YTM\"))":13.615022,"CC_CA^IMF_IFS_RCPI_Q(0)":3.2111022,"USO^FG_TOTAL_RETURNC(0,-3AM)":13.60929,"USDAUD^FG_COMPANY_NAME":"Australian Dollar per U.S. Dollar","ENZL^P_PRICE(0)/P_PRICE_LOW_PR(0,,,USD,,,\"PRICE\",\"INTRA\",\"52W\")-1":0.107723355,"TRYCA10Y-FDS^FG_YIELD(0,,,,\"YTM\")":3.5205,"TRYBR10Y-FDS^FG_YIELD(-10AY,0,Y,,\"YTM\")":[12.319731,15.989595,11.062725,9.887577,8.936093,6.883678,6.961219,10.970291,12.900059,10.455909],"SPY^FG_ROE(0)":18.0642206185815,"USDSEK^FG_PRICE(0)":10.33205,"DDR3512M-FDS^FG_PRICE_CHANGE(0,-1AY)":-18.6113261331039,"PLATI-FDS^FG_PRICE_CHANGE(0,-1AY)":-6.1,"COPP-FDS^FG_PRICE_CHANGE(0,-1AY)":0.660765490587201,"SPY^P_PRICE(0)/P_PRICE_LOW_PR(0,,,USD,,,\"PRICE\",\"INTRA\",\"52W\")-1":0.3420292,"EWG^P_PRICE(0)/P_PRICE_HIGH_PR(0,,,USD,,,\"PRICE\",\"INTRA\",\"52W\")":0.98888886,"EWD^FMA_RBICS_REV_CURRENT(30, LOC, \"PORTAGG\")":27.1998242779552,"REFCATARG-FDS^(SUBARRAY(NOT_NA(NO_REPEAT_F(FG_YIELD(NOW,-10AY,D))),0,1)-SUBARRAY(NOT_NA(NO_REPEAT_F(FG_YIELD(NOW,-10AY,D))),1,1))*100":25.0,"SPY^FMA_EVAL_EBITDA(NTMA,0,,,\"PORTAGG\",\"MEANR\")":14.099255174628,"EWL^FMA_DIV_YLD(NTMA,NOW,NOW,M,\"PORTAGG\",\"MEANR\")":3.30332242739859,"USO^FG_TOTAL_RETURNC(0,-6AM)":-5.9418144,"EWC^FMA_DIV_YLD(NTMA,NOW,NOW,M,\"PORTAGG\",\"MEANR\")":3.25812743272384,"SPY^FMA_PE(LTM,0,,,\"PORTAGG\",\"MEANR\")":25.5859696099937,"DBA^FG_TOTAL_RETURNC(0,-3AM)":10.251295,"CAGDPY@CA^EE_ACTUAL_ANNUAL(MED,+1)":-0.7,"DBA^FG_TOTAL_RETURNC(0,-1AM)":5.4819584,"WL-FDS^FG_PRICE(0)":614.8,"EWA^PERCENT_CHANGE(FMA_EPS(+1,0,,,,\"PORTAGG\",\"MEAN\"),FMA_EPS(+1,-1AM,,,,\"PORTAGG\",\"MEAN\"))":2.49650050662741,"EWN^FMA_DIV_YLD(NTMA,NOW,NOW,M,\"PORTAGG\",\"MEANR\")":2.4848618906768,"CAGDPY@CH^EE_ACTUAL_ANNUAL(MED,0)":8.0,"USDGBP^STD(FG_PRICE_CHANGE(0,-1AY,AM))":2.18856425510442,"USDAUD^FG_PRICE_CHANGE(0,-3AM)":1.7463923,"EWU^P_PRICE_RETURNS_PR('52W',2,-10AY,0,AM)":[12.698936,14.654291,16.541374,18.762089,19.419432,11.735476,8.541322,-0.91294646,-0.46468377,-4.859805,-10.447961,-2.3568392,-5.3394136,-2.3164392,-2.2009432,-5.941921,-6.401217,-5.663043,-13.118898,-1.8796563,-9.078396,-5.8564425,-9.924114,-19.211079,-9.26413,-11.344046,-17.589891,-18.185812,-13.211841,-10.489904,-2.9070437,-9.039963,-5.799341,0.36683083,9.809899,13.253366,5.382037,4.8568487,12.077737,17.673742,12.846351,10.602343,14.876902,20.935322,19.055439,18.381214,23.670244,15.271271,14.359188,16.578245,12.644696,11.193169,8.814669,4.623413,0.5951524,-4.330367,-2.8109074,-11.165852,-14.384043,-5.8094444,-0.61265826,-2.0499349,-7.2819114,-6.752205,-3.4241378,-8.591854,-0.38787723,1.7601848,6.4430237,17.025805,16.286123,8.037626,-23.944933,-23.34283,-22.647476,-16.306288,-16.17437,-5.806482,-14.766014,-14.844048,-10.354721,-11.240816,-5.634898,-5.746472,42.03029,32.868923,43.580807,34.37717,29.570316,27.838696,29.02168,33.071125,23.624956,14.624226,16.181135,16.669226,3.8989544,10.448801,-1.2131512,-8.622562,-9.543067,-2.4426281,-7.6974335,-17.870415,-7.226592,2.383995,-2.2443175,0.1770854,3.3597112,1.7532468,12.35634,13.853275,18.78302,7.140732,16.688013,21.996582,10.816169,8.548748,5.545926,1.0708094,10.246002],"EWL^FG_PRICE_MAVG(0,,,,200)":45.86735,"EWN^P_PRICE(0)/P_PRICE_LOW_PR(0,,,USD,,,\"PRICE\",\"INTRA\",\"52W\")-1":0.33480287,"EWG^PERCENT_CHANGE(FMA_EPS(+1,0,,,,\"PORTAGG\",\"MEAN\"),FMA_EPS(+1,-3AM,,,,\"PORTAGG\",\"MEAN\"))":-4.61406846612368,"VGK^SIZE(FG_CONSTITUENTS)":1291,"REFSEREPO-FDS^PROPER_NAME(0,,,\"SECURITY\",\"NAME\")":"Sweden Repo Rate","TRYDE10Y-FDS^PCTCHG(FG_YIELD(0,,,,\"YTM\"),FG_YIELD(-1AM,,,,\"YTM\"))":2.4989417,"CC_NZ^IMF_IFS_RCPI_Q(0)":4.655029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40312273413],"CAGDPY@CA^EE_ACTUAL_ANNUAL(MED,0)":-0.614727995236974,"EWJ^FG_PRICE_MAVG(0,,,,30)":68.447,"TRYNZ10Y-FDS^PCTCHG(FG_YIELD(0,,,,\"YTM\"),FG_YIELD(-3AM,,,,\"YTM\"))":0.95285666,"VWO^FG_PE(0)":12.8652137726722,"REFFFUND-FDS^FG_YIELD(NOW,,,0)":5.5,"SPY^PERCENT_CHANGE(FMA_EPS(+1,0,,,,\"PORTAGG\",\"MEAN\"),FMA_EPS(+1,-3AM,,,,\"PORTAGG\",\"MEAN\"))":-0.510625980101564,"TRYCH10Y-FDS^FG_YIELD(-10AY,0,Y,,\"YTM\")":[0.314,null,-0.12,-0.09,-0.176,-0.434,-0.49,-0.111,1.617,0.703],"USDSEK^FG_COMPANY_NAME":"Swedish Krona per U.S. Dollar","ENZL^FMA_DIV_YLD(NTMA,-10AY,0,AM,\"PORTAGG\",\"MEANR\")":[4.06375053120662,4.14358509547302,4.07263910918055,4.19889697221484,4.45512597291076,4.54644544624672,4.56760556350107,4.69349871788738,4.42445149392904,4.47531369672272,4.3711090532384,4.27316629263775,4.28238922483162,4.40552611269672,4.49369303960104,4.46107606351032,4.68764375154502,4.74860424324366,5.13082706985205,5.16755297099007,4.91325377011427,4.86941947815168,4.90274738177521,5.05120432421511,4.6520547087956,4.55198789727488,4.48155712038826,4.46080362040872,4.27859399146328,4.13615234542724,4.32673894096196,4.46298594097167,4.71656924783321,4.68448417279636,4.53771713130711,4.47810526942711,4.56899727846211,4.56539463799295,4.44974736439804,4.44994050370359,4.40942006807583,4.39406076260025,4.41237182192094,4.36155552520008,4.43763349508875,4.24932612443831,4.30555839122596,4.43080224759363,4.21696175838443,4.27616846295696,4.14593731078134,4.01479371762132,4.0358404436902,4.07848556396839,3.96374792435541,4.23112928737054,4.22281843903283,4.20415110316754,4.1018559627937,3.99705434434144,3.90165386266887,3.79097998423093,3.69868574080212,3.65844987222765,3.44144533023379,3.41393243595162,3.35165354600795,3.29567622308476,3.35159395150445,3.25209090957933,3.14310810582093,3.06518410950339,3.65272794114442,2.91389420965514,2.60149679155851,2.6142356262672,2.46334918443224,2.44947472715712,2.41790195082729,2.32101574754835,2.35636821420605,2.400557014347,2.42028074263449,2.56823549901218,2.57817915413614,2.54418037749035,2.678298643876,2.68655840068574,2.60603012798061,2.6658135152186,2.60781427242459,2.66160578156158,2.71152542435697,2.76116409235785,2.84161436516067,3.01470674250919,3.09717258597322,3.14102107944302,3.22762495671221,3.43504806869215,3.2874146221247,3.2048321336856,3.22034710905346,3.48236940927434,3.4143865298493,3.42580735718499,3.39250912530448,3.30879798497976,3.5386990675273,3.42011364937346,3.48642904628921,3.48498948154801,3.40357821711688,3.4505662272225,3.43580148717881,3.4487987563606,3.45415241187494,3.00258023045272,2.97030149297866,2.932942263227,2.77009413210009],"DDR3512M-FDS^FG_PRICE_CHANGE(0,-6AM)":-0.39237407545607,"PLATI-FDS^FG_PRICE_CHANGE(0,-6AM)":3.1868131868132,"COPP-FDS^FG_PRICE_CHANGE(0,-6AM)":6.72835426305354,"VGK^PERCENT_CHANGE(FMA_EPS(+1,0,,,,\"PORTAGG\",\"MEAN\"),FMA_EPS(+1,-1AM,,,,\"PORTAGG\",\"MEAN\"))":0.0,"EWN^FMA_RBICS_REV_CURRENT(30, LOC, \"PORTAGG\")":24.7200394051192,"REFCATARG-FDS^FG_YIELD(NOW,,,0)":5.0,"EWL^FMA_PE(NTMA,0,,,\"PORTAGG\",\"MEANR\")":17.864966132392,"EWC^FMA_PE(NTMA,0,,,\"PORTAGG\",\"MEANR\")":14.603137299534,"EWQ^P_PRICE(0)/P_PRICE_LOW_PR(0,,,USD,,,\"PRICE\",\"INTRA\",\"52W\")-1":0.23262036,"EWG^FG_TOTAL_RETURNC(0,-3AM)":5.313146,"EWG^PERCENT_CHANGE(FMA_EPS(+1,0,,,,\"PORTAGG\",\"MEAN\"),FMA_EPS(+1,-1AM,,,,\"PORTAGG\",\"MEAN\"))":0.831233870066993,"EWI^FMA_COS_DOWN(\"EPS\",\"1M\",+1,0,,,\"PORTAGG\",\"MEANR\")":10.0,"TRYCA10Y-FDS^PCTCHG(FG_YIELD(0,,,,\"YTM\"),FG_YIELD(-3AM,,,,\"YTM\"))":11.151453,"VWO^FMA_EVAL_EBIT(LTMA,NOW,NOW,M,\"PORTAGG\",\"MEANR\")":13.9128044987212,"USO^FG_TOTAL_RETURNC(0,-1AM)":6.6387177,"EWA^P_PRICE_RETURNS_PR('52W',2,-10AY,0,AM)":[-4.83191,0.6913543,3.212297,15.75054,19.749296,14.721584,7.3985577,-5.7391524,-0.45861006,-1.6705453,-3.8308203,-0.5066395,-4.6622157,-7.018179,-7.001919,-13.217646,-16.929287,-21.133047,-24.73719,-13.365561,-22.713423,-13.895458,-17.606157,-21.604145,-9.351957,-10.952067,-13.232649,-8.315253,1.7619848,9.00532,9.903526,12.044466,17.892933,20.492327,32.669342,35.110367,17.259275,19.837261,15.082312,21.320868,14.218748,12.376213,23.985302,16.556608,16.562008,15.916109,15.17694,9.574545,10.101056,4.481721,10.251808,5.84569,8.902634,4.934001,-0.5818367,-4.950815,-4.5337915,-9.411228,-9.94584,-4.4680653,-2.0853758,3.430438,-1.7388761,4.6655416,4.593265,-0.3948152,9.224892,13.032722,15.258861,18.871355,19.80133,15.619791,-16.131145,-18.390633,-19.084728,-10.586506,-10.08569,0.9591341,-6.720501,-2.0507276,1.5436172,7.81312,9.41099,11.241198,70.16665,53.75434,64.17113,46.19696,35.523296,32.34364,29.515314,28.137636,21.668983,6.7330003,4.3678045,-0.84913373,0.65808296,7.700968,-5.399847,-15.987825,-15.079779,-5.8802547,-10.333717,-19.549889,-7.576519,0.9910822,1.4760256,8.346176,-2.0959198,-6.5218153,5.568075,11.459184,17.049812,-1.1675119,7.394588,9.315276,2.2666454,6.091368,3.4658074,-0.52256584,11.874485],"EWJ^FG_PRICE_MAVG(0,,,,60)":66.565834,"QQQ^FMA_EVAL_EBITDA(NTMA,0,,,\"PORTAGG\",\"MEANR\")":16.198970401368,"EWU^FMA_PE(NTMA,-10AY,0,AM,\"PORTAGG\",\"MEANR\")":[12.8094128426658,13.1236916384541,13.713299054712,13.6281941834329,13.5661579004881,13.3500949446344,13.37645788891,12.5708449764282,13.359123205152,13.2067531288074,13.7542066050141,15.5036702680426,15.161945669856,16.0890787792596,16.1760496069832,15.5874338361336,15.4455374976615,15.1121240671255,14.2534957024335,15.0207809377812,14.8289045462216,14.3605389664224,14.93075836642,14.8392059698641,16.078415597947,16.4833176412143,15.6788972623022,14.8677035443715,16.1002631696371,16.325565105227,15.420110055814,15.2921689664295,14.3439661978857,14.3856189823646,14.4966975516942,14.4989512383697,14.3565377546192,14.4367506231128,14.6808018038584,14.620227345943,14.6428872665172,14.5040549755039,14.4868016022435,14.6816732470311,14.2615459581956,14.3764424691263,14.8397820257274,13.6098162613864,13.3879265014449,13.5914747108807,13.9734106777137,13.6387798638818,13.2353429998222,12.9189292227416,12.4504938608424,11.8366036319624,11.8540072279089,11.5319316797168,11.7996067411997,12.3903638719596,12.5222547998781,12.7885761071576,12.2643892410007,12.3915818139243,12.6404035441747,11.8470561087376,12.4316986781114,12.3315274567834,12.7707002198374,13.1988558943915,13.5072746067087,13.3233627555106,10.1413136316744,13.270487881962,14.6515506998183,15.9019814241868,15.7040573082371,15.6042544111649,15.0031110161923,14.2920268368778,14.6973204863521,14.7224253469094,14.6998882876281,14.0836388717378,14.0751557156387,13.4641004341127,13.2932794847499,13.2532900583808,12.567939373601,12.4290976310856,11.9941834988998,12.2352906010743,12.1230139577136,11.831814038255,12.4176897629866,12.1429274370545,11.3221115399295,11.2003150824142,10.2130343033088,9.68177604608478,9.24125970251041,9.81826624787166,9.22783543829011,8.59433108518041,9.47628991959927,9.99695918519277,10.4369494192175,10.6696357980188,10.190751444197,10.7947377482536,10.4959482114771,10.3994498776333,10.4487608328781,10.4632074740082,10.5728658205783,10.3448752921969,10.299833409688,10.841326522784,10.9927384530653,10.9702694649956,11.3487384521514],"USDCHF^FG_PRICE_CHANGE(0,-1AM)":-0.32718778,"EWA^FMA_PE(LTM,0,,,\"PORTAGG\",\"MEANR\")":18.154877098096,"W-FDS^FG_PRICE_CHANGE(0,-6AM)":-8.45814977973568,"VGK^FMA_EVAL_EBITDA(NTMA,0,,,\"PORTAGG\",\"MEANR\")":8.77211211193518,"USDEUR^FG_PRICE_CHANGE(0,-1AM)":-1.5338004,"USDGBP^FG_PRICE_CHANGE(0,-6AM)":-2.5963843,"USDAUD^FG_PRICE_CHANGE(0,-1AM)":-1.5034139,"EWN^PERCENT_CHANGE(FMA_EPS(+1,0,,,,\"PORTAGG\",\"MEAN\"),FMA_EPS(+1,-3AM,,,,\"PORTAGG\",\"MEAN\"))":-0.614313575674031,"TRYEU10Y-FDS^FG_YIELD(-10AY,0,Y,,\"YTM\")":[0.5475,0.636,0.2082,0.4294,0.239,-0.189,-0.575,-0.181,2.533,2.004],"CAGDPY@JP^EE_ACTUAL_ANNUAL(MED,0)":3.55112124522863,"EWJ^P_PRICE_RETURNS_PR('52W',2,-10AY,0,AM)":[5.9658766,-2.484554,-5.161488,6.762016,3.3100128,5.305898,3.6258698,-6.7976894,-0.8460164,-3.0926704,-5.576408,5.707228,13.154518,19.636272,17.811012,11.516476,8.042121,9.30208,0.4099846,9.007036,6.0777545,7.8594327,4.3204546,-10.613335,-6.064492,-6.9425344,-10.280305,-11.02776,-6.258309,-2.353239,5.168736,5.7254553,1.8561125,5.8832407,14.206481,25.412464,12.80731,8.9735985,14.210153,22.052992,14.53135,12.457169,15.759397,18.369055,20.213032,20.574368,27.14405,19.461323,20.300938,20.577288,19.214237,12.671125,9.1579075,6.897366,6.9029093,1.5479326,-5.772477,-10.251564,-15.736092,-9.503365,-10.371226,-7.153267,-11.670584,-9.5564,-1.7686605,-7.2221994,0.6288886,1.9953012,11.234581,15.282213,16.12773,10.931468,-12.9453,-5.25589,-1.6471922,5.7610273,3.5725832,12.6935005,5.765271,6.6954136,8.2862015,11.132646,18.164242,21.875525,55.725502,37.761436,31.36754,25.03661,24.286758,19.970226,25.87502,16.08057,13.411784,3.465283,-1.855427,-8.756208,-13.208127,-14.292216,-12.859374,-21.395905,-22.297049,-14.7266445,-27.400864,-27.424162,-20.88086,-15.369004,-14.64448,-8.544111,-3.1823635,1.2720466,10.409665,21.726286,20.667278,7.6372027,22.751404,22.298098,14.805555,14.8556595,20.010471,18.380678,25.762844],"EWL^FG_PRICE_MAVG(0,,,,30)":47.233665,"VGK^FMA_PCT_ABOVE_MAVG(200,0,,,,\"PORTAGG\")":61.2421383647799,"TRYCH10Y-FDS^FG_YIELD_NAME":"Treasury - Switzerland Benchmark Bond 10Y","REFCATARG-FDS^PROPER_NAME(0,,,\"SECURITY\",\"NAME\")":"Canada Target Rate","EWL^FMA_PE(LTM,0,,,\"PORTAGG\",\"MEANR\")":15.4273492760295,"EWA^FMA_EVAL_EBIT(LTMA,NOW,NOW,M,\"PORTAGG\",\"MEANR\")":12.4410790169921,"DBA^P_PRICE(0)/P_PRICE_HIGH_PR(0,,,USD,,,\"PRICE\",\"INTRA\",\"52W\")":0.9920516,"SPY^FG_TOTAL_RETURNC(0,-1AM)":3.285396,"TRYCA10Y-FDS^PCTCHG(FG_YIELD(0,,,,\"YTM\"),FG_YIELD(-1AM,,,,\"YTM\"))":-0.8868271,"TRYCH10Y-FDS^FG_YIELD(0,,,,\"YTM\")":0.756,"VWO^FMA_EVAL_EBITDA(NTMA,0,,,\"PORTAGG\",\"MEANR\")":8.19587233016681,"EWD^FMA_EVAL_EBITDA(NTMA,0,,,\"PORTAGG\",\"MEANR\")":11.3500557467493,"SPY^JULIAN(FMA_DIV_YLD(NTMA,NOW,NOW,M,\"PORTAGG\",\"MEANR\").DATES)":45351,"EWA^FMA_EVAL_EBITDA(NTMA,0,,,\"PORTAGG\",\"MEANR\")":8.59360553077511,"QQQ^FMA_EVAL_EBIT(LTMA,NOW,NOW,M,\"PORTAGG\",\"MEANR\")":25.0107440098467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0774239929,12.1999545354885,11.8188093455252,11.9408562756701],"URTH^P_PRICE(0)/P_PRICE_LOW_PR(0,,,USD,,,\"PRICE\",\"INTRA\",\"52W\")-1":0.3006941,"EWQ^PERCENT_CHANGE(FMA_EPS(+1,0,,,,\"PORTAGG\",\"MEAN\"),FMA_EPS(+1,-1AM,,,,\"PORTAGG\",\"MEAN\"))":0.745724528485754,"EWA^JULIAN(FMA_DIV_YLD(NTMA,NOW,NOW,M,\"PORTAGG\",\"MEANR\").DATES)":45351,"W-FDS^FG_PRICE_CHANGE(0,-1AY)":-24.326292789512,"EWC^FG_PRICE(0)":37.77,"TRYNL10Y-FDS^PCTCHG(FG_YIELD(0,,,,\"YTM\"),FG_YIELD(-1AM,,,,\"YTM\"))":0.52083105,"ENZL^FMA_EVAL_EBITDA(NTMA,0,,,\"PORTAGG\",\"MEANR\")":12.2941556786659,"CC_AU^FG_COMPANY_NAME":"Australia","EWA^FG_PRICE_MAVG(0,,,,200)":22.6465,"USDANG^STD(FG_PRICE_CHANGE(0,-1AY,AM))":0.0,"DDR3512M-FDS^FG_PRICE_CHANGE(0,-1AM)":-0.836157475346266,"PLATI-FDS^FG_PRICE_CHANGE(0,-1AM)":5.26905829596414,"COPP-FDS^FG_PRICE_CHANGE(0,-1AM)":9.0933657613836,"EWC^P_PRICE(0)/P_PRICE_LOW_PR(0,,,USD,,,\"PRICE\",\"INTRA\",\"52W\")-1":0.2024833,"EWI^FMA_COS_UP(\"EPS\",\"1M\",+1,0,,,\"PORTAGG\",\"MEANR\")":12.0,"EWG^FMA_COS_UP(\"EPS\",\"1M\",+1,0,,,\"PORTAGG\",\"MEANR\")":22.0,"SPY^FMA_RBICS_REV_CURRENT(30, LOC, \"PORTAGG\")":12.5169610337794,"QQQ^FMA_PE(LTM,0,,,\"PORTAGG\",\"MEANR\")":34.3807189118538,"TRYFR10Y-FDS^PCTCHG(FG_YIELD(0,,,,\"YTM\"),FG_YIELD(-3AM,,,,\"YTM\"))":7.4604354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84306888,7.43859940178973,9.2207657607753,9.22544562724396,9.29901050449311],"TIPSCL10Y-FDS^FG_YIELD(-10AY,0,Y,,\"YTM\")":[null,null,null,null,null,null,null,null,null,5.3314],"CAGDPY@DE^EE_ACTUAL_ANNUAL(MED,+1)":6.55,"USDAUD^FG_PRICE(0)":1.5186028,"EWG^P_PRICE_RETURNS_PR('52W',2,-10AY,0,AM)":[19.458818,25.245739,22.743452,21.930468,23.010302,9.277094,9.56502,-7.0053697,-6.7468405,-4.9626646,-11.671925,-5.3738475,0.50235987,1.085329,-1.4983058,-6.6173973,-4.85363,-0.67080855,-7.433385,2.4433136,-1.4425993,-5.2211285,-7.9125223,-19.447815,-12.031418,-13.472939,-13.027632,-14.779139,-11.93434,-3.6765754,0.6418228,1.3290048,-0.75499415,3.5039902,14.591969,21.610905,13.304388,12.05883,22.19001,31.746923,27.693785,18.222761,25.853289,30.620373,32.73082,28.90873,30.681301,23.658895,19.196236,19.414436,10.738623,5.9095383,1.8087506,-1.0703325,-4.525411,-12.615431,-14.98617,-20.14672,-22.60304,-19.333202,-14.041079,-11.886102,-14.051092,-12.983852,-7.0489287,-11.802644,-4.9950542,0.49843788,8.859837,16.439486,17.474234,15.82396,-20.199198,-15.280771,-16.645712,-1.2363374,3.7490368,17.903221,11.474049,10.430157,4.7165155,6.8385124,11.68282,13.512063,67.862785,52.0888,60.853447,38.42876,27.082956,22.04318,17.672491,15.008569,19.15406,6.9164753,5.068624,-2.775669,-15.161395,-19.425518,-23.877764,-30.755074,-36.26119,-28.266483,-33.855648,-37.36657,-24.85475,-17.262941,-14.040482,-7.1100354,3.089106,10.604024,18.534052,23.544132,39.898228,19.429134,26.961304,29.70029,14.08,18.349815,8.116377,6.5135717,16.643642],"EWL^FG_PRICE(0)":48.34,"EWC^PERCENT_CHANGE(FMA_EPS(+1,0,,,,\"PORTAGG\",\"MEAN\"),FMA_EPS(+1,-3AM,,,,\"PORTAGG\",\"MEAN\"))":-5.44870893491748,"REFAUCASH-FDS^(SUBARRAY(NOT_NA(NO_REPEAT_F(FG_YIELD(NOW,-10AY,D))),0,1)-SUBARRAY(NOT_NA(NO_REPEAT_F(FG_YIELD(NOW,-10AY,D))),1,1))*100":25.0,"EWL^JULIAN(FMA_DIV_YLD(NTMA,NOW,NOW,M,\"PORTAGG\",\"MEANR\").DATES)":45351,"EWA^FG_FCF_YIELD_NTM(0)":4.77682258240379,"DBA^FG_TOTAL_RETURNC(0,-6AM)":8.712446,"EWD^SIZE(FG_CONSTITUENTS)":44,"EWA^SIZE(FG_CONSTITUENTS)":59,"QQQ^FMA_RBICS_REV_CURRENT(30, LOC, \"PORTAGG\")":0.861039068445163,"TRYAU10Y-FDS^PCTCHG(FG_YIELD(0,,,,\"YTM\"),FG_YIELD(-3AM,,,,\"YTM\"))":-1.8872507,"VWO^FG_FCF_YIELD_NTM(0)":5.7548610791036,"EWD^FG_FCF_YIELD_NTM(0)":5.09331880810327,"EWA^FMA_DIV_YLD(NTMA,NOW,NOW,M,\"PORTAGG\",\"MEANR\")":3.98464281144306,"TIOS-FDS^FG_PRICE_CHANGE(0,-1AY)":-14.6877883728084,"EWD^FMA_DIV_YLD(NTMA,NOW,NOW,M,\"PORTAGG\",\"MEANR\")":3.29605026326781,"EWG^FMA_RBICS_REV_CURRENT(30, LOC, \"PORTAGG\")":22.665656730962,"TRYTR7Y-FDS^FG_YIELD(-10AY,0,Y,,\"YTM\")":[7.979133,10.679033,11.110786,11.586128,15.896213,12.034795,12.534946,23.870693,7.323803,21.984322],"EWA^FMA_COS_UP(\"EPS\",\"1M\",+1,0,,,\"PORTAGG\",\"MEANR\")":31.0,"EWJ^FG_FCF_YIELD_NTM(0)":4.13329570683056,"TRYNZ10Y-FDS^PCTCHG(FG_YIELD(0,,,,\"YTM\"),FG_YIELD(-1AM,,,,\"YTM\"))":-5.756607,"EWJ^FMA_PE(LTM,0,,,\"PORTAGG\",\"MEANR\")":15.8434993734173,"PASP-FDS^FG_PRICE_CHANGE(0,-1AY)":-28.655737704918,"QQQ^FG_TOTAL_RETURNC(0,-3AM)":9.135747,"EWN^FMA_PE(LTM,0,,,\"PORTAGG\",\"MEANR\")":23.9982323522887,"REFFFUND-FDS^PROPER_NAME(0,,,\"SECURITY\",\"NAME\")":"US Federal Funds Target Rate","TRYSE10Y-FDS^FG_YIELD(0,,,,\"YTM\")":2.369,"TRYFR10Y-FDS^FG_YIELD(-10AY,0,Y,,\"YTM\")":[0.837,0.9989,0.682,0.785,0.71,0.118,-0.344,0.201,3.07,2.534],"USDANG^FG_PRICE_CHANGE(0,-6AM)":0.0,"EWD^FMA_PE(NTMA,-10AY,0,AM,\"PORTAGG\",\"MEANR\")":[15.4859609843661,15.5334737460445,15.8329206506506,15.7145761225623,15.4957310667381,15.0646834242554,14.0724987313292,13.5860518461596,15.281563447189,15.2689985606935,15.2749074083469,16.760723561582,17.0897756019165,17.1248470160243,15.8832830317034,15.923576783166,16.1296365044575,15.8671863887204,14.5822671901477,14.6836315025476,15.0614441361468,14.3277518874504,13.992231394766,14.1745717619362,15.6830035546817,15.3160405277529,14.5829935872032,13.9797513409157,14.9789450487753,15.535038698419,15.3434843717434,16.0690224409378,15.8645731941949,16.6584263820785,16.5547418345694,16.8101041890237,16.8214830554441,16.8858483378652,17.1026099700259,16.7726028432162,16.8567057163582,15.9120313545957,16.2460826678063,16.8249473271525,16.801572260911,16.3967869761644,16.6348710617046,15.9091510443792,16.3254548331999,15.5811461935551,15.977063032069,15.5623215979562,15.3754366442772,15.4563773890869,15.6168419148551,14.5692607356763,14.1056411955672,13.8125056883614,13.3550268730991,14.7302757490678,14.9361116078345,15.2689007622812,14.8729954304732,14.7336645684705,15.0939480954188,13.3353067982559,14.787942593871,15.0362317955093,15.8392884825685,15.9924475233851,16.3641272576887,17.0111020919986,12.2641123876178,16.1083356572099,16.7485941284441,18.4115966033011,19.865351799719,18.561006187694,18.2538698104217,18.2118650325064,17.053862982535,17.2212196551735,18.9038058777406,18.8113422544853,20.1086559208725,20.3363002665746,18.1224437995582,18.7323687603945,18.8141376069945,18.7333711958295,18.5354494116637,18.2534373399211,18.9637387996831,18.9960500058108,17.5085780614217,16.0351343476467,14.9677061594542,15.0156689294086,15.9344201086223,14.6326825856305,14.351516978737,15.100841715598,13.9253244288994,13.1502188076369,13.165885122554,13.4009408657467,13.6589371762959,14.1308297731787,13.7069618345307,13.9201950823294,13.480798581471,13.8110727078974,13.3865921611817,13.0986675828346,13.0373964167786,13.0898076390889,13.1821658464189,15.472509981103,15.4258960455709,15.7034714197701,16.6778575461911],"DDR3512M-FDS^FG_PRICE_MAVG(0,,,,30)":0.96949035,"PLATI-FDS^FG_PRICE_MAVG(0,,,,30)":903.8,"COPP-FDS^FG_PRICE_MAVG(0,,,,30)":3.8365166,"EWI^FG_PRICE_MAVG(0,,,,60)":34.398834,"EWA^P_PRICE(0)/P_PRICE_LOW_PR(0,,,USD,,,\"PRICE\",\"INTRA\",\"52W\")-1":0.1788857,"EWI^PERCENT_CHANGE(FMA_EPS(+1,0,,,,\"PORTAGG\",\"MEAN\"),FMA_EPS(+1,-1AM,,,,\"PORTAGG\",\"MEAN\"))":2.967869588941,"QQQ^FG_FCF_YIELD_NTM(0)":3.67564084403822,"EWI^FMA_PE(LTMA,-10AY,0,AM,\"PORTAGG\",\"MEANR\")":[17.2998468069536,17.1471153094492,17.033040749809,17.3614483231483,17.0719491901742,16.6968510276496,17.9588402743147,16.6094237358794,17.3547134700843,17.8569320977873,18.6909182517967,42.4697962851809,44.0588153560876,41.2379462361496,38.4710003651199,35.4727126625504,32.504390676019,30.0105377451578,26.4444860202802,24.1215346891586,22.1415681880193,18.6689438894201,16.6611027772634,14.7026285261242,15.4793736053695,15.2980072100068,15.4172564617177,14.4743753018774,14.7110824250917,15.1614797734865,14.7110845187121,14.6991916510975,14.3904937744332,15.9312488181021,27.708500491864,20.9803652407177,82.727662057644,75.6114101750278,69.1389552954863,61.2537662608207,54.444072239836,47.1104492734024,39.9598759709708,33.4113498425122,25.9663152895581,19.2172520220102,15.9424340507552,14.4001758429265,14.1586450926554,14.1213183550001,14.1111451012586,13.5971068374941,13.2622659063843,12.8029770236342,12.4967912078804,11.640564339924,11.3387241336895,10.8737477659887,10.8568182399437,11.0025643096315,11.2833402984599,11.3506178726661,11.1395659287923,11.0099248923613,11.3631178857439,10.7046680475714,11.3828438390413,11.385888221913,11.9657119288171,11.9679603417242,12.2650915338206,12.7386842575481,10.8037466285777,11.5387245693672,13.3931027730263,15.4533738878511,17.0142612874686,17.7453990965437,18.2548682027982,19.0791122281735,20.5296220030302,22.5071568875935,23.7108600719631,20.6366449810922,20.1309793845693,19.5163463469352,18.7722002440644,18.475823761134,17.6398496975162,16.4158750835144,15.1545138342344,14.4448678784946,13.9049102710615,12.1534415759408,12.1257750040661,11.5302218027701,10.5255377319648,10.5267190562693,10.2592860068825,9.54592570141996,9.00573489374345,8.7859305006206,8.52159295759241,7.91567887441972,8.46523310057494,7.7678597914969,8.03862081581855,8.29287000691191,8.26659815999253,8.39975398234716,8.3060522317684,8.53959958252828,8.65788935503742,8.24103984105657,8.42565046722771,8.21276892759185,8.28639303165747,8.81496553597487,8.98713104725073,9.1339435313065,9.41539836377251],"EWN^FG_TOTAL_RETURNC(-10AY,0,AM)":[-2.4609387,1.8021703,0.9441376,1.4809132,-2.5031745,-4.2117953,3.1406999,-7.7953696,5.7243586,-0.54144263,-1.8008947,6.589639,0.5620241,4.1117787,3.9110422,-2.7306259,1.7153025,-2.754718,-7.2953105,2.009213,-0.5744815,-2.8477013,-2.847129,-4.4434667,11.556172,2.0635605,-2.8710008,-2.914244,2.6204348,4.323864,-1.0971189,-0.16434193,-2.7983487,1.5241265,3.9496064,2.133274,5.19197,1.0968208,8.380091,1.725924,2.3594975,2.5503397,2.1596909,2.1140337,-1.8820524,0.76726675,4.7774553,-2.6187599,1.0944366,1.144445,-1.2232482,-1.1764705,-1.0162175,-1.576066,-1.2745142,-6.190002,0.9174347,-4.7902107,-0.77305436,7.9583526,2.5146365,4.267478,-1.9013882,0.5256295,3.666377,-4.812664,8.517134,-0.90681314,2.8400064,2.9763818,1.7272949,1.6470671,-25.318289,7.5164676,1.2612581,12.91815,9.002459,2.2396803,0.82502365,3.498876,4.7982454,4.0330887,9.0567,5.751097,-2.4363756,6.5551877,0.9206891,3.8764358,-1.7279506,4.7638535,4.0202975,-4.6529055,4.3093204,-9.170753,2.8767943,-9.280645,-13.0667925,3.4172654,-7.627326,-6.2931356,-2.1808684,14.328182,-11.154449,-12.613398,25.619555,5.8385015,6.3236594,1.1680484,-4.8539042,5.27488,-1.8348575,4.294765,4.809475,-5.054307,-7.21457,-5.5611553,10.76473,8.058691,-2.2511125,6.9986224,3.8816214],"EWA^FMA_PE(NTMA,-10AY,0,AM,\"PORTAGG\",\"MEANR\")":[13.8783776584335,14.1784152336942,14.3422464134717,14.2249325725567,14.6932840484448,14.7141695383276,14.5786822689824,13.6961915199582,14.3732068651079,13.8352476645141,14.5229798465177,16.0754891492834,15.8692904621087,16.5515927353659,16.0740554836614,15.2840573795958,15.3674258456164,14.9346261878317,14.398937952319,14.8855133209142,14.5676168893394,14.4829974007406,14.6563636610585,14.5938031739194,16.1515291175237,15.8441441098309,16.3934742125734,15.8868285292133,16.3422184194731,16.8040362042355,15.6752714664446,16.1307986646665,15.8392904934639,15.9043597193398,15.9297274751967,15.8842815245508,15.6991439383007,15.9096511088234,15.6329438891962,15.6446304208064,15.6614152347496,15.6406578220502,15.6448450483976,15.6684220501209,15.9176576301754,15.8945194636834,15.9867360248566,15.139298765016,15.3271158227329,14.927285916368,15.564919726547,14.9808490187898,15.5897173357398,15.6167609850563,15.1847408396588,14.4148796462855,14.142536810626,13.8695968703289,14.4141464541547,15.0520380778578,15.2162406649418,15.3265918464317,15.1672134907424,15.9141492288457,16.129652036632,15.9855893025495,16.5538849823196,16.5629984487899,17.077291750115,17.2003385655731,17.7651493187279,18.2951000082654,14.3139277873065,16.3630766103157,16.9762912821713,18.895941818929,18.88623022013,19.645024713894,18.5863351021652,18.8876035277517,19.0276964392018,19.2863450826627,19.2890662022587,19.0516314575525,18.058742089099,18.0999691075076,17.7291999383558,18.1746956254779,17.0743657012154,17.3014483183187,17.0688107137838,17.227110306505,17.5305935160992,17.2102294762991,17.4562645368735,16.0205619195595,15.5929520732693,15.6660050718392,14.1023480797516,12.8705844931812,12.8411457152246,14.1165804759574,13.414293967139,12.991404230077,14.2900494390518,14.4728164917777,14.5858706406704,14.9222581165772,13.904172433206,14.7295083666579,14.5721761784515,14.8135837268913,15.3985550165621,15.2477735973643,15.27329282727,14.698931050412,14.9222755353436,15.8506957990049,16.1770275845882,16.1975237342975,16.6193384530605],"QQQ^P_PRICE(0)/P_PRICE_LOW_PR(0,,,USD,,,\"PRICE\",\"INTRA\",\"52W\")-1":0.49754477,"EWN^SIZE(FG_CONSTITUENTS)":54,"TRYSE10Y-FDS^PCTCHG(FG_YIELD(0,,,,\"YTM\"),FG_YIELD(-1AM,,,,\"YTM\"))":-1.985937,"QQQ^P_PRICE(0)/P_PRICE_HIGH_PR(0,,,USD,,,\"PRICE\",\"INTRA\",\"52W\")":0.9788249,"VWO^FG_TOTAL_RETURNC(0,-1AM)":2.7559042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6,7.7689690341127,6.57910753918315],"CC_JP^FG_COMPANY_NAME":"Japan","USDNZD^FG_PRICE_CHANGE(0,-6AM)":-3.48202,"PASP-FDS^MAX(FG_PRICE(0,-5AY))":3158.12,"EWD^FG_ROE(0)":15.6494498509853,"USDNZD^FG_PRICE(0)":1.6309223,"EWL^FG_TOTAL_RETURNC(-10AY,0,AM)":[-0.83407164,2.7035117,2.7200937,-0.56948066,0.14498234,-2.9106438,0.33142567,-8.108103,6.601298,-1.7473936,-0.9984374,3.4352303,-1.0664165,6.1287284,4.8462033,-3.4597278,0.97938776,-2.5290787,-6.203395,1.017487,-3.6512434,-0.45737028,-3.0193627,-4.6700478,5.076325,3.2094598,-1.931262,-1.8024027,4.511595,2.6043415,-1.3342023,-1.9788921,-2.792734,0.48459768,5.1982164,0.58977604,2.7361512,1.3950467,6.941843,0.78947544,2.375126,-1.0130227,1.637423,1.8699646,-3.3888757,2.3384929,4.3416142,-2.2447288,-2.1562576,-1.4882684,0.29053688,-2.1147132,0.9907961,2.4631977,2.0815015,-6.6628337,0.5230665,-2.203846,2.4100184,2.4144173,4.6851754,1.5108347,-0.67397356,5.428338,1.1518359,-0.89285374,3.2760024,-1.5331805,3.5704732,2.2291303,3.4989834,2.6457667,-17.92363,6.746149,-0.62652826,5.8388233,6.5217733,2.5450945,2.2409678,-1.6026378,2.5628686,1.1504412,4.7355056,0.044107437,-3.1084657,4.345846,2.9001236,7.3262453,-0.46249628,3.111112,-3.0368328,-2.1620572,5.472946,-1.292342,1.3291001,-5.6186438,-4.9159884,7.438922,-11.025381,-8.485103,3.2315493,8.454525,-7.3181868,-9.146637,14.655876,2.3540497,2.5758982,0.8744478,-3.089583,8.325696,2.3713708,-2.9360294,3.1154633,-1.922679,-2.175784,-2.9949367,0.43133497,6.645572,1.4836788,-3.3208013,4.4286013],"ENZL^FMA_PE(NTMA,-10AY,0,AM,\"PORTAGG\",\"MEANR\")":[17.2771506406914,17.0578243710188,17.5495166246959,17.2542515033684,17.1897645343198,16.9809123234634,17.1659816472428,16.7443382065427,18.0887700874356,18.0288878184422,18.6591989606893,19.1156929591577,19.1081788411142,18.5140518300675,18.0861748718748,18.2507511166599,17.8701366071252,17.6332274882663,17.4721717056966,17.2984276113907,17.8848303692998,17.8421356451617,17.6071601154008,16.7380149465432,18.29991380659,18.815813793073,19.2524747814934,18.8741534195072,19.5281882906886,20.3174118407016,20.1246328464127,19.5570707349898,18.3996924568525,18.2471189316438,18.8846328835275,19.2720582202467,18.8995550847643,19.1344785577349,19.6615443414974,19.4168830185662,19.5406576428484,19.9398188407045,19.7793181578072,20.051564504366,20.1209587723258,20.7681250161014,20.4087889258835,20.1028483065628,20.5464109489985,20.1302282453117,20.6186969026984,21.3065570207491,21.2359422087086,21.1936909929493,21.6314765735712,20.3722606214412,20.1574388397656,19.8036342433682,20.3589693285626,21.1628779060702,21.5439257807526,22.1372194626763,22.8041702512816,23.0706827575816,24.3683662054496,24.5436261597245,25.9268190306857,25.5129498376478,24.6181007318182,25.5440818691918,25.9037065039439,26.9623565295904,22.45583983255,27.0623721578459,30.5552939285861,29.9774854899252,31.8804916510857,31.6471773114076,32.1661150580068,33.4318975852584,33.1558479683695,32.861040444458,33.9282147043774,31.9788038876862,32.2025418379061,32.7433870777201,32.2486049547337,33.0560905414566,34.3692545242105,33.8784792315548,34.6736414346931,33.7676799734132,33.0293827518222,32.6327481656717,31.1557608205407,29.6341057553077,28.5348033035737,28.2102626122451,27.4362369243776,24.9980422121657,26.2357546129255,26.4242316214815,26.615449323845,23.3419069846685,23.291448409474,23.2161986108943,23.5995512556761,24.2256493290096,22.6170859690298,23.2708380093378,23.5461593745766,20.6215407331322,21.1091961032779,20.4337229649018,20.2106385363227,19.8057004111295,20.2841089658044,22.7044413593217,22.9520355266951,21.8466122238257,24.6397578647683],"EWN^FG_PRICE(0)":48.44,"ENZL^FMA_COS_DOWN(\"EPS\",\"1M\",+1,0,,,\"PORTAGG\",\"MEANR\")":8.0,"TRYNL10Y-FDS^PCTCHG(FG_YIELD(0,,,,\"YTM\"),FG_YIELD(-3AM,,,,\"YTM\"))":10.647011,"EWG^FMA_EVAL_EBIT(LTMA,NOW,NOW,M,\"PORTAGG\",\"MEANR\")":13.3351542055219,"DUMMY^ECON_DATE(45337,,, 'MM/YYYY')":"02/2024","EWA^JULIAN(FMA_ROE(NTMA,-20AY,NOW,FY,\"PORTAGG\",\"MEANR\").DATES)":[38352,38716,39080,39447,39813,40178,40543,40907,41274,41639,42004,42369,42734,43098,43465,43830,44196,44561,44925,45289],"CC_DE^FG_COMPANY_NAME":"Germany","USDJPY^STD(FG_PRICE_CHANGE(0,-1AY,AM))":2.79545156528907,"VWO^P_PRICE(0)/P_PRICE_LOW_PR(0,,,USD,,,\"PRICE\",\"INTRA\",\"52W\")-1":0.11493778,"EWQ^FMA_PCT_ABOVE_MAVG(200,0,,,,\"PORTAGG\")":74.6031746031746,"ENZL^FMA_PCT_ABOVE_MAVG(200,0,,,,\"PORTAGG\")":50.0,"EWN^FMA_COS_UP(\"EPS\",\"1M\",+1,0,,,\"PORTAGG\",\"MEANR\")":18.0,"EWN^FG_ROE(0)":9.2902870773493,"TRYNZ10Y-FDS^FG_YIELD(0,,,,\"YTM\")":4.6511,"VWO^JULIAN(FMA_DIV_YLD(NTMA,NOW,NOW,M,\"PORTAGG\",\"MEANR\").DATES)":45322,"EWN^FMA_PE(NTMA,0,,,\"PORTAGG\",\"MEANR\")":16.1467016282411,"QQQ^FMA_PE(NTMA,0,,,\"PORTAGG\",\"MEANR\")":25.9922661972384,"EWG^FMA_EVAL_EBITDA(NTMA,0,,,\"PORTAGG\",\"MEANR\")":8.43712740757478,"ENZL^FMA_EVAL_EBIT(LTMA,NOW,NOW,M,\"PORTAGG\",\"MEANR\")":20.3404028987719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13612011142,2.46081798651847,2.80265475944353,2.92072613428035],"EWQ^FG_PRICE_MAVG(0,,,,200)":37.688725,"FXI^PERCENT_CHANGE(FMA_EPS(+1,0,,,,\"PORTAGG\",\"MEAN\"),FMA_EPS(+1,-3AM,,,,\"PORTAGG\",\"MEAN\"))":-8.21059556049903,"USDJPY^FG_PRICE_CHANGE(0,-6AM)":0.71703196,"VGK^P_PRICE(0)/P_PRICE_LOW_PR(0,,,USD,,,\"PRICE\",\"INTRA\",\"52W\")-1":0.21903384,"PASP-FDS^FG_PRICE_CHANGE(0,-6AM)":-14.3307086614173,"QQQ^FG_TOTAL_RETURNC(0,-1AM)":1.3665199,"TRYZA10Y-FDS^JULIAN(FG_YIELD(-10AY,0,CY,,\"YTM\").DATES)":[42004,42369,42734,43098,43465,43830,44196,44561,44925,45289],"USDEUR^FG_PRICE_CHANGE(0,-3AM)":0.978148,"EWC^FG_TOTAL_RETURNC(-10AY,0,AM)":[0.24087429,1.7850995,3.575039,2.637577,2.9790998,-0.5897045,0.4683137,-11.280304,6.199646,-9.630609,-0.4320979,4.347825,-5.413109,7.1912646,1.3347387,-4.4714093,-3.9834678,-4.1888833,-7.5914145,6.580651,-8.87813,-5.0930023,-7.1553764,3.973508,14.012742,4.5122385,-0.7401347,1.8226981,4.197657,1.2593508,-3.8087845,2.707076,-2.0849764,6.789875,3.0890703,2.3590207,-5.2214622,1.4057755,-2.173096,1.1872768,5.137074,-0.907439,4.7619104,2.3076892,-0.85440874,0.62047243,4.4728637,-6.276989,-1.2756884,0.32304525,4.400718,-0.71967244,1.1418939,-0.30959845,-2.2084177,-3.7755787,-2.6035964,-4.4804153,3.4778118,4.7637463,2.5138617,2.740717,-2.2112966,0.5743027,4.4018745,-5.41566,5.178702,-1.3176203,3.8299322,0.43994188,3.0761123,1.3911843,-26.49461,4.0888906,0.98206997,8.583509,4.3105125,6.5610886,-0.42462945,0.746274,1.5520334,8.285332,4.4819713,2.2070289,4.866171,1.7401457,5.017102,3.7563562,-2.81654,2.139759,-1.6971588,4.4240594,3.3324718,-6.9610834,6.5051675,-1.5844703,-1.5320718,4.641354,-9.526205,-2.958852,-7.316375,13.073325,-4.966897,-11.527294,13.455856,-1.5070438,3.7246704,2.470541,-7.345104,7.2617292,-1.83357,-0.1478672,2.4418592,-1.3904691,1.410079,-5.8456364,3.0741453,6.081867,1.4463425,-1.0740936,5.150342],"EWD^FMA_PE(LTMA,-10AY,0,AM,\"PORTAGG\",\"MEANR\")":[15.184770376008,15.3270679134267,15.5938172217093,15.7408257747952,15.8500540947329,15.8477256845054,15.5418822235997,15.3008214094365,16.6901899666018,17.0741162601201,17.1885682126309,19.8055481475861,20.1337936825262,19.8771004050674,19.1424123377776,18.9313195328227,18.7302697058978,18.3313752336614,17.0749537690165,16.6600430347944,16.5792087847535,15.6852777176944,14.7486130325016,14.3012901753472,15.6878204834836,15.6501085109363,15.4022254971138,15.122061062098,15.5984268404877,16.0431876198889,15.9989304750274,16.991402583098,16.9777697819266,18.1762506677358,18.2725905117401,17.4841888543193,17.5101531499013,17.5466888677906,17.669918177105,17.5946777674321,17.754015336923,16.9436802152357,17.1731807684907,17.5798358947982,18.1391727293527,18.0490875261591,18.241840340287,16.4878497248746,16.9663006184837,16.7353320689096,16.8170074726522,16.5877369666011,16.4665786105997,16.5186007446071,16.6834820016777,15.6954705019185,14.923714595186,14.3820283354306,14.8461732454417,18.2069536813843,18.0450667388008,17.8625118791501,17.479564269383,17.1315859495263,17.0875739330612,15.6926817549755,16.4187051448082,16.4037268116997,16.2101899975735,16.0953354665065,16.6519472309674,14.4317921552556,12.4281110622048,13.8433541517536,14.6297706902507,16.0991061048418,18.0665564363698,17.5427076289668,17.7139628746122,18.3380824889459,16.3484045930929,17.1291734459399,18.7265898812346,17.5824013459771,17.9164240982048,18.3396249787764,17.5609113318618,17.9334929306702,17.852195405455,17.6588162579362,17.4873735441904,17.3121253797576,16.9247204735053,16.5759959104827,15.8856713893919,12.0886617396929,11.8010664905612,12.2045469376066,13.2915983149638,13.2594679542858,13.7001123430631,14.8741791137374,14.7462326132331,14.6486944584191,14.2526157484651,15.9965076699937,16.6364782745661,26.1562918405241,25.069257277038,23.9416970177601,22.7751047976557,21.6195878706381,20.2655012547523,18.8285948881586,17.4497543666718,16.3391711650688,15.8093495707822,18.0549547787146,17.419041050662,15.2922923209656,16.0389060439799],"EWQ^FG_PRICE_MAVG(0,,,,30)":39.808334,"EWI^P_PRICE(0)/P_PRICE_LOW_PR(0,,,USD,,,\"PRICE\",\"INTRA\",\"52W\")-1":0.32842267,"EWU^P_PRICE(0)/P_PRICE_LOW_PR(0,,,USD,,,\"PRICE\",\"INTRA\",\"52W\")-1":0.116666675,"SPY^FMA_COS_DOWN(\"EPS\",\"1M\",+1,0,,,\"PORTAGG\",\"MEANR\")":184.0,"TRYNL10Y-FDS^FG_YIELD(0,,,,\"YTM\")":2.702,"CC_IT^IMF_IFS_RCPI_Q(0)":0.98369783,"EWN^JULIAN(FMA_DIV_YLD(NTMA,NOW,NOW,M,\"PORTAGG\",\"MEANR\").DATES)":45351,"QQQ^JULIAN(FMA_DIV_YLD(NTMA,NOW,NOW,M,\"PORTAGG\",\"MEANR\").DATES)":45351,"EWG^FMA_DIV_YLD(NTMA,NOW,NOW,M,\"PORTAGG\",\"MEANR\")":3.4334059471687,"ENZL^FG_FCF_YIELD_NTM(0)":0.072978049970611,"TRYQA10Y-FDS^FG_YIELD(-10AY,0,Y,,\"YTM\")":[null,null,null,null,null,null,null,null,null,null],"CC_NZ^FG_COMPANY_NAME":"New Zealand","QQQ^FG_ROE(0)":22.2581618730228,"REFCHMPR-FDS^(SUBARRAY(NOT_NA(NO_REPEAT_F(FG_YIELD(NOW,-10AY,D))),0,1)-SUBARRAY(NOT_NA(NO_REPEAT_F(FG_YIELD(NOW,-10AY,D))),1,1))*100":25.0,"TRYFR10Y-FDS^PCTCHG(FG_YIELD(0,,,,\"YTM\"),FG_YIELD(-1AM,,,,\"YTM\"))":0.28129032,"VGK^FG_PE_NTM(0,,,90,0)":12.9298765143591,"EWU^FMA_EVAL_EBIT(LTMA,NOW,NOW,M,\"PORTAGG\",\"MEANR\")":10.4266754156135,"PASP-FDS^FG_PRICE_CHANGE(0,-1AM)":19.5604395604396,"UUP^FG_TOTAL_RETURNC(0,-6AM)":1.0002613,"TRYFR10Y-FDS^FG_YIELD(0,,,,\"YTM\")":2.852,"EWI^FMA_EVAL_EBITDA(NTMA,0,,,\"PORTAGG\",\"MEANR\")":7.40901701174845,"EWA^FG_PRICE_MAVG(0,,,,30)":23.89,"UUP^FG_TOTAL_RETURNC(0,-3AM)":2.8874636,"EWG^FMA_PE(NTMA,0,,,\"PORTAGG\",\"MEANR\")":12.1825679319545,"CAGDPY@IT^EE_ACTUAL_ANNUAL(MED,0)":0.154744313434199,"EWI^P_PRICE(0)/P_PRICE_HIGH_PR(0,,,USD,,,\"PRICE\",\"INTRA\",\"52W\")":0.989561,"CC_NL^IMF_IFS_RCPI_Q(0)":0.80520856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70768,2.66234515884581,2.58388720632297,2.86433002646061],"EWU^FMA_PE(LTM,0,,,\"PORTAGG\",\"MEANR\")":11.3529187081857,"EWA^FG_PRICE(0)":24.12,"EWQ^FMA_EVAL_EBIT(LTMA,NOW,NOW,M,\"PORTAGG\",\"MEANR\")":13.2382485478405,"ENZL^FMA_PE(NTMA,0,,,\"PORTAGG\",\"MEANR\")":24.6397578647683,"EWI^FG_TOTAL_RETURNC(0,-6AM)":18.170511,"USDITL^STD(FG_PRICE_CHANGE(0,-1AY,AM))":2.16792030179705,"EWL^P_PRICE(0)/P_PRICE_LOW_PR(0,,,USD,,,\"PRICE\",\"INTRA\",\"52W\")-1":0.16341758,"EWU^SIZE(FG_CONSTITUENTS)":85,"EWQ^FG_PRICE(0)":41.49,"CC_SE^IMF_IFS_RCPI_Q(0)":5.550837,"PASP-FDS^FG_PRICE_MAVG(0,,,,30)":973.4667,"W-FDS^FG_PRICE_MAVG(0,,,,30)":5.693,"VGK^JULIAN(FMA_DIV_YLD(NTMA,NOW,NOW,M,\"PORTAGG\",\"MEANR\").DATES)":45322,"QQQ^PERCENT_CHANGE(FMA_EPS(+1,0,,,,\"PORTAGG\",\"MEAN\"),FMA_EPS(+1,-3AM,,,,\"PORTAGG\",\"MEAN\"))":0.109076020745593,"REFJPTON-FDS^FG_YIELD(NOW,,,0)":-0.1,"EWQ^FMA_PE(LTMA,-10AY,0,AM,\"PORTAGG\",\"MEANR\")":[15.872988237749,15.7980492929861,15.8154892752729,15.8668394492878,15.5077856297387,15.1415986341995,15.5301553522875,14.5622888544605,14.87478269779,14.6271358430067,14.8901336413186,16.7149799557503,17.5575236900491,17.7030690520192,17.4605430542407,17.2157728087021,17.2708838669874,16.8660987859848,15.7539753983224,15.8258375906453,16.1027094154616,15.028017448157,14.3303812717532,13.963219371119,15.2272816912789,15.2513868520915,15.061149734187,14.6797278459268,15.0211844379781,15.0967390108048,14.7622881925951,14.9304309377164,14.7976105002018,15.5029433051798,15.9757532534259,15.6162812929348,15.5919998588316,15.6146239154482,15.8646644684196,15.6860696350243,15.735855693338,15.5007560942905,15.7316387836843,16.0495563317293,15.8298837112663,16.078993861657,16.5394323685896,15.6577295939721,15.5569009274917,15.5200405675091,15.6056953036897,15.4403692634454,15.2903902974495,15.0559379791479,14.9025032781051,14.224698213194,14.0503194532554,13.3503723782391,13.0619824134114,13.9436379786398,14.5815584038817,14.6353468837481,14.48332493108,14.4685640887196,14.7922855422054,14.3811748184901,15.1215960425264,15.2138867155725,15.9908638200694,16.2256100093864,16.6478368813393,16.7237669091791,14.1193430769386,15.0650111919847,15.8683958452267,17.6365807951292,19.6227507182309,22.0031354869926,23.4013532463252,24.1729498708902,26.7590689990115,28.0946912631407,29.1691301648132,27.3900500748337,26.8347760432949,25.9512342923287,25.02892771213,24.3810436317041,23.128286140482,21.9955294920769,20.541086173175,19.2570604226887,18.6450927033782,17.1468715894762,16.9769968040804,15.7420388833582,15.2839440281011,15.0698735136985,14.5061708662957,13.7743605248538,13.2000386892082,13.2472633223118,12.4479262841425,11.5013563609984,12.2012123374459,12.1156346283448,12.6038310649102,12.7997708536412,12.8930887285013,13.1398616433473,13.1467648938547,13.2208529597609,13.3422165215827,13.3307202941547,13.2486876109327,12.7492866225933,13.1565084111098,14.0473298988703,14.0611224026548,14.7246745260363,15.5313112802579],"EWQ^FMA_EVAL_EBITDA(NTMA,0,,,\"PORTAGG\",\"MEANR\")":9.41685137894581,"EWU^FMA_DIV_YLD(NTMA,NOW,NOW,M,\"PORTAGG\",\"MEANR\")":4.20652070417503,"QQQ^FMA_COS_UP(\"EPS\",\"1M\",+1,0,,,\"PORTAGG\",\"MEANR\")":33.0,"EWG^FMA_PE(LTM,0,,,\"PORTAGG\",\"MEANR\")":14.930854329378,"ENZL^FMA_DIV_YLD(NTMA,NOW,NOW,M,\"PORTAGG\",\"MEANR\")":2.89713443638977,"EWL^FG_ROE(0)":24.148855222352,"DUMMY^ECON_DATE(45366,45199,'Q', 'MM/YYYY')":["12/2023","09/2023"],"DUMMY^ECON_EXPR_DATA('FDS_ECON[PMIDMMANHE]',45366,45199,Q)":[47.378044,47.086407],"DUMMY^ECON_EXPR_DATA('FDS_ECON[NTCPMIMFGSA@EME]',45366,45199,Q)":[50.64065,50.814144],"DUMMY^ECON_EXPR_DATA('FDS_ECON[NTCPMIMFGSA@NZ]',45366,45199,Q)":[44.351116,45.880733],"DUMMY^ECON_EXPR_DATA('FDS_ECON[NTCPMIMFGSA@AU]',45366,45199,Q)":[47.862293,49.327065],"DUMMY^ECON_EXPR_DATA('FDS_ECON[NTCPMIMFGSA@CA]',45366,45199,Q)":[47.255585,48.335907],"DUMMY^ECON_EXPR_DATA('FDS_ECON[NTCPMIMFGSA@DE]',45366,45199,Q)":[42.238945,39.155674],"DUMMY^ECON_EXPR_DATA('FDS_ECON[NTCPMIMFGSA@JP]',45366,45199,Q)":[48.31877,49.252666],"DUMMY^ECON_EXPR_DATA('FDS_ECON[NTCPMIMFGSA@CH]',45366,45199,Q)":[41.921543,41.102364],"DUMMY^ECON_EXPR_DATA('FDS_ECON[NTCPMIMFGSA@GB]',45366,45199,Q)":[46.0587,44.209953],"DUMMY^ECON_EXPR_DATA('FDS_ECON[NTCPMIMFGMESA@US]',45366,45199,Q)":[49.098827,48.91491],"DUMMY^ECON_EXPR_DATA('FDS_ECON[NTCPMIMFGSA@FR]',45366,45199,Q)":[42.573967,45.09797],"DUMMY^ECON_EXPR_DATA('FDS_ECON[NTCPMIMFGSA@NL]',45366,45199,Q)":[44.495136,44.945713],"DUMMY^ECON_EXPR_DATA('FDS_ECON[]',45366,45199,Q)":null,"DUMMY^ECON_EXPR_DATA('FDS_ECON[NTCPMIMFGSA@IT]',45366,45199,Q)":[44.859455,45.562866],"DUMMY^ECON_EXPR_DATA('FDS_ECON[NTCPMIMFGSA@NZ]',02/2024,,Q)":44.351116,"DUMMY^ECON_EXPR_DATA('FDS_ECON[NTCPMIMFGSA@NZ]',11/2023,,Q)":45.880733,"DUMMY^ECON_EXPR_DATA('FDS_ECON[NTCPMIMFGSA@AU]',02/2024,,Q)":47.862293,"DUMMY^ECON_EXPR_DATA('FDS_ECON[NTCPMIMFGSA@AU]',11/2023,,Q)":49.327065,"DUMMY^ECON_EXPR_DATA('FDS_ECON[NTCPMIMFGSA@CA]',02/2024,,Q)":47.255585,"DUMMY^ECON_EXPR_DATA('FDS_ECON[NTCPMIMFGSA@CA]',11/2023,,Q)":48.335907,"DUMMY^ECON_EXPR_DATA('FDS_ECON[NTCPMIMFGSA@DE]',02/2024,,Q)":42.238945,"DUMMY^ECON_EXPR_DATA('FDS_ECON[NTCPMIMFGSA@DE]',11/2023,,Q)":39.155674,"DUMMY^ECON_EXPR_DATA('FDS_ECON[NTCPMIMFGSA@JP]',02/2024,,Q)":48.31877,"DUMMY^ECON_EXPR_DATA('FDS_ECON[NTCPMIMFGSA@JP]',11/2023,,Q)":49.252666,"DUMMY^ECON_EXPR_DATA('FDS_ECON[NTCPMIMFGSA@CH]',02/2024,,Q)":41.921543,"DUMMY^ECON_EXPR_DATA('FDS_ECON[NTCPMIMFGSA@CH]',11/2023,,Q)":41.102364,"DUMMY^ECON_EXPR_DATA('FDS_ECON[NTCPMIMFGSA@GB]',02/2024,,Q)":46.0587,"DUMMY^ECON_EXPR_DATA('FDS_ECON[NTCPMIMFGSA@GB]',11/2023,,Q)":44.209953,"DUMMY^ECON_EXPR_DATA('FDS_ECON[NTCPMIMFGMESA@US]',02/2024,,Q)":49.098827,"DUMMY^ECON_EXPR_DATA('FDS_ECON[NTCPMIMFGMESA@US]',11/2023,,Q)":48.91491,"DUMMY^ECON_EXPR_DATA('FDS_ECON[NTCPMIMFGSA@FR]',02/2024,,Q)":42.573967,"DUMMY^ECON_EXPR_DATA('FDS_ECON[NTCPMIMFGSA@FR]',11/2023,,Q)":45.09797,"DUMMY^ECON_EXPR_DATA('FDS_ECON[NTCPMIMFGSA@NL]',02/2024,,Q)":44.495136,"DUMMY^ECON_EXPR_DATA('FDS_ECON[NTCPMIMFGSA@NL]',11/2023,,Q)":44.945713,"DUMMY^ECON_EXPR_DATA('FDS_ECON[]',02/2024,,Q)":null,"DUMMY^ECON_EXPR_DATA('FDS_ECON[]',11/2023,,Q)":null,"DUMMY^ECON_EXPR_DATA('FDS_ECON[NTCPMIMFGSA@IT]',02/2024,,Q)":44.859455,"DUMMY^ECON_EXPR_DATA('FDS_ECON[NTCPMIMFGSA@IT]',11/2023,,Q)":45.562866,"DUMMY^ECON_EXPR_DATA('FDS_ECON[PMIDMMANHE]',02/2024,,Q)":47.378044,"DUMMY^ECON_EXPR_DATA('FDS_ECON[PMIDMMANHE]',11/2023,,Q)":47.086407,"DUMMY^ECON_EXPR_DATA('FDS_ECON[NTCPMIMFGSA@EME]',02/2024,,Q)":50.64065,"DUMMY^ECON_EXPR_DATA('FDS_ECON[NTCPMIMFGSA@EME]',11/2023,,Q)":50.814144}]]></FdsFormulaCache>
</file>

<file path=customXml/itemProps1.xml><?xml version="1.0" encoding="utf-8"?>
<ds:datastoreItem xmlns:ds="http://schemas.openxmlformats.org/officeDocument/2006/customXml" ds:itemID="{A933743D-C049-4D26-80AB-21FAE826510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</vt:vector>
  </HeadingPairs>
  <TitlesOfParts>
    <vt:vector size="29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Risk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Economic Momentum (2)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2024-03-15T11:39:17Z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