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98AD7DB-83E8-4020-88CD-FE4C139C7DC8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57" l="1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G17" i="57" a="1"/>
  <c r="D14" i="57" a="1"/>
  <c r="G14" i="57" a="1"/>
  <c r="D12" i="57" a="1"/>
  <c r="D10" i="57" a="1"/>
  <c r="D9" i="57" a="1"/>
  <c r="D17" i="57" a="1"/>
  <c r="D13" i="57" a="1"/>
  <c r="G13" i="57" a="1"/>
  <c r="G12" i="57" a="1"/>
  <c r="D11" i="57" a="1"/>
  <c r="G11" i="57" a="1"/>
  <c r="G10" i="57" a="1"/>
  <c r="G10" i="57" l="1"/>
  <c r="G11" i="57"/>
  <c r="D11" i="57"/>
  <c r="G12" i="57"/>
  <c r="G13" i="57"/>
  <c r="D13" i="57"/>
  <c r="D17" i="57"/>
  <c r="D9" i="57"/>
  <c r="D10" i="57"/>
  <c r="D12" i="57"/>
  <c r="G14" i="57"/>
  <c r="D14" i="57"/>
  <c r="G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M16" i="48" a="1"/>
  <c r="M13" i="48" a="1"/>
  <c r="M10" i="48" a="1"/>
  <c r="M9" i="48" a="1"/>
  <c r="M6" i="48" a="1"/>
  <c r="M5" i="48" a="1"/>
  <c r="M7" i="48" a="1"/>
  <c r="M12" i="48" a="1"/>
  <c r="M4" i="48" a="1"/>
  <c r="M14" i="48" a="1"/>
  <c r="M11" i="48" a="1"/>
  <c r="M8" i="48" a="1"/>
  <c r="M8" i="48" l="1"/>
  <c r="M11" i="48"/>
  <c r="M14" i="48"/>
  <c r="M4" i="48"/>
  <c r="M12" i="48"/>
  <c r="M7" i="48"/>
  <c r="M5" i="48"/>
  <c r="M6" i="48"/>
  <c r="M9" i="48"/>
  <c r="M10" i="48"/>
  <c r="M13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G3" i="60" a="1"/>
  <c r="F5" i="39" a="1"/>
  <c r="J20" i="48" a="1"/>
  <c r="M2" i="38" a="1"/>
  <c r="AK4" i="9" a="1"/>
  <c r="U4" i="9" a="1"/>
  <c r="E4" i="9" a="1"/>
  <c r="H8" i="1" a="1"/>
  <c r="F6" i="1" a="1"/>
  <c r="K3" i="1" a="1"/>
  <c r="C16" i="40" a="1"/>
  <c r="G11" i="60" a="1"/>
  <c r="B15" i="12" a="1"/>
  <c r="L5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O15" i="1" a="1"/>
  <c r="I20" i="1" a="1"/>
  <c r="G15" i="1" a="1"/>
  <c r="L12" i="1" a="1"/>
  <c r="J10" i="1" a="1"/>
  <c r="C6" i="1" a="1"/>
  <c r="D4" i="49" a="1"/>
  <c r="G7" i="60" a="1"/>
  <c r="J19" i="48" a="1"/>
  <c r="L2" i="38" a="1"/>
  <c r="AJ4" i="9" a="1"/>
  <c r="T4" i="9" a="1"/>
  <c r="D4" i="9" a="1"/>
  <c r="F8" i="12" a="1"/>
  <c r="H9" i="39" a="1"/>
  <c r="C3" i="39" a="1"/>
  <c r="K11" i="28" a="1"/>
  <c r="G12" i="28" a="1"/>
  <c r="G4" i="28" a="1"/>
  <c r="O14" i="1" a="1"/>
  <c r="C5" i="1" a="1"/>
  <c r="F11" i="60" a="1"/>
  <c r="F3" i="60" a="1"/>
  <c r="H9" i="52" a="1"/>
  <c r="T11" i="56" a="1"/>
  <c r="H12" i="56" a="1"/>
  <c r="O23" i="12" a="1"/>
  <c r="L18" i="12" a="1"/>
  <c r="N14" i="12" a="1"/>
  <c r="R10" i="12" a="1"/>
  <c r="K9" i="12" a="1"/>
  <c r="M7" i="12" a="1"/>
  <c r="Q3" i="12" a="1"/>
  <c r="G20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M18" i="12" a="1"/>
  <c r="O14" i="12" a="1"/>
  <c r="Q12" i="12" a="1"/>
  <c r="S10" i="12" a="1"/>
  <c r="L9" i="12" a="1"/>
  <c r="N7" i="12" a="1"/>
  <c r="P5" i="12" a="1"/>
  <c r="R3" i="12" a="1"/>
  <c r="E21" i="12" a="1"/>
  <c r="G13" i="12" a="1"/>
  <c r="E3" i="12" a="1"/>
  <c r="J12" i="39" a="1"/>
  <c r="F6" i="39" a="1"/>
  <c r="M5" i="28" a="1"/>
  <c r="D10" i="28" a="1"/>
  <c r="H20" i="1" a="1"/>
  <c r="F15" i="1" a="1"/>
  <c r="K12" i="1" a="1"/>
  <c r="I10" i="1" a="1"/>
  <c r="G8" i="1" a="1"/>
  <c r="L5" i="1" a="1"/>
  <c r="J3" i="1" a="1"/>
  <c r="C21" i="55" a="1"/>
  <c r="C15" i="40" a="1"/>
  <c r="F7" i="60" a="1"/>
  <c r="H5" i="52" a="1"/>
  <c r="Q21" i="12" a="1"/>
  <c r="S19" i="12" a="1"/>
  <c r="P12" i="12" a="1"/>
  <c r="F13" i="12" a="1"/>
  <c r="J11" i="39" a="1"/>
  <c r="C2" i="39" a="1"/>
  <c r="M10" i="28" a="1"/>
  <c r="J16" i="48" a="1"/>
  <c r="K2" i="38" a="1"/>
  <c r="AI4" i="9" a="1"/>
  <c r="S4" i="9" a="1"/>
  <c r="C4" i="9" a="1"/>
  <c r="G11" i="43" a="1"/>
  <c r="D15" i="42" a="1"/>
  <c r="D13" i="42" a="1"/>
  <c r="D9" i="42" a="1"/>
  <c r="D5" i="42" a="1"/>
  <c r="D3" i="42" a="1"/>
  <c r="N2" i="15" a="1"/>
  <c r="J2" i="7" a="1"/>
  <c r="H2" i="47" a="1"/>
  <c r="H11" i="52" a="1"/>
  <c r="T15" i="56" a="1"/>
  <c r="T7" i="56" a="1"/>
  <c r="H16" i="56" a="1"/>
  <c r="H8" i="56" a="1"/>
  <c r="C24" i="56" a="1"/>
  <c r="C15" i="13" a="1"/>
  <c r="E8" i="12" a="1"/>
  <c r="H8" i="39" a="1"/>
  <c r="H11" i="28" a="1"/>
  <c r="G3" i="43" a="1"/>
  <c r="D11" i="42" a="1"/>
  <c r="D7" i="42" a="1"/>
  <c r="L2" i="5" a="1"/>
  <c r="F2" i="46" a="1"/>
  <c r="H7" i="52" a="1"/>
  <c r="H3" i="52" a="1"/>
  <c r="O5" i="12" a="1"/>
  <c r="J15" i="48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3" i="48" a="1"/>
  <c r="H9" i="43" a="1"/>
  <c r="C9" i="43" a="1"/>
  <c r="I14" i="42" a="1"/>
  <c r="I12" i="42" a="1"/>
  <c r="I10" i="42" a="1"/>
  <c r="J12" i="48" a="1"/>
  <c r="G2" i="38" a="1"/>
  <c r="AE4" i="9" a="1"/>
  <c r="O4" i="9" a="1"/>
  <c r="G9" i="43" a="1"/>
  <c r="C8" i="43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G6" i="42" a="1"/>
  <c r="G4" i="42" a="1"/>
  <c r="K2" i="18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F2" i="15" a="1"/>
  <c r="D2" i="5" a="1"/>
  <c r="H8" i="52" a="1"/>
  <c r="H6" i="52" a="1"/>
  <c r="T17" i="56" a="1"/>
  <c r="T9" i="56" a="1"/>
  <c r="H2" i="18" a="1"/>
  <c r="B2" i="7" a="1"/>
  <c r="N2" i="46" a="1"/>
  <c r="H12" i="52" a="1"/>
  <c r="H10" i="52" a="1"/>
  <c r="H4" i="52" a="1"/>
  <c r="T13" i="56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J6" i="48" a="1"/>
  <c r="A2" i="38" a="1"/>
  <c r="Y4" i="9" a="1"/>
  <c r="G14" i="43" a="1"/>
  <c r="G6" i="43" a="1"/>
  <c r="J15" i="42" a="1"/>
  <c r="J5" i="48" a="1"/>
  <c r="AN4" i="9" a="1"/>
  <c r="X4" i="9" a="1"/>
  <c r="H4" i="9" a="1"/>
  <c r="H13" i="43" a="1"/>
  <c r="H5" i="43" a="1"/>
  <c r="I15" i="42" a="1"/>
  <c r="I13" i="42" a="1"/>
  <c r="I11" i="42" a="1"/>
  <c r="I9" i="42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N2" i="38" a="1"/>
  <c r="AL4" i="9" a="1"/>
  <c r="V4" i="9" a="1"/>
  <c r="F4" i="9" a="1"/>
  <c r="H3" i="28" a="1"/>
  <c r="H2" i="38" a="1"/>
  <c r="J5" i="42" a="1"/>
  <c r="I2" i="7" a="1"/>
  <c r="D4" i="52" a="1"/>
  <c r="J15" i="56" a="1"/>
  <c r="G8" i="56" a="1"/>
  <c r="B8" i="56" a="1"/>
  <c r="M19" i="12" a="1"/>
  <c r="L14" i="12" a="1"/>
  <c r="O11" i="12" a="1"/>
  <c r="E11" i="12" a="1"/>
  <c r="B12" i="12" a="1"/>
  <c r="H13" i="39" a="1"/>
  <c r="C10" i="39" a="1"/>
  <c r="G15" i="28" a="1"/>
  <c r="G20" i="1" a="1"/>
  <c r="G14" i="1" a="1"/>
  <c r="G11" i="1" a="1"/>
  <c r="K4" i="1" a="1"/>
  <c r="C8" i="1" a="1"/>
  <c r="H6" i="60" a="1"/>
  <c r="F20" i="1" a="1"/>
  <c r="J7" i="1" a="1"/>
  <c r="J4" i="1" a="1"/>
  <c r="C4" i="1" a="1"/>
  <c r="C15" i="55" a="1"/>
  <c r="G12" i="60" a="1"/>
  <c r="C9" i="39" a="1"/>
  <c r="H14" i="28" a="1"/>
  <c r="D5" i="28" a="1"/>
  <c r="F14" i="1" a="1"/>
  <c r="F11" i="1" a="1"/>
  <c r="C3" i="1" a="1"/>
  <c r="F10" i="1" a="1"/>
  <c r="H5" i="60" a="1"/>
  <c r="H10" i="28" a="1"/>
  <c r="C12" i="40" a="1"/>
  <c r="AF4" i="9" a="1"/>
  <c r="I5" i="42" a="1"/>
  <c r="F12" i="52" a="1"/>
  <c r="E8" i="52" a="1"/>
  <c r="G3" i="52" a="1"/>
  <c r="B7" i="56" a="1"/>
  <c r="N22" i="12" a="1"/>
  <c r="M8" i="12" a="1"/>
  <c r="L5" i="12" a="1"/>
  <c r="F22" i="12" a="1"/>
  <c r="G10" i="12" a="1"/>
  <c r="H12" i="39" a="1"/>
  <c r="L9" i="28" a="1"/>
  <c r="D18" i="28" a="1"/>
  <c r="G19" i="12" a="1"/>
  <c r="H3" i="39" a="1"/>
  <c r="J12" i="1" a="1"/>
  <c r="L11" i="1" a="1"/>
  <c r="E7" i="60" a="1"/>
  <c r="P4" i="9" a="1"/>
  <c r="G2" i="7" a="1"/>
  <c r="D8" i="52" a="1"/>
  <c r="U10" i="56" a="1"/>
  <c r="I15" i="56" a="1"/>
  <c r="J7" i="56" a="1"/>
  <c r="C14" i="13" a="1"/>
  <c r="L19" i="12" a="1"/>
  <c r="K14" i="12" a="1"/>
  <c r="N11" i="12" a="1"/>
  <c r="L8" i="12" a="1"/>
  <c r="E22" i="12" a="1"/>
  <c r="B11" i="12" a="1"/>
  <c r="H7" i="39" a="1"/>
  <c r="G6" i="60" a="1"/>
  <c r="E6" i="60" a="1"/>
  <c r="J6" i="56" a="1"/>
  <c r="O21" i="12" a="1"/>
  <c r="J13" i="1" a="1"/>
  <c r="G7" i="1" a="1"/>
  <c r="G4" i="1" a="1"/>
  <c r="F4" i="1" a="1"/>
  <c r="G13" i="1" a="1"/>
  <c r="J6" i="1" a="1"/>
  <c r="D11" i="49" a="1"/>
  <c r="C11" i="39" a="1"/>
  <c r="I4" i="9" a="1"/>
  <c r="I4" i="42" a="1"/>
  <c r="F2" i="7" a="1"/>
  <c r="E12" i="52" a="1"/>
  <c r="G7" i="52" a="1"/>
  <c r="T10" i="56" a="1"/>
  <c r="H15" i="56" a="1"/>
  <c r="M22" i="12" a="1"/>
  <c r="K19" i="12" a="1"/>
  <c r="M11" i="12" a="1"/>
  <c r="K5" i="12" a="1"/>
  <c r="F20" i="12" a="1"/>
  <c r="F10" i="12" a="1"/>
  <c r="B10" i="12" a="1"/>
  <c r="K9" i="28" a="1"/>
  <c r="L19" i="1" a="1"/>
  <c r="I7" i="1" a="1"/>
  <c r="I4" i="1" a="1"/>
  <c r="C14" i="55" a="1"/>
  <c r="F12" i="60" a="1"/>
  <c r="F6" i="60" a="1"/>
  <c r="D15" i="49" a="1"/>
  <c r="E11" i="60" a="1"/>
  <c r="V17" i="56" a="1"/>
  <c r="G11" i="28" a="1"/>
  <c r="G10" i="60" a="1"/>
  <c r="E5" i="60" a="1"/>
  <c r="J9" i="1" a="1"/>
  <c r="E23" i="12" a="1"/>
  <c r="C16" i="55" a="1"/>
  <c r="H4" i="42" a="1"/>
  <c r="E2" i="7" a="1"/>
  <c r="D12" i="52" a="1"/>
  <c r="E3" i="52" a="1"/>
  <c r="S10" i="56" a="1"/>
  <c r="G15" i="56" a="1"/>
  <c r="I7" i="56" a="1"/>
  <c r="C13" i="13" a="1"/>
  <c r="L22" i="12" a="1"/>
  <c r="S13" i="12" a="1"/>
  <c r="Q10" i="12" a="1"/>
  <c r="K8" i="12" a="1"/>
  <c r="S4" i="12" a="1"/>
  <c r="B9" i="12" a="1"/>
  <c r="H6" i="39" a="1"/>
  <c r="C8" i="39" a="1"/>
  <c r="G14" i="28" a="1"/>
  <c r="E4" i="28" a="1"/>
  <c r="L13" i="1" a="1"/>
  <c r="L10" i="1" a="1"/>
  <c r="D16" i="49" a="1"/>
  <c r="C12" i="55" a="1"/>
  <c r="U9" i="56" a="1"/>
  <c r="C11" i="13" a="1"/>
  <c r="Q4" i="12" a="1"/>
  <c r="B7" i="12" a="1"/>
  <c r="C6" i="39" a="1"/>
  <c r="L8" i="28" a="1"/>
  <c r="K8" i="28" a="1"/>
  <c r="E3" i="28" a="1"/>
  <c r="C11" i="55" a="1"/>
  <c r="F19" i="12" a="1"/>
  <c r="B6" i="12" a="1"/>
  <c r="D14" i="28" a="1"/>
  <c r="I13" i="1" a="1"/>
  <c r="G5" i="60" a="1"/>
  <c r="S15" i="12" a="1"/>
  <c r="F13" i="39" a="1"/>
  <c r="P22" i="12" a="1"/>
  <c r="D2" i="7" a="1"/>
  <c r="G11" i="52" a="1"/>
  <c r="D3" i="52" a="1"/>
  <c r="V9" i="56" a="1"/>
  <c r="J14" i="56" a="1"/>
  <c r="H7" i="56" a="1"/>
  <c r="P21" i="12" a="1"/>
  <c r="S18" i="12" a="1"/>
  <c r="R13" i="12" a="1"/>
  <c r="R4" i="12" a="1"/>
  <c r="E20" i="12" a="1"/>
  <c r="E10" i="12" a="1"/>
  <c r="M8" i="28" a="1"/>
  <c r="D15" i="28" a="1"/>
  <c r="K19" i="1" a="1"/>
  <c r="K13" i="1" a="1"/>
  <c r="H10" i="1" a="1"/>
  <c r="H7" i="1" a="1"/>
  <c r="H4" i="1" a="1"/>
  <c r="C13" i="55" a="1"/>
  <c r="E12" i="60" a="1"/>
  <c r="D4" i="28" a="1"/>
  <c r="R18" i="12" a="1"/>
  <c r="D14" i="49" a="1"/>
  <c r="H10" i="60" a="1"/>
  <c r="Q18" i="12" a="1"/>
  <c r="O13" i="12" a="1"/>
  <c r="Q7" i="12" a="1"/>
  <c r="G7" i="12" a="1"/>
  <c r="I19" i="1" a="1"/>
  <c r="L9" i="1" a="1"/>
  <c r="I3" i="1" a="1"/>
  <c r="D13" i="49" a="1"/>
  <c r="H9" i="28" a="1"/>
  <c r="J3" i="42" a="1"/>
  <c r="E7" i="52" a="1"/>
  <c r="C3" i="52" a="1"/>
  <c r="G7" i="56" a="1"/>
  <c r="C12" i="13" a="1"/>
  <c r="Q13" i="12" a="1"/>
  <c r="P10" i="12" a="1"/>
  <c r="S7" i="12" a="1"/>
  <c r="B8" i="12" a="1"/>
  <c r="H5" i="39" a="1"/>
  <c r="C7" i="39" a="1"/>
  <c r="H13" i="28" a="1"/>
  <c r="G10" i="1" a="1"/>
  <c r="D7" i="52" a="1"/>
  <c r="M15" i="28" a="1"/>
  <c r="O13" i="1" a="1"/>
  <c r="F7" i="1" a="1"/>
  <c r="L15" i="28" a="1"/>
  <c r="E7" i="12" a="1"/>
  <c r="B4" i="12" a="1"/>
  <c r="K15" i="1" a="1"/>
  <c r="J11" i="1" a="1"/>
  <c r="G11" i="12" a="1"/>
  <c r="I3" i="42" a="1"/>
  <c r="I14" i="56" a="1"/>
  <c r="G9" i="12" a="1"/>
  <c r="J19" i="1" a="1"/>
  <c r="H3" i="1" a="1"/>
  <c r="F18" i="12" a="1"/>
  <c r="E10" i="60" a="1"/>
  <c r="H9" i="1" a="1"/>
  <c r="H8" i="60" a="1"/>
  <c r="C17" i="55" a="1"/>
  <c r="N2" i="47" a="1"/>
  <c r="E11" i="52" a="1"/>
  <c r="C7" i="52" a="1"/>
  <c r="S9" i="56" a="1"/>
  <c r="H14" i="56" a="1"/>
  <c r="C10" i="13" a="1"/>
  <c r="P13" i="12" a="1"/>
  <c r="O10" i="12" a="1"/>
  <c r="R7" i="12" a="1"/>
  <c r="P4" i="12" a="1"/>
  <c r="F9" i="12" a="1"/>
  <c r="H4" i="39" a="1"/>
  <c r="M7" i="28" a="1"/>
  <c r="L6" i="1" a="1"/>
  <c r="C10" i="55" a="1"/>
  <c r="G19" i="1" a="1"/>
  <c r="G3" i="1" a="1"/>
  <c r="N5" i="12" a="1"/>
  <c r="D6" i="28" a="1"/>
  <c r="M2" i="18" a="1"/>
  <c r="M2" i="47" a="1"/>
  <c r="D11" i="52" a="1"/>
  <c r="J6" i="52" a="1"/>
  <c r="U17" i="56" a="1"/>
  <c r="G14" i="56" a="1"/>
  <c r="I6" i="56" a="1"/>
  <c r="C9" i="13" a="1"/>
  <c r="N21" i="12" a="1"/>
  <c r="L8" i="1" a="1"/>
  <c r="E18" i="28" a="1"/>
  <c r="L2" i="18" a="1"/>
  <c r="G2" i="47" a="1"/>
  <c r="C11" i="52" a="1"/>
  <c r="S17" i="56" a="1"/>
  <c r="V8" i="56" a="1"/>
  <c r="H6" i="56" a="1"/>
  <c r="P18" i="12" a="1"/>
  <c r="N10" i="12" a="1"/>
  <c r="L7" i="12" a="1"/>
  <c r="O4" i="12" a="1"/>
  <c r="E19" i="12" a="1"/>
  <c r="H2" i="39" a="1"/>
  <c r="O12" i="1" a="1"/>
  <c r="C18" i="55" a="1"/>
  <c r="H14" i="42" a="1"/>
  <c r="J2" i="18" a="1"/>
  <c r="J10" i="52" a="1"/>
  <c r="I6" i="52" a="1"/>
  <c r="J13" i="56" a="1"/>
  <c r="G6" i="56" a="1"/>
  <c r="C8" i="13" a="1"/>
  <c r="M21" i="12" a="1"/>
  <c r="K18" i="12" a="1"/>
  <c r="N13" i="12" a="1"/>
  <c r="M10" i="12" a="1"/>
  <c r="G18" i="12" a="1"/>
  <c r="F7" i="12" a="1"/>
  <c r="B5" i="12" a="1"/>
  <c r="G10" i="28" a="1"/>
  <c r="H19" i="1" a="1"/>
  <c r="H13" i="1" a="1"/>
  <c r="M13" i="12" a="1"/>
  <c r="H17" i="56" a="1"/>
  <c r="C6" i="40" a="1"/>
  <c r="G6" i="52" a="1"/>
  <c r="V16" i="56" a="1"/>
  <c r="U8" i="56" a="1"/>
  <c r="C7" i="13" a="1"/>
  <c r="L21" i="12" a="1"/>
  <c r="L10" i="12" a="1"/>
  <c r="K7" i="12" a="1"/>
  <c r="N4" i="12" a="1"/>
  <c r="F14" i="39" a="1"/>
  <c r="K15" i="28" a="1"/>
  <c r="L7" i="28" a="1"/>
  <c r="D13" i="28" a="1"/>
  <c r="O11" i="1" a="1"/>
  <c r="K9" i="1" a="1"/>
  <c r="K6" i="1" a="1"/>
  <c r="D12" i="49" a="1"/>
  <c r="C9" i="55" a="1"/>
  <c r="F10" i="60" a="1"/>
  <c r="F5" i="60" a="1"/>
  <c r="K21" i="12" a="1"/>
  <c r="C18" i="40" a="1"/>
  <c r="G9" i="60" a="1"/>
  <c r="D7" i="28" a="1"/>
  <c r="C9" i="1" a="1"/>
  <c r="J13" i="42" a="1"/>
  <c r="F2" i="18" a="1"/>
  <c r="E2" i="47" a="1"/>
  <c r="I10" i="52" a="1"/>
  <c r="T8" i="56" a="1"/>
  <c r="I13" i="56" a="1"/>
  <c r="J5" i="56" a="1"/>
  <c r="C6" i="13" a="1"/>
  <c r="C13" i="1" a="1"/>
  <c r="J8" i="1" a="1"/>
  <c r="K3" i="28" a="1"/>
  <c r="E2" i="18" a="1"/>
  <c r="D2" i="47" a="1"/>
  <c r="G10" i="52" a="1"/>
  <c r="F6" i="52" a="1"/>
  <c r="U16" i="56" a="1"/>
  <c r="S7" i="56" a="1"/>
  <c r="H13" i="56" a="1"/>
  <c r="K10" i="12" a="1"/>
  <c r="S6" i="12" a="1"/>
  <c r="M4" i="12" a="1"/>
  <c r="E18" i="12" a="1"/>
  <c r="B3" i="12" a="1"/>
  <c r="M14" i="28" a="1"/>
  <c r="K7" i="28" a="1"/>
  <c r="O10" i="1" a="1"/>
  <c r="F19" i="1" a="1"/>
  <c r="H6" i="1" a="1"/>
  <c r="O3" i="1" a="1"/>
  <c r="L7" i="1" a="1"/>
  <c r="H12" i="42" a="1"/>
  <c r="C2" i="47" a="1"/>
  <c r="T16" i="56" a="1"/>
  <c r="G12" i="56" a="1"/>
  <c r="I5" i="56" a="1"/>
  <c r="C5" i="13" a="1"/>
  <c r="S20" i="12" a="1"/>
  <c r="R15" i="12" a="1"/>
  <c r="L13" i="12" a="1"/>
  <c r="S9" i="12" a="1"/>
  <c r="L4" i="12" a="1"/>
  <c r="G6" i="12" a="1"/>
  <c r="J10" i="39" a="1"/>
  <c r="F12" i="39" a="1"/>
  <c r="L14" i="28" a="1"/>
  <c r="G9" i="28" a="1"/>
  <c r="I12" i="1" a="1"/>
  <c r="F3" i="1" a="1"/>
  <c r="D10" i="49" a="1"/>
  <c r="C14" i="40" a="1"/>
  <c r="H4" i="60" a="1"/>
  <c r="F10" i="52" a="1"/>
  <c r="F11" i="39" a="1"/>
  <c r="D23" i="1" a="1"/>
  <c r="D9" i="49" a="1"/>
  <c r="G4" i="60" a="1"/>
  <c r="M13" i="28" a="1"/>
  <c r="F4" i="52" a="1"/>
  <c r="K2" i="15" a="1"/>
  <c r="B2" i="47" a="1"/>
  <c r="E6" i="52" a="1"/>
  <c r="S15" i="56" a="1"/>
  <c r="H5" i="56" a="1"/>
  <c r="R20" i="12" a="1"/>
  <c r="K13" i="12" a="1"/>
  <c r="R6" i="12" a="1"/>
  <c r="P3" i="12" a="1"/>
  <c r="G15" i="12" a="1"/>
  <c r="F6" i="12" a="1"/>
  <c r="K14" i="28" a="1"/>
  <c r="M6" i="28" a="1"/>
  <c r="D12" i="28" a="1"/>
  <c r="O9" i="1" a="1"/>
  <c r="L15" i="1" a="1"/>
  <c r="I9" i="1" a="1"/>
  <c r="I6" i="1" a="1"/>
  <c r="C13" i="40" a="1"/>
  <c r="H9" i="60" a="1"/>
  <c r="F8" i="60" a="1"/>
  <c r="G8" i="52" a="1"/>
  <c r="J11" i="42" a="1"/>
  <c r="J2" i="15" a="1"/>
  <c r="D6" i="52" a="1"/>
  <c r="U6" i="56" a="1"/>
  <c r="J11" i="56" a="1"/>
  <c r="C23" i="56" a="1"/>
  <c r="C4" i="13" a="1"/>
  <c r="Q15" i="12" a="1"/>
  <c r="O12" i="12" a="1"/>
  <c r="R9" i="12" a="1"/>
  <c r="Q6" i="12" a="1"/>
  <c r="E6" i="12" a="1"/>
  <c r="J9" i="39" a="1"/>
  <c r="K5" i="28" a="1"/>
  <c r="H8" i="28" a="1"/>
  <c r="H12" i="1" a="1"/>
  <c r="O8" i="1" a="1"/>
  <c r="D6" i="49" a="1"/>
  <c r="K7" i="1" a="1"/>
  <c r="I2" i="15" a="1"/>
  <c r="A2" i="47" a="1"/>
  <c r="E10" i="52" a="1"/>
  <c r="G5" i="52" a="1"/>
  <c r="T6" i="56" a="1"/>
  <c r="S23" i="12" a="1"/>
  <c r="Q20" i="12" a="1"/>
  <c r="P15" i="12" a="1"/>
  <c r="P6" i="12" a="1"/>
  <c r="O3" i="12" a="1"/>
  <c r="F15" i="12" a="1"/>
  <c r="R14" i="12" a="1"/>
  <c r="G3" i="28" a="1"/>
  <c r="H10" i="42" a="1"/>
  <c r="H2" i="15" a="1"/>
  <c r="D10" i="52" a="1"/>
  <c r="U14" i="56" a="1"/>
  <c r="S6" i="56" a="1"/>
  <c r="I11" i="56" a="1"/>
  <c r="B17" i="56" a="1"/>
  <c r="N23" i="12" a="1"/>
  <c r="O15" i="12" a="1"/>
  <c r="N12" i="12" a="1"/>
  <c r="Q9" i="12" a="1"/>
  <c r="G5" i="12" a="1"/>
  <c r="J8" i="39" a="1"/>
  <c r="F10" i="39" a="1"/>
  <c r="L13" i="28" a="1"/>
  <c r="M4" i="28" a="1"/>
  <c r="G8" i="28" a="1"/>
  <c r="D9" i="28" a="1"/>
  <c r="G12" i="1" a="1"/>
  <c r="G9" i="1" a="1"/>
  <c r="K5" i="1" a="1"/>
  <c r="C15" i="1" a="1"/>
  <c r="D8" i="49" a="1"/>
  <c r="F4" i="60" a="1"/>
  <c r="J15" i="1" a="1"/>
  <c r="J5" i="1" a="1"/>
  <c r="C11" i="40" a="1"/>
  <c r="F9" i="60" a="1"/>
  <c r="D2" i="15" a="1"/>
  <c r="E5" i="52" a="1"/>
  <c r="S14" i="56" a="1"/>
  <c r="B16" i="56" a="1"/>
  <c r="M12" i="12" a="1"/>
  <c r="P9" i="12" a="1"/>
  <c r="N6" i="12" a="1"/>
  <c r="C14" i="1" a="1"/>
  <c r="E9" i="60" a="1"/>
  <c r="C5" i="52" a="1"/>
  <c r="L12" i="12" a="1"/>
  <c r="D8" i="28" a="1"/>
  <c r="O5" i="1" a="1"/>
  <c r="P8" i="12" a="1"/>
  <c r="L2" i="46" a="1"/>
  <c r="G9" i="52" a="1"/>
  <c r="T14" i="56" a="1"/>
  <c r="V5" i="56" a="1"/>
  <c r="H11" i="56" a="1"/>
  <c r="P20" i="12" a="1"/>
  <c r="O6" i="12" a="1"/>
  <c r="N3" i="12" a="1"/>
  <c r="E15" i="12" a="1"/>
  <c r="F5" i="12" a="1"/>
  <c r="F9" i="39" a="1"/>
  <c r="H7" i="28" a="1"/>
  <c r="O7" i="1" a="1"/>
  <c r="M23" i="12" a="1"/>
  <c r="N15" i="12" a="1"/>
  <c r="G14" i="12" a="1"/>
  <c r="F4" i="39" a="1"/>
  <c r="K13" i="28" a="1"/>
  <c r="F9" i="1" a="1"/>
  <c r="D7" i="49" a="1"/>
  <c r="E4" i="60" a="1"/>
  <c r="T5" i="56" a="1"/>
  <c r="M6" i="12" a="1"/>
  <c r="J5" i="39" a="1"/>
  <c r="K20" i="1" a="1"/>
  <c r="J9" i="42" a="1"/>
  <c r="K2" i="46" a="1"/>
  <c r="G11" i="56" a="1"/>
  <c r="J7" i="39" a="1"/>
  <c r="L4" i="28" a="1"/>
  <c r="F12" i="1" a="1"/>
  <c r="N20" i="12" a="1"/>
  <c r="C2" i="15" a="1"/>
  <c r="J2" i="46" a="1"/>
  <c r="D5" i="52" a="1"/>
  <c r="V13" i="56" a="1"/>
  <c r="U5" i="56" a="1"/>
  <c r="J10" i="56" a="1"/>
  <c r="B15" i="56" a="1"/>
  <c r="O20" i="12" a="1"/>
  <c r="M15" i="12" a="1"/>
  <c r="O9" i="12" a="1"/>
  <c r="M3" i="12" a="1"/>
  <c r="E13" i="12" a="1"/>
  <c r="E5" i="12" a="1"/>
  <c r="J6" i="39" a="1"/>
  <c r="G7" i="28" a="1"/>
  <c r="O6" i="1" a="1"/>
  <c r="I15" i="1" a="1"/>
  <c r="I5" i="1" a="1"/>
  <c r="C10" i="40" a="1"/>
  <c r="E3" i="60" a="1"/>
  <c r="E9" i="52" a="1"/>
  <c r="B14" i="56" a="1"/>
  <c r="L23" i="12" a="1"/>
  <c r="S8" i="12" a="1"/>
  <c r="L3" i="12" a="1"/>
  <c r="K4" i="28" a="1"/>
  <c r="I8" i="42" a="1"/>
  <c r="K2" i="5" a="1"/>
  <c r="E2" i="46" a="1"/>
  <c r="F3" i="39" a="1"/>
  <c r="M12" i="28" a="1"/>
  <c r="L14" i="1" a="1"/>
  <c r="U12" i="56" a="1"/>
  <c r="H8" i="42" a="1"/>
  <c r="D9" i="52" a="1"/>
  <c r="J4" i="52" a="1"/>
  <c r="U13" i="56" a="1"/>
  <c r="S5" i="56" a="1"/>
  <c r="I10" i="56" a="1"/>
  <c r="B13" i="56" a="1"/>
  <c r="K23" i="12" a="1"/>
  <c r="R19" i="12" a="1"/>
  <c r="L15" i="12" a="1"/>
  <c r="K12" i="12" a="1"/>
  <c r="K3" i="12" a="1"/>
  <c r="G12" i="12" a="1"/>
  <c r="G4" i="12" a="1"/>
  <c r="H6" i="28" a="1"/>
  <c r="K14" i="1" a="1"/>
  <c r="H5" i="1" a="1"/>
  <c r="C12" i="1" a="1"/>
  <c r="C20" i="55" a="1"/>
  <c r="C9" i="40" a="1"/>
  <c r="I2" i="5" a="1"/>
  <c r="C9" i="52" a="1"/>
  <c r="S13" i="56" a="1"/>
  <c r="H10" i="56" a="1"/>
  <c r="S22" i="12" a="1"/>
  <c r="M3" i="28" a="1"/>
  <c r="O4" i="1" a="1"/>
  <c r="K11" i="1" a="1"/>
  <c r="C19" i="55" a="1"/>
  <c r="J14" i="1" a="1"/>
  <c r="G5" i="1" a="1"/>
  <c r="C8" i="40" a="1"/>
  <c r="S11" i="12" a="1"/>
  <c r="R8" i="12" a="1"/>
  <c r="L6" i="12" a="1"/>
  <c r="J4" i="39" a="1"/>
  <c r="F2" i="39" a="1"/>
  <c r="L12" i="28" a="1"/>
  <c r="E7" i="28" a="1"/>
  <c r="K8" i="1" a="1"/>
  <c r="G8" i="60" a="1"/>
  <c r="C11" i="1" a="1"/>
  <c r="L3" i="28" a="1"/>
  <c r="K10" i="28" a="1"/>
  <c r="H11" i="1" a="1"/>
  <c r="H12" i="60" a="1"/>
  <c r="J7" i="42" a="1"/>
  <c r="H2" i="5" a="1"/>
  <c r="C2" i="46" a="1"/>
  <c r="J8" i="52" a="1"/>
  <c r="I4" i="52" a="1"/>
  <c r="J17" i="56" a="1"/>
  <c r="G10" i="56" a="1"/>
  <c r="B12" i="56" a="1"/>
  <c r="R22" i="12" a="1"/>
  <c r="Q19" i="12" a="1"/>
  <c r="K15" i="12" a="1"/>
  <c r="G23" i="12" a="1"/>
  <c r="F12" i="12" a="1"/>
  <c r="F4" i="12" a="1"/>
  <c r="J3" i="39" a="1"/>
  <c r="K12" i="28" a="1"/>
  <c r="G6" i="28" a="1"/>
  <c r="L20" i="1" a="1"/>
  <c r="E8" i="60" a="1"/>
  <c r="H14" i="1" a="1"/>
  <c r="I7" i="42" a="1"/>
  <c r="G2" i="5" a="1"/>
  <c r="B2" i="46" a="1"/>
  <c r="G4" i="52" a="1"/>
  <c r="V12" i="56" a="1"/>
  <c r="B11" i="56" a="1"/>
  <c r="R11" i="12" a="1"/>
  <c r="Q8" i="12" a="1"/>
  <c r="K6" i="12" a="1"/>
  <c r="F23" i="12" a="1"/>
  <c r="E4" i="12" a="1"/>
  <c r="C14" i="39" a="1"/>
  <c r="L10" i="28" a="1"/>
  <c r="F2" i="5" a="1"/>
  <c r="A2" i="46" a="1"/>
  <c r="I8" i="52" a="1"/>
  <c r="I17" i="56" a="1"/>
  <c r="J9" i="56" a="1"/>
  <c r="B10" i="56" a="1"/>
  <c r="Q22" i="12" a="1"/>
  <c r="P19" i="12" a="1"/>
  <c r="S14" i="12" a="1"/>
  <c r="Q11" i="12" a="1"/>
  <c r="S5" i="12" a="1"/>
  <c r="E12" i="12" a="1"/>
  <c r="B14" i="12" a="1"/>
  <c r="J2" i="39" a="1"/>
  <c r="C13" i="39" a="1"/>
  <c r="H5" i="28" a="1"/>
  <c r="I14" i="1" a="1"/>
  <c r="I11" i="1" a="1"/>
  <c r="F8" i="1" a="1"/>
  <c r="F5" i="1" a="1"/>
  <c r="C10" i="1" a="1"/>
  <c r="C7" i="40" a="1"/>
  <c r="C12" i="39" a="1"/>
  <c r="I6" i="42" a="1"/>
  <c r="J12" i="52" a="1"/>
  <c r="H6" i="42" a="1"/>
  <c r="B2" i="5" a="1"/>
  <c r="T12" i="56" a="1"/>
  <c r="G16" i="56" a="1"/>
  <c r="I9" i="56" a="1"/>
  <c r="B9" i="56" a="1"/>
  <c r="O19" i="12" a="1"/>
  <c r="M14" i="12" a="1"/>
  <c r="P11" i="12" a="1"/>
  <c r="O8" i="12" a="1"/>
  <c r="F11" i="12" a="1"/>
  <c r="B13" i="12" a="1"/>
  <c r="H14" i="39" a="1"/>
  <c r="H15" i="28" a="1"/>
  <c r="L4" i="1" a="1"/>
  <c r="M9" i="28" a="1"/>
  <c r="A2" i="5" a="1"/>
  <c r="I12" i="52" a="1"/>
  <c r="F8" i="52" a="1"/>
  <c r="E4" i="52" a="1"/>
  <c r="S11" i="56" a="1"/>
  <c r="H9" i="56" a="1"/>
  <c r="O22" i="12" a="1"/>
  <c r="N19" i="12" a="1"/>
  <c r="N8" i="12" a="1"/>
  <c r="M5" i="12" a="1"/>
  <c r="G22" i="12" a="1"/>
  <c r="G22" i="12" l="1"/>
  <c r="M5" i="12"/>
  <c r="N8" i="12"/>
  <c r="N19" i="12"/>
  <c r="O22" i="12"/>
  <c r="H9" i="56"/>
  <c r="S11" i="56"/>
  <c r="E4" i="52"/>
  <c r="F8" i="52"/>
  <c r="I12" i="52"/>
  <c r="A2" i="5"/>
  <c r="M9" i="28"/>
  <c r="L4" i="1"/>
  <c r="H15" i="28"/>
  <c r="H14" i="39"/>
  <c r="B13" i="12"/>
  <c r="F11" i="12"/>
  <c r="O8" i="12"/>
  <c r="P11" i="12"/>
  <c r="M14" i="12"/>
  <c r="O19" i="12"/>
  <c r="B9" i="56"/>
  <c r="I9" i="56"/>
  <c r="G16" i="56"/>
  <c r="T12" i="56"/>
  <c r="B2" i="5"/>
  <c r="H6" i="42"/>
  <c r="J12" i="52"/>
  <c r="I6" i="42"/>
  <c r="C12" i="39"/>
  <c r="C7" i="40"/>
  <c r="C10" i="1"/>
  <c r="F5" i="1"/>
  <c r="F8" i="1"/>
  <c r="I11" i="1"/>
  <c r="I14" i="1"/>
  <c r="H5" i="28"/>
  <c r="C13" i="39"/>
  <c r="J2" i="39"/>
  <c r="B14" i="12"/>
  <c r="E12" i="12"/>
  <c r="S5" i="12"/>
  <c r="Q11" i="12"/>
  <c r="S14" i="12"/>
  <c r="P19" i="12"/>
  <c r="Q22" i="12"/>
  <c r="B10" i="56"/>
  <c r="J9" i="56"/>
  <c r="I17" i="56"/>
  <c r="I8" i="52"/>
  <c r="A2" i="46"/>
  <c r="F2" i="5"/>
  <c r="L10" i="28"/>
  <c r="C14" i="39"/>
  <c r="E4" i="12"/>
  <c r="F23" i="12"/>
  <c r="K6" i="12"/>
  <c r="Q8" i="12"/>
  <c r="R11" i="12"/>
  <c r="B11" i="56"/>
  <c r="V12" i="56"/>
  <c r="G4" i="52"/>
  <c r="B2" i="46"/>
  <c r="G2" i="5"/>
  <c r="I7" i="42"/>
  <c r="H14" i="1"/>
  <c r="E8" i="60"/>
  <c r="L20" i="1"/>
  <c r="G6" i="28"/>
  <c r="K12" i="28"/>
  <c r="J3" i="39"/>
  <c r="F4" i="12"/>
  <c r="F12" i="12"/>
  <c r="G23" i="12"/>
  <c r="K15" i="12"/>
  <c r="Q19" i="12"/>
  <c r="R22" i="12"/>
  <c r="B12" i="56"/>
  <c r="G10" i="56"/>
  <c r="J17" i="56"/>
  <c r="I4" i="52"/>
  <c r="J8" i="52"/>
  <c r="C2" i="46"/>
  <c r="H2" i="5"/>
  <c r="J7" i="42"/>
  <c r="H12" i="60"/>
  <c r="H11" i="1"/>
  <c r="K10" i="28"/>
  <c r="L3" i="28"/>
  <c r="C11" i="1"/>
  <c r="G8" i="60"/>
  <c r="K8" i="1"/>
  <c r="E7" i="28"/>
  <c r="L12" i="28"/>
  <c r="F2" i="39"/>
  <c r="J4" i="39"/>
  <c r="L6" i="12"/>
  <c r="R8" i="12"/>
  <c r="S11" i="12"/>
  <c r="C8" i="40"/>
  <c r="G5" i="1"/>
  <c r="J14" i="1"/>
  <c r="C19" i="55"/>
  <c r="K11" i="1"/>
  <c r="O4" i="1"/>
  <c r="M3" i="28"/>
  <c r="S22" i="12"/>
  <c r="H10" i="56"/>
  <c r="S13" i="56"/>
  <c r="C9" i="52"/>
  <c r="I2" i="5"/>
  <c r="C9" i="40"/>
  <c r="C20" i="55"/>
  <c r="C12" i="1"/>
  <c r="H5" i="1"/>
  <c r="K14" i="1"/>
  <c r="H6" i="28"/>
  <c r="G4" i="12"/>
  <c r="G12" i="12"/>
  <c r="K3" i="12"/>
  <c r="K12" i="12"/>
  <c r="L15" i="12"/>
  <c r="R19" i="12"/>
  <c r="K23" i="12"/>
  <c r="B13" i="56"/>
  <c r="I10" i="56"/>
  <c r="S5" i="56"/>
  <c r="U13" i="56"/>
  <c r="J4" i="52"/>
  <c r="D9" i="52"/>
  <c r="H8" i="42"/>
  <c r="U12" i="56"/>
  <c r="L14" i="1"/>
  <c r="M12" i="28"/>
  <c r="F3" i="39"/>
  <c r="E2" i="46"/>
  <c r="K2" i="5"/>
  <c r="I8" i="42"/>
  <c r="K4" i="28"/>
  <c r="L3" i="12"/>
  <c r="S8" i="12"/>
  <c r="L23" i="12"/>
  <c r="B14" i="56"/>
  <c r="E9" i="52"/>
  <c r="E3" i="60"/>
  <c r="C10" i="40"/>
  <c r="I5" i="1"/>
  <c r="I15" i="1"/>
  <c r="O6" i="1"/>
  <c r="G7" i="28"/>
  <c r="J6" i="39"/>
  <c r="E5" i="12"/>
  <c r="E13" i="12"/>
  <c r="M3" i="12"/>
  <c r="O9" i="12"/>
  <c r="M15" i="12"/>
  <c r="O20" i="12"/>
  <c r="B15" i="56"/>
  <c r="J10" i="56"/>
  <c r="U5" i="56"/>
  <c r="V13" i="56"/>
  <c r="D5" i="52"/>
  <c r="J2" i="46"/>
  <c r="C2" i="15"/>
  <c r="N20" i="12"/>
  <c r="F12" i="1"/>
  <c r="L4" i="28"/>
  <c r="J7" i="39"/>
  <c r="G11" i="56"/>
  <c r="K2" i="46"/>
  <c r="J9" i="42"/>
  <c r="K20" i="1"/>
  <c r="J5" i="39"/>
  <c r="M6" i="12"/>
  <c r="T5" i="56"/>
  <c r="E4" i="60"/>
  <c r="D7" i="49"/>
  <c r="F9" i="1"/>
  <c r="K13" i="28"/>
  <c r="F4" i="39"/>
  <c r="G14" i="12"/>
  <c r="N15" i="12"/>
  <c r="M23" i="12"/>
  <c r="O7" i="1"/>
  <c r="H7" i="28"/>
  <c r="F9" i="39"/>
  <c r="F5" i="12"/>
  <c r="E15" i="12"/>
  <c r="N3" i="12"/>
  <c r="O6" i="12"/>
  <c r="P20" i="12"/>
  <c r="H11" i="56"/>
  <c r="V5" i="56"/>
  <c r="T14" i="56"/>
  <c r="G9" i="52"/>
  <c r="L2" i="46"/>
  <c r="P8" i="12"/>
  <c r="O5" i="1"/>
  <c r="D8" i="28"/>
  <c r="L12" i="12"/>
  <c r="C5" i="52"/>
  <c r="E9" i="60"/>
  <c r="C14" i="1"/>
  <c r="N6" i="12"/>
  <c r="P9" i="12"/>
  <c r="M12" i="12"/>
  <c r="B16" i="56"/>
  <c r="S14" i="56"/>
  <c r="E5" i="52"/>
  <c r="D2" i="15"/>
  <c r="F9" i="60"/>
  <c r="C11" i="40"/>
  <c r="J5" i="1"/>
  <c r="J15" i="1"/>
  <c r="F4" i="60"/>
  <c r="D8" i="49"/>
  <c r="C15" i="1"/>
  <c r="K5" i="1"/>
  <c r="G9" i="1"/>
  <c r="G12" i="1"/>
  <c r="D9" i="28"/>
  <c r="G8" i="28"/>
  <c r="M4" i="28"/>
  <c r="L13" i="28"/>
  <c r="F10" i="39"/>
  <c r="J8" i="39"/>
  <c r="G5" i="12"/>
  <c r="Q9" i="12"/>
  <c r="N12" i="12"/>
  <c r="O15" i="12"/>
  <c r="N23" i="12"/>
  <c r="B17" i="56"/>
  <c r="I11" i="56"/>
  <c r="S6" i="56"/>
  <c r="U14" i="56"/>
  <c r="D10" i="52"/>
  <c r="H2" i="15"/>
  <c r="H10" i="42"/>
  <c r="G3" i="28"/>
  <c r="R14" i="12"/>
  <c r="F15" i="12"/>
  <c r="O3" i="12"/>
  <c r="P6" i="12"/>
  <c r="P15" i="12"/>
  <c r="Q20" i="12"/>
  <c r="S23" i="12"/>
  <c r="T6" i="56"/>
  <c r="G5" i="52"/>
  <c r="E10" i="52"/>
  <c r="A2" i="47"/>
  <c r="I2" i="15"/>
  <c r="K7" i="1"/>
  <c r="D6" i="49"/>
  <c r="O8" i="1"/>
  <c r="H12" i="1"/>
  <c r="H8" i="28"/>
  <c r="K5" i="28"/>
  <c r="J9" i="39"/>
  <c r="E6" i="12"/>
  <c r="Q6" i="12"/>
  <c r="R9" i="12"/>
  <c r="O12" i="12"/>
  <c r="Q15" i="12"/>
  <c r="C4" i="13"/>
  <c r="C23" i="56"/>
  <c r="J11" i="56"/>
  <c r="U6" i="56"/>
  <c r="D6" i="52"/>
  <c r="J2" i="15"/>
  <c r="J11" i="42"/>
  <c r="G8" i="52"/>
  <c r="F8" i="60"/>
  <c r="H9" i="60"/>
  <c r="C13" i="40"/>
  <c r="I6" i="1"/>
  <c r="I9" i="1"/>
  <c r="L15" i="1"/>
  <c r="O9" i="1"/>
  <c r="D12" i="28"/>
  <c r="M6" i="28"/>
  <c r="K14" i="28"/>
  <c r="F6" i="12"/>
  <c r="G15" i="12"/>
  <c r="P3" i="12"/>
  <c r="R6" i="12"/>
  <c r="K13" i="12"/>
  <c r="R20" i="12"/>
  <c r="H5" i="56"/>
  <c r="S15" i="56"/>
  <c r="E6" i="52"/>
  <c r="B2" i="47"/>
  <c r="K2" i="15"/>
  <c r="F4" i="52"/>
  <c r="M13" i="28"/>
  <c r="G4" i="60"/>
  <c r="D9" i="49"/>
  <c r="D23" i="1"/>
  <c r="F11" i="39"/>
  <c r="F10" i="52"/>
  <c r="H4" i="60"/>
  <c r="C14" i="40"/>
  <c r="D10" i="49"/>
  <c r="F3" i="1"/>
  <c r="I12" i="1"/>
  <c r="G9" i="28"/>
  <c r="L14" i="28"/>
  <c r="F12" i="39"/>
  <c r="J10" i="39"/>
  <c r="G6" i="12"/>
  <c r="L4" i="12"/>
  <c r="S9" i="12"/>
  <c r="L13" i="12"/>
  <c r="R15" i="12"/>
  <c r="S20" i="12"/>
  <c r="C5" i="13"/>
  <c r="I5" i="56"/>
  <c r="G12" i="56"/>
  <c r="T16" i="56"/>
  <c r="C2" i="47"/>
  <c r="H12" i="42"/>
  <c r="L7" i="1"/>
  <c r="O3" i="1"/>
  <c r="H6" i="1"/>
  <c r="F19" i="1"/>
  <c r="O10" i="1"/>
  <c r="K7" i="28"/>
  <c r="M14" i="28"/>
  <c r="B3" i="12"/>
  <c r="E18" i="12"/>
  <c r="M4" i="12"/>
  <c r="S6" i="12"/>
  <c r="K10" i="12"/>
  <c r="H13" i="56"/>
  <c r="S7" i="56"/>
  <c r="U16" i="56"/>
  <c r="F6" i="52"/>
  <c r="G10" i="52"/>
  <c r="D2" i="47"/>
  <c r="E2" i="18"/>
  <c r="K3" i="28"/>
  <c r="J8" i="1"/>
  <c r="C13" i="1"/>
  <c r="C6" i="13"/>
  <c r="J5" i="56"/>
  <c r="I13" i="56"/>
  <c r="T8" i="56"/>
  <c r="I10" i="52"/>
  <c r="E2" i="47"/>
  <c r="F2" i="18"/>
  <c r="J13" i="42"/>
  <c r="C9" i="1"/>
  <c r="D7" i="28"/>
  <c r="G9" i="60"/>
  <c r="C18" i="40"/>
  <c r="K21" i="12"/>
  <c r="F5" i="60"/>
  <c r="F10" i="60"/>
  <c r="C9" i="55"/>
  <c r="D12" i="49"/>
  <c r="K6" i="1"/>
  <c r="K9" i="1"/>
  <c r="O11" i="1"/>
  <c r="D13" i="28"/>
  <c r="L7" i="28"/>
  <c r="K15" i="28"/>
  <c r="F14" i="39"/>
  <c r="N4" i="12"/>
  <c r="K7" i="12"/>
  <c r="L10" i="12"/>
  <c r="L21" i="12"/>
  <c r="C7" i="13"/>
  <c r="U8" i="56"/>
  <c r="V16" i="56"/>
  <c r="G6" i="52"/>
  <c r="C6" i="40"/>
  <c r="H17" i="56"/>
  <c r="M13" i="12"/>
  <c r="H13" i="1"/>
  <c r="H19" i="1"/>
  <c r="G10" i="28"/>
  <c r="B5" i="12"/>
  <c r="F7" i="12"/>
  <c r="G18" i="12"/>
  <c r="M10" i="12"/>
  <c r="N13" i="12"/>
  <c r="K18" i="12"/>
  <c r="M21" i="12"/>
  <c r="C8" i="13"/>
  <c r="G6" i="56"/>
  <c r="J13" i="56"/>
  <c r="I6" i="52"/>
  <c r="J10" i="52"/>
  <c r="J2" i="18"/>
  <c r="H14" i="42"/>
  <c r="C18" i="55"/>
  <c r="O12" i="1"/>
  <c r="H2" i="39"/>
  <c r="E19" i="12"/>
  <c r="O4" i="12"/>
  <c r="L7" i="12"/>
  <c r="N10" i="12"/>
  <c r="P18" i="12"/>
  <c r="H6" i="56"/>
  <c r="V8" i="56"/>
  <c r="S17" i="56"/>
  <c r="C11" i="52"/>
  <c r="G2" i="47"/>
  <c r="L2" i="18"/>
  <c r="E18" i="28"/>
  <c r="L8" i="1"/>
  <c r="N21" i="12"/>
  <c r="C9" i="13"/>
  <c r="I6" i="56"/>
  <c r="G14" i="56"/>
  <c r="U17" i="56"/>
  <c r="J6" i="52"/>
  <c r="D11" i="52"/>
  <c r="M2" i="47"/>
  <c r="M2" i="18"/>
  <c r="D6" i="28"/>
  <c r="N5" i="12"/>
  <c r="G3" i="1"/>
  <c r="G19" i="1"/>
  <c r="C10" i="55"/>
  <c r="L6" i="1"/>
  <c r="M7" i="28"/>
  <c r="H4" i="39"/>
  <c r="F9" i="12"/>
  <c r="P4" i="12"/>
  <c r="R7" i="12"/>
  <c r="O10" i="12"/>
  <c r="P13" i="12"/>
  <c r="C10" i="13"/>
  <c r="H14" i="56"/>
  <c r="S9" i="56"/>
  <c r="C7" i="52"/>
  <c r="E11" i="52"/>
  <c r="N2" i="47"/>
  <c r="C17" i="55"/>
  <c r="H8" i="60"/>
  <c r="H9" i="1"/>
  <c r="E10" i="60"/>
  <c r="F18" i="12"/>
  <c r="H3" i="1"/>
  <c r="J19" i="1"/>
  <c r="G9" i="12"/>
  <c r="I14" i="56"/>
  <c r="I3" i="42"/>
  <c r="G11" i="12"/>
  <c r="J11" i="1"/>
  <c r="K15" i="1"/>
  <c r="B4" i="12"/>
  <c r="E7" i="12"/>
  <c r="L15" i="28"/>
  <c r="F7" i="1"/>
  <c r="O13" i="1"/>
  <c r="M15" i="28"/>
  <c r="D7" i="52"/>
  <c r="G10" i="1"/>
  <c r="H13" i="28"/>
  <c r="C7" i="39"/>
  <c r="H5" i="39"/>
  <c r="B8" i="12"/>
  <c r="S7" i="12"/>
  <c r="P10" i="12"/>
  <c r="Q13" i="12"/>
  <c r="C12" i="13"/>
  <c r="G7" i="56"/>
  <c r="C3" i="52"/>
  <c r="E7" i="52"/>
  <c r="J3" i="42"/>
  <c r="H9" i="28"/>
  <c r="D13" i="49"/>
  <c r="I3" i="1"/>
  <c r="L9" i="1"/>
  <c r="I19" i="1"/>
  <c r="G7" i="12"/>
  <c r="Q7" i="12"/>
  <c r="O13" i="12"/>
  <c r="Q18" i="12"/>
  <c r="H10" i="60"/>
  <c r="D14" i="49"/>
  <c r="R18" i="12"/>
  <c r="D4" i="28"/>
  <c r="E12" i="60"/>
  <c r="C13" i="55"/>
  <c r="H4" i="1"/>
  <c r="H7" i="1"/>
  <c r="H10" i="1"/>
  <c r="K13" i="1"/>
  <c r="K19" i="1"/>
  <c r="D15" i="28"/>
  <c r="M8" i="28"/>
  <c r="E10" i="12"/>
  <c r="E20" i="12"/>
  <c r="R4" i="12"/>
  <c r="R13" i="12"/>
  <c r="S18" i="12"/>
  <c r="P21" i="12"/>
  <c r="H7" i="56"/>
  <c r="J14" i="56"/>
  <c r="V9" i="56"/>
  <c r="D3" i="52"/>
  <c r="G11" i="52"/>
  <c r="D2" i="7"/>
  <c r="P22" i="12"/>
  <c r="F13" i="39"/>
  <c r="S15" i="12"/>
  <c r="G5" i="60"/>
  <c r="I13" i="1"/>
  <c r="D14" i="28"/>
  <c r="B6" i="12"/>
  <c r="F19" i="12"/>
  <c r="C11" i="55"/>
  <c r="E3" i="28"/>
  <c r="K8" i="28"/>
  <c r="L8" i="28"/>
  <c r="C6" i="39"/>
  <c r="B7" i="12"/>
  <c r="Q4" i="12"/>
  <c r="C11" i="13"/>
  <c r="U9" i="56"/>
  <c r="C12" i="55"/>
  <c r="D16" i="49"/>
  <c r="L10" i="1"/>
  <c r="L13" i="1"/>
  <c r="E4" i="28"/>
  <c r="G14" i="28"/>
  <c r="C8" i="39"/>
  <c r="H6" i="39"/>
  <c r="B9" i="12"/>
  <c r="S4" i="12"/>
  <c r="K8" i="12"/>
  <c r="Q10" i="12"/>
  <c r="S13" i="12"/>
  <c r="L22" i="12"/>
  <c r="C13" i="13"/>
  <c r="I7" i="56"/>
  <c r="G15" i="56"/>
  <c r="S10" i="56"/>
  <c r="E3" i="52"/>
  <c r="D12" i="52"/>
  <c r="E2" i="7"/>
  <c r="H4" i="42"/>
  <c r="C16" i="55"/>
  <c r="E23" i="12"/>
  <c r="J9" i="1"/>
  <c r="E5" i="60"/>
  <c r="G10" i="60"/>
  <c r="G11" i="28"/>
  <c r="V17" i="56"/>
  <c r="E11" i="60"/>
  <c r="D15" i="49"/>
  <c r="F6" i="60"/>
  <c r="F12" i="60"/>
  <c r="C14" i="55"/>
  <c r="I4" i="1"/>
  <c r="I7" i="1"/>
  <c r="L19" i="1"/>
  <c r="K9" i="28"/>
  <c r="B10" i="12"/>
  <c r="F10" i="12"/>
  <c r="F20" i="12"/>
  <c r="K5" i="12"/>
  <c r="M11" i="12"/>
  <c r="K19" i="12"/>
  <c r="M22" i="12"/>
  <c r="H15" i="56"/>
  <c r="T10" i="56"/>
  <c r="G7" i="52"/>
  <c r="E12" i="52"/>
  <c r="F2" i="7"/>
  <c r="I4" i="42"/>
  <c r="I4" i="9"/>
  <c r="C11" i="39"/>
  <c r="D11" i="49"/>
  <c r="J6" i="1"/>
  <c r="G13" i="1"/>
  <c r="F4" i="1"/>
  <c r="G4" i="1"/>
  <c r="G7" i="1"/>
  <c r="J13" i="1"/>
  <c r="O21" i="12"/>
  <c r="J6" i="56"/>
  <c r="E6" i="60"/>
  <c r="G6" i="60"/>
  <c r="H7" i="39"/>
  <c r="B11" i="12"/>
  <c r="E22" i="12"/>
  <c r="L8" i="12"/>
  <c r="N11" i="12"/>
  <c r="K14" i="12"/>
  <c r="L19" i="12"/>
  <c r="C14" i="13"/>
  <c r="J7" i="56"/>
  <c r="I15" i="56"/>
  <c r="U10" i="56"/>
  <c r="D8" i="52"/>
  <c r="G2" i="7"/>
  <c r="P4" i="9"/>
  <c r="E7" i="60"/>
  <c r="L11" i="1"/>
  <c r="J12" i="1"/>
  <c r="H3" i="39"/>
  <c r="G19" i="12"/>
  <c r="D18" i="28"/>
  <c r="L9" i="28"/>
  <c r="H12" i="39"/>
  <c r="G10" i="12"/>
  <c r="F22" i="12"/>
  <c r="L5" i="12"/>
  <c r="M8" i="12"/>
  <c r="N22" i="12"/>
  <c r="B7" i="56"/>
  <c r="G3" i="52"/>
  <c r="E8" i="52"/>
  <c r="F12" i="52"/>
  <c r="I5" i="42"/>
  <c r="AF4" i="9"/>
  <c r="C12" i="40"/>
  <c r="H10" i="28"/>
  <c r="H5" i="60"/>
  <c r="F10" i="1"/>
  <c r="C3" i="1"/>
  <c r="F11" i="1"/>
  <c r="F14" i="1"/>
  <c r="D5" i="28"/>
  <c r="H14" i="28"/>
  <c r="C9" i="39"/>
  <c r="G12" i="60"/>
  <c r="C15" i="55"/>
  <c r="C4" i="1"/>
  <c r="J4" i="1"/>
  <c r="J7" i="1"/>
  <c r="F20" i="1"/>
  <c r="H6" i="60"/>
  <c r="C8" i="1"/>
  <c r="K4" i="1"/>
  <c r="G11" i="1"/>
  <c r="G14" i="1"/>
  <c r="G20" i="1"/>
  <c r="G15" i="28"/>
  <c r="C10" i="39"/>
  <c r="H13" i="39"/>
  <c r="B12" i="12"/>
  <c r="E11" i="12"/>
  <c r="O11" i="12"/>
  <c r="L14" i="12"/>
  <c r="M19" i="12"/>
  <c r="B8" i="56"/>
  <c r="G8" i="56"/>
  <c r="J15" i="56"/>
  <c r="D4" i="52"/>
  <c r="I2" i="7"/>
  <c r="J5" i="42"/>
  <c r="H2" i="38"/>
  <c r="H3" i="28"/>
  <c r="F4" i="9"/>
  <c r="V4" i="9"/>
  <c r="AL4" i="9"/>
  <c r="N2" i="38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I9" i="42"/>
  <c r="I11" i="42"/>
  <c r="I13" i="42"/>
  <c r="I15" i="42"/>
  <c r="H5" i="43"/>
  <c r="H13" i="43"/>
  <c r="H4" i="9"/>
  <c r="X4" i="9"/>
  <c r="AN4" i="9"/>
  <c r="J5" i="48"/>
  <c r="J15" i="42"/>
  <c r="G6" i="43"/>
  <c r="G14" i="43"/>
  <c r="Y4" i="9"/>
  <c r="A2" i="38"/>
  <c r="J6" i="48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T13" i="56"/>
  <c r="H4" i="52"/>
  <c r="H10" i="52"/>
  <c r="H12" i="52"/>
  <c r="N2" i="46"/>
  <c r="B2" i="7"/>
  <c r="H2" i="18"/>
  <c r="T9" i="56"/>
  <c r="T17" i="56"/>
  <c r="H6" i="52"/>
  <c r="H8" i="52"/>
  <c r="D2" i="5"/>
  <c r="F2" i="15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F4" i="42"/>
  <c r="F6" i="42"/>
  <c r="F8" i="42"/>
  <c r="F10" i="42"/>
  <c r="F12" i="42"/>
  <c r="F14" i="42"/>
  <c r="C6" i="43"/>
  <c r="G8" i="43"/>
  <c r="A13" i="9"/>
  <c r="A12" i="9"/>
  <c r="A11" i="9"/>
  <c r="A9" i="9"/>
  <c r="A8" i="9"/>
  <c r="A7" i="9"/>
  <c r="A6" i="9"/>
  <c r="A5" i="9"/>
  <c r="A4" i="9"/>
  <c r="A10" i="9"/>
  <c r="M4" i="9"/>
  <c r="AC4" i="9"/>
  <c r="E2" i="38"/>
  <c r="J10" i="48"/>
  <c r="K2" i="18"/>
  <c r="G4" i="42"/>
  <c r="G6" i="42"/>
  <c r="G8" i="42"/>
  <c r="G10" i="42"/>
  <c r="G12" i="42"/>
  <c r="G14" i="42"/>
  <c r="C7" i="43"/>
  <c r="H8" i="43"/>
  <c r="N4" i="9"/>
  <c r="AD4" i="9"/>
  <c r="F2" i="38"/>
  <c r="J11" i="48"/>
  <c r="C8" i="43"/>
  <c r="G9" i="43"/>
  <c r="O4" i="9"/>
  <c r="AE4" i="9"/>
  <c r="G2" i="38"/>
  <c r="J12" i="48"/>
  <c r="I10" i="42"/>
  <c r="I12" i="42"/>
  <c r="I14" i="42"/>
  <c r="C9" i="43"/>
  <c r="H9" i="43"/>
  <c r="J13" i="48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M2" i="15"/>
  <c r="C3" i="42"/>
  <c r="C5" i="42"/>
  <c r="C7" i="42"/>
  <c r="C9" i="42"/>
  <c r="C11" i="42"/>
  <c r="C13" i="42"/>
  <c r="C15" i="42"/>
  <c r="C11" i="43"/>
  <c r="H10" i="43"/>
  <c r="B4" i="9"/>
  <c r="R4" i="9"/>
  <c r="AH4" i="9"/>
  <c r="J2" i="38"/>
  <c r="J15" i="48"/>
  <c r="O5" i="12"/>
  <c r="H3" i="52"/>
  <c r="H7" i="52"/>
  <c r="F2" i="46"/>
  <c r="L2" i="5"/>
  <c r="D7" i="42"/>
  <c r="D11" i="42"/>
  <c r="G3" i="43"/>
  <c r="H11" i="28"/>
  <c r="H8" i="39"/>
  <c r="E8" i="12"/>
  <c r="C15" i="13"/>
  <c r="C24" i="56"/>
  <c r="H8" i="56"/>
  <c r="H16" i="56"/>
  <c r="T7" i="56"/>
  <c r="T15" i="56"/>
  <c r="H11" i="52"/>
  <c r="H2" i="47"/>
  <c r="J2" i="7"/>
  <c r="N2" i="15"/>
  <c r="D3" i="42"/>
  <c r="D5" i="42"/>
  <c r="D9" i="42"/>
  <c r="D13" i="42"/>
  <c r="D15" i="42"/>
  <c r="G11" i="43"/>
  <c r="C4" i="9"/>
  <c r="S4" i="9"/>
  <c r="AI4" i="9"/>
  <c r="K2" i="38"/>
  <c r="J16" i="48"/>
  <c r="M10" i="28"/>
  <c r="C2" i="39"/>
  <c r="J11" i="39"/>
  <c r="F13" i="12"/>
  <c r="P12" i="12"/>
  <c r="S19" i="12"/>
  <c r="Q21" i="12"/>
  <c r="H5" i="52"/>
  <c r="F7" i="60"/>
  <c r="C15" i="40"/>
  <c r="C21" i="55"/>
  <c r="J3" i="1"/>
  <c r="L5" i="1"/>
  <c r="G8" i="1"/>
  <c r="I10" i="1"/>
  <c r="K12" i="1"/>
  <c r="F15" i="1"/>
  <c r="H20" i="1"/>
  <c r="D10" i="28"/>
  <c r="M5" i="28"/>
  <c r="F6" i="39"/>
  <c r="J12" i="39"/>
  <c r="E3" i="12"/>
  <c r="G13" i="12"/>
  <c r="E21" i="12"/>
  <c r="R3" i="12"/>
  <c r="P5" i="12"/>
  <c r="N7" i="12"/>
  <c r="L9" i="12"/>
  <c r="S10" i="12"/>
  <c r="Q12" i="12"/>
  <c r="O14" i="12"/>
  <c r="M18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G20" i="12"/>
  <c r="Q3" i="12"/>
  <c r="M7" i="12"/>
  <c r="K9" i="12"/>
  <c r="R10" i="12"/>
  <c r="N14" i="12"/>
  <c r="L18" i="12"/>
  <c r="O23" i="12"/>
  <c r="H12" i="56"/>
  <c r="T11" i="56"/>
  <c r="H9" i="52"/>
  <c r="F3" i="60"/>
  <c r="F11" i="60"/>
  <c r="C5" i="1"/>
  <c r="O14" i="1"/>
  <c r="G4" i="28"/>
  <c r="G12" i="28"/>
  <c r="K11" i="28"/>
  <c r="C3" i="39"/>
  <c r="H9" i="39"/>
  <c r="F8" i="12"/>
  <c r="D4" i="9"/>
  <c r="T4" i="9"/>
  <c r="AJ4" i="9"/>
  <c r="L2" i="38"/>
  <c r="J19" i="48"/>
  <c r="G7" i="60"/>
  <c r="D4" i="49"/>
  <c r="C6" i="1"/>
  <c r="J10" i="1"/>
  <c r="L12" i="1"/>
  <c r="G15" i="1"/>
  <c r="I20" i="1"/>
  <c r="O15" i="1"/>
  <c r="H4" i="28"/>
  <c r="H12" i="28"/>
  <c r="K6" i="28"/>
  <c r="L11" i="28"/>
  <c r="C4" i="39"/>
  <c r="F7" i="39"/>
  <c r="H10" i="39"/>
  <c r="J13" i="39"/>
  <c r="F3" i="12"/>
  <c r="G8" i="12"/>
  <c r="E14" i="12"/>
  <c r="F21" i="12"/>
  <c r="S3" i="12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L5" i="28"/>
  <c r="B15" i="12"/>
  <c r="G11" i="60"/>
  <c r="C16" i="40"/>
  <c r="K3" i="1"/>
  <c r="F6" i="1"/>
  <c r="H8" i="1"/>
  <c r="E4" i="9"/>
  <c r="U4" i="9"/>
  <c r="AK4" i="9"/>
  <c r="M2" i="38"/>
  <c r="J20" i="48"/>
  <c r="F5" i="39"/>
  <c r="G3" i="60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13" i="12" a="1"/>
  <c r="Y13" i="12" s="1"/>
  <c r="AG2" i="12"/>
  <c r="AF2" i="12"/>
  <c r="AE2" i="12"/>
  <c r="M15" i="48" a="1"/>
  <c r="E6" i="28" a="1"/>
  <c r="E8" i="28" a="1"/>
  <c r="E11" i="28" a="1"/>
  <c r="E12" i="28" a="1"/>
  <c r="E14" i="28" a="1"/>
  <c r="E13" i="28" a="1"/>
  <c r="E15" i="28" a="1"/>
  <c r="E5" i="28" a="1"/>
  <c r="E9" i="28" a="1"/>
  <c r="E10" i="28" a="1"/>
  <c r="E10" i="28" l="1"/>
  <c r="E9" i="28"/>
  <c r="E5" i="28"/>
  <c r="E15" i="28"/>
  <c r="E13" i="28"/>
  <c r="E14" i="28"/>
  <c r="E12" i="28"/>
  <c r="E11" i="28"/>
  <c r="E8" i="28"/>
  <c r="E6" i="28"/>
  <c r="M15" i="48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5EB8294-4262-4983-9C56-96509E44898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Timestamp="1727444504"&gt;&lt;FQL&gt;&lt;Q&gt;FC0000US^FMA_MCAP(0,,,USD,"PORTAGG")&lt;/Q&gt;&lt;R&gt;1&lt;/R&gt;&lt;C&gt;1&lt;/C&gt;&lt;D xsi:type="xsd:double"&gt;59630524&lt;/D&gt;&lt;/FQL&gt;&lt;FQL&gt;&lt;Q&gt;EWU^FREF_MARKET_VALUE_COMPANY(0,,,USD,,0,,"LEGACY")&lt;/Q&gt;&lt;R&gt;1&lt;/R&gt;&lt;C&gt;1&lt;/C&gt;&lt;D xsi:type="xsd:double"&gt;3415.762&lt;/D&gt;&lt;/FQL&gt;&lt;FQL&gt;&lt;Q&gt;FC0000GB^FMA_MCAP(0,,,USD,"PORTAGG")&lt;/Q&gt;&lt;R&gt;1&lt;/R&gt;&lt;C&gt;1&lt;/C&gt;&lt;D xsi:type="xsd:double"&gt;3442832.8&lt;/D&gt;&lt;/FQL&gt;&lt;FQL&gt;&lt;Q&gt;EWL^FREF_MARKET_VALUE_COMPANY(0,,,USD,,0,,"LEGACY")&lt;/Q&gt;&lt;R&gt;1&lt;/R&gt;&lt;C&gt;1&lt;/C&gt;&lt;D xsi:type="xsd:double"&gt;1360.58&lt;/D&gt;&lt;/FQL&gt;&lt;FQL&gt;&lt;Q&gt;FC0000CH^FMA_MCAP(0,,,USD,"PORTAGG")&lt;/Q&gt;&lt;R&gt;1&lt;/R&gt;&lt;C&gt;1&lt;/C&gt;&lt;D xsi:type="xsd:double"&gt;2345397.5&lt;/D&gt;&lt;/FQL&gt;&lt;FQL&gt;&lt;Q&gt;EWJ^FREF_MARKET_VALUE_COMPANY(0,,,USD,,0,,"LEGACY")&lt;/Q&gt;&lt;R&gt;1&lt;/R&gt;&lt;C&gt;1&lt;/C&gt;&lt;D xsi:type="xsd:double"&gt;15218.415&lt;/D&gt;&lt;/FQL&gt;&lt;FQL&gt;&lt;Q&gt;FC0000JP^FMA_MCAP(0,,,USD,"PORTAGG")&lt;/Q&gt;&lt;R&gt;1&lt;/R&gt;&lt;C&gt;1&lt;/C&gt;&lt;D xsi:type="xsd:double"&gt;6859674&lt;/D&gt;&lt;/FQL&gt;&lt;FQL&gt;&lt;Q&gt;EWG^FREF_MARKET_VALUE_COMPANY(0,,,USD,,0,,"LEGACY")&lt;/Q&gt;&lt;R&gt;1&lt;/R&gt;&lt;C&gt;1&lt;/C&gt;&lt;D xsi:type="xsd:double"&gt;940.23&lt;/D&gt;&lt;/FQL&gt;&lt;FQL&gt;&lt;Q&gt;FC0000DE^FMA_MCAP(0,,,USD,"PORTAGG")&lt;/Q&gt;&lt;R&gt;1&lt;/R&gt;&lt;C&gt;1&lt;/C&gt;&lt;D xsi:type="xsd:double"&gt;2418593.5&lt;/D&gt;&lt;/FQL&gt;&lt;FQL&gt;&lt;Q&gt;EWC^FREF_MARKET_VALUE_COMPANY(0,,,USD,,0,,"LEGACY")&lt;/Q&gt;&lt;R&gt;1&lt;/R&gt;&lt;C&gt;1&lt;/C&gt;&lt;D xsi:type="xsd:double"&gt;2841.212&lt;/D&gt;&lt;/FQL&gt;&lt;FQL&gt;&lt;Q&gt;FC0000CA^FMA_MCAP(0,,,USD,"PORTAGG")&lt;/Q&gt;&lt;R&gt;1&lt;/R&gt;&lt;C&gt;1&lt;/C&gt;&lt;D xsi:type="xsd:double"&gt;2990072&lt;/D&gt;&lt;/FQL&gt;&lt;FQL&gt;&lt;Q&gt;EWA^FREF_MARKET_VALUE_COMPANY(0,,,USD,,0,,"LEGACY")&lt;/Q&gt;&lt;R&gt;1&lt;/R&gt;&lt;C&gt;1&lt;/C&gt;&lt;D xsi:type="xsd:double"&gt;1515.714&lt;/D&gt;&lt;/FQL&gt;&lt;FQL&gt;&lt;Q&gt;FC0000AU^FMA_MCAP(0,,,USD,"PORTAGG")&lt;/Q&gt;&lt;R&gt;1&lt;/R&gt;&lt;C&gt;1&lt;/C&gt;&lt;D xsi:type="xsd:double"&gt;1840020.9&lt;/D&gt;&lt;/FQL&gt;&lt;FQL&gt;&lt;Q&gt;ENZL^FREF_MARKET_VALUE_COMPANY(0,,,USD,,0,,"LEGACY")&lt;/Q&gt;&lt;R&gt;1&lt;/R&gt;&lt;C&gt;1&lt;/C&gt;&lt;D xsi:type="xsd:double"&gt;96.8955&lt;/D&gt;&lt;/FQL&gt;&lt;FQL&gt;&lt;Q&gt;FC0000NZ^FMA_MCAP(0,,,USD,"PORTAGG")&lt;/Q&gt;&lt;R&gt;1&lt;/R&gt;&lt;C&gt;1&lt;/C&gt;&lt;D xsi:type="xsd:double"&gt;101051.37&lt;/D&gt;&lt;/FQL&gt;&lt;FQL&gt;&lt;Q&gt;NQG00809^FG_COMPANY_NAME&lt;/Q&gt;&lt;R&gt;1&lt;/R&gt;&lt;C&gt;1&lt;/C&gt;&lt;D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Africa&lt;/D&gt;&lt;/FQL&gt;&lt;FQL&gt;&lt;Q&gt;FC0000ZA^FG_MCAP_IDX(0,,,USD)&lt;/Q&gt;&lt;R&gt;1&lt;/R&gt;&lt;C&gt;1&lt;/C&gt;&lt;D xsi:type="xsd:double"&gt;386050.66&lt;/D&gt;&lt;/FQL&gt;&lt;FQL&gt;&lt;Q&gt;EWI^FREF_MARKET_VALUE_COMPANY(0,,,USD,,0,,"LEGACY")&lt;/Q&gt;&lt;R&gt;1&lt;/R&gt;&lt;C&gt;1&lt;/C&gt;&lt;D xsi:type="xsd:double"&gt;557.50275&lt;/D&gt;&lt;/FQL&gt;&lt;FQL&gt;&lt;Q&gt;FC0000IT^FMA_MCAP(0,,,USD,"PORTAGG")&lt;/Q&gt;&lt;R&gt;1&lt;/R&gt;&lt;C&gt;1&lt;/C&gt;&lt;D xsi:type="xsd:double"&gt;909800.8&lt;/D&gt;&lt;/FQL&gt;&lt;FQL&gt;&lt;Q&gt;EWN^FREF_MARKET_VALUE_COMPANY(0,,,USD,,0,,"LEGACY")&lt;/Q&gt;&lt;R&gt;1&lt;/R&gt;&lt;C&gt;1&lt;/C&gt;&lt;D xsi:type="xsd:double"&gt;293.7675&lt;/D&gt;&lt;/FQL&gt;&lt;FQL&gt;&lt;Q&gt;SPY^FREF_MARKET_VALUE_COMPANY(0,,,USD,,0,,"LEGACY")&lt;/Q&gt;&lt;R&gt;1&lt;/R&gt;&lt;C&gt;1&lt;/C&gt;&lt;D xsi:type="xsd:double"&gt;587913.54583&lt;/D&gt;&lt;/FQL&gt;&lt;FQL&gt;&lt;Q&gt;QQQ^FREF_MARKET_VALUE_COMPANY(0,,,USD,,0,,"LEGACY")&lt;/Q&gt;&lt;R&gt;1&lt;/R&gt;&lt;C&gt;1&lt;/C&gt;&lt;D xsi:type="xsd:double"&gt;295590.933&lt;/D&gt;&lt;/FQL&gt;&lt;FQL&gt;&lt;Q&gt;NQG00809^FMA_MCAP(0,,,USD,"PORTAGG")&lt;/Q&gt;&lt;R&gt;0&lt;/R&gt;&lt;C&gt;0&lt;/C&gt;&lt;/FQL&gt;&lt;FQL&gt;&lt;Q&gt;EWD^FREF_MARKET_VALUE_COMPANY(0,,,USD,,0,,"LEGACY")&lt;/Q&gt;&lt;R&gt;1&lt;/R&gt;&lt;C&gt;1&lt;/C&gt;&lt;D xsi:type="xsd:double"&gt;332.01225&lt;/D&gt;&lt;/FQL&gt;&lt;FQL&gt;&lt;Q&gt;FC0000SE^FMA_MCAP(0,,,USD,"PORTAGG")&lt;/Q&gt;&lt;R&gt;1&lt;/R&gt;&lt;C&gt;1&lt;/C&gt;&lt;D xsi:type="xsd:double"&gt;1113302.6&lt;/D&gt;&lt;/FQL&gt;&lt;FQL&gt;&lt;Q&gt;FC0000NL^FMA_MCAP(0,,,USD,"PORTAGG")&lt;/Q&gt;&lt;R&gt;1&lt;/R&gt;&lt;C&gt;1&lt;/C&gt;&lt;D xsi:type="xsd:double"&gt;1141856.9&lt;/D&gt;&lt;/FQL&gt;&lt;FQL&gt;&lt;Q&gt;EWQ^FREF_MARKET_VALUE_COMPANY(0,,,USD,,0,,"LEGACY")&lt;/Q&gt;&lt;R&gt;1&lt;/R&gt;&lt;C&gt;1&lt;/C&gt;&lt;D xsi:type="xsd:double"&gt;674.04&lt;/D&gt;&lt;/FQL&gt;&lt;FQL&gt;&lt;Q&gt;FC0000FR^FMA_MCAP(0,,,USD,"PORTAGG")&lt;/Q&gt;&lt;R&gt;1&lt;/R&gt;&lt;C&gt;1&lt;/C&gt;&lt;D xsi:type="xsd:double"&gt;3335243.5&lt;/D&gt;&lt;/FQL&gt;&lt;FQL&gt;&lt;Q&gt;DUMMY^ECON_EXPR_DATA('FDS_ECON[NTCPMIMFGSA@IT]',,,M)&lt;/Q&gt;&lt;R&gt;1&lt;/R&gt;&lt;C&gt;1&lt;/C&gt;&lt;D xsi:type="xsd:double"&gt;49.41836&lt;/D&gt;&lt;/FQL&gt;&lt;FQL&gt;&lt;Q&gt;DUMMY^ECON_EXPR_DATA('FDS_ECON[NTCPMIMFGSA@FR]',,,M)&lt;/Q&gt;&lt;R&gt;1&lt;/R&gt;&lt;C&gt;1&lt;/C&gt;&lt;D xsi:type="xsd:double"&gt;43.86977&lt;/D&gt;&lt;/FQL&gt;&lt;FQL&gt;&lt;Q&gt;DUMMY^ECON_EXPR_DATA('FDS_ECON[NTCPMIMFGSA@GB]',,,M)&lt;/Q&gt;&lt;R&gt;1&lt;/R&gt;&lt;C&gt;1&lt;/C&gt;&lt;D xsi:type="xsd:double"&gt;52.516357&lt;/D&gt;&lt;/FQL&gt;&lt;FQL&gt;&lt;Q&gt;DUMMY^ECON_EXPR_DATA('FDS_ECON[NTCPMIMFGSA@CH]',,,M)&lt;/Q&gt;&lt;R&gt;1&lt;/R&gt;&lt;C&gt;1&lt;/C&gt;&lt;D xsi:type="xsd:double"&gt;49.01182&lt;/D&gt;&lt;/FQL&gt;&lt;FQL&gt;&lt;Q&gt;DUMMY^ECON_EXPR_DATA('FDS_ECON[NTCPMIMFGSA@CA]',,,M)&lt;/Q&gt;&lt;R&gt;1&lt;/R&gt;&lt;C&gt;1&lt;/C&gt;&lt;D xsi:type="xsd:double"&gt;49.45051&lt;/D&gt;&lt;/FQL&gt;&lt;FQL&gt;&lt;Q&gt;DUMMY^ECON_EXPR_DATA('FDS_ECON[NTCPMIMFGSA@AU]',,,M)&lt;/Q&gt;&lt;R&gt;1&lt;/R&gt;&lt;C&gt;1&lt;/C&gt;&lt;D xsi:type="xsd:double"&gt;48.495564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xsi:type="xsd:double"&gt;42.40119&lt;/D&gt;&lt;/FQL&gt;&lt;FQL&gt;&lt;Q&gt;DUMMY^ECON_EXPR_DATA('FDS_ECON[NTCPMIMFGMESA@US]',,,M)&lt;/Q&gt;&lt;R&gt;1&lt;/R&gt;&lt;C&gt;1&lt;/C&gt;&lt;D xsi:type="xsd:double"&gt;47.89815&lt;/D&gt;&lt;/FQL&gt;&lt;FQL&gt;&lt;Q&gt;DUMMY^ECON_EXPR_DATA('FDS_ECON[NTCPMIMFGSA@NZ]',,,M)&lt;/Q&gt;&lt;R&gt;1&lt;/R&gt;&lt;C&gt;1&lt;/C&gt;&lt;D xsi:type="xsd:double"&gt;45.810715&lt;/D&gt;&lt;/FQL&gt;&lt;FQL&gt;&lt;Q&gt;DUMMY^ECON_EXPR_DATA('FDS_ECON[NTCPMIMFGSA@NL]',,,M)&lt;/Q&gt;&lt;R&gt;1&lt;/R&gt;&lt;C&gt;1&lt;/C&gt;&lt;D xsi:type="xsd:double"&gt;47.72757&lt;/D&gt;&lt;/FQL&gt;&lt;FQL&gt;&lt;Q&gt;DUMMY^ECON_EXPR_DATA('FDS_ECON[NTCPMIMFGSA@JP]',,,M)&lt;/Q&gt;&lt;R&gt;1&lt;/R&gt;&lt;C&gt;1&lt;/C&gt;&lt;D xsi:type="xsd:double"&gt;49.845306&lt;/D&gt;&lt;/FQL&gt;&lt;FQL&gt;&lt;Q&gt;CAGDPY@FR^EE_ACTUAL_ANNUAL(MED,+1)&lt;/Q&gt;&lt;R&gt;1&lt;/R&gt;&lt;C&gt;1&lt;/C&gt;&lt;D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xsi:type="xsd:double"&gt;-1&lt;/D&gt;&lt;/FQL&gt;&lt;FQL&gt;&lt;Q&gt;USDITL^FG_PRICE_CHANGE(0,-3AM)&lt;/Q&gt;&lt;R&gt;1&lt;/R&gt;&lt;C&gt;1&lt;/C&gt;&lt;D xsi:type="xsd:double"&gt;-4.0245714&lt;/D&gt;&lt;/FQL&gt;&lt;FQL&gt;&lt;Q&gt;USDANG^FG_PRICE_CHANGE(0,-3AM)&lt;/Q&gt;&lt;R&gt;1&lt;/R&gt;&lt;C&gt;1&lt;/C&gt;&lt;D xsi:type="xsd:double"&gt;-0.09705424&lt;/D&gt;&lt;/FQL&gt;&lt;FQL&gt;&lt;Q&gt;USDUSD^FG_PRICE_CHANGE(0,-3AM)&lt;/Q&gt;&lt;R&gt;1&lt;/R&gt;&lt;C&gt;1&lt;/C&gt;&lt;D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xsi:type="xsd:double"&gt;-5.4914293&lt;/D&gt;&lt;/FQL&gt;&lt;FQL&gt;&lt;Q&gt;USDJPY^FG_PRICE_CHANGE(0,-3AM)&lt;/Q&gt;&lt;R&gt;1&lt;/R&gt;&lt;C&gt;1&lt;/C&gt;&lt;D xsi:type="xsd:double"&gt;-10.8720665&lt;/D&gt;&lt;/FQL&gt;&lt;FQL&gt;&lt;Q&gt;USDCAD^FG_PRICE_CHANGE(0,-3AM)&lt;/Q&gt;&lt;R&gt;1&lt;/R&gt;&lt;C&gt;1&lt;/C&gt;&lt;D xsi:type="xsd:double"&gt;-1.5402257&lt;/D&gt;&lt;/FQL&gt;&lt;FQL&gt;&lt;Q&gt;USDNZD^FG_PRICE_CHANGE(0,-3AM)&lt;/Q&gt;&lt;R&gt;1&lt;/R&gt;&lt;C&gt;1&lt;/C&gt;&lt;D xsi:type="xsd:double"&gt;-3.5076797&lt;/D&gt;&lt;/FQL&gt;&lt;FQL&gt;&lt;Q&gt;EWA^FMA_EPS(NTMA,-20AY,0,CY,,"PORTAGG","MEANR")&lt;/Q&gt;&lt;R&gt;20&lt;/R&gt;&lt;C&gt;1&lt;/C&gt;&lt;D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xsi:type="xsd:long"&gt;45562&lt;/D&gt;&lt;/FQL&gt;&lt;FQL&gt;&lt;Q&gt;EWD^FMA_DIV_YLD(NTMA,-10AY,0,AM,"PORTAGG","MEANR")&lt;/Q&gt;&lt;R&gt;121&lt;/R&gt;&lt;C&gt;1&lt;/C&gt;&lt;D xsi:type="xsd:double"&gt;4.22701266814486&lt;/D&gt;&lt;D xsi:type="xsd:double"&gt;4.33809732326425&lt;/D&gt;&lt;D xsi:type="xsd:double"&gt;4.08077005658878&lt;/D&gt;&lt;D xsi:type="xsd:double"&gt;4.08193514473521&lt;/D&gt;&lt;D xsi:type="xsd:double"&gt;3.95065194711897&lt;/D&gt;&lt;D xsi:type="xsd:double"&gt;3.59445421457265&lt;/D&gt;&lt;D xsi:type="xsd:double"&gt;3.67953371607997&lt;/D&gt;&lt;D xsi:type="xsd:double"&gt;3.57626879904765&lt;/D&gt;&lt;D xsi:type="xsd:double"&gt;3.75293439936675&lt;/D&gt;&lt;D xsi:type="xsd:double"&gt;3.90332220593368&lt;/D&gt;&lt;D xsi:type="xsd:double"&gt;4.02831503738682&lt;/D&gt;&lt;D xsi:type="xsd:double"&gt;4.28550474982683&lt;/D&gt;&lt;D xsi:type="xsd:double"&gt;4.56500447507667&lt;/D&gt;&lt;D xsi:type="xsd:double"&gt;4.23476655750303&lt;/D&gt;&lt;D xsi:type="xsd:double"&gt;4.12339469056765&lt;/D&gt;&lt;D xsi:type="xsd:double"&gt;4.31624167016494&lt;/D&gt;&lt;D xsi:type="xsd:double"&gt;4.47347095248596&lt;/D&gt;&lt;D xsi:type="xsd:double"&gt;4.38417959520216&lt;/D&gt;&lt;D xsi:type="xsd:double"&gt;4.45407153538038&lt;/D&gt;&lt;D xsi:type="xsd:double"&gt;4.26680272379105&lt;/D&gt;&lt;D xsi:type="xsd:double"&gt;4.34675776980667&lt;/D&gt;&lt;D xsi:type="xsd:double"&gt;4.80540911176201&lt;/D&gt;&lt;D xsi:type="xsd:double"&gt;4.30085304897609&lt;/D&gt;&lt;D xsi:type="xsd:double"&gt;4.24310777583996&lt;/D&gt;&lt;D xsi:type="xsd:double"&gt;4.24614825979449&lt;/D&gt;&lt;D xsi:type="xsd:double"&gt;4.07533408241978&lt;/D&gt;&lt;D xsi:type="xsd:double"&gt;4.00713622666794&lt;/D&gt;&lt;D xsi:type="xsd:double"&gt;3.86501344640176&lt;/D&gt;&lt;D xsi:type="xsd:double"&gt;3.69026279021395&lt;/D&gt;&lt;D xsi:type="xsd:double"&gt;3.6624588455584&lt;/D&gt;&lt;D xsi:type="xsd:double"&gt;3.66908049767451&lt;/D&gt;&lt;D xsi:type="xsd:double"&gt;3.57094635977433&lt;/D&gt;&lt;D xsi:type="xsd:double"&gt;3.3724479854966&lt;/D&gt;&lt;D xsi:type="xsd:double"&gt;3.54967899663892&lt;/D&gt;&lt;D xsi:type="xsd:double"&gt;3.68150061555316&lt;/D&gt;&lt;D xsi:type="xsd:double"&gt;3.79148095509113&lt;/D&gt;&lt;D xsi:type="xsd:double"&gt;3.59218467961754&lt;/D&gt;&lt;D xsi:type="xsd:double"&gt;3.51776099160286&lt;/D&gt;&lt;D xsi:type="xsd:double"&gt;3.66644834816428&lt;/D&gt;&lt;D xsi:type="xsd:double"&gt;3.72964408901335&lt;/D&gt;&lt;D xsi:type="xsd:double"&gt;3.69100088675786&lt;/D&gt;&lt;D xsi:type="xsd:double"&gt;3.82584509210166&lt;/D&gt;&lt;D xsi:type="xsd:double"&gt;4.09506610597655&lt;/D&gt;&lt;D xsi:type="xsd:double"&gt;4.00281943337679&lt;/D&gt;&lt;D xsi:type="xsd:double"&gt;4.03765198311249&lt;/D&gt;&lt;D xsi:type="xsd:double"&gt;4.17733516668949&lt;/D&gt;&lt;D xsi:type="xsd:double"&gt;4.09231742101807&lt;/D&gt;&lt;D xsi:type="xsd:double"&gt;4.00935570105686&lt;/D&gt;&lt;D xsi:type="xsd:double"&gt;3.99772643294773&lt;/D&gt;&lt;D xsi:type="xsd:double"&gt;4.50752086522776&lt;/D&gt;&lt;D xsi:type="xsd:double"&gt;4.51588428771453&lt;/D&gt;&lt;D xsi:type="xsd:double"&gt;4.8402820502796&lt;/D&gt;&lt;D xsi:type="xsd:double"&gt;4.40452565800553&lt;/D&gt;&lt;D xsi:type="xsd:double"&gt;4.15130809415561&lt;/D&gt;&lt;D xsi:type="xsd:double"&gt;4.17776098031363&lt;/D&gt;&lt;D xsi:type="xsd:double"&gt;3.96308358728241&lt;/D&gt;&lt;D xsi:type="xsd:double"&gt;4.28879930023065&lt;/D&gt;&lt;D xsi:type="xsd:double"&gt;4.14833025486309&lt;/D&gt;&lt;D xsi:type="xsd:double"&gt;4.02384674555949&lt;/D&gt;&lt;D xsi:type="xsd:double"&gt;4.28293432955884&lt;/D&gt;&lt;D xsi:type="xsd:double"&gt;3.90463095220732&lt;/D&gt;&lt;D xsi:type="xsd:double"&gt;3.70676108967169&lt;/D&gt;&lt;D xsi:type="xsd:double"&gt;3.69043946508252&lt;/D&gt;&lt;D xsi:type="xsd:double"&gt;3.56839642932805&lt;/D&gt;&lt;D xsi:type="xsd:double"&gt;3.62734160055287&lt;/D&gt;&lt;D xsi:type="xsd:double"&gt;3.72215377226239&lt;/D&gt;&lt;D xsi:type="xsd:double"&gt;4.36061186694969&lt;/D&gt;&lt;D xsi:type="xsd:double"&gt;3.38879636460881&lt;/D&gt;&lt;D xsi:type="xsd:double"&gt;3.17150425376868&lt;/D&gt;&lt;D xsi:type="xsd:double"&gt;3.07075310818974&lt;/D&gt;&lt;D xsi:type="xsd:double"&gt;2.9799424225862&lt;/D&gt;&lt;D xsi:type="xsd:double"&gt;2.97115311380785&lt;/D&gt;&lt;D xsi:type="xsd:double"&gt;3.06814180548772&lt;/D&gt;&lt;D xsi:type="xsd:double"&gt;3.22396755683225&lt;/D&gt;&lt;D xsi:type="xsd:double"&gt;2.98423016166162&lt;/D&gt;&lt;D xsi:type="xsd:double"&gt;3.1131626665844&lt;/D&gt;&lt;D xsi:type="xsd:double"&gt;2.99599314608799&lt;/D&gt;&lt;D xsi:type="xsd:double"&gt;2.99054585448251&lt;/D&gt;&lt;D xsi:type="xsd:double"&gt;2.75954887939403&lt;/D&gt;&lt;D xsi:type="xsd:double"&gt;2.75627257139819&lt;/D&gt;&lt;D xsi:type="xsd:double"&gt;2.85119555017959&lt;/D&gt;&lt;D xsi:type="xsd:double"&gt;2.69047662946293&lt;/D&gt;&lt;D xsi:type="xsd:double"&gt;2.71715175368441&lt;/D&gt;&lt;D xsi:type="xsd:double"&gt;2.71239570144373&lt;/D&gt;&lt;D xsi:type="xsd:double"&gt;2.82984259577602&lt;/D&gt;&lt;D xsi:type="xsd:double"&gt;3.01561575232816&lt;/D&gt;&lt;D xsi:type="xsd:double"&gt;3.11929356956792&lt;/D&gt;&lt;D xsi:type="xsd:double"&gt;2.84785270448635&lt;/D&gt;&lt;D xsi:type="xsd:double"&gt;2.90366510323654&lt;/D&gt;&lt;D xsi:type="xsd:double"&gt;3.13937606671455&lt;/D&gt;&lt;D xsi:type="xsd:double"&gt;3.15383140186068&lt;/D&gt;&lt;D xsi:type="xsd:double"&gt;3.27221628502484&lt;/D&gt;&lt;D xsi:type="xsd:double"&gt;3.32654329774309&lt;/D&gt;&lt;D xsi:type="xsd:double"&gt;3.53253063546221&lt;/D&gt;&lt;D xsi:type="xsd:double"&gt;3.58154087075686&lt;/D&gt;&lt;D xsi:type="xsd:double"&gt;3.63903179423528&lt;/D&gt;&lt;D xsi:type="xsd:double"&gt;3.80317840587404&lt;/D&gt;&lt;D xsi:type="xsd:double"&gt;3.74246430809505&lt;/D&gt;&lt;D xsi:type="xsd:double"&gt;3.56145945120859&lt;/D&gt;&lt;D xsi:type="xsd:double"&gt;3.7172696141434&lt;/D&gt;&lt;D xsi:type="xsd:double"&gt;3.55990232791439&lt;/D&gt;&lt;D xsi:type="xsd:double"&gt;3.54435533558977&lt;/D&gt;&lt;D xsi:type="xsd:double"&gt;3.8165455149815&lt;/D&gt;&lt;D xsi:type="xsd:double"&gt;3.63857935351343&lt;/D&gt;&lt;D xsi:type="xsd:double"&gt;3.75381128990307&lt;/D&gt;&lt;D xsi:type="xsd:double"&gt;3.81615698830486&lt;/D&gt;&lt;D xsi:type="xsd:double"&gt;3.76659123735887&lt;/D&gt;&lt;D xsi:type="xsd:double"&gt;4.01477227125006&lt;/D&gt;&lt;D xsi:type="xsd:double"&gt;4.04794899369806&lt;/D&gt;&lt;D xsi:type="xsd:double"&gt;4.0256975178892&lt;/D&gt;&lt;D xsi:type="xsd:double"&gt;3.64771904624696&lt;/D&gt;&lt;D xsi:type="xsd:double"&gt;2.92245202832313&lt;/D&gt;&lt;D xsi:type="xsd:double"&gt;3.33853646170127&lt;/D&gt;&lt;D xsi:type="xsd:double"&gt;3.31450778867489&lt;/D&gt;&lt;D xsi:type="xsd:double"&gt;3.1843964131711&lt;/D&gt;&lt;D xsi:type="xsd:double"&gt;3.27893195417718&lt;/D&gt;&lt;D xsi:type="xsd:double"&gt;3.16297344774642&lt;/D&gt;&lt;D xsi:type="xsd:double"&gt;3.25446791791143&lt;/D&gt;&lt;D xsi:type="xsd:double"&gt;3.22790236879476&lt;/D&gt;&lt;D xsi:type="xsd:double"&gt;3.24770329024871&lt;/D&gt;&lt;D xsi:type="xsd:double"&gt;3.15125023993035&lt;/D&gt;&lt;/FQL&gt;&lt;FQL&gt;&lt;Q&gt;EWQ^FMA_PE(NTMA,-10AY,0,AM,"PORTAGG","MEANR")&lt;/Q&gt;&lt;R&gt;121&lt;/R&gt;&lt;C&gt;1&lt;/C&gt;&lt;D xsi:type="xsd:double"&gt;13.5612155928874&lt;/D&gt;&lt;D xsi:type="xsd:double"&gt;12.7500170921071&lt;/D&gt;&lt;D xsi:type="xsd:double"&gt;13.6937614828169&lt;/D&gt;&lt;D xsi:type="xsd:double"&gt;13.8024253492795&lt;/D&gt;&lt;D xsi:type="xsd:double"&gt;15.3285029208655&lt;/D&gt;&lt;D xsi:type="xsd:double"&gt;16.3806904032679&lt;/D&gt;&lt;D xsi:type="xsd:double"&gt;16.4766337219812&lt;/D&gt;&lt;D xsi:type="xsd:double"&gt;17.0101752257112&lt;/D&gt;&lt;D xsi:type="xsd:double"&gt;16.6150888988415&lt;/D&gt;&lt;D xsi:type="xsd:double"&gt;16.0871155859939&lt;/D&gt;&lt;D xsi:type="xsd:double"&gt;15.4659384091952&lt;/D&gt;&lt;D xsi:type="xsd:double"&gt;14.357690629618&lt;/D&gt;&lt;D xsi:type="xsd:double"&gt;13.9622849365278&lt;/D&gt;&lt;D xsi:type="xsd:double"&gt;14.987418630173&lt;/D&gt;&lt;D xsi:type="xsd:double"&gt;15.3275994586794&lt;/D&gt;&lt;D xsi:type="xsd:double"&gt;14.6268093163316&lt;/D&gt;&lt;D xsi:type="xsd:double"&gt;14.1288221056277&lt;/D&gt;&lt;D xsi:type="xsd:double"&gt;14.089952151828&lt;/D&gt;&lt;D xsi:type="xsd:double"&gt;14.1620791105493&lt;/D&gt;&lt;D xsi:type="xsd:double"&gt;14.8694695971422&lt;/D&gt;&lt;D xsi:type="xsd:double"&gt;14.5972036241849&lt;/D&gt;&lt;D xsi:type="xsd:double"&gt;12.771731337379&lt;/D&gt;&lt;D xsi:type="xsd:double"&gt;14.1977745493608&lt;/D&gt;&lt;D xsi:type="xsd:double"&gt;13.9714251082896&lt;/D&gt;&lt;D xsi:type="xsd:double"&gt;13.7189064736117&lt;/D&gt;&lt;D xsi:type="xsd:double"&gt;14.0005105541448&lt;/D&gt;&lt;D xsi:type="xsd:double"&gt;13.8017871146069&lt;/D&gt;&lt;D xsi:type="xsd:double"&gt;14.5390246219759&lt;/D&gt;&lt;D xsi:type="xsd:double"&gt;14.4162397548059&lt;/D&gt;&lt;D xsi:type="xsd:double"&gt;14.1651949143384&lt;/D&gt;&lt;D xsi:type="xsd:double"&gt;14.6646515329678&lt;/D&gt;&lt;D xsi:type="xsd:double"&gt;15.2374850530811&lt;/D&gt;&lt;D xsi:type="xsd:double"&gt;15.235447872678&lt;/D&gt;&lt;D xsi:type="xsd:double"&gt;14.9086884044256&lt;/D&gt;&lt;D xsi:type="xsd:double"&gt;14.8088462425742&lt;/D&gt;&lt;D xsi:type="xsd:double"&gt;14.4613857225405&lt;/D&gt;&lt;D xsi:type="xsd:double"&gt;14.9727898801478&lt;/D&gt;&lt;D xsi:type="xsd:double"&gt;15.378269150774&lt;/D&gt;&lt;D xsi:type="xsd:double"&gt;14.9665551595722&lt;/D&gt;&lt;D xsi:type="xsd:double"&gt;14.9232394332591&lt;/D&gt;&lt;D xsi:type="xsd:double"&gt;15.3227740976272&lt;/D&gt;&lt;D xsi:type="xsd:double"&gt;14.7039672784442&lt;/D&gt;&lt;D xsi:type="xsd:double"&gt;14.0874371545531&lt;/D&gt;&lt;D xsi:type="xsd:double"&gt;14.7820471397329&lt;/D&gt;&lt;D xsi:type="xsd:double"&gt;14.7040720812829&lt;/D&gt;&lt;D xsi:type="xsd:double"&gt;13.9968619854187&lt;/D&gt;&lt;D xsi:type="xsd:double"&gt;14.2527946614026&lt;/D&gt;&lt;D xsi:type="xsd:double"&gt;13.9810398806315&lt;/D&gt;&lt;D xsi:type="xsd:double"&gt;13.9810057240083&lt;/D&gt;&lt;D xsi:type="xsd:double"&gt;12.5029569648839&lt;/D&gt;&lt;D xsi:type="xsd:double"&gt;12.4675069148525&lt;/D&gt;&lt;D xsi:type="xsd:double"&gt;11.56055666293&lt;/D&gt;&lt;D xsi:type="xsd:double"&gt;12.6846410356428&lt;/D&gt;&lt;D xsi:type="xsd:double"&gt;13.4138784448417&lt;/D&gt;&lt;D xsi:type="xsd:double"&gt;13.480798051056&lt;/D&gt;&lt;D xsi:type="xsd:double"&gt;14.0997020785202&lt;/D&gt;&lt;D xsi:type="xsd:double"&gt;13.4359249598246&lt;/D&gt;&lt;D xsi:type="xsd:double"&gt;13.7885829945017&lt;/D&gt;&lt;D xsi:type="xsd:double"&gt;14.210611540928&lt;/D&gt;&lt;D xsi:type="xsd:double"&gt;13.579083510705&lt;/D&gt;&lt;D xsi:type="xsd:double"&gt;14.1300461861207&lt;/D&gt;&lt;D xsi:type="xsd:double"&gt;14.4277029310393&lt;/D&gt;&lt;D xsi:type="xsd:double"&gt;14.8108168174749&lt;/D&gt;&lt;D xsi:type="xsd:double"&gt;15.0434682547017&lt;/D&gt;&lt;D xsi:type="xsd:double"&gt;14.6376671490124&lt;/D&gt;&lt;D xsi:type="xsd:double"&gt;13.9047975941785&lt;/D&gt;&lt;D xsi:type="xsd:double"&gt;12.3962681425463&lt;/D&gt;&lt;D xsi:type="xsd:double"&gt;15.9247308290296&lt;/D&gt;&lt;D xsi:type="xsd:double"&gt;17.4389774507945&lt;/D&gt;&lt;D xsi:type="xsd:double"&gt;18.6292537795744&lt;/D&gt;&lt;D xsi:type="xsd:double"&gt;19.4174779634593&lt;/D&gt;&lt;D xsi:type="xsd:double"&gt;19.5970331943058&lt;/D&gt;&lt;D xsi:type="xsd:double"&gt;17.7649641348861&lt;/D&gt;&lt;D xsi:type="xsd:double"&gt;17.2006153686368&lt;/D&gt;&lt;D xsi:type="xsd:double"&gt;19.2150152310092&lt;/D&gt;&lt;D xsi:type="xsd:double"&gt;18.0728492237821&lt;/D&gt;&lt;D xsi:type="xsd:double"&gt;17.4798147905424&lt;/D&gt;&lt;D xsi:type="xsd:double"&gt;17.731265895786&lt;/D&gt;&lt;D xsi:type="xsd:double"&gt;18.1280030340098&lt;/D&gt;&lt;D xsi:type="xsd:double"&gt;18.1491600164499&lt;/D&gt;&lt;D xsi:type="xsd:double"&gt;17.7842100268317&lt;/D&gt;&lt;D xsi:type="xsd:double"&gt;17.83985808859&lt;/D&gt;&lt;D xsi:type="xsd:double"&gt;16.8445626578023&lt;/D&gt;&lt;D xsi:type="xsd:double"&gt;16.3091946442867&lt;/D&gt;&lt;D xsi:type="xsd:double"&gt;15.9690178983137&lt;/D&gt;&lt;D xsi:type="xsd:double"&gt;15.6477595720315&lt;/D&gt;&lt;D xsi:type="xsd:double"&gt;15.1145108290868&lt;/D&gt;&lt;D xsi:type="xsd:double"&gt;15.7834594028868&lt;/D&gt;&lt;D xsi:type="xsd:double"&gt;15.0153325077263&lt;/D&gt;&lt;D xsi:type="xsd:double"&gt;14.0781248692818&lt;/D&gt;&lt;D xsi:type="xsd:double"&gt;13.375572137852&lt;/D&gt;&lt;D xsi:type="xsd:double"&gt;12.7785453613824&lt;/D&gt;&lt;D xsi:type="xsd:double"&gt;12.4278904982432&lt;/D&gt;&lt;D xsi:type="xsd:double"&gt;11.4819283086361&lt;/D&gt;&lt;D xsi:type="xsd:double"&gt;11.5976175241731&lt;/D&gt;&lt;D xsi:type="xsd:double"&gt;11.2848215831429&lt;/D&gt;&lt;D xsi:type="xsd:double"&gt;10.1660254604057&lt;/D&gt;&lt;D xsi:type="xsd:double"&gt;11.1845044034358&lt;/D&gt;&lt;D xsi:type="xsd:double"&gt;12.0874630666911&lt;/D&gt;&lt;D xsi:type="xsd:double"&gt;11.9349569138731&lt;/D&gt;&lt;D xsi:type="xsd:double"&gt;13.1722922656513&lt;/D&gt;&lt;D xsi:type="xsd:double"&gt;13.2677903252903&lt;/D&gt;&lt;D xsi:type="xsd:double"&gt;12.8163742236772&lt;/D&gt;&lt;D xsi:type="xsd:double"&gt;13.6986701963574&lt;/D&gt;&lt;D xsi:type="xsd:double"&gt;13.1389077964463&lt;/D&gt;&lt;D xsi:type="xsd:double"&gt;13.0168558524052&lt;/D&gt;&lt;D xsi:type="xsd:double"&gt;13.326379832309&lt;/D&gt;&lt;D xsi:type="xsd:double"&gt;12.7628352496434&lt;/D&gt;&lt;D xsi:type="xsd:double"&gt;12.3405024446967&lt;/D&gt;&lt;D xsi:type="xsd:double"&gt;11.956160090298&lt;/D&gt;&lt;D xsi:type="xsd:double"&gt;12.870362995925&lt;/D&gt;&lt;D xsi:type="xsd:double"&gt;13.4742458995323&lt;/D&gt;&lt;D xsi:type="xsd:double"&gt;13.7306007337442&lt;/D&gt;&lt;D xsi:type="xsd:double"&gt;14.3176783984492&lt;/D&gt;&lt;D xsi:type="xsd:double"&gt;14.712980688908&lt;/D&gt;&lt;D xsi:type="xsd:double"&gt;14.5275707578538&lt;/D&gt;&lt;D xsi:type="xsd:double"&gt;14.4947529207033&lt;/D&gt;&lt;D xsi:type="xsd:double"&gt;13.4752341707547&lt;/D&gt;&lt;D xsi:type="xsd:double"&gt;13.6483882634539&lt;/D&gt;&lt;D xsi:type="xsd:double"&gt;13.7088654995222&lt;/D&gt;&lt;D xsi:type="xsd:double"&gt;13.7811864182033&lt;/D&gt;&lt;/FQL&gt;&lt;FQL&gt;&lt;Q&gt;QQQ^FMA_PE(LTMA,-10AY,0,AM,"PORTAGG","MEANR")&lt;/Q&gt;&lt;R&gt;121&lt;/R&gt;&lt;C&gt;1&lt;/C&gt;&lt;D xsi:type="xsd:double"&gt;19.3297191370039&lt;/D&gt;&lt;D xsi:type="xsd:double"&gt;19.2500411879603&lt;/D&gt;&lt;D xsi:type="xsd:double"&gt;20.4437009867452&lt;/D&gt;&lt;D xsi:type="xsd:double"&gt;20.4750692443012&lt;/D&gt;&lt;D xsi:type="xsd:double"&gt;19.6518342793516&lt;/D&gt;&lt;D xsi:type="xsd:double"&gt;20.7927523096553&lt;/D&gt;&lt;D xsi:type="xsd:double"&gt;20.4998593963006&lt;/D&gt;&lt;D xsi:type="xsd:double"&gt;20.539266646143&lt;/D&gt;&lt;D xsi:type="xsd:double"&gt;20.3475020657157&lt;/D&gt;&lt;D xsi:type="xsd:double"&gt;20.0829378723056&lt;/D&gt;&lt;D xsi:type="xsd:double"&gt;20.1693240370816&lt;/D&gt;&lt;D xsi:type="xsd:double"&gt;19.6035231480678&lt;/D&gt;&lt;D xsi:type="xsd:double"&gt;19.1333734821261&lt;/D&gt;&lt;D xsi:type="xsd:double"&gt;20.3649207997625&lt;/D&gt;&lt;D xsi:type="xsd:double"&gt;20.4328732407483&lt;/D&gt;&lt;D xsi:type="xsd:double"&gt;20.2407096445189&lt;/D&gt;&lt;D xsi:type="xsd:double"&gt;18.2024512248727&lt;/D&gt;&lt;D xsi:type="xsd:double"&gt;18.3305613531365&lt;/D&gt;&lt;D xsi:type="xsd:double"&gt;18.3128738266988&lt;/D&gt;&lt;D xsi:type="xsd:double"&gt;18.4334187342089&lt;/D&gt;&lt;D xsi:type="xsd:double"&gt;18.6109432734689&lt;/D&gt;&lt;D xsi:type="xsd:double"&gt;18.135911800015&lt;/D&gt;&lt;D xsi:type="xsd:double"&gt;19.3237102728331&lt;/D&gt;&lt;D xsi:type="xsd:double"&gt;19.5341477318184&lt;/D&gt;&lt;D xsi:type="xsd:double"&gt;19.9306013662306&lt;/D&gt;&lt;D xsi:type="xsd:double"&gt;19.8598957128519&lt;/D&gt;&lt;D xsi:type="xsd:double"&gt;20.0967406451956&lt;/D&gt;&lt;D xsi:type="xsd:double"&gt;20.7025281706985&lt;/D&gt;&lt;D xsi:type="xsd:double"&gt;21.3319746049565&lt;/D&gt;&lt;D xsi:type="xsd:double"&gt;21.7926198430943&lt;/D&gt;&lt;D xsi:type="xsd:double"&gt;21.6215832550168&lt;/D&gt;&lt;D xsi:type="xsd:double"&gt;21.7094922464605&lt;/D&gt;&lt;D xsi:type="xsd:double"&gt;21.9680667752675&lt;/D&gt;&lt;D xsi:type="xsd:double"&gt;21.7060749508482&lt;/D&gt;&lt;D xsi:type="xsd:double"&gt;22.1419879485421&lt;/D&gt;&lt;D xsi:type="xsd:double"&gt;21.8977762969064&lt;/D&gt;&lt;D xsi:type="xsd:double"&gt;22.1861414072242&lt;/D&gt;&lt;D xsi:type="xsd:double"&gt;22.7761542647425&lt;/D&gt;&lt;D xsi:type="xsd:double"&gt;23.3171760651345&lt;/D&gt;&lt;D xsi:type="xsd:double"&gt;23.6619252938705&lt;/D&gt;&lt;D xsi:type="xsd:double"&gt;25.4918676147698&lt;/D&gt;&lt;D xsi:type="xsd:double"&gt;24.3052630428216&lt;/D&gt;&lt;D xsi:type="xsd:double"&gt;23.6270008329203&lt;/D&gt;&lt;D xsi:type="xsd:double"&gt;23.2433827500108&lt;/D&gt;&lt;D xsi:type="xsd:double"&gt;23.2120399352541&lt;/D&gt;&lt;D xsi:type="xsd:double"&gt;22.8891026523186&lt;/D&gt;&lt;D xsi:type="xsd:double"&gt;23.0798570563249&lt;/D&gt;&lt;D xsi:type="xsd:double"&gt;23.2954951331148&lt;/D&gt;&lt;D xsi:type="xsd:double"&gt;23.2779611120197&lt;/D&gt;&lt;D xsi:type="xsd:double"&gt;20.9812123471486&lt;/D&gt;&lt;D xsi:type="xsd:double"&gt;20.1285372352587&lt;/D&gt;&lt;D xsi:type="xsd:double"&gt;18.6658496150003&lt;/D&gt;&lt;D xsi:type="xsd:double"&gt;20.0432632847245&lt;/D&gt;&lt;D xsi:type="xsd:double"&gt;20.9650284455418&lt;/D&gt;&lt;D xsi:type="xsd:double"&gt;20.9895540177391&lt;/D&gt;&lt;D xsi:type="xsd:double"&gt;21.4597946368253&lt;/D&gt;&lt;D xsi:type="xsd:double"&gt;20.9971913511962&lt;/D&gt;&lt;D xsi:type="xsd:double"&gt;21.5810083222715&lt;/D&gt;&lt;D xsi:type="xsd:double"&gt;22.2538715795227&lt;/D&gt;&lt;D xsi:type="xsd:double"&gt;21.5857873015304&lt;/D&gt;&lt;D xsi:type="xsd:double"&gt;21.6114240611209&lt;/D&gt;&lt;D xsi:type="xsd:double"&gt;22.3973297468565&lt;/D&gt;&lt;D xsi:type="xsd:double"&gt;23.803275944345&lt;/D&gt;&lt;D xsi:type="xsd:double"&gt;25.0101550086892&lt;/D&gt;&lt;D xsi:type="xsd:double"&gt;25.2158610115937&lt;/D&gt;&lt;D xsi:type="xsd:double"&gt;23.2651798552337&lt;/D&gt;&lt;D xsi:type="xsd:double"&gt;22.8601329002001&lt;/D&gt;&lt;D xsi:type="xsd:double"&gt;24.2365225134708&lt;/D&gt;&lt;D xsi:type="xsd:double"&gt;25.6981666777451&lt;/D&gt;&lt;D xsi:type="xsd:double"&gt;26.5373809948528&lt;/D&gt;&lt;D xsi:type="xsd:double"&gt;28.2250233773207&lt;/D&gt;&lt;D xsi:type="xsd:double"&gt;30.3389901674562&lt;/D&gt;&lt;D xsi:type="xsd:double"&gt;29.4809101624052&lt;/D&gt;&lt;D xsi:type="xsd:double"&gt;30.9777945241659&lt;/D&gt;&lt;D xsi:type="xsd:double"&gt;32.286625285321&lt;/D&gt;&lt;D xsi:type="xsd:double"&gt;33.7325746384421&lt;/D&gt;&lt;D xsi:type="xsd:double"&gt;34.1313650697555&lt;/D&gt;&lt;D xsi:type="xsd:double"&gt;32.1615307774657&lt;/D&gt;&lt;D xsi:type="xsd:double"&gt;31.8112406560211&lt;/D&gt;&lt;D xsi:type="xsd:double"&gt;31.9830742249189&lt;/D&gt;&lt;D xsi:type="xsd:double"&gt;30.8205687332098&lt;/D&gt;&lt;D xsi:type="xsd:double"&gt;31.0425928131923&lt;/D&gt;&lt;D xsi:type="xsd:double"&gt;31.2642525409891&lt;/D&gt;&lt;D xsi:type="xsd:double"&gt;30.9050527208761&lt;/D&gt;&lt;D xsi:type="xsd:double"&gt;30.3287282508166&lt;/D&gt;&lt;D xsi:type="xsd:double"&gt;30.3245330405759&lt;/D&gt;&lt;D xsi:type="xsd:double"&gt;30.7924377230606&lt;/D&gt;&lt;D xsi:type="xsd:double"&gt;31.7191675849472&lt;/D&gt;&lt;D xsi:type="xsd:double"&gt;26.4372476734717&lt;/D&gt;&lt;D xsi:type="xsd:double"&gt;26.063967657629&lt;/D&gt;&lt;D xsi:type="xsd:double"&gt;26.2471141948026&lt;/D&gt;&lt;D xsi:type="xsd:double"&gt;25.2449269459259&lt;/D&gt;&lt;D xsi:type="xsd:double"&gt;24.8845001760932&lt;/D&gt;&lt;D xsi:type="xsd:double"&gt;24.0236176320384&lt;/D&gt;&lt;D xsi:type="xsd:double"&gt;24.5258958273323&lt;/D&gt;&lt;D xsi:type="xsd:double"&gt;24.7062810616315&lt;/D&gt;&lt;D xsi:type="xsd:double"&gt;22.6441005469527&lt;/D&gt;&lt;D xsi:type="xsd:double"&gt;22.4555426757817&lt;/D&gt;&lt;D xsi:type="xsd:double"&gt;23.2163585773039&lt;/D&gt;&lt;D xsi:type="xsd:double"&gt;22.0956531834576&lt;/D&gt;&lt;D xsi:type="xsd:double"&gt;24.7556471378373&lt;/D&gt;&lt;D xsi:type="xsd:double"&gt;24.7723544359007&lt;/D&gt;&lt;D xsi:type="xsd:double"&gt;24.9023352339738&lt;/D&gt;&lt;D xsi:type="xsd:double"&gt;25.1161843008654&lt;/D&gt;&lt;D xsi:type="xsd:double"&gt;25.8241828611407&lt;/D&gt;&lt;D xsi:type="xsd:double"&gt;26.5088430125955&lt;/D&gt;&lt;D xsi:type="xsd:double"&gt;26.2918470503117&lt;/D&gt;&lt;D xsi:type="xsd:double"&gt;25.5984573099786&lt;/D&gt;&lt;D xsi:type="xsd:double"&gt;25.2250933015958&lt;/D&gt;&lt;D xsi:type="xsd:double"&gt;24.4657843639511&lt;/D&gt;&lt;D xsi:type="xsd:double"&gt;27.0871195674036&lt;/D&gt;&lt;D xsi:type="xsd:double"&gt;28.6401314445364&lt;/D&gt;&lt;D xsi:type="xsd:double"&gt;29.2198317482161&lt;/D&gt;&lt;D xsi:type="xsd:double"&gt;29.5727925862874&lt;/D&gt;&lt;D xsi:type="xsd:double"&gt;29.4503898267762&lt;/D&gt;&lt;D xsi:type="xsd:double"&gt;29.0800452391693&lt;/D&gt;&lt;D xsi:type="xsd:double"&gt;29.3588812902575&lt;/D&gt;&lt;D xsi:type="xsd:double"&gt;29.8566683965842&lt;/D&gt;&lt;D xsi:type="xsd:double"&gt;29.284101211091&lt;/D&gt;&lt;D xsi:type="xsd:double"&gt;30.0515394585401&lt;/D&gt;&lt;D xsi:type="xsd:double"&gt;30.5845625551042&lt;/D&gt;&lt;/FQL&gt;&lt;FQL&gt;&lt;Q&gt;DDR3512M-FDS^FG_PRICE(0)&lt;/Q&gt;&lt;R&gt;1&lt;/R&gt;&lt;C&gt;1&lt;/C&gt;&lt;D xsi:type="xsd:double"&gt;0.88&lt;/D&gt;&lt;/FQL&gt;&lt;FQL&gt;&lt;Q&gt;PASP-FDS^FG_PRICE(0)&lt;/Q&gt;&lt;R&gt;1&lt;/R&gt;&lt;C&gt;1&lt;/C&gt;&lt;D xsi:type="xsd:double"&gt;1065&lt;/D&gt;&lt;/FQL&gt;&lt;FQL&gt;&lt;Q&gt;PLATI-FDS^FG_PRICE(0)&lt;/Q&gt;&lt;R&gt;1&lt;/R&gt;&lt;C&gt;1&lt;/C&gt;&lt;D xsi:type="xsd:double"&gt;1010&lt;/D&gt;&lt;/FQL&gt;&lt;FQL&gt;&lt;Q&gt;W-FDS^FG_PRICE(0)&lt;/Q&gt;&lt;R&gt;1&lt;/R&gt;&lt;C&gt;1&lt;/C&gt;&lt;D xsi:type="xsd:double"&gt;5.8425&lt;/D&gt;&lt;/FQL&gt;&lt;FQL&gt;&lt;Q&gt;COPP-FDS^FG_PRICE(0)&lt;/Q&gt;&lt;R&gt;1&lt;/R&gt;&lt;C&gt;1&lt;/C&gt;&lt;D xsi:type="xsd:double"&gt;4.581&lt;/D&gt;&lt;/FQL&gt;&lt;FQL&gt;&lt;Q&gt;FC0000US^FG_PRICE(0)&lt;/Q&gt;&lt;R&gt;1&lt;/R&gt;&lt;C&gt;1&lt;/C&gt;&lt;D xsi:type="xsd:double"&gt;429.54947&lt;/D&gt;&lt;/FQL&gt;&lt;FQL&gt;&lt;Q&gt;FC0000GR^FG_PRICE(0)&lt;/Q&gt;&lt;R&gt;1&lt;/R&gt;&lt;C&gt;1&lt;/C&gt;&lt;D xsi:type="xsd:double"&gt;10.215527&lt;/D&gt;&lt;/FQL&gt;&lt;FQL&gt;&lt;Q&gt;EWI^FG_PRICE(0)&lt;/Q&gt;&lt;R&gt;1&lt;/R&gt;&lt;C&gt;1&lt;/C&gt;&lt;D xsi:type="xsd:double"&gt;39.33&lt;/D&gt;&lt;/FQL&gt;&lt;FQL&gt;&lt;Q&gt;SPY^FG_PRICE(0)&lt;/Q&gt;&lt;R&gt;1&lt;/R&gt;&lt;C&gt;1&lt;/C&gt;&lt;D xsi:type="xsd:double"&gt;572.3&lt;/D&gt;&lt;/FQL&gt;&lt;FQL&gt;&lt;Q&gt;EWJ^FG_PRICE(0)&lt;/Q&gt;&lt;R&gt;1&lt;/R&gt;&lt;C&gt;1&lt;/C&gt;&lt;D xsi:type="xsd:double"&gt;72.99&lt;/D&gt;&lt;/FQL&gt;&lt;FQL&gt;&lt;Q&gt;ENZL^FG_PRICE(0)&lt;/Q&gt;&lt;R&gt;1&lt;/R&gt;&lt;C&gt;1&lt;/C&gt;&lt;D xsi:type="xsd:double"&gt;49.69&lt;/D&gt;&lt;/FQL&gt;&lt;FQL&gt;&lt;Q&gt;EWA^FG_COMPANY_NAME&lt;/Q&gt;&lt;R&gt;1&lt;/R&gt;&lt;C&gt;1&lt;/C&gt;&lt;D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xsi:type="xsd:double"&gt;0.5302013&lt;/D&gt;&lt;/FQL&gt;&lt;FQL&gt;&lt;Q&gt;SPY^FMA_PCT_ABOVE_MAVG(200,0,,,,"PORTAGG")&lt;/Q&gt;&lt;R&gt;1&lt;/R&gt;&lt;C&gt;1&lt;/C&gt;&lt;D xsi:type="xsd:double"&gt;73.8522954091816&lt;/D&gt;&lt;/FQL&gt;&lt;FQL&gt;&lt;Q&gt;URTH^PERCENT_CHANGE(FMA_EPS(+1,0,,,,"PORTAGG","MEAN"),FMA_EPS(+1,-3AM,,,,"PORTAGG","MEAN"))&lt;/Q&gt;&lt;R&gt;1&lt;/R&gt;&lt;C&gt;1&lt;/C&gt;&lt;D xsi:type="xsd:double"&gt;1.34652864186968&lt;/D&gt;&lt;/FQL&gt;&lt;FQL&gt;&lt;Q&gt;VGK^FG_TOTAL_RETURNC(0,-3AM)&lt;/Q&gt;&lt;R&gt;1&lt;/R&gt;&lt;C&gt;1&lt;/C&gt;&lt;D xsi:type="xsd:double"&gt;7.5313687&lt;/D&gt;&lt;/FQL&gt;&lt;FQL&gt;&lt;Q&gt;EWD^P_PRICE(0)/P_PRICE_HIGH_PR(0,,,,,,"PRICE","INTRA","52W")&lt;/Q&gt;&lt;R&gt;1&lt;/R&gt;&lt;C&gt;1&lt;/C&gt;&lt;D xsi:type="xsd:double"&gt;0.99704283&lt;/D&gt;&lt;/FQL&gt;&lt;FQL&gt;&lt;Q&gt;EWQ^FG_TOTAL_RETURNC(0,-12AM)&lt;/Q&gt;&lt;R&gt;1&lt;/R&gt;&lt;C&gt;1&lt;/C&gt;&lt;D xsi:type="xsd:double"&gt;20.525885&lt;/D&gt;&lt;/FQL&gt;&lt;FQL&gt;&lt;Q&gt;SPY^PERCENT_CHANGE(FMA_EPS(+1,0,,,,"PORTAGG","MEAN"),FMA_EPS(+1,-1AM,,,,"PORTAGG","MEAN"))&lt;/Q&gt;&lt;R&gt;1&lt;/R&gt;&lt;C&gt;1&lt;/C&gt;&lt;D xsi:type="xsd:double"&gt;-0.832786101710178&lt;/D&gt;&lt;/FQL&gt;&lt;FQL&gt;&lt;Q&gt;EWU^FG_TOTAL_RETURNC(0,-1AM)&lt;/Q&gt;&lt;R&gt;1&lt;/R&gt;&lt;C&gt;1&lt;/C&gt;&lt;D xsi:type="xsd:double"&gt;0.1329422&lt;/D&gt;&lt;/FQL&gt;&lt;FQL&gt;&lt;Q&gt;EWJ^FG_TOTAL_RETURNC(0,-6AM)&lt;/Q&gt;&lt;R&gt;1&lt;/R&gt;&lt;C&gt;1&lt;/C&gt;&lt;D xsi:type="xsd:double"&gt;2.688861&lt;/D&gt;&lt;/FQL&gt;&lt;FQL&gt;&lt;Q&gt;EWC^P_PRICE(0)/P_PRICE_LOW_PR(0,,,,,,"PRICE","INTRA","52W")-1&lt;/Q&gt;&lt;R&gt;1&lt;/R&gt;&lt;C&gt;1&lt;/C&gt;&lt;D xsi:type="xsd:double"&gt;0.32632923&lt;/D&gt;&lt;/FQL&gt;&lt;FQL&gt;&lt;Q&gt;EWA^FMA_PCT_ABOVE_MAVG(200,0,,,,"PORTAGG")&lt;/Q&gt;&lt;R&gt;1&lt;/R&gt;&lt;C&gt;1&lt;/C&gt;&lt;D xsi:type="xsd:double"&gt;62.0689655172414&lt;/D&gt;&lt;/FQL&gt;&lt;FQL&gt;&lt;Q&gt;EWJ^SIZE(FG_CONSTITUENTS)&lt;/Q&gt;&lt;R&gt;1&lt;/R&gt;&lt;C&gt;1&lt;/C&gt;&lt;D xsi:type="xsd:long"&gt;199&lt;/D&gt;&lt;/FQL&gt;&lt;FQL&gt;&lt;Q&gt;EWD^FMA_COS_DOWN("EPS","1M",+1,0,,,"PORTAGG","MEANR")&lt;/Q&gt;&lt;R&gt;1&lt;/R&gt;&lt;C&gt;1&lt;/C&gt;&lt;D xsi:type="xsd:double"&gt;22&lt;/D&gt;&lt;/FQL&gt;&lt;FQL&gt;&lt;Q&gt;EWU^FMA_COS_UP("EPS","1M",+1,0,,,"PORTAGG","MEANR")&lt;/Q&gt;&lt;R&gt;1&lt;/R&gt;&lt;C&gt;1&lt;/C&gt;&lt;D xsi:type="xsd:double"&gt;31&lt;/D&gt;&lt;/FQL&gt;&lt;FQL&gt;&lt;Q&gt;ENZL^SIZE(FG_CONSTITUENTS)&lt;/Q&gt;&lt;R&gt;1&lt;/R&gt;&lt;C&gt;1&lt;/C&gt;&lt;D xsi:type="xsd:long"&gt;27&lt;/D&gt;&lt;/FQL&gt;&lt;FQL&gt;&lt;Q&gt;EWI^FMA_RBICS_REV_CURRENT(30, LOC, "PORTAGG")&lt;/Q&gt;&lt;R&gt;1&lt;/R&gt;&lt;C&gt;1&lt;/C&gt;&lt;D xsi:type="xsd:double"&gt;38.0511836286509&lt;/D&gt;&lt;/FQL&gt;&lt;FQL&gt;&lt;Q&gt;EWQ^FG_ROE(0)&lt;/Q&gt;&lt;R&gt;1&lt;/R&gt;&lt;C&gt;1&lt;/C&gt;&lt;D xsi:type="xsd:double"&gt;12.141125932435&lt;/D&gt;&lt;/FQL&gt;&lt;FQL&gt;&lt;Q&gt;TRYGB10Y-FDS^FG_YIELD_NAME&lt;/Q&gt;&lt;R&gt;1&lt;/R&gt;&lt;C&gt;1&lt;/C&gt;&lt;D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xsi:type="xsd:double"&gt;-50&lt;/D&gt;&lt;/FQL&gt;&lt;FQL&gt;&lt;Q&gt;REFEUREFI-FDS^FG_YIELD(NOW,,,0)&lt;/Q&gt;&lt;R&gt;1&lt;/R&gt;&lt;C&gt;1&lt;/C&gt;&lt;D xsi:type="xsd:double"&gt;3.65&lt;/D&gt;&lt;/FQL&gt;&lt;FQL&gt;&lt;Q&gt;TRYNL10Y-FDS^PCTCHG(FG_YIELD(0,,,,"YTM"),FG_YIELD(-1AM,,,,"YTM"))&lt;/Q&gt;&lt;R&gt;0&lt;/R&gt;&lt;C&gt;0&lt;/C&gt;&lt;/FQL&gt;&lt;FQL&gt;&lt;Q&gt;TRYCA10Y-FDS^PCTCHG(FG_YIELD(0,,,,"YTM"),FG_YIELD(-1AM,,,,"YTM"))&lt;/Q&gt;&lt;R&gt;0&lt;/R&gt;&lt;C&gt;0&lt;/C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xsi:type="xsd:double"&gt;5.46179786061908&lt;/D&gt;&lt;/FQL&gt;&lt;FQL&gt;&lt;Q&gt;EWI^FMA_PE(NTMA,0,,,"PORTAGG","MEANR")&lt;/Q&gt;&lt;R&gt;1&lt;/R&gt;&lt;C&gt;1&lt;/C&gt;&lt;D xsi:type="xsd:double"&gt;9.93308884553532&lt;/D&gt;&lt;/FQL&gt;&lt;FQL&gt;&lt;Q&gt;EWN^JULIAN(FMA_DIV_YLD(NTMA,NOW,NOW,M,"PORTAGG","MEANR").DATES)&lt;/Q&gt;&lt;R&gt;1&lt;/R&gt;&lt;C&gt;1&lt;/C&gt;&lt;D xsi:type="xsd:long"&gt;45534&lt;/D&gt;&lt;/FQL&gt;&lt;FQL&gt;&lt;Q&gt;QQQ^FMA_EVAL_EBITDA(NTMA,0,,,"PORTAGG","MEANR")&lt;/Q&gt;&lt;R&gt;1&lt;/R&gt;&lt;C&gt;1&lt;/C&gt;&lt;D xsi:type="xsd:double"&gt;16.7699414231512&lt;/D&gt;&lt;/FQL&gt;&lt;FQL&gt;&lt;Q&gt;EWL^FMA_DIV_YLD(NTMA,NOW,NOW,M,"PORTAGG","MEANR")&lt;/Q&gt;&lt;R&gt;1&lt;/R&gt;&lt;C&gt;1&lt;/C&gt;&lt;D xsi:type="xsd:double"&gt;3.0847125341828&lt;/D&gt;&lt;/FQL&gt;&lt;FQL&gt;&lt;Q&gt;EWG^FMA_PE(LTM,0,,,"PORTAGG","MEANR")&lt;/Q&gt;&lt;R&gt;1&lt;/R&gt;&lt;C&gt;1&lt;/C&gt;&lt;D xsi:type="xsd:double"&gt;15.6453514257903&lt;/D&gt;&lt;/FQL&gt;&lt;FQL&gt;&lt;Q&gt;ENZL^FMA_EVAL_EBIT(LTMA,NOW,NOW,M,"PORTAGG","MEANR")&lt;/Q&gt;&lt;R&gt;1&lt;/R&gt;&lt;C&gt;1&lt;/C&gt;&lt;D xsi:type="xsd:double"&gt;21.6175078655264&lt;/D&gt;&lt;/FQL&gt;&lt;FQL&gt;&lt;Q&gt;EWJ^FG_COMPANY_NAME&lt;/Q&gt;&lt;R&gt;1&lt;/R&gt;&lt;C&gt;1&lt;/C&gt;&lt;D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xsi:type="xsd:double"&gt;0.9989554&lt;/D&gt;&lt;/FQL&gt;&lt;FQL&gt;&lt;Q&gt;QQQ^P_PRICE(0)/P_PRICE_HIGH_PR(0,,,USD,,,"PRICE","INTRA","52W")&lt;/Q&gt;&lt;R&gt;1&lt;/R&gt;&lt;C&gt;1&lt;/C&gt;&lt;D xsi:type="xsd:double"&gt;0.97209644&lt;/D&gt;&lt;/FQL&gt;&lt;FQL&gt;&lt;Q&gt;VWO^P_PRICE(0)/P_PRICE_HIGH_PR(0,,,USD,,,"PRICE","INTRA","52W")&lt;/Q&gt;&lt;R&gt;1&lt;/R&gt;&lt;C&gt;1&lt;/C&gt;&lt;D xsi:type="xsd:double"&gt;0.996</t>
        </r>
      </text>
    </comment>
    <comment ref="A2" authorId="0" shapeId="0" xr:uid="{46DD2132-3A63-4378-BBA4-A4B63E4CC0E9}">
      <text>
        <r>
          <rPr>
            <b/>
            <sz val="9"/>
            <color indexed="81"/>
            <rFont val="Tahoma"/>
            <charset val="1"/>
          </rPr>
          <t>59264&lt;/D&gt;&lt;/FQL&gt;&lt;FQL&gt;&lt;Q&gt;VWO^FG_TOTAL_RETURNC(0,-6AM)&lt;/Q&gt;&lt;R&gt;1&lt;/R&gt;&lt;C&gt;1&lt;/C&gt;&lt;D xsi:type="xsd:double"&gt;16.72082&lt;/D&gt;&lt;/FQL&gt;&lt;FQL&gt;&lt;Q&gt;TRYDE10Y-FDS^FG_YIELD_NAME&lt;/Q&gt;&lt;R&gt;1&lt;/R&gt;&lt;C&gt;1&lt;/C&gt;&lt;D xsi:type="xsd:string"&gt;Germany Benchmark Bond - 10 Year&lt;/D&gt;&lt;/FQL&gt;&lt;FQL&gt;&lt;Q&gt;DUMMY^ECON_EXPR_DATA('FDS_ECON[NTCPMIMFGSA@EME]',,,M)&lt;/Q&gt;&lt;R&gt;1&lt;/R&gt;&lt;C&gt;1&lt;/C&gt;&lt;D xsi:type="xsd:double"&gt;50.789436&lt;/D&gt;&lt;/FQL&gt;&lt;FQL&gt;&lt;Q&gt;EWD^FMA_ROE(NTMA,-20AY,NOW,FY,"PORTAGG","MEANR")&lt;/Q&gt;&lt;R&gt;20&lt;/R&gt;&lt;C&gt;1&lt;/C&gt;&lt;D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xsi:type="xsd:double"&gt;14.6915673510104&lt;/D&gt;&lt;D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xsi:type="xsd:double"&gt;2.004&lt;/D&gt;&lt;/FQL&gt;&lt;FQL&gt;&lt;Q&gt;EWL^FMA_PE(NTMA,0,,,"PORTAGG","MEANR")&lt;/Q&gt;&lt;R&gt;1&lt;/R&gt;&lt;C&gt;1&lt;/C&gt;&lt;D xsi:type="xsd:double"&gt;17.1578371748026&lt;/D&gt;&lt;/FQL&gt;&lt;FQL&gt;&lt;Q&gt;EWG^JULIAN(FMA_DIV_YLD(NTMA,NOW,NOW,M,"PORTAGG","MEANR").DATES)&lt;/Q&gt;&lt;R&gt;1&lt;/R&gt;&lt;C&gt;1&lt;/C&gt;&lt;D xsi:type="xsd:long"&gt;45534&lt;/D&gt;&lt;/FQL&gt;&lt;FQL&gt;&lt;Q&gt;ENZL^FMA_EVAL_EBITDA(NTMA,0,,,"PORTAGG","MEANR")&lt;/Q&gt;&lt;R&gt;1&lt;/R&gt;&lt;C&gt;1&lt;/C&gt;&lt;D xsi:type="xsd:double"&gt;12.5334508699636&lt;/D&gt;&lt;/FQL&gt;&lt;FQL&gt;&lt;Q&gt;EWN^FG_COMPANY_NAME&lt;/Q&gt;&lt;R&gt;1&lt;/R&gt;&lt;C&gt;1&lt;/C&gt;&lt;D xsi:type="xsd:string"&gt;iShares MSCI Netherlands ETF&lt;/D&gt;&lt;/FQL&gt;&lt;FQL&gt;&lt;Q&gt;VGK^FG_TOTAL_RETURNC(0,-6AM)&lt;/Q&gt;&lt;R&gt;1&lt;/R&gt;&lt;C&gt;1&lt;/C&gt;&lt;D xsi:type="xsd:double"&gt;8.214593&lt;/D&gt;&lt;/FQL&gt;&lt;FQL&gt;&lt;Q&gt;EWI^FG_COMPANY_NAME&lt;/Q&gt;&lt;R&gt;1&lt;/R&gt;&lt;C&gt;1&lt;/C&gt;&lt;D xsi:type="xsd:string"&gt;iShares MSCI Italy ETF&lt;/D&gt;&lt;/FQL&gt;&lt;FQL&gt;&lt;Q&gt;REFCATARG-FDS^FG_YIELD(NOW,,,0)&lt;/Q&gt;&lt;R&gt;1&lt;/R&gt;&lt;C&gt;1&lt;/C&gt;&lt;D xsi:type="xsd:double"&gt;4.25&lt;/D&gt;&lt;/FQL&gt;&lt;FQL&gt;&lt;Q&gt;CAGDPY@FR^EE_ACTUAL_ANNUAL(MED,0)&lt;/Q&gt;&lt;R&gt;1&lt;/R&gt;&lt;C&gt;1&lt;/C&gt;&lt;D xsi:type="xsd:double"&gt;-1.0196499952943&lt;/D&gt;&lt;/FQL&gt;&lt;FQL&gt;&lt;Q&gt;CAGDPY@AU^EE_ACTUAL_ANNUAL(MED,0)&lt;/Q&gt;&lt;R&gt;1&lt;/R&gt;&lt;C&gt;1&lt;/C&gt;&lt;D xsi:type="xsd:double"&gt;0.252467670960909&lt;/D&gt;&lt;/FQL&gt;&lt;FQL&gt;&lt;Q&gt;USDITL^FG_PRICE_CHANGE(0,-1AM)&lt;/Q&gt;&lt;R&gt;1&lt;/R&gt;&lt;C&gt;1&lt;/C&gt;&lt;D xsi:type="xsd:double"&gt;0.047576427&lt;/D&gt;&lt;/FQL&gt;&lt;FQL&gt;&lt;Q&gt;USDANG^FG_PRICE_CHANGE(0,-1AM)&lt;/Q&gt;&lt;R&gt;1&lt;/R&gt;&lt;C&gt;1&lt;/C&gt;&lt;D xsi:type="xsd:double"&gt;-0.09705424&lt;/D&gt;&lt;/FQL&gt;&lt;FQL&gt;&lt;Q&gt;USDUSD^FG_PRICE_CHANGE(0,-1AM)&lt;/Q&gt;&lt;R&gt;1&lt;/R&gt;&lt;C&gt;1&lt;/C&gt;&lt;D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xsi:type="xsd:double"&gt;-1.1206925&lt;/D&gt;&lt;/FQL&gt;&lt;FQL&gt;&lt;Q&gt;USDJPY^FG_PRICE_CHANGE(0,-1AM)&lt;/Q&gt;&lt;R&gt;1&lt;/R&gt;&lt;C&gt;1&lt;/C&gt;&lt;D xsi:type="xsd:double"&gt;-0.772959&lt;/D&gt;&lt;/FQL&gt;&lt;FQL&gt;&lt;Q&gt;USDCAD^FG_PRICE_CHANGE(0,-1AM)&lt;/Q&gt;&lt;R&gt;1&lt;/R&gt;&lt;C&gt;1&lt;/C&gt;&lt;D xsi:type="xsd:double"&gt;0.17949343&lt;/D&gt;&lt;/FQL&gt;&lt;FQL&gt;&lt;Q&gt;USDNZD^FG_PRICE_CHANGE(0,-1AM)&lt;/Q&gt;&lt;R&gt;1&lt;/R&gt;&lt;C&gt;1&lt;/C&gt;&lt;D xsi:type="xsd:double"&gt;-1.3146758&lt;/D&gt;&lt;/FQL&gt;&lt;FQL&gt;&lt;Q&gt;ENZL^FMA_EPS(NTMA,-20AY,0,CY,,"PORTAGG","MEANR")&lt;/Q&gt;&lt;R&gt;20&lt;/R&gt;&lt;C&gt;1&lt;/C&gt;&lt;D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xsi:type="xsd:double"&gt;-2.6494086&lt;/D&gt;&lt;D xsi:type="xsd:double"&gt;-8.544308&lt;/D&gt;&lt;D xsi:type="xsd:double"&gt;3.6678195&lt;/D&gt;&lt;D xsi:type="xsd:double"&gt;-5.489212&lt;/D&gt;&lt;D xsi:type="xsd:double"&gt;-0.7112384&lt;/D&gt;&lt;D xsi:type="xsd:double"&gt;6.590259&lt;/D&gt;&lt;D xsi:type="xsd:double"&gt;0.13440847&lt;/D&gt;&lt;D xsi:type="xsd:double"&gt;3.1543612&lt;/D&gt;&lt;D xsi:type="xsd:double"&gt;1.8217325&lt;/D&gt;&lt;D xsi:type="xsd:double"&gt;2.6070714&lt;/D&gt;&lt;D xsi:type="xsd:double"&gt;-4.689479&lt;/D&gt;&lt;D xsi:type="xsd:double"&gt;-0.19946694&lt;/D&gt;&lt;D xsi:type="xsd:double"&gt;-5.463028&lt;/D&gt;&lt;D xsi:type="xsd:double"&gt;4.651165&lt;/D&gt;&lt;D xsi:type="xsd:double"&gt;-3.2323241&lt;/D&gt;&lt;D xsi:type="xsd:double"&gt;-1.6522169&lt;/D&gt;&lt;D xsi:type="xsd:double"&gt;-14.478355&lt;/D&gt;&lt;D xsi:type="xsd:double"&gt;-6.058097&lt;/D&gt;&lt;D xsi:type="xsd:double"&gt;6.890464&lt;/D&gt;&lt;D xsi:type="xsd:double"&gt;4.3801665&lt;/D&gt;&lt;D xsi:type="xsd:double"&gt;-3.0087113&lt;/D&gt;&lt;D xsi:type="xsd:double"&gt;-15.537739&lt;/D&gt;&lt;D xsi:type="xsd:double"&gt;9.642136&lt;/D&gt;&lt;D xsi:type="xsd:double"&gt;1.4505863&lt;/D&gt;&lt;D xsi:type="xsd:double"&gt;-3.1277895&lt;/D&gt;&lt;D xsi:type="xsd:double"&gt;4.612541&lt;/D&gt;&lt;D xsi:type="xsd:double"&gt;-6.128746&lt;/D&gt;&lt;D xsi:type="xsd:double"&gt;14.906847&lt;/D&gt;&lt;D xsi:type="xsd:double"&gt;0.5363107&lt;/D&gt;&lt;D xsi:type="xsd:double"&gt;-2.8723896&lt;/D&gt;&lt;D xsi:type="xsd:double"&gt;8.787489&lt;/D&gt;&lt;D xsi:type="xsd:double"&gt;2.8349519&lt;/D&gt;&lt;D xsi:type="xsd:double"&gt;7.024169&lt;/D&gt;&lt;D xsi:type="xsd:double"&gt;-0.69488883&lt;/D&gt;&lt;D xsi:type="xsd:double"&gt;6.9464564&lt;/D&gt;&lt;D xsi:type="xsd:double"&gt;2.6386976&lt;/D&gt;&lt;D xsi:type="xsd:double"&gt;2.5049448&lt;/D&gt;&lt;D xsi:type="xsd:double"&gt;-1.5755594&lt;/D&gt;&lt;D xsi:type="xsd:double"&gt;0.6533742&lt;/D&gt;&lt;D xsi:type="xsd:double"&gt;0.09480715&lt;/D&gt;&lt;D xsi:type="xsd:double"&gt;12.292135&lt;/D&gt;&lt;D xsi:type="xsd:double"&gt;-7.200927&lt;/D&gt;&lt;D xsi:type="xsd:double"&gt;-1.4705837&lt;/D&gt;&lt;D xsi:type="xsd:double"&gt;7.081616&lt;/D&gt;&lt;D xsi:type="xsd:double"&gt;-9.223014&lt;/D&gt;&lt;D xsi:type="xsd:double"&gt;-4.619998&lt;/D&gt;&lt;D xsi:type="xsd:double"&gt;3.415501&lt;/D&gt;&lt;D xsi:type="xsd:double"&gt;-4.528427&lt;/D&gt;&lt;D xsi:type="xsd:double"&gt;2.3537755&lt;/D&gt;&lt;D xsi:type="xsd:double"&gt;-13.135892&lt;/D&gt;&lt;D xsi:type="xsd:double"&gt;0.92258453&lt;/D&gt;&lt;D xsi:type="xsd:double"&gt;-2.42548&lt;/D&gt;&lt;D xsi:type="xsd:double"&gt;7.136965&lt;/D&gt;&lt;D xsi:type="xsd:double"&gt;3.581059&lt;/D&gt;&lt;D xsi:type="xsd:double"&gt;3.2342076&lt;/D&gt;&lt;D xsi:type="xsd:double"&gt;0.57616234&lt;/D&gt;&lt;D xsi:type="xsd:double"&gt;-3.4371674&lt;/D&gt;&lt;D xsi:type="xsd:double"&gt;5.0530195&lt;/D&gt;&lt;D xsi:type="xsd:double"&gt;1.278305&lt;/D&gt;&lt;D xsi:type="xsd:double"&gt;-4.363501&lt;/D&gt;&lt;D xsi:type="xsd:double"&gt;3.0920029&lt;/D&gt;&lt;D xsi:type="xsd:double"&gt;4.3525934&lt;/D&gt;&lt;D xsi:type="xsd:double"&gt;2.208197&lt;/D&gt;&lt;D xsi:type="xsd:double"&gt;2.2847295&lt;/D&gt;&lt;D xsi:type="xsd:double"&gt;-2.9034436&lt;/D&gt;&lt;D xsi:type="xsd:double"&gt;-4.833102&lt;/D&gt;&lt;D xsi:type="xsd:double"&gt;-24.223608&lt;/D&gt;&lt;D xsi:type="xsd:double"&gt;-0.43394566&lt;/D&gt;&lt;D xsi:type="xsd:double"&gt;6.3922524&lt;/D&gt;&lt;D xsi:type="xsd:double"&gt;8.72699&lt;/D&gt;&lt;D xsi:type="xsd:double"&gt;9.390867&lt;/D&gt;&lt;D xsi:type="xsd:double"&gt;-0.6573856&lt;/D&gt;&lt;D xsi:type="xsd:double"&gt;-6.1891794&lt;/D&gt;&lt;D xsi:type="xsd:double"&gt;-0.37344694&lt;/D&gt;&lt;D xsi:type="xsd:double"&gt;21.366096&lt;/D&gt;&lt;D xsi:type="xsd:double"&gt;1.9677758&lt;/D&gt;&lt;D xsi:type="xsd:double"&gt;-3.664744&lt;/D&gt;&lt;D xsi:type="xsd:double"&gt;5.3892255&lt;/D&gt;&lt;D xsi:type="xsd:double"&gt;5.080211&lt;/D&gt;&lt;D xsi:type="xsd:double"&gt;2.5127172&lt;/D&gt;&lt;D xsi:type="xsd:double"&gt;3.8783789&lt;/D&gt;&lt;D xsi:type="xsd:double"&gt;-0.050503016&lt;/D&gt;&lt;D xsi:type="xsd:double"&gt;-2.6315868&lt;/D&gt;&lt;D xsi:type="xsd:double"&gt;2.3299217&lt;/D&gt;&lt;D xsi:type="xsd:double"&gt;-1.001817&lt;/D&gt;&lt;D xsi:type="xsd:double"&gt;2.2692323&lt;/D&gt;&lt;D xsi:type="xsd:double"&gt;-5.1574173&lt;/D&gt;&lt;D xsi:type="xsd:double"&gt;5.335915&lt;/D&gt;&lt;D xsi:type="xsd:double"&gt;-2.9832482&lt;/D&gt;&lt;D xsi:type="xsd:double"&gt;-1.5688717&lt;/D&gt;&lt;D xsi:type="xsd:double"&gt;-7.4593544&lt;/D&gt;&lt;D xsi:type="xsd:double"&gt;-5.890459&lt;/D&gt;&lt;D xsi:type="xsd:double"&gt;6.039536&lt;/D&gt;&lt;D xsi:type="xsd:double"&gt;-11.802149&lt;/D&gt;&lt;D xsi:type="xsd:double"&gt;-4.759985&lt;/D&gt;&lt;D xsi:type="xsd:double"&gt;-1.3130069&lt;/D&gt;&lt;D xsi:type="xsd:double"&gt;-7.811159&lt;/D&gt;&lt;D xsi:type="xsd:double"&gt;12.057734&lt;/D&gt;&lt;D xsi:type="xsd:double"&gt;15.039468&lt;/D&gt;&lt;D xsi:type="xsd:double"&gt;-1.1722803&lt;/D&gt;&lt;D xsi:type="xsd:double"&gt;11.27597&lt;/D&gt;&lt;D xsi:type="xsd:double"&gt;0.43332577&lt;/D&gt;&lt;D xsi:type="xsd:double"&gt;-2.2237003&lt;/D&gt;&lt;D xsi:type="xsd:double"&gt;8.180594&lt;/D&gt;&lt;D xsi:type="xsd:double"&gt;-4.3928504&lt;/D&gt;&lt;D xsi:type="xsd:double"&gt;4.6056986&lt;/D&gt;&lt;D xsi:type="xsd:double"&gt;6.460941&lt;/D&gt;&lt;D xsi:type="xsd:double"&gt;-4.8611045&lt;/D&gt;&lt;D xsi:type="xsd:double"&gt;-4.4430313&lt;/D&gt;&lt;D xsi:type="xsd:double"&gt;-3.420794&lt;/D&gt;&lt;D xsi:type="xsd:double"&gt;12.79229&lt;/D&gt;&lt;D xsi:type="xsd:double"&gt;5.429399&lt;/D&gt;&lt;D xsi:type="xsd:double"&gt;-2.020502&lt;/D&gt;&lt;D xsi:type="xsd:double"&gt;6.8141103&lt;/D&gt;&lt;D xsi:type="xsd:double"&gt;6.183541&lt;/D&gt;&lt;D xsi:type="xsd:double"&gt;-1.8708825&lt;/D&gt;&lt;D xsi:type="xsd:double"&gt;3.759396&lt;/D&gt;&lt;D xsi:type="xsd:double"&gt;-4.843217&lt;/D&gt;&lt;D xsi:type="xsd:double"&gt;4.515052&lt;/D&gt;&lt;D xsi:type="xsd:double"&gt;2.8266668&lt;/D&gt;&lt;D xsi:type="xsd:double"&gt;1.9968867&lt;/D&gt;&lt;/FQL&gt;&lt;FQL&gt;&lt;Q&gt;EWN^FMA_DIV_YLD(NTMA,-10AY,0,AM,"PORTAGG","MEANR")&lt;/Q&gt;&lt;R&gt;121&lt;/R&gt;&lt;C&gt;1&lt;/C&gt;&lt;D xsi:type="xsd:double"&gt;3.00692373312957&lt;/D&gt;&lt;D xsi:type="xsd:double"&gt;3.2280439576351&lt;/D&gt;&lt;D xsi:type="xsd:double"&gt;3.06207322976612&lt;/D&gt;&lt;D xsi:type="xsd:double"&gt;3.06613499294765&lt;/D&gt;&lt;D xsi:type="xsd:double"&gt;2.91245656690848&lt;/D&gt;&lt;D xsi:type="xsd:double"&gt;2.71372282178949&lt;/D&gt;&lt;D xsi:type="xsd:double"&gt;2.70236145819363&lt;/D&gt;&lt;D xsi:type="xsd:double"&gt;2.62082511423199&lt;/D&gt;&lt;D xsi:type="xsd:double"&gt;2.76884608425858&lt;/D&gt;&lt;D xsi:type="xsd:double"&gt;2.83154020248197&lt;/D&gt;&lt;D xsi:type="xsd:double"&gt;2.93153435909908&lt;/D&gt;&lt;D xsi:type="xsd:double"&gt;3.40798721332145&lt;/D&gt;&lt;D xsi:type="xsd:double"&gt;3.55718138646594&lt;/D&gt;&lt;D xsi:type="xsd:double"&gt;3.28652266111504&lt;/D&gt;&lt;D xsi:type="xsd:double"&gt;3.10197971102992&lt;/D&gt;&lt;D xsi:type="xsd:double"&gt;3.2779092314833&lt;/D&gt;&lt;D xsi:type="xsd:double"&gt;3.27609859711998&lt;/D&gt;&lt;D xsi:type="xsd:double"&gt;3.38990219841549&lt;/D&gt;&lt;D xsi:type="xsd:double"&gt;3.3183560123189&lt;/D&gt;&lt;D xsi:type="xsd:double"&gt;3.2980154868034&lt;/D&gt;&lt;D xsi:type="xsd:double"&gt;3.25821120153716&lt;/D&gt;&lt;D xsi:type="xsd:double"&gt;3.54465698019595&lt;/D&gt;&lt;D xsi:type="xsd:double"&gt;3.18376122808615&lt;/D&gt;&lt;D xsi:type="xsd:double"&gt;3.13844750914302&lt;/D&gt;&lt;D xsi:type="xsd:double"&gt;3.16319880445803&lt;/D&gt;&lt;D xsi:type="xsd:double"&gt;3.10861490190189&lt;/D&gt;&lt;D xsi:type="xsd:double"&gt;3.1067661406875&lt;/D&gt;&lt;D xsi:type="xsd:double"&gt;2.95437557803377&lt;/D&gt;&lt;D xsi:type="xsd:double"&gt;2.95485150127102&lt;/D&gt;&lt;D xsi:type="xsd:double"&gt;2.87282273817187&lt;/D&gt;&lt;D xsi:type="xsd:double"&gt;2.79030699886708&lt;/D&gt;&lt;D xsi:type="xsd:double"&gt;2.7326258095594&lt;/D&gt;&lt;D xsi:type="xsd:double"&gt;2.72590854398477&lt;/D&gt;&lt;D xsi:type="xsd:double"&gt;2.75684111791146&lt;/D&gt;&lt;D xsi:type="xsd:double"&gt;2.73746486159139&lt;/D&gt;&lt;D xsi:type="xsd:double"&gt;2.83224646980785&lt;/D&gt;&lt;D xsi:type="xsd:double"&gt;2.81818251097897&lt;/D&gt;&lt;D xsi:type="xsd:double"&gt;2.7456784637202&lt;/D&gt;&lt;D xsi:type="xsd:double"&gt;2.8305770779192&lt;/D&gt;&lt;D xsi:type="xsd:double"&gt;2.83727362083646&lt;/D&gt;&lt;D xsi:type="xsd:double"&gt;2.77665802260765&lt;/D&gt;&lt;D xsi:type="xsd:double"&gt;2.91918987949713&lt;/D&gt;&lt;D xsi:type="xsd:double"&gt;3.0073241709667&lt;/D&gt;&lt;D xsi:type="xsd:double"&gt;2.93298881130635&lt;/D&gt;&lt;D xsi:type="xsd:double"&gt;2.88086523098899&lt;/D&gt;&lt;D xsi:type="xsd:double"&gt;2.93547313050203&lt;/D&gt;&lt;D xsi:type="xsd:double"&gt;2.84594917176049&lt;/D&gt;&lt;D xsi:type="xsd:double"&gt;2.88805668314926&lt;/D&gt;&lt;D xsi:type="xsd:double"&gt;2.9928522059061&lt;/D&gt;&lt;D xsi:type="xsd:double"&gt;3.26781195888478&lt;/D&gt;&lt;D xsi:type="xsd:double"&gt;3.22847286793935&lt;/D&gt;&lt;D xsi:type="xsd:double"&gt;3.54213859388273&lt;/D&gt;&lt;D xsi:type="xsd:double"&gt;3.28332140808705&lt;/D&gt;&lt;D xsi:type="xsd:double"&gt;3.12959357779203&lt;/D&gt;&lt;D xsi:type="xsd:double"&gt;3.08265591965006&lt;/D&gt;&lt;D xsi:type="xsd:double"&gt;2.9731074703266&lt;/D&gt;&lt;D xsi:type="xsd:double"&gt;3.1098546512918&lt;/D&gt;&lt;D xsi:type="xsd:double"&gt;3.03397414049646&lt;/D&gt;&lt;D xsi:type="xsd:double"&gt;2.88271115152012&lt;/D&gt;&lt;D xsi:type="xsd:double"&gt;3.02213514990272&lt;/D&gt;&lt;D xsi:type="xsd:double"&gt;2.75516504851131&lt;/D&gt;&lt;D xsi:type="xsd:double"&gt;2.73067988036975&lt;/D&gt;&lt;D xsi:type="xsd:double"&gt;2.64261937617804&lt;/D&gt;&lt;D xsi:type="xsd:double"&gt;2.57386219012913&lt;/D&gt;&lt;D xsi:type="xsd:double"&gt;2.66406730017246&lt;/D&gt;&lt;D xsi:type="xsd:double"&gt;2.78330007518589&lt;/D&gt;&lt;D xsi:type="xsd:double"&gt;3.40646050637911&lt;/D&gt;&lt;D xsi:type="xsd:double"&gt;2.77249167496889&lt;/D&gt;&lt;D xsi:type="xsd:double"&gt;2.50112834208235&lt;/D&gt;&lt;D xsi:type="xsd:double"&gt;2.39351188293154&lt;/D&gt;&lt;D xsi:type="xsd:double"&gt;2.3407242864839&lt;/D&gt;&lt;D xsi:type="xsd:double"&gt;2.28558431767315&lt;/D&gt;&lt;D xsi:type="xsd:double"&gt;2.39909832465643&lt;/D&gt;&lt;D xsi:type="xsd:double"&gt;2.35480238975358&lt;/D&gt;&lt;D xsi:type="xsd:double"&gt;2.15235241634423&lt;/D&gt;&lt;D xsi:type="xsd:double"&gt;2.01115245007685&lt;/D&gt;&lt;D xsi:type="xsd:double"&gt;2.0163654852912&lt;/D&gt;&lt;D xsi:type="xsd:double"&gt;2.00890154501115&lt;/D&gt;&lt;D xsi:type="xsd:double"&gt;1.96464460993529&lt;/D&gt;&lt;D xsi:type="xsd:double"&gt;1.91667816653069&lt;/D&gt;&lt;D xsi:type="xsd:double"&gt;1.97586635335139&lt;/D&gt;&lt;D xsi:type="xsd:double"&gt;1.99093713507646&lt;/D&gt;&lt;D xsi:type="xsd:double"&gt;1.99037168445358&lt;/D&gt;&lt;D xsi:type="xsd:double"&gt;1.83017579400906&lt;/D&gt;&lt;D xsi:type="xsd:double"&gt;1.89221996756421&lt;/D&gt;&lt;D xsi:type="xsd:double"&gt;1.9008231439681&lt;/D&gt;&lt;D xsi:type="xsd:double"&gt;1.96408127467891&lt;/D&gt;&lt;D xsi:type="xsd:double"&gt;1.93302233609472&lt;/D&gt;&lt;D xsi:type="xsd:double"&gt;2.21420343502656&lt;/D&gt;&lt;D xsi:type="xsd:double"&gt;2.33143064200421&lt;/D&gt;&lt;D xsi:type="xsd:double"&gt;2.25249176939939&lt;/D&gt;&lt;D xsi:type="xsd:double"&gt;2.42845066783608&lt;/D&gt;&lt;D xsi:type="xsd:double"&gt;2.52813053355561&lt;/D&gt;&lt;D xsi:type="xsd:double"&gt;3.36164444831778&lt;/D&gt;&lt;D xsi:type="xsd:double"&gt;3.13157754251923&lt;/D&gt;&lt;D xsi:type="xsd:double"&gt;3.65377868406087&lt;/D&gt;&lt;D xsi:type="xsd:double"&gt;3.05284754997516&lt;/D&gt;&lt;D xsi:type="xsd:double"&gt;2.9186792393601&lt;/D&gt;&lt;D xsi:type="xsd:double"&gt;2.65360364261274&lt;/D&gt;&lt;D xsi:type="xsd:double"&gt;2.78743303797644&lt;/D&gt;&lt;D xsi:type="xsd:double"&gt;2.52918838411431&lt;/D&gt;&lt;D xsi:type="xsd:double"&gt;2.6574084040713&lt;/D&gt;&lt;D xsi:type="xsd:double"&gt;2.74067687580359&lt;/D&gt;&lt;D xsi:type="xsd:double"&gt;2.69308069058925&lt;/D&gt;&lt;D xsi:type="xsd:double"&gt;2.63115429164613&lt;/D&gt;&lt;D xsi:type="xsd:double"&gt;2.7543317508086&lt;/D&gt;&lt;D xsi:type="xsd:double"&gt;2.63862440280908&lt;/D&gt;&lt;D xsi:type="xsd:double"&gt;2.91803335000293&lt;/D&gt;&lt;D xsi:type="xsd:double"&gt;3.08868587494082&lt;/D&gt;&lt;D xsi:type="xsd:double"&gt;3.11887852164135&lt;/D&gt;&lt;D xsi:type="xsd:double"&gt;2.79890739522752&lt;/D&gt;&lt;D xsi:type="xsd:double"&gt;2.67673086753507&lt;/D&gt;&lt;D xsi:type="xsd:double"&gt;2.58088213735721&lt;/D&gt;&lt;D xsi:type="xsd:double"&gt;2.47336813232195&lt;/D&gt;&lt;D xsi:type="xsd:double"&gt;2.5203896541524&lt;/D&gt;&lt;D xsi:type="xsd:double"&gt;2.57084156661884&lt;/D&gt;&lt;D xsi:type="xsd:double"&gt;2.46729414547972&lt;/D&gt;&lt;D xsi:type="xsd:double"&gt;2.50307546380452&lt;/D&gt;&lt;D xsi:type="xsd:double"&gt;2.59444823317593&lt;/D&gt;&lt;D xsi:type="xsd:double"&gt;2.6257395941572&lt;/D&gt;&lt;D xsi:type="xsd:double"&gt;2.65475685259364&lt;/D&gt;&lt;/FQL&gt;&lt;FQL&gt;&lt;Q&gt;SPY^FMA_PE(NTMA,-10AY,0,AM,"PORTAGG","MEANR")&lt;/Q&gt;&lt;R&gt;121&lt;/R&gt;&lt;C&gt;1&lt;/C&gt;&lt;D xsi:type="xsd:double"&gt;15.0996256442277&lt;/D&gt;&lt;D xsi:type="xsd:double"&gt;15.0497744508981&lt;/D&gt;&lt;D xsi:type="xsd:double"&gt;15.8755455907236&lt;/D&gt;&lt;D xsi:type="xsd:double"&gt;16.2067799251663&lt;/D&gt;&lt;D xsi:type="xsd:double"&gt;16.290673860047&lt;/D&gt;&lt;D xsi:type="xsd:double"&gt;16.9007316344402&lt;/D&gt;&lt;D xsi:type="xsd:double"&gt;16.4871616525574&lt;/D&gt;&lt;D xsi:type="xsd:double"&gt;16.7837962008856&lt;/D&gt;&lt;D xsi:type="xsd:double"&gt;16.679766935054&lt;/D&gt;&lt;D xsi:type="xsd:double"&gt;16.4037494531471&lt;/D&gt;&lt;D xsi:type="xsd:double"&gt;16.1392501811125&lt;/D&gt;&lt;D xsi:type="xsd:double"&gt;15.4687657413012&lt;/D&gt;&lt;D xsi:type="xsd:double"&gt;15.0352963666916&lt;/D&gt;&lt;D xsi:type="xsd:double"&gt;16.1843535121301&lt;/D&gt;&lt;D xsi:type="xsd:double"&gt;16.3453959893433&lt;/D&gt;&lt;D xsi:type="xsd:double"&gt;16.1143801392714&lt;/D&gt;&lt;D xsi:type="xsd:double"&gt;15.0367483336493&lt;/D&gt;&lt;D xsi:type="xsd:double"&gt;15.5099438140132&lt;/D&gt;&lt;D xsi:type="xsd:double"&gt;15.5167363536305&lt;/D&gt;&lt;D xsi:type="xsd:double"&gt;16.5004635460184&lt;/D&gt;&lt;D xsi:type="xsd:double"&gt;16.6302500091477&lt;/D&gt;&lt;D xsi:type="xsd:double"&gt;15.7238027928604&lt;/D&gt;&lt;D xsi:type="xsd:double"&gt;16.9139967517347&lt;/D&gt;&lt;D xsi:type="xsd:double"&gt;16.7898861437351&lt;/D&gt;&lt;D xsi:type="xsd:double"&gt;16.6020496120457&lt;/D&gt;&lt;D xsi:type="xsd:double"&gt;16.2551646900239&lt;/D&gt;&lt;D xsi:type="xsd:double"&gt;16.8205936265308&lt;/D&gt;&lt;D xsi:type="xsd:double"&gt;17.0517057982928&lt;/D&gt;&lt;D xsi:type="xsd:double"&gt;17.1831954500388&lt;/D&gt;&lt;D xsi:type="xsd:double"&gt;17.6761766468865&lt;/D&gt;&lt;D xsi:type="xsd:double"&gt;17.3751827024646&lt;/D&gt;&lt;D xsi:type="xsd:double"&gt;17.5064291403163&lt;/D&gt;&lt;D xsi:type="xsd:double"&gt;17.5333988469441&lt;/D&gt;&lt;D xsi:type="xsd:double"&gt;17.4018770942773&lt;/D&gt;&lt;D xsi:type="xsd:double"&gt;17.6832722932655&lt;/D&gt;&lt;D xsi:type="xsd:double"&gt;17.3317034033234&lt;/D&gt;&lt;D xsi:type="xsd:double"&gt;17.6479443183486&lt;/D&gt;&lt;D xsi:type="xsd:double"&gt;18.0047984906939&lt;/D&gt;&lt;D xsi:type="xsd:double"&gt;17.9465532845958&lt;/D&gt;&lt;D xsi:type="xsd:double"&gt;18.2197883861155&lt;/D&gt;&lt;D xsi:type="xsd:double"&gt;18.4548114831502&lt;/D&gt;&lt;D xsi:type="xsd:double"&gt;17.0734771392095&lt;/D&gt;&lt;D xsi:type="xsd:double"&gt;16.1639969002928&lt;/D&gt;&lt;D xsi:type="xsd:double"&gt;16.2202375877396&lt;/D&gt;&lt;D xsi:type="xsd:double"&gt;16.2864337875311&lt;/D&gt;&lt;D xsi:type="xsd:double"&gt;16.0193908293248&lt;/D&gt;&lt;D xsi:type="xsd:double"&gt;16.5215982660723&lt;/D&gt;&lt;D xsi:type="xsd:double"&gt;16.795489380907&lt;/D&gt;&lt;D xsi:type="xsd:double"&gt;16.782392436335&lt;/D&gt;&lt;D xsi:type="xsd:double"&gt;15.1753382120886&lt;/D&gt;&lt;D xsi:type="xsd:double"&gt;15.3014496427389&lt;/D&gt;&lt;D xsi:type="xsd:double"&gt;14.3041446470105&lt;/D&gt;&lt;D xsi:type="xsd:double"&gt;15.480909018284&lt;/D&gt;&lt;D xsi:type="xsd:double"&gt;16.2682835127423&lt;/D&gt;&lt;D xsi:type="xsd:double"&gt;16.2649153261112&lt;/D&gt;&lt;D xsi:type="xsd:double"&gt;16.9022021743168&lt;/D&gt;&lt;D xsi:type="xsd:double"&gt;16.1355335153301&lt;/D&gt;&lt;D xsi:type="xsd:double"&gt;16.6303026373159&lt;/D&gt;&lt;D xsi:type="xsd:double"&gt;17.214526634446&lt;/D&gt;&lt;D xsi:type="xsd:double"&gt;16.2546941767831&lt;/D&gt;&lt;D xsi:type="xsd:double"&gt;16.7218892485584&lt;/D&gt;&lt;D xsi:type="xsd:double"&gt;17.0992710638059&lt;/D&gt;&lt;D xsi:type="xsd:double"&gt;17.7922814098536&lt;/D&gt;&lt;D xsi:type="xsd:double"&gt;18.2273781514202&lt;/D&gt;&lt;D xsi:type="xsd:double"&gt;18.1370147647144&lt;/D&gt;&lt;D xsi:type="xsd:double"&gt;16.7028842856612&lt;/D&gt;&lt;D xsi:type="xsd:double"&gt;15.1716266611203&lt;/D&gt;&lt;D xsi:type="xsd:double"&gt;19.8518467030671&lt;/D&gt;&lt;D xsi:type="xsd:double"&gt;21.6008757094226&lt;/D&gt;&lt;D xsi:type="xsd:double"&gt;21.1139260468067&lt;/D&gt;&lt;D xsi:type="xsd:double"&gt;22.1090244830014&lt;/D&gt;&lt;D xsi:type="xsd:double"&gt;22.8129136503314&lt;/D&gt;&lt;D xsi:type="xsd:double"&gt;21.1675886031955&lt;/D&gt;&lt;D xsi:type="xsd:double"&gt;21.1563717109334&lt;/D&gt;&lt;D xsi:type="xsd:double"&gt;21.9177894515902&lt;/D&gt;&lt;D xsi:type="xsd:double"&gt;22.2300869560806&lt;/D&gt;&lt;D xsi:type="xsd:double"&gt;21.6901102518295&lt;/D&gt;&lt;D xsi:type="xsd:double"&gt;21.3859405762244&lt;/D&gt;&lt;D xsi:type="xsd:double"&gt;21.9523869665487&lt;/D&gt;&lt;D xsi:type="xsd:double"&gt;22.1960543489638&lt;/D&gt;&lt;D xsi:type="xsd:double"&gt;21.2556045352125&lt;/D&gt;&lt;D xsi:type="xsd:double"&gt;21.3345212573295&lt;/D&gt;&lt;D xsi:type="xsd:double"&gt;21.3198317896944&lt;/D&gt;&lt;D xsi:type="xsd:double"&gt;21.1741945572979&lt;/D&gt;&lt;D xsi:type="xsd:double"&gt;20.7467373035137&lt;/D&gt;&lt;D xsi:type="xsd:double"&gt;20.9301906635166&lt;/D&gt;&lt;D xsi:type="xsd:double"&gt;20.8352854272405&lt;/D&gt;&lt;D xsi:type="xsd:double"&gt;21.5030372752432&lt;/D&gt;&lt;D xsi:type="xsd:double"&gt;19.18967253545&lt;/D&gt;&lt;D xsi:type="xsd:double"&gt;19.1590222959887&lt;/D&gt;&lt;D xsi:type="xsd:double"&gt;19.5591761422964&lt;/D&gt;&lt;D xsi:type="xsd:double"&gt;17.679480987328&lt;/D&gt;&lt;D xsi:type="xsd:double"&gt;17.4728508521221&lt;/D&gt;&lt;D xsi:type="xsd:double"&gt;16.2707453069227&lt;/D&gt;&lt;D xsi:type="xsd:double"&gt;16.9081001757894&lt;/D&gt;&lt;D xsi:type="xsd:double"&gt;17.1003655473807&lt;/D&gt;&lt;D xsi:type="xsd:double"&gt;15.3845605508101&lt;/D&gt;&lt;D xsi:type="xsd:double"&gt;16.3607832691059&lt;/D&gt;&lt;D xsi:type="xsd:double"&gt;17.4056015681915&lt;/D&gt;&lt;D xsi:type="xsd:double"&gt;16.599680740686&lt;/D&gt;&lt;D xsi:type="xsd:double"&gt;17.9442694044097&lt;/D&gt;&lt;D xsi:type="xsd:double"&gt;17.5498675720123&lt;/D&gt;&lt;D xsi:type="xsd:double"&gt;17.463444733056&lt;/D&gt;&lt;D xsi:type="xsd:double"&gt;18.0529731681323&lt;/D&gt;&lt;D xsi:type="xsd:double"&gt;18.1565375215964&lt;/D&gt;&lt;D xsi:type="xsd:double"&gt;18.8237447123518&lt;/D&gt;&lt;D xsi:type="xsd:double"&gt;19.385801440743&lt;/D&gt;&lt;D xsi:type="xsd:double"&gt;18.4644499334685&lt;/D&gt;&lt;D xsi:type="xsd:double"&gt;17.781180171493&lt;/D&gt;&lt;D xsi:type="xsd:double"&gt;17.0473516457696&lt;/D&gt;&lt;D xsi:type="xsd:double"&gt;18.6781475076961&lt;/D&gt;&lt;D xsi:type="xsd:double"&gt;19.5674907262132&lt;/D&gt;&lt;D xsi:type="xsd:double"&gt;20.0329894329276&lt;/D&gt;&lt;D xsi:type="xsd:double"&gt;20.4311959095004&lt;/D&gt;&lt;D xsi:type="xsd:double"&gt;20.9431866659174&lt;/D&gt;&lt;D xsi:type="xsd:double"&gt;20.1057453577462&lt;/D&gt;&lt;D xsi:type="xsd:double"&gt;20.629545181472&lt;/D&gt;&lt;D xsi:type="xsd:double"&gt;21.0951028596516&lt;/D&gt;&lt;D xsi:type="xsd:double"&gt;20.8347547064759&lt;/D&gt;&lt;D xsi:type="xsd:double"&gt;21.2104328074901&lt;/D&gt;&lt;D xsi:type="xsd:double"&gt;21.4842393666159&lt;/D&gt;&lt;/FQL&gt;&lt;FQL&gt;&lt;Q&gt;EWU^FMA_PE(LTMA,-10AY,0,AM,"PORTAGG","MEANR")&lt;/Q&gt;&lt;R&gt;121&lt;/R&gt;&lt;C&gt;1&lt;/C&gt;&lt;D xsi:type="xsd:double"&gt;13.9623481142743&lt;/D&gt;&lt;D xsi:type="xsd:double"&gt;13.5071981027428&lt;/D&gt;&lt;D xsi:type="xsd:double"&gt;14.0674602822874&lt;/D&gt;&lt;D xsi:type="xsd:double"&gt;13.8644898471586&lt;/D&gt;&lt;D xsi:type="xsd:double"&gt;14.3083700059962&lt;/D&gt;&lt;D xsi:type="xsd:double"&gt;15.1831166741616&lt;/D&gt;&lt;D xsi:type="xsd:double"&gt;15.2523439769646&lt;/D&gt;&lt;D xsi:type="xsd:double"&gt;15.6777326714134&lt;/D&gt;&lt;D xsi:type="xsd:double"&gt;15.7851959370238&lt;/D&gt;&lt;D xsi:type="xsd:double"&gt;15.6923925093541&lt;/D&gt;&lt;D xsi:type="xsd:double"&gt;15.4687166944072&lt;/D&gt;&lt;D xsi:type="xsd:double"&gt;15.0348664792051&lt;/D&gt;&lt;D xsi:type="xsd:double"&gt;14.9964452295813&lt;/D&gt;&lt;D xsi:type="xsd:double"&gt;15.6835856414913&lt;/D&gt;&lt;D xsi:type="xsd:double"&gt;15.9742211220741&lt;/D&gt;&lt;D xsi:type="xsd:double"&gt;15.7596319513903&lt;/D&gt;&lt;D xsi:type="xsd:double"&gt;15.0681092814895&lt;/D&gt;&lt;D xsi:type="xsd:double"&gt;15.4662677386287&lt;/D&gt;&lt;D xsi:type="xsd:double"&gt;15.6566241433498&lt;/D&gt;&lt;D xsi:type="xsd:double"&gt;16.0208421482197&lt;/D&gt;&lt;D xsi:type="xsd:double"&gt;16.0587747235594&lt;/D&gt;&lt;D xsi:type="xsd:double"&gt;15.5536633947909&lt;/D&gt;&lt;D xsi:type="xsd:double"&gt;16.6441150355086&lt;/D&gt;&lt;D xsi:type="xsd:double"&gt;16.9559030916199&lt;/D&gt;&lt;D xsi:type="xsd:double"&gt;16.8699200968791&lt;/D&gt;&lt;D xsi:type="xsd:double"&gt;16.8117856118443&lt;/D&gt;&lt;D xsi:type="xsd:double"&gt;16.5194722770753&lt;/D&gt;&lt;D xsi:type="xsd:double"&gt;17.0087291128822&lt;/D&gt;&lt;D xsi:type="xsd:double"&gt;17.1323924705446&lt;/D&gt;&lt;D xsi:type="xsd:double"&gt;17.3817424909974&lt;/D&gt;&lt;D xsi:type="xsd:double"&gt;17.1444476364872&lt;/D&gt;&lt;D xsi:type="xsd:double"&gt;16.8971062985336&lt;/D&gt;&lt;D xsi:type="xsd:double"&gt;16.8136230856051&lt;/D&gt;&lt;D xsi:type="xsd:double"&gt;16.4878532970857&lt;/D&gt;&lt;D xsi:type="xsd:double"&gt;16.4765850654451&lt;/D&gt;&lt;D xsi:type="xsd:double"&gt;16.1108223394197&lt;/D&gt;&lt;D xsi:type="xsd:double"&gt;15.7693850771043&lt;/D&gt;&lt;D xsi:type="xsd:double"&gt;15.6351413269906&lt;/D&gt;&lt;D xsi:type="xsd:double"&gt;15.188683032871&lt;/D&gt;&lt;D xsi:type="xsd:double"&gt;15.3767205459112&lt;/D&gt;&lt;D xsi:type="xsd:double"&gt;15.6340012196857&lt;/D&gt;&lt;D xsi:type="xsd:double"&gt;14.0702675095195&lt;/D&gt;&lt;D xsi:type="xsd:double"&gt;13.8793306305655&lt;/D&gt;&lt;D xsi:type="xsd:double"&gt;14.0497003335159&lt;/D&gt;&lt;D xsi:type="xsd:double"&gt;14.0316553883031&lt;/D&gt;&lt;D xsi:type="xsd:double"&gt;13.8391391610217&lt;/D&gt;&lt;D xsi:type="xsd:double"&gt;13.8951113267335&lt;/D&gt;&lt;D xsi:type="xsd:double"&gt;13.6525411464659&lt;/D&gt;&lt;D xsi:type="xsd:double"&gt;13.7001544336996&lt;/D&gt;&lt;D xsi:type="xsd:double"&gt;12.6539028754221&lt;/D&gt;&lt;D xsi:type="xsd:double"&gt;12.6085825307195&lt;/D&gt;&lt;D xsi:type="xsd:double"&gt;11.7013752307065&lt;/D&gt;&lt;D xsi:type="xsd:double"&gt;12.3215879560705&lt;/D&gt;&lt;D xsi:type="xsd:double"&gt;13.0234916705443&lt;/D&gt;&lt;D xsi:type="xsd:double"&gt;12.9309579882858&lt;/D&gt;&lt;D xsi:type="xsd:double"&gt;13.0001250357299&lt;/D&gt;&lt;D xsi:type="xsd:double"&gt;12.855863226542&lt;/D&gt;&lt;D xsi:type="xsd:double"&gt;13.0194371750319&lt;/D&gt;&lt;D xsi:type="xsd:double"&gt;13.1407658101612&lt;/D&gt;&lt;D xsi:type="xsd:double"&gt;12.6972206538862&lt;/D&gt;&lt;D xsi:type="xsd:double"&gt;13.196461785959&lt;/D&gt;&lt;D xsi:type="xsd:double"&gt;13.3162185088842&lt;/D&gt;&lt;D xsi:type="xsd:double"&gt;13.6492094968115&lt;/D&gt;&lt;D xsi:type="xsd:double"&gt;14.2280806407656&lt;/D&gt;&lt;D xsi:type="xsd:double"&gt;13.8894154985388&lt;/D&gt;&lt;D xsi:type="xsd:double"&gt;12.7749751285205&lt;/D&gt;&lt;D xsi:type="xsd:double"&gt;12.2208701084954&lt;/D&gt;&lt;D xsi:type="xsd:double"&gt;13.302162600559&lt;/D&gt;&lt;D xsi:type="xsd:double"&gt;14.5440846914412&lt;/D&gt;&lt;D xsi:type="xsd:double"&gt;15.0623727729869&lt;/D&gt;&lt;D xsi:type="xsd:double"&gt;15.6492730687823&lt;/D&gt;&lt;D xsi:type="xsd:double"&gt;16.3770771389669&lt;/D&gt;&lt;D xsi:type="xsd:double"&gt;16.5230801314123&lt;/D&gt;&lt;D xsi:type="xsd:double"&gt;16.6211124013367&lt;/D&gt;&lt;D xsi:type="xsd:double"&gt;18.6409228440525&lt;/D&gt;&lt;D xsi:type="xsd:double"&gt;19.6132988578608&lt;/D&gt;&lt;D xsi:type="xsd:double"&gt;19.5852053445342&lt;/D&gt;&lt;D xsi:type="xsd:double"&gt;18.8050461873067&lt;/D&gt;&lt;D xsi:type="xsd:double"&gt;18.3599049908622&lt;/D&gt;&lt;D xsi:type="xsd:double"&gt;17.7595304139704&lt;/D&gt;&lt;D xsi:type="xsd:double"&gt;17.1874207550054&lt;/D&gt;&lt;D xsi:type="xsd:double"&gt;16.6351024093841&lt;/D&gt;&lt;D xsi:type="xsd:double"&gt;15.6469440059268&lt;/D&gt;&lt;D xsi:type="xsd:double"&gt;14.8110004640175&lt;/D&gt;&lt;D xsi:type="xsd:double"&gt;14.0418121604393&lt;/D&gt;&lt;D xsi:type="xsd:double"&gt;13.6909249168507&lt;/D&gt;&lt;D xsi:type="xsd:double"&gt;12.5309781139066&lt;/D&gt;&lt;D xsi:type="xsd:double"&gt;12.3785414784582&lt;/D&gt;&lt;D xsi:type="xsd:double"&gt;12.6583291794781&lt;/D&gt;&lt;D xsi:type="xsd:double"&gt;12.598230376042&lt;/D&gt;&lt;D xsi:type="xsd:double"&gt;12.4127524565788&lt;/D&gt;&lt;D xsi:type="xsd:double"&gt;12.0196491282858&lt;/D&gt;&lt;D xsi:type="xsd:double"&gt;11.7877859605176&lt;/D&gt;&lt;D xsi:type="xsd:double"&gt;11.3193095923736&lt;/D&gt;&lt;D xsi:type="xsd:double"&gt;10.9920251429413&lt;/D&gt;&lt;D xsi:type="xsd:double"&gt;10.5398680301368&lt;/D&gt;&lt;D xsi:type="xsd:double"&gt;9.45350799645781&lt;/D&gt;&lt;D xsi:type="xsd:double"&gt;9.58116162042&lt;/D&gt;&lt;D xsi:type="xsd:double"&gt;9.89395502405408&lt;/D&gt;&lt;D xsi:type="xsd:double"&gt;9.59783030786564&lt;/D&gt;&lt;D xsi:type="xsd:double"&gt;10.1487551082354&lt;/D&gt;&lt;D xsi:type="xsd:double"&gt;10.2859449195964&lt;/D&gt;&lt;D xsi:type="xsd:double"&gt;10.1662017587047&lt;/D&gt;&lt;D xsi:type="xsd:double"&gt;10.4039473148034&lt;/D&gt;&lt;D xsi:type="xsd:double"&gt;10.2661080343555&lt;/D&gt;&lt;D xsi:type="xsd:double"&gt;10.2959430332719&lt;/D&gt;&lt;D xsi:type="xsd:double"&gt;10.6199120095788&lt;/D&gt;&lt;D xsi:type="xsd:double"&gt;10.3378755642237&lt;/D&gt;&lt;D xsi:type="xsd:double"&gt;10.5552498163547&lt;/D&gt;&lt;D xsi:type="xsd:double"&gt;10.236477411294&lt;/D&gt;&lt;D xsi:type="xsd:double"&gt;10.7669324980297&lt;/D&gt;&lt;D xsi:type="xsd:double"&gt;11.3153239739501&lt;/D&gt;&lt;D xsi:type="xsd:double"&gt;11.3652972872207&lt;/D&gt;&lt;D xsi:type="xsd:double"&gt;11.5155731179328&lt;/D&gt;&lt;D xsi:type="xsd:double"&gt;11.5266191423502&lt;/D&gt;&lt;D xsi:type="xsd:double"&gt;11.6025379111016&lt;/D&gt;&lt;D xsi:type="xsd:double"&gt;11.7465820718981&lt;/D&gt;&lt;D xsi:type="xsd:double"&gt;11.629674123254&lt;/D&gt;&lt;D xsi:type="xsd:double"&gt;11.8734583353024&lt;/D&gt;&lt;D xsi:type="xsd:double"&gt;12.1398037296106&lt;/D&gt;&lt;D xsi:type="xsd:double"&gt;12.2193179613295&lt;/D&gt;&lt;/FQL&gt;&lt;FQL&gt;&lt;Q&gt;WL-FDS^MAX(FG_PRICE(0,-5AY))&lt;/Q&gt;&lt;R&gt;1&lt;/R&gt;&lt;C&gt;1&lt;/C&gt;&lt;D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xsi:type="xsd:double"&gt;136.45683&lt;/D&gt;&lt;/FQL&gt;&lt;FQL&gt;&lt;Q&gt;FC0000CA^FG_PRICE(0)&lt;/Q&gt;&lt;R&gt;1&lt;/R&gt;&lt;C&gt;1&lt;/C&gt;&lt;D xsi:type="xsd:double"&gt;319.34128&lt;/D&gt;&lt;/FQL&gt;&lt;FQL&gt;&lt;Q&gt;EWD^FG_PRICE_MAVG(0,,,,200)&lt;/Q&gt;&lt;R&gt;1&lt;/R&gt;&lt;C&gt;1&lt;/C&gt;&lt;D xsi:type="xsd:double"&gt;39.874374&lt;/D&gt;&lt;/FQL&gt;&lt;FQL&gt;&lt;Q&gt;QQQ^FG_PRICE_MAVG(0,,,,200)&lt;/Q&gt;&lt;R&gt;1&lt;/R&gt;&lt;C&gt;1&lt;/C&gt;&lt;D xsi:type="xsd:double"&gt;447.8985&lt;/D&gt;&lt;/FQL&gt;&lt;FQL&gt;&lt;Q&gt;EWG^FG_PRICE_MAVG(0,,,,200)&lt;/Q&gt;&lt;R&gt;1&lt;/R&gt;&lt;C&gt;1&lt;/C&gt;&lt;D xsi:type="xsd:double"&gt;30.8468&lt;/D&gt;&lt;/FQL&gt;&lt;FQL&gt;&lt;Q&gt;ENZL^FG_COMPANY_NAME&lt;/Q&gt;&lt;R&gt;1&lt;/R&gt;&lt;C&gt;1&lt;/C&gt;&lt;D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xsi:type="xsd:double"&gt;0.9947024&lt;/D&gt;&lt;/FQL&gt;&lt;FQL&gt;&lt;Q&gt;EWJ^FG_TOTAL_RETURNC(0,-12AM)&lt;/Q&gt;&lt;R&gt;1&lt;/R&gt;&lt;C&gt;1&lt;/C&gt;&lt;D xsi:type="xsd:double"&gt;22.189045&lt;/D&gt;&lt;/FQL&gt;&lt;FQL&gt;&lt;Q&gt;URTH^PERCENT_CHANGE(FMA_EPS(+1,0,,,,"PORTAGG","MEAN"),FMA_EPS(+1,-1AM,,,,"PORTAGG","MEAN"))&lt;/Q&gt;&lt;R&gt;1&lt;/R&gt;&lt;C&gt;1&lt;/C&gt;&lt;D xsi:type="xsd:double"&gt;-0.268332196187374&lt;/D&gt;&lt;/FQL&gt;&lt;FQL&gt;&lt;Q&gt;VGK^FG_TOTAL_RETURNC(0,-1AM)&lt;/Q&gt;&lt;R&gt;1&lt;/R&gt;&lt;C&gt;1&lt;/C&gt;&lt;D xsi:type="xsd:double"&gt;1.4756203&lt;/D&gt;&lt;/FQL&gt;&lt;FQL&gt;&lt;Q&gt;EWD^FG_TOTAL_RETURNC(0,-6AM)&lt;/Q&gt;&lt;R&gt;1&lt;/R&gt;&lt;C&gt;1&lt;/C&gt;&lt;D xsi:type="xsd:double"&gt;9.614193&lt;/D&gt;&lt;/FQL&gt;&lt;FQL&gt;&lt;Q&gt;EWQ^P_PRICE(0)/P_PRICE_LOW_PR(0,,,,,,"PRICE","INTRA","52W")-1&lt;/Q&gt;&lt;R&gt;1&lt;/R&gt;&lt;C&gt;1&lt;/C&gt;&lt;D xsi:type="xsd:double"&gt;0.22103381&lt;/D&gt;&lt;/FQL&gt;&lt;FQL&gt;&lt;Q&gt;EWU^PERCENT_CHANGE(FMA_EPS(+1,0,,,,"PORTAGG","MEAN"),FMA_EPS(+1,-3AM,,,,"PORTAGG","MEAN"))&lt;/Q&gt;&lt;R&gt;1&lt;/R&gt;&lt;C&gt;1&lt;/C&gt;&lt;D xsi:type="xsd:double"&gt;1.52412955039449&lt;/D&gt;&lt;/FQL&gt;&lt;FQL&gt;&lt;Q&gt;EWJ^FG_TOTAL_RETURNC(0,-3AM)&lt;/Q&gt;&lt;R&gt;1&lt;/R&gt;&lt;C&gt;1&lt;/C&gt;&lt;D xsi:type="xsd:double"&gt;7.8935623&lt;/D&gt;&lt;/FQL&gt;&lt;FQL&gt;&lt;Q&gt;EWC^P_PRICE(0)/P_PRICE_HIGH_PR(0,,,,,,"PRICE","INTRA","52W")&lt;/Q&gt;&lt;R&gt;1&lt;/R&gt;&lt;C&gt;1&lt;/C&gt;&lt;D xsi:type="xsd:double"&gt;0.99629325&lt;/D&gt;&lt;/FQL&gt;&lt;FQL&gt;&lt;Q&gt;ENZL^FG_TOTAL_RETURNC(0,-12AM)&lt;/Q&gt;&lt;R&gt;1&lt;/R&gt;&lt;C&gt;1&lt;/C&gt;&lt;D xsi:type="xsd:double"&gt;15.587366&lt;/D&gt;&lt;/FQL&gt;&lt;FQL&gt;&lt;Q&gt;EWJ^FMA_COS_DOWN("EPS","1M",+1,0,,,"PORTAGG","MEANR")&lt;/Q&gt;&lt;R&gt;1&lt;/R&gt;&lt;C&gt;1&lt;/C&gt;&lt;D xsi:type="xsd:double"&gt;82&lt;/D&gt;&lt;/FQL&gt;&lt;FQL&gt;&lt;Q&gt;EWD^FMA_COS_UP("EPS","1M",+1,0,,,"PORTAGG","MEANR")&lt;/Q&gt;&lt;R&gt;1&lt;/R&gt;&lt;C&gt;1&lt;/C&gt;&lt;D xsi:type="xsd:double"&gt;7&lt;/D&gt;&lt;/FQL&gt;&lt;FQL&gt;&lt;Q&gt;EWL^SIZE(FG_CONSTITUENTS)&lt;/Q&gt;&lt;R&gt;1&lt;/R&gt;&lt;C&gt;1&lt;/C&gt;&lt;D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xsi:type="xsd:double"&gt;12&lt;/D&gt;&lt;/FQL&gt;&lt;FQL&gt;&lt;Q&gt;EWD^FMA_RBICS_REV_CURRENT(30, LOC, "PORTAGG")&lt;/Q&gt;&lt;R&gt;1&lt;/R&gt;&lt;C&gt;1&lt;/C&gt;&lt;D xsi:type="xsd:double"&gt;27.3013128847698&lt;/D&gt;&lt;/FQL&gt;&lt;FQL&gt;&lt;Q&gt;SPY^FG_ROE(0)&lt;/Q&gt;&lt;R&gt;1&lt;/R&gt;&lt;C&gt;1&lt;/C&gt;&lt;D xsi:type="xsd:double"&gt;18.6365295719801&lt;/D&gt;&lt;/FQL&gt;&lt;FQL&gt;&lt;Q&gt;TRYCH10Y-FDS^FG_YIELD_NAME&lt;/Q&gt;&lt;R&gt;1&lt;/R&gt;&lt;C&gt;1&lt;/C&gt;&lt;D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0&lt;/R&gt;&lt;C&gt;0&lt;/C&gt;&lt;/FQL&gt;&lt;FQL&gt;&lt;Q&gt;TRYAU10Y-FDS^PCTCHG(FG_YIELD(0,,,,"YTM"),FG_YIELD(-3AM,,,,"YTM"))&lt;/Q&gt;&lt;R&gt;1&lt;/R&gt;&lt;C&gt;1&lt;/C&gt;&lt;D xsi:type="xsd:double"&gt;-10.181403&lt;/D&gt;&lt;/FQL&gt;&lt;FQL&gt;&lt;Q&gt;TRYUS10Y-FDS^FG_YIELD(0,,,,"YTM")&lt;/Q&gt;&lt;R&gt;0&lt;/R&gt;&lt;C&gt;0&lt;/C&gt;&lt;/FQL&gt;&lt;FQL&gt;&lt;Q&gt;CC_IT^IMF_IFS_RCPI_Q(0)&lt;/Q&gt;&lt;R&gt;1&lt;/R&gt;&lt;C&gt;1&lt;/C&gt;&lt;D xsi:type="xsd:double"&gt;0.80847347&lt;/D&gt;&lt;/FQL&gt;&lt;FQL&gt;&lt;Q&gt;VWO^FMA_DIV_YLD(NTMA,NOW,NOW,M,"PORTAGG","MEANR")&lt;/Q&gt;&lt;R&gt;1&lt;/R&gt;&lt;C&gt;1&lt;/C&gt;&lt;D xsi:type="xsd:double"&gt;2.94407048268152&lt;/D&gt;&lt;/FQL&gt;&lt;FQL&gt;&lt;Q&gt;EWI^FMA_PE(LTM,0,,,"PORTAGG","MEANR")&lt;/Q&gt;&lt;R&gt;1&lt;/R&gt;&lt;C&gt;1&lt;/C&gt;&lt;D xsi:type="xsd:double"&gt;11.405812272152&lt;/D&gt;&lt;/FQL&gt;&lt;FQL&gt;&lt;Q&gt;EWQ^FMA_EVAL_EBIT(LTMA,NOW,NOW,M,"PORTAGG","MEANR")&lt;/Q&gt;&lt;R&gt;1&lt;/R&gt;&lt;C&gt;1&lt;/C&gt;&lt;D xsi:type="xsd:double"&gt;13.3536230759157&lt;/D&gt;&lt;/FQL&gt;&lt;FQL&gt;&lt;Q&gt;QQQ^FG_FCF_YIELD_NTM(0)&lt;/Q&gt;&lt;R&gt;1&lt;/R&gt;&lt;C&gt;1&lt;/C&gt;&lt;D xsi:type="xsd:double"&gt;3.52448167189969&lt;/D&gt;&lt;/FQL&gt;&lt;FQL&gt;&lt;Q&gt;EWL^FG_COMPANY_NAME&lt;/Q&gt;&lt;R&gt;1&lt;/R&gt;&lt;C&gt;1&lt;/C&gt;&lt;D xsi:type="xsd:string"&gt;iShares MSCI Switzerland ETF&lt;/D&gt;&lt;/FQL&gt;&lt;FQL&gt;&lt;Q&gt;QQQ^FG_TOTAL_RETURNC(0,-6AM)&lt;/Q&gt;&lt;R&gt;1&lt;/R&gt;&lt;C&gt;1&lt;/C&gt;&lt;D xsi:type="xsd:double"&gt;10.366524&lt;/D&gt;&lt;/FQL&gt;&lt;FQL&gt;&lt;Q&gt;DUMMY^ECON_EXPR_DATA('FDS_ECON[PMIDMMANHE]',,,M)&lt;/Q&gt;&lt;R&gt;1&lt;/R&gt;&lt;C&gt;1&lt;/C&gt;&lt;D xsi:type="xsd:double"&gt;48.332497&lt;/D&gt;&lt;/FQL&gt;&lt;FQL&gt;&lt;Q&gt;EWN^FMA_ROE(NTMA,-20AY,NOW,FY,"PORTAGG","MEANR")&lt;/Q&gt;&lt;R&gt;20&lt;/R&gt;&lt;C&gt;1&lt;/C&gt;&lt;D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</t>
        </r>
      </text>
    </comment>
    <comment ref="A3" authorId="0" shapeId="0" xr:uid="{0A0AE693-9A72-4B8B-A6FC-D19019EB9DFB}">
      <text>
        <r>
          <rPr>
            <b/>
            <sz val="9"/>
            <color indexed="81"/>
            <rFont val="Tahoma"/>
            <charset val="1"/>
          </rPr>
          <t xml:space="preserve">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xsi:type="xsd:double"&gt;3.1928&lt;/D&gt;&lt;/FQL&gt;&lt;FQL&gt;&lt;Q&gt;EWL^FMA_COS_DOWN("EPS","1M",+1,0,,,"PORTAGG","MEANR")&lt;/Q&gt;&lt;R&gt;1&lt;/R&gt;&lt;C&gt;1&lt;/C&gt;&lt;D xsi:type="xsd:double"&gt;26&lt;/D&gt;&lt;/FQL&gt;&lt;FQL&gt;&lt;Q&gt;QQQ^FG_ROE(0)&lt;/Q&gt;&lt;R&gt;1&lt;/R&gt;&lt;C&gt;1&lt;/C&gt;&lt;D xsi:type="xsd:double"&gt;22.2814032526962&lt;/D&gt;&lt;/FQL&gt;&lt;FQL&gt;&lt;Q&gt;REFFFUND-FDS^PROPER_NAME(0,,,"SECURITY","NAME")&lt;/Q&gt;&lt;R&gt;1&lt;/R&gt;&lt;C&gt;1&lt;/C&gt;&lt;D xsi:type="xsd:string"&gt;US Federal Funds Target Rate&lt;/D&gt;&lt;/FQL&gt;&lt;FQL&gt;&lt;Q&gt;TRYFR10Y-FDS^PCTCHG(FG_YIELD(0,,,,"YTM"),FG_YIELD(-1AM,,,,"YTM"))&lt;/Q&gt;&lt;R&gt;0&lt;/R&gt;&lt;C&gt;0&lt;/C&gt;&lt;/FQL&gt;&lt;FQL&gt;&lt;Q&gt;TRYAU10Y-FDS^PCTCHG(FG_YIELD(0,,,,"YTM"),FG_YIELD(-1AM,,,,"YTM"))&lt;/Q&gt;&lt;R&gt;1&lt;/R&gt;&lt;C&gt;1&lt;/C&gt;&lt;D xsi:type="xsd:double"&gt;1.3302647&lt;/D&gt;&lt;/FQL&gt;&lt;FQL&gt;&lt;Q&gt;CC_SE^IMF_IFS_RCPI_Q(0)&lt;/Q&gt;&lt;R&gt;1&lt;/R&gt;&lt;C&gt;1&lt;/C&gt;&lt;D xsi:type="xsd:double"&gt;3.39215&lt;/D&gt;&lt;/FQL&gt;&lt;FQL&gt;&lt;Q&gt;VWO^FG_TOTAL_RETURNC(0,-3AM)&lt;/Q&gt;&lt;R&gt;1&lt;/R&gt;&lt;C&gt;1&lt;/C&gt;&lt;D xsi:type="xsd:double"&gt;10.889376&lt;/D&gt;&lt;/FQL&gt;&lt;FQL&gt;&lt;Q&gt;NI-FDS^FG_PRICE_CHANGE(0,-1AY)&lt;/Q&gt;&lt;R&gt;1&lt;/R&gt;&lt;C&gt;1&lt;/C&gt;&lt;D xsi:type="xsd:double"&gt;-11.4705882352941&lt;/D&gt;&lt;/FQL&gt;&lt;FQL&gt;&lt;Q&gt;QQQ^FG_PRICE_MAVG(0,,,,30)&lt;/Q&gt;&lt;R&gt;1&lt;/R&gt;&lt;C&gt;1&lt;/C&gt;&lt;D xsi:type="xsd:double"&gt;474.12933&lt;/D&gt;&lt;/FQL&gt;&lt;FQL&gt;&lt;Q&gt;FXI^FG_TOTAL_RETURNC(0,-3AM)&lt;/Q&gt;&lt;R&gt;1&lt;/R&gt;&lt;C&gt;1&lt;/C&gt;&lt;D xsi:type="xsd:double"&gt;23.290848&lt;/D&gt;&lt;/FQL&gt;&lt;FQL&gt;&lt;Q&gt;VGK^PERCENT_CHANGE(FMA_EPS(+1,0,,,,"PORTAGG","MEAN"),FMA_EPS(+1,-1AM,,,,"PORTAGG","MEAN"))&lt;/Q&gt;&lt;R&gt;1&lt;/R&gt;&lt;C&gt;1&lt;/C&gt;&lt;D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xsi:type="xsd:double"&gt;4.4317365&lt;/D&gt;&lt;/FQL&gt;&lt;FQL&gt;&lt;Q&gt;QQQ^P_PRICE(0)/P_PRICE_LOW_PR(0,,,,,,"PRICE","INTRA","52W")-1&lt;/Q&gt;&lt;R&gt;1&lt;/R&gt;&lt;C&gt;1&lt;/C&gt;&lt;D xsi:type="xsd:double"&gt;0.42973566&lt;/D&gt;&lt;/FQL&gt;&lt;FQL&gt;&lt;Q&gt;EWU^FMA_PCT_ABOVE_MAVG(200,0,,,,"PORTAGG")&lt;/Q&gt;&lt;R&gt;1&lt;/R&gt;&lt;C&gt;1&lt;/C&gt;&lt;D xsi:type="xsd:double"&gt;61.5384615384615&lt;/D&gt;&lt;/FQL&gt;&lt;FQL&gt;&lt;Q&gt;EWJ^PERCENT_CHANGE(FMA_EPS(+1,0,,,,"PORTAGG","MEAN"),FMA_EPS(+1,-3AM,,,,"PORTAGG","MEAN"))&lt;/Q&gt;&lt;R&gt;1&lt;/R&gt;&lt;C&gt;1&lt;/C&gt;&lt;D xsi:type="xsd:double"&gt;12.437019186604&lt;/D&gt;&lt;/FQL&gt;&lt;FQL&gt;&lt;Q&gt;ENZL^P_PRICE(0)/P_PRICE_HIGH_PR(0,,,,,,"PRICE","INTRA","52W")&lt;/Q&gt;&lt;R&gt;1&lt;/R&gt;&lt;C&gt;1&lt;/C&gt;&lt;D xsi:type="xsd:double"&gt;0.9857171&lt;/D&gt;&lt;/FQL&gt;&lt;FQL&gt;&lt;Q&gt;URTH^SIZE(FG_CONSTITUENTS)&lt;/Q&gt;&lt;R&gt;1&lt;/R&gt;&lt;C&gt;1&lt;/C&gt;&lt;D xsi:type="xsd:long"&gt;1412&lt;/D&gt;&lt;/FQL&gt;&lt;FQL&gt;&lt;Q&gt;CAGDPY@US^EE_ACTUAL_ANNUAL(MED,+1)&lt;/Q&gt;&lt;R&gt;1&lt;/R&gt;&lt;C&gt;1&lt;/C&gt;&lt;D xsi:type="xsd:double"&gt;-3.3&lt;/D&gt;&lt;/FQL&gt;&lt;FQL&gt;&lt;Q&gt;CAGDPY@NZ^EE_ACTUAL_ANNUAL(MED,+1)&lt;/Q&gt;&lt;R&gt;1&lt;/R&gt;&lt;C&gt;1&lt;/C&gt;&lt;D xsi:type="xsd:double"&gt;-6.4&lt;/D&gt;&lt;/FQL&gt;&lt;FQL&gt;&lt;Q&gt;USDITL^FG_PRICE_CHANGE(0,-1AY)&lt;/Q&gt;&lt;R&gt;1&lt;/R&gt;&lt;C&gt;1&lt;/C&gt;&lt;D xsi:type="xsd:double"&gt;-5.8209777&lt;/D&gt;&lt;/FQL&gt;&lt;FQL&gt;&lt;Q&gt;USDANG^FG_PRICE_CHANGE(0,-1AY)&lt;/Q&gt;&lt;R&gt;1&lt;/R&gt;&lt;C&gt;1&lt;/C&gt;&lt;D xsi:type="xsd:double"&gt;-0.09705424&lt;/D&gt;&lt;/FQL&gt;&lt;FQL&gt;&lt;Q&gt;USDUSD^FG_PRICE_CHANGE(0,-1AY)&lt;/Q&gt;&lt;R&gt;1&lt;/R&gt;&lt;C&gt;1&lt;/C&gt;&lt;D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xsi:type="xsd:double"&gt;-9.3354225&lt;/D&gt;&lt;/FQL&gt;&lt;FQL&gt;&lt;Q&gt;USDJPY^FG_PRICE_CHANGE(0,-1AY)&lt;/Q&gt;&lt;R&gt;1&lt;/R&gt;&lt;C&gt;1&lt;/C&gt;&lt;D xsi:type="xsd:double"&gt;-4.2415085&lt;/D&gt;&lt;/FQL&gt;&lt;FQL&gt;&lt;Q&gt;USDCAD^FG_PRICE_CHANGE(0,-1AY)&lt;/Q&gt;&lt;R&gt;1&lt;/R&gt;&lt;C&gt;1&lt;/C&gt;&lt;D xsi:type="xsd:double"&gt;-0.28739572&lt;/D&gt;&lt;/FQL&gt;&lt;FQL&gt;&lt;Q&gt;USDNZD^FG_PRICE_CHANGE(0,-1AY)&lt;/Q&gt;&lt;R&gt;1&lt;/R&gt;&lt;C&gt;1&lt;/C&gt;&lt;D xsi:type="xsd:double"&gt;-5.96987&lt;/D&gt;&lt;/FQL&gt;&lt;FQL&gt;&lt;Q&gt;EWA^JULIAN(FMA_EPS(NTMA,-20AY,0,CY,,"PORTAGG","MEANR").DATES)&lt;/Q&gt;&lt;R&gt;20&lt;/R&gt;&lt;C&gt;1&lt;/C&gt;&lt;D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xsi:type="xsd:double"&gt;-4.4121923&lt;/D&gt;&lt;D xsi:type="xsd:double"&gt;-2.8849125&lt;/D&gt;&lt;D xsi:type="xsd:double"&gt;5.9099436&lt;/D&gt;&lt;D xsi:type="xsd:double"&gt;-4.440689&lt;/D&gt;&lt;D xsi:type="xsd:double"&gt;-0.18674731&lt;/D&gt;&lt;D xsi:type="xsd:double"&gt;8.263183&lt;/D&gt;&lt;D xsi:type="xsd:double"&gt;-3.1682074&lt;/D&gt;&lt;D xsi:type="xsd:double"&gt;3.7477732&lt;/D&gt;&lt;D xsi:type="xsd:double"&gt;-1.5195012&lt;/D&gt;&lt;D xsi:type="xsd:double"&gt;-0.2184689&lt;/D&gt;&lt;D xsi:type="xsd:double"&gt;-4.2283354&lt;/D&gt;&lt;D xsi:type="xsd:double"&gt;-4.509616&lt;/D&gt;&lt;D xsi:type="xsd:double"&gt;-5.350071&lt;/D&gt;&lt;D xsi:type="xsd:double"&gt;4.8499584&lt;/D&gt;&lt;D xsi:type="xsd:double"&gt;-0.29950142&lt;/D&gt;&lt;D xsi:type="xsd:double"&gt;-0.6796241&lt;/D&gt;&lt;D xsi:type="xsd:double"&gt;-7.870841&lt;/D&gt;&lt;D xsi:type="xsd:double"&gt;0.58414936&lt;/D&gt;&lt;D xsi:type="xsd:double"&gt;3.7023664&lt;/D&gt;&lt;D xsi:type="xsd:double"&gt;7.210362&lt;/D&gt;&lt;D xsi:type="xsd:double"&gt;-3.0035913&lt;/D&gt;&lt;D xsi:type="xsd:double"&gt;-10.737258&lt;/D&gt;&lt;D xsi:type="xsd:double"&gt;9.094477&lt;/D&gt;&lt;D xsi:type="xsd:double"&gt;2.874589&lt;/D&gt;&lt;D xsi:type="xsd:double"&gt;0.5588651&lt;/D&gt;&lt;D xsi:type="xsd:double"&gt;-3.6818385&lt;/D&gt;&lt;D xsi:type="xsd:double"&gt;-0.25243163&lt;/D&gt;&lt;D xsi:type="xsd:double"&gt;3.3437133&lt;/D&gt;&lt;D xsi:type="xsd:double"&gt;5.77327&lt;/D&gt;&lt;D xsi:type="xsd:double"&gt;0.033080578&lt;/D&gt;&lt;D xsi:type="xsd:double"&gt;4.728842&lt;/D&gt;&lt;D xsi:type="xsd:double"&gt;4.452169&lt;/D&gt;&lt;D xsi:type="xsd:double"&gt;3.0532002&lt;/D&gt;&lt;D xsi:type="xsd:double"&gt;0.5611539&lt;/D&gt;&lt;D xsi:type="xsd:double"&gt;1.5214801&lt;/D&gt;&lt;D xsi:type="xsd:double"&gt;1.1460423&lt;/D&gt;&lt;D xsi:type="xsd:double"&gt;2.9052854&lt;/D&gt;&lt;D xsi:type="xsd:double"&gt;0.47996044&lt;/D&gt;&lt;D xsi:type="xsd:double"&gt;-2.6973844&lt;/D&gt;&lt;D xsi:type="xsd:double"&gt;-0.8948028&lt;/D&gt;&lt;D xsi:type="xsd:double"&gt;7.44555&lt;/D&gt;&lt;D xsi:type="xsd:double"&gt;-5.91619&lt;/D&gt;&lt;D xsi:type="xsd:double"&gt;-3.9592326&lt;/D&gt;&lt;D xsi:type="xsd:double"&gt;1.4246702&lt;/D&gt;&lt;D xsi:type="xsd:double"&gt;-0.2988577&lt;/D&gt;&lt;D xsi:type="xsd:double"&gt;-5.630559&lt;/D&gt;&lt;D xsi:type="xsd:double"&gt;6.382978&lt;/D&gt;&lt;D xsi:type="xsd:double"&gt;0.3437519&lt;/D&gt;&lt;D xsi:type="xsd:double"&gt;3.550291&lt;/D&gt;&lt;D xsi:type="xsd:double"&gt;-13.954884&lt;/D&gt;&lt;D xsi:type="xsd:double"&gt;0.55924654&lt;/D&gt;&lt;D xsi:type="xsd:double"&gt;-4.044211&lt;/D&gt;&lt;D xsi:type="xsd:double"&gt;6.8140626&lt;/D&gt;&lt;D xsi:type="xsd:double"&gt;2.0359755&lt;/D&gt;&lt;D xsi:type="xsd:double"&gt;0.9311676&lt;/D&gt;&lt;D xsi:type="xsd:double"&gt;6.4579964&lt;/D&gt;&lt;D xsi:type="xsd:double"&gt;-6.5304875&lt;/D&gt;&lt;D xsi:type="xsd:double"&gt;5.422771&lt;/D&gt;&lt;D xsi:type="xsd:double"&gt;-2.7552664&lt;/D&gt;&lt;D xsi:type="xsd:double"&gt;-7.5666666&lt;/D&gt;&lt;D xsi:type="xsd:double"&gt;6.1305523&lt;/D&gt;&lt;D xsi:type="xsd:double"&gt;7.0676208&lt;/D&gt;&lt;D xsi:type="xsd:double"&gt;1.3646483&lt;/D&gt;&lt;D xsi:type="xsd:double"&gt;5.850184&lt;/D&gt;&lt;D xsi:type="xsd:double"&gt;-4.0431204&lt;/D&gt;&lt;D xsi:type="xsd:double"&gt;-5.1810265&lt;/D&gt;&lt;D xsi:type="xsd:double"&gt;-18.926924&lt;/D&gt;&lt;D xsi:type="xsd:double"&gt;8.485592&lt;/D&gt;&lt;D xsi:type="xsd:double"&gt;10.404194&lt;/D&gt;&lt;D xsi:type="xsd:double"&gt;4.8710704&lt;/D&gt;&lt;D xsi:type="xsd:double"&gt;13.7483835&lt;/D&gt;&lt;D xsi:type="xsd:double"&gt;1.9669294&lt;/D&gt;&lt;D xsi:type="xsd:double"&gt;-4.417115&lt;/D&gt;&lt;D xsi:type="xsd:double"&gt;3.0710816&lt;/D&gt;&lt;D xsi:type="xsd:double"&gt;13.166857&lt;/D&gt;&lt;D xsi:type="xsd:double"&gt;0.6726146&lt;/D&gt;&lt;D xsi:type="xsd:double"&gt;3.7641168&lt;/D&gt;&lt;D xsi:type="xsd:double"&gt;1.6203165&lt;/D&gt;&lt;D xsi:type="xsd:double"&gt;7.5202227&lt;/D&gt;&lt;D xsi:type="xsd:double"&gt;6.0646296&lt;/D&gt;&lt;D xsi:type="xsd:double"&gt;1.1060119&lt;/D&gt;&lt;D xsi:type="xsd:double"&gt;-0.67040324&lt;/D&gt;&lt;D xsi:type="xsd:double"&gt;3.1256676&lt;/D&gt;&lt;D xsi:type="xsd:double"&gt;-0.63917637&lt;/D&gt;&lt;D xsi:type="xsd:double"&gt;-4.0257273&lt;/D&gt;&lt;D xsi:type="xsd:double"&gt;3.9999962&lt;/D&gt;&lt;D xsi:type="xsd:double"&gt;-7.338876&lt;/D&gt;&lt;D xsi:type="xsd:double"&gt;6.795633&lt;/D&gt;&lt;D xsi:type="xsd:double"&gt;-11.415184&lt;/D&gt;&lt;D xsi:type="xsd:double"&gt;-4.8923674&lt;/D&gt;&lt;D xsi:type="xsd:double"&gt;-0.07717013&lt;/D&gt;&lt;D xsi:type="xsd:double"&gt;-7.23294&lt;/D&gt;&lt;D xsi:type="xsd:double"&gt;1.4150858&lt;/D&gt;&lt;D xsi:type="xsd:double"&gt;-11.068707&lt;/D&gt;&lt;D xsi:type="xsd:double"&gt;2.8173447&lt;/D&gt;&lt;D xsi:type="xsd:double"&gt;-6.4347267&lt;/D&gt;&lt;D xsi:type="xsd:double"&gt;-12.339586&lt;/D&gt;&lt;D xsi:type="xsd:double"&gt;11.373878&lt;/D&gt;&lt;D xsi:type="xsd:double"&gt;14.122009&lt;/D&gt;&lt;D xsi:type="xsd:double"&gt;-3.1410754&lt;/D&gt;&lt;D xsi:type="xsd:double"&gt;8.770323&lt;/D&gt;&lt;D xsi:type="xsd:double"&gt;0.620234&lt;/D&gt;&lt;D xsi:type="xsd:double"&gt;-5.2675724&lt;/D&gt;&lt;D xsi:type="xsd:double"&gt;9.73084&lt;/D&gt;&lt;D xsi:type="xsd:double"&gt;-5.768192&lt;/D&gt;&lt;D xsi:type="xsd:double"&gt;-0.45766829999999997&lt;/D&gt;&lt;D xsi:type="xsd:double"&gt;2.3563266&lt;/D&gt;&lt;D xsi:type="xsd:double"&gt;-8.338004&lt;/D&gt;&lt;D xsi:type="xsd:double"&gt;-1.1638641&lt;/D&gt;&lt;D xsi:type="xsd:double"&gt;-4.5553207&lt;/D&gt;&lt;D xsi:type="xsd:double"&gt;17.402601&lt;/D&gt;&lt;D xsi:type="xsd:double"&gt;13.152779&lt;/D&gt;&lt;D xsi:type="xsd:double"&gt;-6.6366196&lt;/D&gt;&lt;D xsi:type="xsd:double"&gt;6.0085893&lt;/D&gt;&lt;D xsi:type="xsd:double"&gt;2.808702&lt;/D&gt;&lt;D xsi:type="xsd:double"&gt;-3.8149118&lt;/D&gt;&lt;D xsi:type="xsd:double"&gt;6.6018343&lt;/D&gt;&lt;D xsi:type="xsd:double"&gt;-2.4862826&lt;/D&gt;&lt;D xsi:type="xsd:double"&gt;-0.800401&lt;/D&gt;&lt;D xsi:type="xsd:double"&gt;5.8245063&lt;/D&gt;&lt;D xsi:type="xsd:double"&gt;4.4317365&lt;/D&gt;&lt;/FQL&gt;&lt;FQL&gt;&lt;Q&gt;EWQ^FMA_DIV_YLD(NTMA,-10AY,0,AM,"PORTAGG","MEANR")&lt;/Q&gt;&lt;R&gt;121&lt;/R&gt;&lt;C&gt;1&lt;/C&gt;&lt;D xsi:type="xsd:double"&gt;3.57565333497623&lt;/D&gt;&lt;D xsi:type="xsd:double"&gt;3.81437654721327&lt;/D&gt;&lt;D xsi:type="xsd:double"&gt;3.57520890234014&lt;/D&gt;&lt;D xsi:type="xsd:double"&gt;3.6279729413225&lt;/D&gt;&lt;D xsi:type="xsd:double"&gt;3.35093503590792&lt;/D&gt;&lt;D xsi:type="xsd:double"&gt;3.12865411889008&lt;/D&gt;&lt;D xsi:type="xsd:double"&gt;3.19378604686373&lt;/D&gt;&lt;D xsi:type="xsd:double"&gt;3.06811322575706&lt;/D&gt;&lt;D xsi:type="xsd:double"&gt;3.19677428318534&lt;/D&gt;&lt;D xsi:type="xsd:double"&gt;3.27726834042018&lt;/D&gt;&lt;D xsi:type="xsd:double"&gt;3.36649176871564&lt;/D&gt;&lt;D xsi:type="xsd:double"&gt;3.60229482065178&lt;/D&gt;&lt;D xsi:type="xsd:double"&gt;3.74803408456056&lt;/D&gt;&lt;D xsi:type="xsd:double"&gt;3.46623863617379&lt;/D&gt;&lt;D xsi:type="xsd:double"&gt;3.40791727778393&lt;/D&gt;&lt;D xsi:type="xsd:double"&gt;3.58412530665212&lt;/D&gt;&lt;D xsi:type="xsd:double"&gt;3.81164149666411&lt;/D&gt;&lt;D xsi:type="xsd:double"&gt;3.84812314720219&lt;/D&gt;&lt;D xsi:type="xsd:double"&gt;3.82252166349583&lt;/D&gt;&lt;D xsi:type="xsd:double"&gt;3.63139061008682&lt;/D&gt;&lt;D xsi:type="xsd:double"&gt;3.6820882209492&lt;/D&gt;&lt;D xsi:type="xsd:double"&gt;4.16124599446116&lt;/D&gt;&lt;D xsi:type="xsd:double"&gt;3.72253507926846&lt;/D&gt;&lt;D xsi:type="xsd:double"&gt;3.73095252396423&lt;/D&gt;&lt;D xsi:type="xsd:double"&gt;3.76275245084012&lt;/D&gt;&lt;D xsi:type="xsd:double"&gt;3.72175486990813&lt;/D&gt;&lt;D xsi:type="xsd:double"&gt;3.69329012655489&lt;/D&gt;&lt;D xsi:type="xsd:double"&gt;3.48108246542975&lt;/D&gt;&lt;D xsi:type="xsd:double"&gt;3.47527578284128&lt;/D&gt;&lt;D xsi:type="xsd:double"&gt;3.5194140428855&lt;/D&gt;&lt;D xsi:type="xsd:double"&gt;3.41042456031611&lt;/D&gt;&lt;D xsi:type="xsd:double"&gt;3.26151569356306&lt;/D&gt;&lt;D xsi:type="xsd:double"&gt;3.23198180743746&lt;/D&gt;&lt;D xsi:type="xsd:double"&gt;3.3043887720421&lt;/D&gt;&lt;D xsi:type="xsd:double"&gt;3.34196011020372&lt;/D&gt;&lt;D xsi:type="xsd:double"&gt;3.4176085703536&lt;/D&gt;&lt;D xsi:type="xsd:double"&gt;3.31803899486665&lt;/D&gt;&lt;D xsi:type="xsd:double"&gt;3.24307618743418&lt;/D&gt;&lt;D xsi:type="xsd:double"&gt;3.31440522202135&lt;/D&gt;&lt;D xsi:type="xsd:double"&gt;3.28887079226338&lt;/D&gt;&lt;D xsi:type="xsd:double"&gt;3.20099865215138&lt;/D&gt;&lt;D xsi:type="xsd:double"&gt;3.35512160346493&lt;/D&gt;&lt;D xsi:type="xsd:double"&gt;3.4915924369553&lt;/D&gt;&lt;D xsi:type="xsd:double"&gt;3.31632075908034&lt;/D&gt;&lt;D xsi:type="xsd:double"&gt;3.3072336356364&lt;/D&gt;&lt;D xsi:type="xsd:double"&gt;3.46103147021805&lt;/D&gt;&lt;D xsi:type="xsd:double"&gt;3.36982915012033&lt;/D&gt;&lt;D xsi:type="xsd:double"&gt;3.4064182280113&lt;/D&gt;&lt;D xsi:type="xsd:double"&gt;3.40021501172103&lt;/D&gt;&lt;D xsi:type="xsd:double"&gt;3.79993301081582&lt;/D&gt;&lt;D xsi:type="xsd:double"&gt;3.80860991077943&lt;/D&gt;&lt;D xsi:type="xsd:double"&gt;4.11829079386603&lt;/D&gt;&lt;D xsi:type="xsd:double"&gt;3.84173153562059&lt;/D&gt;&lt;D xsi:type="xsd:double"&gt;3.65496490624369&lt;/D&gt;&lt;D xsi:type="xsd:double"&gt;3.63749215903316&lt;/D&gt;&lt;D xsi:type="xsd:double"&gt;3.47858465226856&lt;/D&gt;&lt;D xsi:type="xsd:double"&gt;3.65358853813825&lt;/D&gt;&lt;D xsi:type="xsd:double"&gt;3.55581521520927&lt;/D&gt;&lt;D xsi:type="xsd:double"&gt;3.49586977148978&lt;/D&gt;&lt;D xsi:type="xsd:double"&gt;3.65949644391578&lt;/D&gt;&lt;D xsi:type="xsd:double"&gt;3.50862384337726&lt;/D&gt;&lt;D xsi:type="xsd:double"&gt;3.45951440443027&lt;/D&gt;&lt;D xsi:type="xsd:double"&gt;3.36469945955017&lt;/D&gt;&lt;D xsi:type="xsd:double"&gt;3.32075568962525&lt;/D&gt;&lt;D xsi:type="xsd:double"&gt;3.40950462009623&lt;/D&gt;&lt;D xsi:type="xsd:double"&gt;3.60153013501362&lt;/D&gt;&lt;D xsi:type="xsd:double"&gt;4.39591839820754&lt;/D&gt;&lt;D xsi:type="xsd:double"&gt;3.6557928732158&lt;/D&gt;&lt;D xsi:type="xsd:double"&gt;3.34582339109586&lt;/D&gt;&lt;D xsi:type="xsd:double"&gt;3.18345497195416&lt;/D&gt;&lt;D xsi:type="xsd:double"&gt;3.13439804911988&lt;/D&gt;&lt;D xsi:type="xsd:double"&gt;3.1067739966433&lt;/D&gt;&lt;D xsi:type="xsd:double"&gt;3.34648526329087&lt;/D&gt;&lt;D xsi:type="xsd:double"&gt;3.33905752703196&lt;/D&gt;&lt;D xsi:type="xsd:double"&gt;2.86594112578413&lt;/D&gt;&lt;D xsi:type="xsd:double"&gt;2.94410175789066&lt;/D&gt;&lt;D xsi:type="xsd:double"&gt;2.99311240557121&lt;/D&gt;&lt;D xsi:type="xsd:double"&gt;2.88006278463723&lt;/D&gt;&lt;D xsi:type="xsd:double"&gt;2.78257739108901&lt;/D&gt;&lt;D xsi:type="xsd:double"&gt;2.69683083759671&lt;/D&gt;&lt;D xsi:type="xsd:double"&gt;2.69401645415293&lt;/D&gt;&lt;D xsi:type="xsd:double"&gt;2.65499834985606&lt;/D&gt;&lt;D xsi:type="xsd:double"&gt;2.72423801607334&lt;/D&gt;&lt;D xsi:type="xsd:double"&gt;2.75791849626564&lt;/D&gt;&lt;D xsi:type="xsd:double"&gt;2.80592673758116&lt;/D&gt;&lt;D xsi:type="xsd:double"&gt;2.81967219846116&lt;/D&gt;&lt;D xsi:type="xsd:double"&gt;2.88322404418705&lt;/D&gt;&lt;D xsi:type="xsd:double"&gt;2.74609821761019&lt;/D&gt;&lt;D xsi:type="xsd:double"&gt;2.83036947877194&lt;/D&gt;&lt;D xsi:type="xsd:double"&gt;3.04247609047547&lt;/D&gt;&lt;D xsi:type="xsd:double"&gt;3.14377609457423&lt;/D&gt;&lt;D xsi:type="xsd:double"&gt;3.1977406772928&lt;/D&gt;&lt;D xsi:type="xsd:double"&gt;3.19027310512518&lt;/D&gt;&lt;D xsi:type="xsd:double"&gt;3.46368696989133&lt;/D&gt;&lt;D xsi:type="xsd:double"&gt;3.36320395118231&lt;/D&gt;&lt;D xsi:type="xsd:double"&gt;3.42918823670708&lt;/D&gt;&lt;D xsi:type="xsd:double"&gt;3.78946693045651&lt;/D&gt;&lt;D xsi:type="xsd:double"&gt;3.49831656319777&lt;/D&gt;&lt;D xsi:type="xsd:double"&gt;3.26724499082431&lt;/D&gt;&lt;D xsi:type="xsd:double"&gt;3.34654825456723&lt;/D&gt;&lt;D xsi:type="xsd:double"&gt;3.10200267917803&lt;/D&gt;&lt;D xsi:type="xsd:double"&gt;3.14376609596348&lt;/D&gt;&lt;D xsi:type="xsd:double"&gt;3.27487867163263&lt;/D&gt;&lt;D xsi:type="xsd:double"&gt;3.12160432130631&lt;/D&gt;&lt;D xsi:type="xsd:double"&gt;3.25056990371492&lt;/D&gt;&lt;D xsi:type="xsd:double"&gt;3.30036172077571&lt;/D&gt;&lt;D xsi:type="xsd:double"&gt;3.23716085804155&lt;/D&gt;&lt;D xsi:type="xsd:double"&gt;3.3717505761232&lt;/D&gt;&lt;D xsi:type="xsd:double"&gt;3.45973563528224&lt;/D&gt;&lt;D xsi:type="xsd:double"&gt;3.58922271833096&lt;/D&gt;&lt;D xsi:type="xsd:double"&gt;3.35525536721288&lt;/D&gt;&lt;D xsi:type="xsd:double"&gt;3.21287329230061&lt;/D&gt;&lt;D xsi:type="xsd:double"&gt;3.1764848066638&lt;/D&gt;&lt;D xsi:type="xsd:double"&gt;3.12015564004921&lt;/D&gt;&lt;D xsi:type="xsd:double"&gt;3.05343452406457&lt;/D&gt;&lt;D xsi:type="xsd:double"&gt;3.11564320574313&lt;/D&gt;&lt;D xsi:type="xsd:double"&gt;3.11439557523746&lt;/D&gt;&lt;D xsi:type="xsd:double"&gt;3.37125843106123&lt;/D&gt;&lt;D xsi:type="xsd:double"&gt;3.37582798765376&lt;/D&gt;&lt;D xsi:type="xsd:double"&gt;3.3669621239629&lt;/D&gt;&lt;D xsi:type="xsd:double"&gt;3.37397541842235&lt;/D&gt;&lt;/FQL&gt;&lt;FQL&gt;&lt;Q&gt;QQQ^FMA_PE(NTMA,-10AY,0,AM,"PORTAGG","MEANR")&lt;/Q&gt;&lt;R&gt;121&lt;/R&gt;&lt;C&gt;1&lt;/C&gt;&lt;D xsi:type="xsd:double"&gt;17.4832505886197&lt;/D&gt;&lt;D xsi:type="xsd:double"&gt;17.2128327461269&lt;/D&gt;&lt;D xsi:type="xsd:double"&gt;18.2441850270861&lt;/D&gt;&lt;D xsi:type="xsd:double"&gt;17.958339907237&lt;/D&gt;&lt;D xsi:type="xsd:double"&gt;17.1445154587181&lt;/D&gt;&lt;D xsi:type="xsd:double"&gt;18.0987091619455&lt;/D&gt;&lt;D xsi:type="xsd:double"&gt;17.6059471023599&lt;/D&gt;&lt;D xsi:type="xsd:double"&gt;18.3488720278686&lt;/D&gt;&lt;D xsi:type="xsd:double"&gt;18.1797403186645&lt;/D&gt;&lt;D xsi:type="xsd:double"&gt;17.8320799132451&lt;/D&gt;&lt;D xsi:type="xsd:double"&gt;18.1792027404716&lt;/D&gt;&lt;D xsi:type="xsd:double"&gt;17.4728639235628&lt;/D&gt;&lt;D xsi:type="xsd:double"&gt;16.9661448969001&lt;/D&gt;&lt;D xsi:type="xsd:double"&gt;18.4921348936042&lt;/D&gt;&lt;D xsi:type="xsd:double"&gt;18.7137447256753&lt;/D&gt;&lt;D xsi:type="xsd:double"&gt;18.4761293752436&lt;/D&gt;&lt;D xsi:type="xsd:double"&gt;16.7113603206765&lt;/D&gt;&lt;D xsi:type="xsd:double"&gt;17.0070253303169&lt;/D&gt;&lt;D xsi:type="xsd:double"&gt;17.6086286205357&lt;/D&gt;&lt;D xsi:type="xsd:double"&gt;17.8312393246629&lt;/D&gt;&lt;D xsi:type="xsd:double"&gt;18.0088908096734&lt;/D&gt;&lt;D xsi:type="xsd:double"&gt;16.7645322869124&lt;/D&gt;&lt;D xsi:type="xsd:double"&gt;18.6493135994681&lt;/D&gt;&lt;D xsi:type="xsd:double"&gt;18.5830552838314&lt;/D&gt;&lt;D xsi:type="xsd:double"&gt;18.6597801812093&lt;/D&gt;&lt;D xsi:type="xsd:double"&gt;18.2901339724451&lt;/D&gt;&lt;D xsi:type="xsd:double"&gt;18.291097102394&lt;/D&gt;&lt;D xsi:type="xsd:double"&gt;18.4483115377852&lt;/D&gt;&lt;D xsi:type="xsd:double"&gt;19.3264981523412&lt;/D&gt;&lt;D xsi:type="xsd:double"&gt;20.105694374995&lt;/D&gt;&lt;D xsi:type="xsd:double"&gt;19.9504810618859&lt;/D&gt;&lt;D xsi:type="xsd:double"&gt;20.381956603261&lt;/D&gt;&lt;D xsi:type="xsd:double"&gt;20.9496030825611&lt;/D&gt;&lt;D xsi:type="xsd:double"&gt;20.2018454472879&lt;/D&gt;&lt;D xsi:type="xsd:double"&gt;20.7878914948179&lt;/D&gt;&lt;D xsi:type="xsd:double"&gt;20.1885457746548&lt;/D&gt;&lt;D xsi:type="xsd:double"&gt;20.2436821831523&lt;/D&gt;&lt;D xsi:type="xsd:double"&gt;20.7484258693142&lt;/D&gt;&lt;D xsi:type="xsd:double"&gt;21.0537626974347&lt;/D&gt;&lt;D xsi:type="xsd:double"&gt;20.9382127191757&lt;/D&gt;&lt;D xsi:type="xsd:double"&gt;22.1227892939184&lt;/D&gt;&lt;D xsi:type="xsd:double"&gt;20.9434237032862&lt;/D&gt;&lt;D xsi:type="xsd:double"&gt;19.6309355860462&lt;/D&gt;&lt;D xsi:type="xsd:double"&gt;19.496332881483&lt;/D&gt;&lt;D xsi:type="xsd:double"&gt;20.0789911940664&lt;/D&gt;&lt;D xsi:type="xsd:double"&gt;19.8957665579755&lt;/D&gt;&lt;D xsi:type="xsd:double"&gt;20.4605850933668&lt;/D&gt;&lt;D xsi:type="xsd:double"&gt;20.9030862675946&lt;/D&gt;&lt;D xsi:type="xsd:double"&gt;20.8834719303178&lt;/D&gt;&lt;D xsi:type="xsd:double"&gt;18.5113702674783&lt;/D&gt;&lt;D xsi:type="xsd:double"&gt;18.1503492133815&lt;/D&gt;&lt;D xsi:type="xsd:double"&gt;17.114154864227&lt;/D&gt;&lt;D xsi:type="xsd:double"&gt;18.6337869979162&lt;/D&gt;&lt;D xsi:type="xsd:double"&gt;19.7041282908228&lt;/D&gt;&lt;D xsi:type="xsd:double"&gt;20.1575762567463&lt;/D&gt;&lt;D xsi:type="xsd:double"&gt;21.4071283731247&lt;/D&gt;&lt;D xsi:type="xsd:double"&gt;19.8598179647481&lt;/D&gt;&lt;D xsi:type="xsd:double"&gt;20.7764227648357&lt;/D&gt;&lt;D xsi:type="xsd:double"&gt;21.5314584460386&lt;/D&gt;&lt;D xsi:type="xsd:double"&gt;20.1368474905214&lt;/D&gt;&lt;D xsi:type="xsd:double"&gt;19.831165972279&lt;/D&gt;&lt;D xsi:type="xsd:double"&gt;20.5257440726006&lt;/D&gt;&lt;D xsi:type="xsd:double"&gt;21.6140721979619&lt;/D&gt;&lt;D xsi:type="xsd:double"&gt;22.3133184016087&lt;/D&gt;&lt;D xsi:type="xsd:double"&gt;22.4672991013917&lt;/D&gt;&lt;D xsi:type="xsd:double"&gt;20.8075212303294&lt;/D&gt;&lt;D xsi:type="xsd:double"&gt;19.4918061985612&lt;/D&gt;&lt;D xsi:type="xsd:double"&gt;23.9775900529801&lt;/D&gt;&lt;D xsi:type="xsd:double"&gt;26.4163796254823&lt;/D&gt;&lt;D xsi:type="xsd:double"&gt;26.9524946518545&lt;/D&gt;&lt;D xsi:type="xsd:double"&gt;28.3880854048377&lt;/D&gt;&lt;D xsi:type="xsd:double"&gt;30.3785535889436&lt;/D&gt;&lt;D xsi:type="xsd:double"&gt;27.9460327888103&lt;/D&gt;&lt;D xsi:type="xsd:double"&gt;28.4770323532732&lt;/D&gt;&lt;D xsi:type="xsd:double"&gt;28.9841516430132&lt;/D&gt;&lt;D xsi:type="xsd:double"&gt;29.0851053730715&lt;/D&gt;&lt;D xsi:type="xsd:double"&gt;29.0605489220503&lt;/D&gt;&lt;D xsi:type="xsd:double"&gt;27.2335361846352&lt;/D&gt;&lt;D xsi:type="xsd:double"&gt;27.187584287661&lt;/D&gt;&lt;D xsi:type="xsd:double"&gt;28.7214486787778&lt;/D&gt;&lt;D xsi:type="xsd:double"&gt;26.4074612806709&lt;/D&gt;&lt;D xsi:type="xsd:double"&gt;27.4444646676496&lt;/D&gt;&lt;D xsi:type="xsd:double"&gt;28.1813703255936&lt;/D&gt;&lt;D xsi:type="xsd:double"&gt;27.857721465313&lt;/D&gt;&lt;D xsi:type="xsd:double"&gt;27.1866883219051&lt;/D&gt;&lt;D xsi:type="xsd:double"&gt;27.730045721988&lt;/D&gt;&lt;D xsi:type="xsd:double"&gt;28.2626049126135&lt;/D&gt;&lt;D xsi:type="xsd:double"&gt;29.0253366278241&lt;/D&gt;&lt;D xsi:type="xsd:double"&gt;24.2562326510696&lt;/D&gt;&lt;D xsi:type="xsd:double"&gt;24.2407910519031&lt;/D&gt;&lt;D xsi:type="xsd:double"&gt;25.026155954065&lt;/D&gt;&lt;D xsi:type="xsd:double"&gt;21.9157659487563&lt;/D&gt;&lt;D xsi:type="xsd:double"&gt;21.4857538415418&lt;/D&gt;&lt;D xsi:type="xsd:double"&gt;20.2260593757022&lt;/D&gt;&lt;D xsi:type="xsd:double"&gt;21.5993330963683&lt;/D&gt;&lt;D xsi:type="xsd:double"&gt;22.0021610774019&lt;/D&gt;&lt;D xsi:type="xsd:double"&gt;19.5595042444893&lt;/D&gt;&lt;D xsi:type="xsd:double"&gt;20.0847112939447&lt;/D&gt;&lt;D xsi:type="xsd:double"&gt;21.401184383567&lt;/D&gt;&lt;D xsi:type="xsd:double"&gt;20.267888691938&lt;/D&gt;&lt;D xsi:type="xsd:double"&gt;23.0978096507108&lt;/D&gt;&lt;D xsi:type="xsd:double"&gt;22.7259383596769&lt;/D&gt;&lt;D xsi:type="xsd:double"&gt;23.6323312441708&lt;/D&gt;&lt;D xsi:type="xsd:double"&gt;24.0422645367894&lt;/D&gt;&lt;D xsi:type="xsd:double"&gt;25.3354543037702&lt;/D&gt;&lt;D xsi:type="xsd:double"&gt;25.9431816489704&lt;/D&gt;&lt;D xsi:type="xsd:double"&gt;24.9496456407789&lt;/D&gt;&lt;D xsi:type="xsd:double"&gt;23.4236963818369&lt;/D&gt;&lt;D xsi:type="xsd:double"&gt;22.5038361582107&lt;/D&gt;&lt;D xsi:type="xsd:double"&gt;21.5335423105073&lt;/D&gt;&lt;D xsi:type="xsd:double"&gt;23.8637186863659&lt;/D&gt;&lt;D xsi:type="xsd:double"&gt;24.7443423692616&lt;/D&gt;&lt;D xsi:type="xsd:double"&gt;25.4506462200206&lt;/D&gt;&lt;D xsi:type="xsd:double"&gt;25.6742423991125&lt;/D&gt;&lt;D xsi:type="xsd:double"&gt;25.7828989053132&lt;/D&gt;&lt;D xsi:type="xsd:double"&gt;25.1802716804252&lt;/D&gt;&lt;D xsi:type="xsd:double"&gt;26.2148177476651&lt;/D&gt;&lt;D xsi:type="xsd:double"&gt;27.1051123858436&lt;/D&gt;&lt;D xsi:type="xsd:double"&gt;25.7891694667476&lt;/D&gt;&lt;D xsi:type="xsd:double"&gt;26.3648759449245&lt;/D&gt;&lt;D xsi:type="xsd:double"&gt;26.5846133031004&lt;/D&gt;&lt;/FQL&gt;&lt;FQL&gt;&lt;Q&gt;EWL^FMA_PE(LTMA,-10AY,0,AM,"PORTAGG","MEANR")&lt;/Q&gt;&lt;R&gt;121&lt;/R&gt;&lt;C&gt;1&lt;/C&gt;&lt;D xsi:type="xsd:double"&gt;17.2698775866963&lt;/D&gt;&lt;D xsi:type="xsd:double"&gt;16.8656704024326&lt;/D&gt;&lt;D xsi:type="xsd:double"&gt;17.734943490231&lt;/D&gt;&lt;D xsi:type="xsd:double"&gt;17.3627595471822&lt;/D&gt;&lt;D xsi:type="xsd:double"&gt;16.7119830335953&lt;/D&gt;&lt;D xsi:type="xsd:double"&gt;17.9927049686476&lt;/D&gt;&lt;D xsi:type="xsd:double"&gt;18.0057057591524&lt;/D&gt;&lt;D xsi:type="xsd:double"&gt;18.2231585430833&lt;/D&gt;&lt;D xsi:type="xsd:double"&gt;18.1652063766898&lt;/D&gt;&lt;D xsi:type="xsd:double"&gt;17.8976156300915&lt;/D&gt;&lt;D xsi:type="xsd:double"&gt;18.0081370103528&lt;/D&gt;&lt;D xsi:type="xsd:double"&gt;17.4166356672647&lt;/D&gt;&lt;D xsi:type="xsd:double"&gt;16.9487651228455&lt;/D&gt;&lt;D xsi:type="xsd:double"&gt;17.6758071749782&lt;/D&gt;&lt;D xsi:type="xsd:double"&gt;17.6137578222839&lt;/D&gt;&lt;D xsi:type="xsd:double"&gt;17.3473832510538&lt;/D&gt;&lt;D xsi:type="xsd:double"&gt;16.7194369786179&lt;/D&gt;&lt;D xsi:type="xsd:double"&gt;16.6073382950339&lt;/D&gt;&lt;D xsi:type="xsd:double"&gt;16.595976802544&lt;/D&gt;&lt;D xsi:type="xsd:double"&gt;16.8858117550095&lt;/D&gt;&lt;D xsi:type="xsd:double"&gt;17.1775544307544&lt;/D&gt;&lt;D xsi:type="xsd:double"&gt;16.6076603054918&lt;/D&gt;&lt;D xsi:type="xsd:double"&gt;17.4937007902274&lt;/D&gt;&lt;D xsi:type="xsd:double"&gt;17.8529501611658&lt;/D&gt;&lt;D xsi:type="xsd:double"&gt;18.0146802040275&lt;/D&gt;&lt;D xsi:type="xsd:double"&gt;17.711205419424&lt;/D&gt;&lt;D xsi:type="xsd:double"&gt;17.5400228459349&lt;/D&gt;&lt;D xsi:type="xsd:double"&gt;18.2129230017799&lt;/D&gt;&lt;D xsi:type="xsd:double"&gt;18.5772824353765&lt;/D&gt;&lt;D xsi:type="xsd:double"&gt;19.5936794733986&lt;/D&gt;&lt;D xsi:type="xsd:double"&gt;19.5540038459195&lt;/D&gt;&lt;D xsi:type="xsd:double"&gt;19.5043327836141&lt;/D&gt;&lt;D xsi:type="xsd:double"&gt;19.5386254545056&lt;/D&gt;&lt;D xsi:type="xsd:double"&gt;19.4905506414354&lt;/D&gt;&lt;D xsi:type="xsd:double"&gt;19.3257328600005&lt;/D&gt;&lt;D xsi:type="xsd:double"&gt;19.1529823204513&lt;/D&gt;&lt;D xsi:type="xsd:double"&gt;19.311571761374&lt;/D&gt;&lt;D xsi:type="xsd:double"&gt;20.13607810303&lt;/D&gt;&lt;D xsi:type="xsd:double"&gt;20.3650162429515&lt;/D&gt;&lt;D xsi:type="xsd:double"&gt;20.7231541313346&lt;/D&gt;&lt;D xsi:type="xsd:double"&gt;22.2579310036866&lt;/D&gt;&lt;D xsi:type="xsd:double"&gt;21.4817990309801&lt;/D&gt;&lt;D xsi:type="xsd:double"&gt;20.7127630084067&lt;/D&gt;&lt;D xsi:type="xsd:double"&gt;20.3370620961571&lt;/D&gt;&lt;D xsi:type="xsd:double"&gt;19.9247140924011&lt;/D&gt;&lt;D xsi:type="xsd:double"&gt;19.2129645285851&lt;/D&gt;&lt;D xsi:type="xsd:double"&gt;19.3572772057617&lt;/D&gt;&lt;D xsi:type="xsd:double"&gt;18.9123915319695&lt;/D&gt;&lt;D xsi:type="xsd:double"&gt;18.6195069035457&lt;/D&gt;&lt;D xsi:type="xsd:double"&gt;17.492504930415&lt;/D&gt;&lt;D xsi:type="xsd:double"&gt;17.5600106789923&lt;/D&gt;&lt;D xsi:type="xsd:double"&gt;15.8190149713285&lt;/D&gt;&lt;D xsi:type="xsd:double"&gt;17.5052777948466&lt;/D&gt;&lt;D xsi:type="xsd:double"&gt;18.3837644089083&lt;/D&gt;&lt;D xsi:type="xsd:double"&gt;18.2485125894949&lt;/D&gt;&lt;D xsi:type="xsd:double"&gt;18.2908046453804&lt;/D&gt;&lt;D xsi:type="xsd:double"&gt;18.1727735247626&lt;/D&gt;&lt;D xsi:type="xsd:double"&gt;18.3200398635408&lt;/D&gt;&lt;D xsi:type="xsd:double"&gt;18.3386740551822&lt;/D&gt;&lt;D xsi:type="xsd:double"&gt;18.1771999291942&lt;/D&gt;&lt;D xsi:type="xsd:double"&gt;18.4172927386057&lt;/D&gt;&lt;D xsi:type="xsd:double"&gt;18.5971199354437&lt;/D&gt;&lt;D xsi:type="xsd:double"&gt;19.10292979348&lt;/D&gt;&lt;D xsi:type="xsd:double"&gt;19.7716261654978&lt;/D&gt;&lt;D xsi:type="xsd:double"&gt;19.8398647009823&lt;/D&gt;&lt;D xsi:type="xsd:double"&gt;18.6429871845594&lt;/D&gt;&lt;D xsi:type="xsd:double"&gt;17.6569427540259&lt;/D&gt;&lt;D xsi:type="xsd:double"&gt;18.5609787207258&lt;/D&gt;&lt;D xsi:type="xsd:double"&gt;18.9797829619014&lt;/D&gt;&lt;D xsi:type="xsd:double"&gt;19.4727075203472&lt;/D&gt;&lt;D xsi:type="xsd:double"&gt;20.1420214133708&lt;/D&gt;&lt;D xsi:type="xsd:double"&gt;20.671188177316&lt;/D&gt;&lt;D xsi:type="xsd:double"&gt;20.5875359836047&lt;/D&gt;&lt;D xsi:type="xsd:double"&gt;20.3320350214349&lt;/D&gt;&lt;D xsi:type="xsd:double"&gt;21.3947244321635&lt;/D&gt;&lt;D xsi:type="xsd:double"&gt;21.3804125563601&lt;/D&gt;&lt;D xsi:type="xsd:double"&gt;21.5855042718531&lt;/D&gt;&lt;D xsi:type="xsd:double"&gt;20.4823143891709&lt;/D&gt;&lt;D xsi:type="xsd:double"&gt;20.4682490884232&lt;/D&gt;&lt;D xsi:type="xsd:double"&gt;20.2027208809702&lt;/D&gt;&lt;D xsi:type="xsd:double"&gt;20.5690176572367&lt;/D&gt;&lt;D xsi:type="xsd:double"&gt;20.9514174767073&lt;/D&gt;&lt;D xsi:type="xsd:double"&gt;20.8339051892364&lt;/D&gt;&lt;D xsi:type="xsd:double"&gt;21.2304273567212&lt;/D&gt;&lt;D xsi:type="xsd:double"&gt;20.2192641689372&lt;/D&gt;&lt;D xsi:type="xsd:double"&gt;20.5726091709093&lt;/D&gt;&lt;D xsi:type="xsd:double"&gt;20.4141359545974&lt;/D&gt;&lt;D xsi:type="xsd:double"&gt;21.5734878945299&lt;/D&gt;&lt;D xsi:type="xsd:double"&gt;19.9324413537584&lt;/D&gt;&lt;D xsi:type="xsd:double"&gt;18.4032207270857&lt;/D&gt;&lt;D xsi:type="xsd:double"&gt;18.5447616049369&lt;/D&gt;&lt;D xsi:type="xsd:double"&gt;18.4580428543729&lt;/D&gt;&lt;D xsi:type="xsd:double"&gt;18.2521042374855&lt;/D&gt;&lt;D xsi:type="xsd:double"&gt;17.7000278514027&lt;/D&gt;&lt;D xsi:type="xsd:double"&gt;18.107207476002&lt;/D&gt;&lt;D xsi:type="xsd:double"&gt;17.9994950947415&lt;/D&gt;&lt;D xsi:type="xsd:double"&gt;16.8291790002797&lt;/D&gt;&lt;D xsi:type="xsd:double"&gt;17.7510176569712&lt;/D&gt;&lt;D xsi:type="xsd:double"&gt;19.848209641085&lt;/D&gt;&lt;D xsi:type="xsd:double"&gt;20.2314703835532&lt;/D&gt;&lt;D xsi:type="xsd:double"&gt;21.1456451258013&lt;/D&gt;&lt;D xsi:type="xsd:double"&gt;20.9261373672871&lt;/D&gt;&lt;D xsi:type="xsd:double"&gt;20.3497930280882&lt;/D&gt;&lt;D xsi:type="xsd:double"&gt;20.2529148530899&lt;/D&gt;&lt;D xsi:type="xsd:double"&gt;19.9348962068841&lt;/D&gt;&lt;D xsi:type="xsd:double"&gt;19.2042589488816&lt;/D&gt;&lt;D xsi:type="xsd:double"&gt;19.3351054195607&lt;/D&gt;&lt;D xsi:type="xsd:double"&gt;18.7027167392702&lt;/D&gt;&lt;D xsi:type="xsd:double"&gt;18.3284820847671&lt;/D&gt;&lt;D xsi:type="xsd:double"&gt;17.4707998827059&lt;/D&gt;&lt;D xsi:type="xsd:double"&gt;17.9747263994654&lt;/D&gt;&lt;D xsi:type="xsd:double"&gt;18.3682036468874&lt;/D&gt;&lt;D xsi:type="xsd:double"&gt;18.6721673798354&lt;/D&gt;&lt;D xsi:type="xsd:double"&gt;19.277208032206&lt;/D&gt;&lt;D xsi:type="xsd:double"&gt;19.1507732330735&lt;/D&gt;&lt;D xsi:type="xsd:double"&gt;18.8330019858395&lt;/D&gt;&lt;D xsi:type="xsd:double"&gt;18.8614393087476&lt;/D&gt;&lt;D xsi:type="xsd:double"&gt;18.7813187480235&lt;/D&gt;&lt;D xsi:type="xsd:double"&gt;18.8671766792352&lt;/D&gt;&lt;D xsi:type="xsd:double"&gt;18.948576569712&lt;/D&gt;&lt;D xsi:type="xsd:double"&gt;18.6451405871576&lt;/D&gt;&lt;/FQL&gt;&lt;FQL&gt;&lt;Q&gt;WL-FDS^FG_PRICE(0)/MAX(FG_PRICE(0,-1AY))&lt;/Q&gt;&lt;R&gt;1&lt;/R&gt;&lt;C&gt;1&lt;/C&gt;&lt;D xsi:type="xsd:double"&gt;0.777966989782552&lt;/D&gt;&lt;/FQL&gt;&lt;FQL&gt;&lt;Q&gt;NI-FDS^FG_PRICE(0)/MAX(FG_PRICE(0,-1AY))&lt;/Q&gt;&lt;R&gt;1&lt;/R&gt;&lt;C&gt;1&lt;/C&gt;&lt;D xsi:type="xsd:double"&gt;0.778143360752056&lt;/D&gt;&lt;/FQL&gt;&lt;FQL&gt;&lt;Q&gt;CPALM-FDS^FG_PRICE(0)/MAX(FG_PRICE(0,-1AY))&lt;/Q&gt;&lt;R&gt;1&lt;/R&gt;&lt;C&gt;1&lt;/C&gt;&lt;D xsi:type="xsd:double"&gt;0.924874426730727&lt;/D&gt;&lt;/FQL&gt;&lt;FQL&gt;&lt;Q&gt;BRENT-FDS^FG_PRICE(0)/MAX(FG_PRICE(0,-1AY))&lt;/Q&gt;&lt;R&gt;1&lt;/R&gt;&lt;C&gt;1&lt;/C&gt;&lt;D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xsi:type="xsd:double"&gt;0.6419256381798&lt;/D&gt;&lt;/FQL&gt;&lt;FQL&gt;&lt;Q&gt;EWD^FG_PRICE_MAVG(0,,,,60)&lt;/Q&gt;&lt;R&gt;1&lt;/R&gt;&lt;C&gt;1&lt;/C&gt;&lt;D xsi:type="xsd:double"&gt;40.703167&lt;/D&gt;&lt;/FQL&gt;&lt;FQL&gt;&lt;Q&gt;QQQ^FG_PRICE_MAVG(0,,,,60)&lt;/Q&gt;&lt;R&gt;1&lt;/R&gt;&lt;C&gt;1&lt;/C&gt;&lt;D xsi:type="xsd:double"&gt;472.35968&lt;/D&gt;&lt;/FQL&gt;&lt;FQL&gt;&lt;Q&gt;EWG^FG_PRICE_MAVG(0,,,,60)&lt;/Q&gt;&lt;R&gt;1&lt;/R&gt;&lt;C&gt;1&lt;/C&gt;&lt;D xsi:type="xsd:double"&gt;31.616&lt;/D&gt;&lt;/FQL&gt;&lt;FQL&gt;&lt;Q&gt;FXI^FG_TOTAL_RETURNC(0,-6AM)&lt;/Q&gt;&lt;R&gt;1&lt;/R&gt;&lt;C&gt;1&lt;/C&gt;&lt;D xsi:type="xsd:double"&gt;34.49081&lt;/D&gt;&lt;/FQL&gt;&lt;FQL&gt;&lt;Q&gt;EWJ^P_PRICE(0)/P_PRICE_LOW_PR(0,,,,,,"PRICE","INTRA","52W")-1&lt;/Q&gt;&lt;R&gt;1&lt;/R&gt;&lt;C&gt;1&lt;/C&gt;&lt;D xsi:type="xsd:double"&gt;0.2760489&lt;/D&gt;&lt;/FQL&gt;&lt;FQL&gt;&lt;Q&gt;URTH^FMA_PCT_ABOVE_MAVG(200,0,,,,"PORTAGG")&lt;/Q&gt;&lt;R&gt;1&lt;/R&gt;&lt;C&gt;1&lt;/C&gt;&lt;D xsi:type="xsd:double"&gt;67.3063255152807&lt;/D&gt;&lt;/FQL&gt;&lt;FQL&gt;&lt;Q&gt;VGK^PERCENT_CHANGE(FMA_EPS(+1,0,,,,"PORTAGG","MEAN"),FMA_EPS(+1,-3AM,,,,"PORTAGG","MEAN"))&lt;/Q&gt;&lt;R&gt;1&lt;/R&gt;&lt;C&gt;1&lt;/C&gt;&lt;D xsi:type="xsd:double"&gt;-2.97003559424656&lt;/D&gt;&lt;/FQL&gt;&lt;FQL&gt;&lt;Q&gt;EWD^FG_TOTAL_RETURNC(0,-3AM)&lt;/Q&gt;&lt;R&gt;1&lt;/R&gt;&lt;C&gt;1&lt;/C&gt;&lt;D xsi:type="xsd:double"&gt;9.629822&lt;/D&gt;&lt;/FQL&gt;&lt;FQL&gt;&lt;Q&gt;EWQ^P_PRICE(0)/P_PRICE_HIGH_PR(0,,,,,,"PRICE","INTRA","52W")&lt;/Q&gt;&lt;R&gt;1&lt;/R&gt;&lt;C&gt;1&lt;/C&gt;&lt;D xsi:type="xsd:double"&gt;0.96478873&lt;/D&gt;&lt;/FQL&gt;&lt;FQL&gt;&lt;Q&gt;QQQ^FG_TOTAL_RETURNC(0,-12AM)&lt;/Q&gt;&lt;R&gt;1&lt;/R&gt;&lt;C&gt;1&lt;/C&gt;&lt;D xsi:type="xsd:double"&gt;38.807274&lt;/D&gt;&lt;/FQL&gt;&lt;FQL&gt;&lt;Q&gt;EWU^PERCENT_CHANGE(FMA_EPS(+1,0,,,,"PORTAGG","MEAN"),FMA_EPS(+1,-1AM,,,,"PORTAGG","MEAN"))&lt;/Q&gt;&lt;R&gt;1&lt;/R&gt;&lt;C&gt;1&lt;/C&gt;&lt;D xsi:type="xsd:double"&gt;-0.218248655324601&lt;/D&gt;&lt;/FQL&gt;&lt;FQL&gt;&lt;Q&gt;EWJ^FG_TOTAL_RETURNC(0,-1AM)&lt;/Q&gt;&lt;R&gt;1&lt;/R&gt;&lt;C&gt;1&lt;/C&gt;&lt;D xsi:type="xsd:double"&gt;1.7565846&lt;/D&gt;&lt;/FQL&gt;&lt;FQL&gt;&lt;Q&gt;EWC^FG_TOTAL_RETURNC(0,-6AM)&lt;/Q&gt;&lt;R&gt;1&lt;/R&gt;&lt;C&gt;1&lt;/C&gt;&lt;D xsi:type="xsd:double"&gt;10.46611&lt;/D&gt;&lt;/FQL&gt;&lt;FQL&gt;&lt;Q&gt;ENZL^P_PRICE(0)/P_PRICE_LOW_PR(0,,,,,,"PRICE","INTRA","52W")-1&lt;/Q&gt;&lt;R&gt;1&lt;/R&gt;&lt;C&gt;1&lt;/C&gt;&lt;D xsi:type="xsd:double"&gt;0.21106207&lt;/D&gt;&lt;/FQL&gt;&lt;FQL&gt;&lt;Q&gt;EWJ^FMA_COS_UP("EPS","1M",+1,0,,,"PORTAGG","MEANR")&lt;/Q&gt;&lt;R&gt;1&lt;/R&gt;&lt;C&gt;1&lt;/C&gt;&lt;D xsi:type="xsd:double"&gt;92&lt;/D&gt;&lt;/FQL&gt;&lt;FQL&gt;&lt;Q&gt;EWN^SIZE(FG_CONSTITUENTS)&lt;/Q&gt;&lt;R&gt;1&lt;/R&gt;&lt;C&gt;1&lt;/C&gt;&lt;D xsi:type="xsd:long"&gt;54&lt;/D&gt;&lt;/FQL&gt;&lt;FQL&gt;&lt;Q&gt;ENZL^FMA_COS_UP("EPS","1M",+1,0,,,"PORTAGG","MEANR")&lt;/Q&gt;&lt;R&gt;1&lt;/R&gt;&lt;C&gt;1&lt;/C&gt;&lt;D xsi:type="xsd:double"&gt;7&lt;/D&gt;&lt;/FQL&gt;&lt;FQL&gt;&lt;Q&gt;EWN^FMA_RBICS_REV_CURRENT(30, LOC, "PORTAGG")&lt;/Q&gt;&lt;R&gt;1&lt;/R&gt;&lt;C&gt;1&lt;/C&gt;&lt;D xsi:type="xsd:double"&gt;25.7118752752456&lt;/D&gt;&lt;/FQL&gt;&lt;FQL&gt;&lt;Q&gt;TRYJP10Y-FDS^FG_YIELD_NAME&lt;/Q&gt;&lt;R&gt;1&lt;/R&gt;&lt;C&gt;1&lt;/C&gt;&lt;D xsi:type="xsd:string"&gt;Japan Benchmark Bond - 10 Year&lt;/D&gt;&lt;/FQL&gt;&lt;FQL&gt;&lt;Q&gt;REFCATARG-FDS^(SUBARRAY(NOT_NA(NO_REPEAT_F(FG_YIELD(NOW,-10AY,D))),0,1)-SUBARRAY(NOT_NA(NO_REPEAT_F(FG_YIELD(NOW,-10AY,D))),1,1))*100&lt;/Q&gt;&lt;R&gt;1&lt;/R&gt;&lt;C&gt;1&lt;/C&gt;&lt;D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xsi:type="xsd:double"&gt;-25&lt;/D&gt;&lt;/FQL&gt;&lt;FQL&gt;&lt;Q&gt;VWO^FG_PE_NTM(0,,,90,0)&lt;/Q&gt;&lt;R&gt;1&lt;/R&gt;&lt;C&gt;1&lt;/C&gt;&lt;D xsi:type="xsd:double"&gt;12.874052173141&lt;/D&gt;&lt;/FQL&gt;&lt;FQL&gt;&lt;Q&gt;EWI^JULIAN(FMA_DIV_YLD(NTMA,NOW,NOW,M,"PORTAGG","MEANR").DATES)&lt;/Q&gt;&lt;R&gt;1&lt;/R&gt;&lt;C&gt;1&lt;/C&gt;&lt;D xsi:type="xsd:long"&gt;45534&lt;/D&gt;&lt;/FQL&gt;&lt;FQL&gt;&lt;Q&gt;EWQ^FMA_EVAL_EBITDA(NTMA,0,,,"PORTAGG","MEANR")&lt;/Q&gt;&lt;R&gt;1&lt;/R&gt;&lt;C&gt;1&lt;/C&gt;&lt;D xsi:type="xsd:double"&gt;9.18423860473812&lt;/D&gt;&lt;/FQL&gt;&lt;FQL&gt;&lt;Q&gt;QQQ^FMA_DIV_YLD(NTMA,NOW,NOW,M,"PORTAGG","MEANR")&lt;/Q&gt;&lt;R&gt;1&lt;/R&gt;&lt;C&gt;1&lt;/C&gt;&lt;D xsi:type="xsd:double"&gt;0.83581193594364&lt;/D&gt;&lt;/FQL&gt;&lt;FQL&gt;&lt;Q&gt;EWL^FMA_PE(LTM,0,,,"PORTAGG","MEANR")&lt;/Q&gt;&lt;R&gt;1&lt;/R&gt;&lt;C&gt;1&lt;/C&gt;&lt;D xsi:type="xsd:double"&gt;21.7336490482104&lt;/D&gt;&lt;/FQL&gt;&lt;FQL&gt;&lt;Q&gt;EWC^FMA_EVAL_EBIT(LTMA,NOW,NOW,M,"PORTAGG","MEANR")&lt;/Q&gt;&lt;R&gt;1&lt;/R&gt;&lt;C&gt;1&lt;/C&gt;&lt;D xsi:type="xsd:double"&gt;16.1215282340165&lt;/D&gt;&lt;/FQL&gt;&lt;FQL&gt;&lt;Q&gt;ENZL^FG_FCF_YIELD_NTM(0)&lt;/Q&gt;&lt;R&gt;1&lt;/R&gt;&lt;C&gt;1&lt;/C&gt;&lt;D xsi:type="xsd:double"&gt;1.90919962807294&lt;/D&gt;&lt;/FQL&gt;&lt;FQL&gt;&lt;Q&gt;EWQ^FG_COMPANY_NAME&lt;/Q&gt;&lt;R&gt;1&lt;/R&gt;&lt;C&gt;1&lt;/C&gt;&lt;D xsi:type="xsd:string"&gt;iShares MSCI France ETF&lt;/D&gt;&lt;/FQL&gt;&lt;FQL&gt;&lt;Q&gt;QQQ^FG_TOTAL_RETURNC(0,-3AM)&lt;/Q&gt;&lt;R&gt;1&lt;/R&gt;&lt;C&gt;1&lt;/C&gt;&lt;D xsi:type="xsd:double"&gt;1.7744422&lt;/D&gt;&lt;/FQL&gt;&lt;FQL&gt;&lt;Q&gt;BRENT-FDS^FG_PRICE_CHANGE(0,-1AY)&lt;/Q&gt;&lt;R&gt;1&lt;/R&gt;&lt;C&gt;1&lt;/C&gt;&lt;D xsi:type="xsd:double"&gt;-12.9385520178463&lt;/D&gt;&lt;/FQL&gt;&lt;FQL&gt;&lt;Q&gt;EWJ^P_PRICE(0)/P_PRICE_HIGH_PR(0,,,,,,"PRICE","INTRA","52W")&lt;/Q&gt;&lt;R&gt;1&lt;/R&gt;&lt;C&gt;1&lt;/C&gt;&lt;D xsi:type="xsd:double"&gt;0.99658656&lt;/D&gt;&lt;/FQL&gt;&lt;FQL&gt;&lt;Q&gt;VWO^FG_TOTAL_RETURNC(0,-12AM)&lt;/Q&gt;&lt;R&gt;1&lt;/R&gt;&lt;C&gt;1&lt;/C&gt;&lt;D xsi:type="xsd:double"&gt;27.09707&lt;/D&gt;&lt;/FQL&gt;&lt;FQL&gt;&lt;Q&gt;EWQ^FG_TOTAL_RETURNC(0,-6AM)&lt;/Q&gt;&lt;R&gt;1&lt;/R&gt;&lt;C&gt;1&lt;/C&gt;&lt;D xsi:type="xsd:double"&gt;1.0932446&lt;/D&gt;&lt;/FQL&gt;&lt;FQL&gt;&lt;Q&gt;EWN^FMA_COS_DOWN("EPS","1M",+1,0,,,"PORTAGG","MEANR")&lt;/Q&gt;&lt;R&gt;1&lt;/R&gt;&lt;C&gt;1&lt;/C&gt;&lt;D xsi:type="xsd:double"&gt;22&lt;/D&gt;&lt;/FQL&gt;&lt;FQL&gt;&lt;Q&gt;EWQ^FMA_RBICS_REV_CURRENT(30, LOC, "PORTAGG")&lt;/Q&gt;&lt;R&gt;1&lt;/R&gt;&lt;C&gt;1&lt;/C&gt;&lt;D xsi:type="xsd:double"&gt;11.5988441524133&lt;/D&gt;&lt;/FQL&gt;&lt;FQL&gt;&lt;Q&gt;EWQ^FMA_ROE(NTMA,-20AY,NOW,FY,"PORTAGG","MEANR")&lt;/Q&gt;&lt;R&gt;20&lt;/R&gt;&lt;C&gt;1&lt;/C&gt;&lt;D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xsi:type="xsd:double"&gt;10.9140096450728&lt;/D&gt;&lt;D xsi:type="xsd:double"&gt;8.94223448409826&lt;/D&gt;&lt;D xsi:type="xsd:double"&gt;12.253955548111&lt;/D&gt;&lt;D xsi:type="xsd:double"&gt;13.1534194530092&lt;/D&gt;&lt;D xsi:type="xsd:double"&gt;13.2312741384504&lt;/D&gt;&lt;/FQL&gt;&lt;FQL&gt;&lt;Q&gt;TRYID10Y-FDS^FG_YIELD(-10AY,0,Y,,"YTM")&lt;/Q&gt;&lt;R&gt;10&lt;/R&gt;&lt;C&gt;1&lt;/C&gt;&lt;D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xsi:type="xsd:double"&gt;-3.26791565830676&lt;/D&gt;&lt;/FQL&gt;&lt;FQL&gt;&lt;Q&gt;USDITL^FG_PRICE(0)&lt;/Q&gt;&lt;R&gt;1&lt;/R&gt;&lt;C&gt;1&lt;/C&gt;&lt;D xsi:type="xsd:double"&gt;1734.824&lt;/D&gt;&lt;/FQL&gt;&lt;FQL&gt;&lt;Q&gt;USDANG^FG_PRICE(0)&lt;/Q&gt;&lt;R&gt;1&lt;/R&gt;&lt;C&gt;1&lt;/C&gt;&lt;D xsi:type="xsd:double"&gt;1.7882627&lt;/D&gt;&lt;/FQL&gt;&lt;FQL&gt;&lt;Q&gt;USDGBP^FG_PRICE(0)&lt;/Q&gt;&lt;R&gt;1&lt;/R&gt;&lt;C</t>
        </r>
      </text>
    </comment>
    <comment ref="A4" authorId="0" shapeId="0" xr:uid="{AC7A9C01-6B7C-41B5-8C3E-14FD07B6FF28}">
      <text>
        <r>
          <rPr>
            <b/>
            <sz val="9"/>
            <color indexed="81"/>
            <rFont val="Tahoma"/>
            <charset val="1"/>
          </rPr>
          <t>&gt;1&lt;/C&gt;&lt;D xsi:type="xsd:double"&gt;0.7471329&lt;/D&gt;&lt;/FQL&gt;&lt;FQL&gt;&lt;Q&gt;USDCAD^FG_PRICE(0)&lt;/Q&gt;&lt;R&gt;1&lt;/R&gt;&lt;C&gt;1&lt;/C&gt;&lt;D xsi:type="xsd:double"&gt;1.3478651&lt;/D&gt;&lt;/FQL&gt;&lt;FQL&gt;&lt;Q&gt;USDNZD^FG_PRICE(0)&lt;/Q&gt;&lt;R&gt;1&lt;/R&gt;&lt;C&gt;1&lt;/C&gt;&lt;D xsi:type="xsd:double"&gt;1.5833987&lt;/D&gt;&lt;/FQL&gt;&lt;FQL&gt;&lt;Q&gt;EWI^P_PRICE_RETURNS_PR('52W',2,-10AY,0,AM)&lt;/Q&gt;&lt;R&gt;121&lt;/R&gt;&lt;C&gt;1&lt;/C&gt;&lt;D xsi:type="xsd:double"&gt;11.902988&lt;/D&gt;&lt;D xsi:type="xsd:double"&gt;-4.977882&lt;/D&gt;&lt;D xsi:type="xsd:double"&gt;0.64741373&lt;/D&gt;&lt;D xsi:type="xsd:double"&gt;-6.7184687&lt;/D&gt;&lt;D xsi:type="xsd:double"&gt;-8.511406&lt;/D&gt;&lt;D xsi:type="xsd:double"&gt;-7.9752026&lt;/D&gt;&lt;D xsi:type="xsd:double"&gt;-11.855668&lt;/D&gt;&lt;D xsi:type="xsd:double"&gt;-11.43561&lt;/D&gt;&lt;D xsi:type="xsd:double"&gt;-8.531737&lt;/D&gt;&lt;D xsi:type="xsd:double"&gt;-7.337493&lt;/D&gt;&lt;D xsi:type="xsd:double"&gt;-9.184801&lt;/D&gt;&lt;D xsi:type="xsd:double"&gt;-5.233526&lt;/D&gt;&lt;D xsi:type="xsd:double"&gt;-6.009364&lt;/D&gt;&lt;D xsi:type="xsd:double"&gt;5.3055286&lt;/D&gt;&lt;D xsi:type="xsd:double"&gt;-1.7036259&lt;/D&gt;&lt;D xsi:type="xsd:double"&gt;2.3598552&lt;/D&gt;&lt;D xsi:type="xsd:double"&gt;-11.895794&lt;/D&gt;&lt;D xsi:type="xsd:double"&gt;-21.930801&lt;/D&gt;&lt;D xsi:type="xsd:double"&gt;-18.100912&lt;/D&gt;&lt;D xsi:type="xsd:double"&gt;-16.126543&lt;/D&gt;&lt;D xsi:type="xsd:double"&gt;-20.105522&lt;/D&gt;&lt;D xsi:type="xsd:double"&gt;-34.23389&lt;/D&gt;&lt;D xsi:type="xsd:double"&gt;-24.344795&lt;/D&gt;&lt;D xsi:type="xsd:double"&gt;-22.212952&lt;/D&gt;&lt;D xsi:type="xsd:double"&gt;-21.194225&lt;/D&gt;&lt;D xsi:type="xsd:double"&gt;-21.223307&lt;/D&gt;&lt;D xsi:type="xsd:double"&gt;-22.720772&lt;/D&gt;&lt;D xsi:type="xsd:double"&gt;-10.714406&lt;/D&gt;&lt;D xsi:type="xsd:double"&gt;4.9610734&lt;/D&gt;&lt;D xsi:type="xsd:double"&gt;8.52046&lt;/D&gt;&lt;D xsi:type="xsd:double"&gt;10.446417&lt;/D&gt;&lt;D xsi:type="xsd:double"&gt;8.81139&lt;/D&gt;&lt;D xsi:type="xsd:double"&gt;19.481743&lt;/D&gt;&lt;D xsi:type="xsd:double"&gt;41.166748&lt;/D&gt;&lt;D xsi:type="xsd:double"&gt;37.69598&lt;/D&gt;&lt;D xsi:type="xsd:double"&gt;38.812386&lt;/D&gt;&lt;D xsi:type="xsd:double"&gt;47.40882&lt;/D&gt;&lt;D xsi:type="xsd:double"&gt;38.68921&lt;/D&gt;&lt;D xsi:type="xsd:double"&gt;48.709393&lt;/D&gt;&lt;D xsi:type="xsd:double"&gt;29.540062&lt;/D&gt;&lt;D xsi:type="xsd:double"&gt;44.272923&lt;/D&gt;&lt;D xsi:type="xsd:double"&gt;38.239265&lt;/D&gt;&lt;D xsi:type="xsd:double"&gt;25.204039&lt;/D&gt;&lt;D xsi:type="xsd:double"&gt;30.374468&lt;/D&gt;&lt;D xsi:type="xsd:double"&gt;10.0389&lt;/D&gt;&lt;D xsi:type="xsd:double"&gt;6.2116385&lt;/D&gt;&lt;D xsi:type="xsd:double"&gt;2.7049303&lt;/D&gt;&lt;D xsi:type="xsd:double"&gt;-4.46682&lt;/D&gt;&lt;D xsi:type="xsd:double"&gt;-4.607707&lt;/D&gt;&lt;D xsi:type="xsd:double"&gt;-16.736746&lt;/D&gt;&lt;D xsi:type="xsd:double"&gt;-15.586734&lt;/D&gt;&lt;D xsi:type="xsd:double"&gt;-17.712175&lt;/D&gt;&lt;D xsi:type="xsd:double"&gt;-20.660568&lt;/D&gt;&lt;D xsi:type="xsd:double"&gt;-12.368089&lt;/D&gt;&lt;D xsi:type="xsd:double"&gt;-8.183652&lt;/D&gt;&lt;D xsi:type="xsd:double"&gt;-14.295459&lt;/D&gt;&lt;D xsi:type="xsd:double"&gt;-10.601598&lt;/D&gt;&lt;D xsi:type="xsd:double"&gt;1.0381937&lt;/D&gt;&lt;D xsi:type="xsd:double"&gt;-0.6439209&lt;/D&gt;&lt;D xsi:type="xsd:double"&gt;-0.8789301&lt;/D&gt;&lt;D xsi:type="xsd:double"&gt;-0.16402006&lt;/D&gt;&lt;D xsi:type="xsd:double"&gt;19.984257&lt;/D&gt;&lt;D xsi:type="xsd:double"&gt;21.463943&lt;/D&gt;&lt;D xsi:type="xsd:double"&gt;27.327358&lt;/D&gt;&lt;D xsi:type="xsd:double"&gt;15.394794&lt;/D&gt;&lt;D xsi:type="xsd:double"&gt;6.020975&lt;/D&gt;&lt;D xsi:type="xsd:double"&gt;-22.178047&lt;/D&gt;&lt;D xsi:type="xsd:double"&gt;-22.959631&lt;/D&gt;&lt;D xsi:type="xsd:double"&gt;-15.11746&lt;/D&gt;&lt;D xsi:type="xsd:double"&gt;-11.955953&lt;/D&gt;&lt;D xsi:type="xsd:double"&gt;-5.111873&lt;/D&gt;&lt;D xsi:type="xsd:double"&gt;-1.4347613&lt;/D&gt;&lt;D xsi:type="xsd:double"&gt;-10.209883&lt;/D&gt;&lt;D xsi:type="xsd:double"&gt;-14.370465&lt;/D&gt;&lt;D xsi:type="xsd:double"&gt;1.6799212&lt;/D&gt;&lt;D xsi:type="xsd:double"&gt;1.4676094&lt;/D&gt;&lt;D xsi:type="xsd:double"&gt;0.57007074&lt;/D&gt;&lt;D xsi:type="xsd:double"&gt;9.492564&lt;/D&gt;&lt;D xsi:type="xsd:double"&gt;48.293137&lt;/D&gt;&lt;D xsi:type="xsd:double"&gt;59.01295&lt;/D&gt;&lt;D xsi:type="xsd:double"&gt;55.255733&lt;/D&gt;&lt;D xsi:type="xsd:double"&gt;39.99784&lt;/D&gt;&lt;D xsi:type="xsd:double"&gt;27.036333&lt;/D&gt;&lt;D xsi:type="xsd:double"&gt;30.856407&lt;/D&gt;&lt;D xsi:type="xsd:double"&gt;38.092243&lt;/D&gt;&lt;D xsi:type="xsd:double"&gt;41.75526&lt;/D&gt;&lt;D xsi:type="xsd:double"&gt;11.004424&lt;/D&gt;&lt;D xsi:type="xsd:double"&gt;14.434969&lt;/D&gt;&lt;D xsi:type="xsd:double"&gt;15.244508&lt;/D&gt;&lt;D xsi:type="xsd:double"&gt;6.8855286&lt;/D&gt;&lt;D xsi:type="xsd:double"&gt;-4.4183674&lt;/D&gt;&lt;D xsi:type="xsd:double"&gt;-12.979025&lt;/D&gt;&lt;D xsi:type="xsd:double"&gt;-11.168587&lt;/D&gt;&lt;D xsi:type="xsd:double"&gt;-21.613014&lt;/D&gt;&lt;D xsi:type="xsd:double"&gt;-23.326491999999998&lt;/D&gt;&lt;D xsi:type="xsd:double"&gt;-25.193083&lt;/D&gt;&lt;D xsi:type="xsd:double"&gt;-31.142103&lt;/D&gt;&lt;D xsi:type="xsd:double"&gt;-24.551504&lt;/D&gt;&lt;D xsi:type="xsd:double"&gt;-12.017292&lt;/D&gt;&lt;D xsi:type="xsd:double"&gt;-14.138931&lt;/D&gt;&lt;D xsi:type="xsd:double"&gt;-1.5193403&lt;/D&gt;&lt;D xsi:type="xsd:double"&gt;0.4838705&lt;/D&gt;&lt;D xsi:type="xsd:double"&gt;6.1689377&lt;/D&gt;&lt;D xsi:type="xsd:double"&gt;22.043085&lt;/D&gt;&lt;D xsi:type="xsd:double"&gt;10.455645&lt;/D&gt;&lt;D xsi:type="xsd:double"&gt;30.50679&lt;/D&gt;&lt;D xsi:type="xsd:double"&gt;45.882736&lt;/D&gt;&lt;D xsi:type="xsd:double"&gt;35.40747&lt;/D&gt;&lt;D xsi:type="xsd:double"&gt;45.77601&lt;/D&gt;&lt;D xsi:type="xsd:double"&gt;25.64001&lt;/D&gt;&lt;D xsi:type="xsd:double"&gt;23.185753&lt;/D&gt;&lt;D xsi:type="xsd:double"&gt;31.414532&lt;/D&gt;&lt;D xsi:type="xsd:double"&gt;15.982306&lt;/D&gt;&lt;D xsi:type="xsd:double"&gt;23.063135&lt;/D&gt;&lt;D xsi:type="xsd:double"&gt;33.644653&lt;/D&gt;&lt;D xsi:type="xsd:double"&gt;23.395466&lt;/D&gt;&lt;D xsi:type="xsd:double"&gt;31.866991&lt;/D&gt;&lt;D xsi:type="xsd:double"&gt;19.680023&lt;/D&gt;&lt;D xsi:type="xsd:double"&gt;17.209387&lt;/D&gt;&lt;D xsi:type="xsd:double"&gt;26.986588&lt;/D&gt;&lt;D xsi:type="xsd:double"&gt;35.54466&lt;/D&gt;&lt;/FQL&gt;&lt;FQL&gt;&lt;Q&gt;SPY^FMA_DIV_YLD(NTMA,-10AY,0,AM,"PORTAGG","MEANR")&lt;/Q&gt;&lt;R&gt;121&lt;/R&gt;&lt;C&gt;1&lt;/C&gt;&lt;D xsi:type="xsd:double"&gt;2.12250204907716&lt;/D&gt;&lt;D xsi:type="xsd:double"&gt;2.16100400103493&lt;/D&gt;&lt;D xsi:type="xsd:double"&gt;2.06385662302842&lt;/D&gt;&lt;D xsi:type="xsd:double"&gt;2.06843741436269&lt;/D&gt;&lt;D xsi:type="xsd:double"&gt;2.15073826326707&lt;/D&gt;&lt;D xsi:type="xsd:double"&gt;2.09873762013911&lt;/D&gt;&lt;D xsi:type="xsd:double"&gt;2.19605947647737&lt;/D&gt;&lt;D xsi:type="xsd:double"&gt;2.14624580066819&lt;/D&gt;&lt;D xsi:type="xsd:double"&gt;2.14410396133482&lt;/D&gt;&lt;D xsi:type="xsd:double"&gt;2.17301212413257&lt;/D&gt;&lt;D xsi:type="xsd:double"&gt;2.226786658967&lt;/D&gt;&lt;D xsi:type="xsd:double"&gt;2.33081653007597&lt;/D&gt;&lt;D xsi:type="xsd:double"&gt;2.41040056994&lt;/D&gt;&lt;D xsi:type="xsd:double"&gt;2.26272806796845&lt;/D&gt;&lt;D xsi:type="xsd:double"&gt;2.26973449566627&lt;/D&gt;&lt;D xsi:type="xsd:double"&gt;2.29360272571304&lt;/D&gt;&lt;D xsi:type="xsd:double"&gt;2.5258290165631&lt;/D&gt;&lt;D xsi:type="xsd:double"&gt;2.45182025901469&lt;/D&gt;&lt;D xsi:type="xsd:double"&gt;2.47519773454617&lt;/D&gt;&lt;D xsi:type="xsd:double"&gt;2.29179874134034&lt;/D&gt;&lt;D xsi:type="xsd:double"&gt;2.26932855728746&lt;/D&gt;&lt;D xsi:type="xsd:double"&gt;2.3927067759941&lt;/D&gt;&lt;D xsi:type="xsd:double"&gt;2.21924205168917&lt;/D&gt;&lt;D xsi:type="xsd:double"&gt;2.22173968410025&lt;/D&gt;&lt;D xsi:type="xsd:double"&gt;2.2284118938696&lt;/D&gt;&lt;D xsi:type="xsd:double"&gt;2.26696051999125&lt;/D&gt;&lt;D xsi:type="xsd:double"&gt;2.19861974925274&lt;/D&gt;&lt;D xsi:type="xsd:double"&gt;2.15905573974778&lt;/D&gt;&lt;D xsi:type="xsd:double"&gt;2.15083471997405&lt;/D&gt;&lt;D xsi:type="xsd:double"&gt;2.10326362665462&lt;/D&gt;&lt;D xsi:type="xsd:double"&gt;2.13137134275718&lt;/D&gt;&lt;D xsi:type="xsd:double"&gt;2.1049508721849&lt;/D&gt;&lt;D xsi:type="xsd:double"&gt;2.0939789692741&lt;/D&gt;&lt;D xsi:type="xsd:double"&gt;2.10427396250187&lt;/D&gt;&lt;D xsi:type="xsd:double"&gt;2.08034194669115&lt;/D&gt;&lt;D xsi:type="xsd:double"&gt;2.11979486574943&lt;/D&gt;&lt;D xsi:type="xsd:double"&gt;2.07026030920876&lt;/D&gt;&lt;D xsi:type="xsd:double"&gt;2.02373699685138&lt;/D&gt;&lt;D xsi:type="xsd:double"&gt;2.00506535347331&lt;/D&gt;&lt;D xsi:type="xsd:double"&gt;1.9544917348868&lt;/D&gt;&lt;D xsi:type="xsd:double"&gt;1.84898557050246&lt;/D&gt;&lt;D xsi:type="xsd:double"&gt;1.96129929561984&lt;/D&gt;&lt;D xsi:type="xsd:double"&gt;2.07787867474478&lt;/D&gt;&lt;D xsi:type="xsd:double"&gt;2.05587288441969&lt;/D&gt;&lt;D xsi:type="xsd:double"&gt;2.03316253960472&lt;/D&gt;&lt;D xsi:type="xsd:double"&gt;2.0655485605694&lt;/D&gt;&lt;D xsi:type="xsd:double"&gt;2.00019565306877&lt;/D&gt;&lt;D xsi:type="xsd:double"&gt;1.96039431660604&lt;/D&gt;&lt;D xsi:type="xsd:double"&gt;1.95564671031927&lt;/D&gt;&lt;D xsi:type="xsd:double"&gt;2.16452284016852&lt;/D&gt;&lt;D xsi:type="xsd:double"&gt;2.14252539147621&lt;/D&gt;&lt;D xsi:type="xsd:double"&gt;2.3345145597296&lt;/D&gt;&lt;D xsi:type="xsd:double"&gt;2.18991003566415&lt;/D&gt;&lt;D xsi:type="xsd:double"&gt;2.10127794600558&lt;/D&gt;&lt;D xsi:type="xsd:double"&gt;2.10639138750498&lt;/D&gt;&lt;D xsi:type="xsd:double"&gt;2.02766781883059&lt;/D&gt;&lt;D xsi:type="xsd:double"&gt;2.11801994786456&lt;/D&gt;&lt;D xsi:type="xsd:double"&gt;2.05986525014404&lt;/D&gt;&lt;D xsi:type="xsd:double"&gt;2.00179795797825&lt;/D&gt;&lt;D xsi:type="xsd:double"&gt;2.12029749519814&lt;/D&gt;&lt;D xsi:type="xsd:double"&gt;2.06091678664029&lt;/D&gt;&lt;D xsi:type="xsd:double"&gt;2.03424956163611&lt;/D&gt;&lt;D xsi:type="xsd:double"&gt;1.9673831238834&lt;/D&gt;&lt;D xsi:type="xsd:double"&gt;1.92659429042754&lt;/D&gt;&lt;D xsi:type="xsd:double"&gt;1.93871549239893&lt;/D&gt;&lt;D xsi:type="xsd:double"&gt;2.1274578829011&lt;/D&gt;&lt;D xsi:type="xsd:double"&gt;2.47778136080602&lt;/D&gt;&lt;D xsi:type="xsd:double"&gt;2.12967826346351&lt;/D&gt;&lt;D xsi:type="xsd:double"&gt;1.99050507871232&lt;/D&gt;&lt;D xsi:type="xsd:double"&gt;1.99332583650316&lt;/D&gt;&lt;D xsi:type="xsd:double"&gt;1.83429885987354&lt;/D&gt;&lt;D xsi:type="xsd:double"&gt;1.71100721816797&lt;/D&gt;&lt;D xsi:type="xsd:double"&gt;1.80702702857506&lt;/D&gt;&lt;D xsi:type="xsd:double"&gt;1.76597381810325&lt;/D&gt;&lt;D xsi:type="xsd:double"&gt;1.64990023620791&lt;/D&gt;&lt;D xsi:type="xsd:double"&gt;1.59893301247311&lt;/D&gt;&lt;D xsi:type="xsd:double"&gt;1.58776398494105&lt;/D&gt;&lt;D xsi:type="xsd:double"&gt;1.57925339277197&lt;/D&gt;&lt;D xsi:type="xsd:double"&gt;1.52023547006713&lt;/D&gt;&lt;D xsi:type="xsd:double"&gt;1.45692902089109&lt;/D&gt;&lt;D xsi:type="xsd:double"&gt;1.45889645446778&lt;/D&gt;&lt;D xsi:type="xsd:double"&gt;1.44525976318058&lt;/D&gt;&lt;D xsi:type="xsd:double"&gt;1.42405488696214&lt;/D&gt;&lt;D xsi:type="xsd:double"&gt;1.402186173373&lt;/D&gt;&lt;D xsi:type="xsd:double"&gt;1.42673786497358&lt;/D&gt;&lt;D xsi:type="xsd:double"&gt;1.40568556596271&lt;/D&gt;&lt;D xsi:type="xsd:double"&gt;1.40079731690933&lt;/D&gt;&lt;D xsi:type="xsd:double"&gt;1.3469570847388&lt;/D&gt;&lt;D xsi:type="xsd:double"&gt;1.50999256795945&lt;/D&gt;&lt;D xsi:type="xsd:double"&gt;1.50685137768787&lt;/D&gt;&lt;D xsi:type="xsd:double"&gt;1.44960695506618&lt;/D&gt;&lt;D xsi:type="xsd:double"&gt;1.58033751250908&lt;/D&gt;&lt;D xsi:type="xsd:double"&gt;1.59571010469078&lt;/D&gt;&lt;D xsi:type="xsd:double"&gt;1.71966932984771&lt;/D&gt;&lt;D xsi:type="xsd:double"&gt;1.67287258145923&lt;/D&gt;&lt;D xsi:type="xsd:double"&gt;1.68095678777545&lt;/D&gt;&lt;D xsi:type="xsd:double"&gt;1.87691467130246&lt;/D&gt;&lt;D xsi:type="xsd:double"&gt;1.81188972862748&lt;/D&gt;&lt;D xsi:type="xsd:double"&gt;1.72163325856692&lt;/D&gt;&lt;D xsi:type="xsd:double"&gt;1.8129264224719&lt;/D&gt;&lt;D xsi:type="xsd:double"&gt;1.71561595406949&lt;/D&gt;&lt;D xsi:type="xsd:double"&gt;1.76312891466279&lt;/D&gt;&lt;D xsi:type="xsd:double"&gt;1.77015457666374&lt;/D&gt;&lt;D xsi:type="xsd:double"&gt;1.7132662810155&lt;/D&gt;&lt;D xsi:type="xsd:double"&gt;1.68529154946906&lt;/D&gt;&lt;D xsi:type="xsd:double"&gt;1.62242497648905&lt;/D&gt;&lt;D xsi:type="xsd:double"&gt;1.57483910423554&lt;/D&gt;&lt;D xsi:type="xsd:double"&gt;1.63012655748493&lt;/D&gt;&lt;D xsi:type="xsd:double"&gt;1.69190542312046&lt;/D&gt;&lt;D xsi:type="xsd:double"&gt;1.76478752586109&lt;/D&gt;&lt;D xsi:type="xsd:double"&gt;1.60439294989295&lt;/D&gt;&lt;D xsi:type="xsd:double"&gt;1.53935393613744&lt;/D&gt;&lt;D xsi:type="xsd:double"&gt;1.51246081933813&lt;/D&gt;&lt;D xsi:type="xsd:double"&gt;1.47648133177252&lt;/D&gt;&lt;D xsi:type="xsd:double"&gt;1.42960176700753&lt;/D&gt;&lt;D xsi:type="xsd:double"&gt;1.48445908155254&lt;/D&gt;&lt;D xsi:type="xsd:double"&gt;1.44302725575121&lt;/D&gt;&lt;D xsi:type="xsd:double"&gt;1.40178889092012&lt;/D&gt;&lt;D xsi:type="xsd:double"&gt;1.41725523287914&lt;/D&gt;&lt;D xsi:type="xsd:double"&gt;1.37946197182707&lt;/D&gt;&lt;D xsi:type="xsd:double"&gt;1.35426846070158&lt;/D&gt;&lt;/FQL&gt;&lt;FQL&gt;&lt;Q&gt;EWU^FMA_PE(NTMA,-10AY,0,AM,"PORTAGG","MEANR")&lt;/Q&gt;&lt;R&gt;121&lt;/R&gt;&lt;C&gt;1&lt;/C&gt;&lt;D xsi:type="xsd:double"&gt;13.1154853356456&lt;/D&gt;&lt;D xsi:type="xsd:double"&gt;12.8100547422992&lt;/D&gt;&lt;D xsi:type="xsd:double"&gt;13.6041291594227&lt;/D&gt;&lt;D xsi:type="xsd:double"&gt;13.8539601253447&lt;/D&gt;&lt;D xsi:type="xsd:double"&gt;15.0783688174315&lt;/D&gt;&lt;D xsi:type="xsd:double"&gt;15.7673388929755&lt;/D&gt;&lt;D xsi:type="xsd:double"&gt;15.5444133060368&lt;/D&gt;&lt;D xsi:type="xsd:double"&gt;16.3954359141688&lt;/D&gt;&lt;D xsi:type="xsd:double"&gt;16.1402393242924&lt;/D&gt;&lt;D xsi:type="xsd:double"&gt;15.5215753531369&lt;/D&gt;&lt;D xsi:type="xsd:double"&gt;14.9488357830037&lt;/D&gt;&lt;D xsi:type="xsd:double"&gt;14.1914253478544&lt;/D&gt;&lt;D xsi:type="xsd:double"&gt;14.303327050792&lt;/D&gt;&lt;D xsi:type="xsd:double"&gt;15.1925395718658&lt;/D&gt;&lt;D xsi:type="xsd:double"&gt;15.4114620864583&lt;/D&gt;&lt;D xsi:type="xsd:double"&gt;15.320554933019&lt;/D&gt;&lt;D xsi:type="xsd:double"&gt;15.2835386195521&lt;/D&gt;&lt;D xsi:type="xsd:double"&gt;15.5831509287384&lt;/D&gt;&lt;D xsi:type="xsd:double"&gt;15.896173455917&lt;/D&gt;&lt;D xsi:type="xsd:double"&gt;16.4500968525822&lt;/D&gt;&lt;D xsi:type="xsd:double"&gt;16.0303554522739&lt;/D&gt;&lt;D xsi:type="xsd:double"&gt;14.6553316334863&lt;/D&gt;&lt;D xsi:type="xsd:double"&gt;16.1239344076506&lt;/D&gt;&lt;D xsi:type="xsd:double"&gt;16.127938229516&lt;/D&gt;&lt;D xsi:type="xsd:double"&gt;15.5198382449109&lt;/D&gt;&lt;D xsi:type="xsd:double"&gt;14.9915967033168&lt;/D&gt;&lt;D xsi:type="xsd:double"&gt;14.387931478018&lt;/D&gt;&lt;D xsi:type="xsd:double"&gt;14.268099722761&lt;/D&gt;&lt;D xsi:type="xsd:double"&gt;14.3254374262404&lt;/D&gt;&lt;D xsi:type="xsd:double"&gt;14.3894193885371&lt;/D&gt;&lt;D xsi:type="xsd:double"&gt;14.3869390212907&lt;/D&gt;&lt;D xsi:type="xsd:double"&gt;14.3723101690019&lt;/D&gt;&lt;D xsi:type="xsd:double"&gt;14.7786969487001&lt;/D&gt;&lt;D xsi:type="xsd:double"&gt;14.5138723023369&lt;/D&gt;&lt;D xsi:type="xsd:double"&gt;14.8420737630214&lt;/D&gt;&lt;D xsi:type="xsd:double"&gt;14.5343493915413&lt;/D&gt;&lt;D xsi:type="xsd:double"&gt;14.4300108458728&lt;/D&gt;&lt;D xsi:type="xsd:double"&gt;14.490782578503&lt;/D&gt;&lt;D xsi:type="xsd:double"&gt;14.2068359528436&lt;/D&gt;&lt;D xsi:type="xsd:double"&gt;14.5986098873264&lt;/D&gt;&lt;D xsi:type="xsd:double"&gt;14.6387740817537&lt;/D&gt;&lt;D xsi:type="xsd:double"&gt;13.2600596717518&lt;/D&gt;&lt;D xsi:type="xsd:double"&gt;13.1652705595897&lt;/D&gt;&lt;D xsi:type="xsd:double"&gt;13.8111767484273&lt;/D&gt;&lt;D xsi:type="xsd:double"&gt;13.7359389527835&lt;/D&gt;&lt;D xsi:type="xsd:double"&gt;13.2708949145256&lt;/D&gt;&lt;D xsi:type="xsd:double"&gt;13.2538713603503&lt;/D&gt;&lt;D xsi:type="xsd:double"&gt;12.8436989390931&lt;/D&gt;&lt;D xsi:type="xsd:double"&gt;12.8695887642634&lt;/D&gt;&lt;D xsi:type="xsd:double"&gt;11.5781202997867&lt;/D&gt;&lt;D xsi:type="xsd:double"&gt;11.74060616964&lt;/D&gt;&lt;D xsi:type="xsd:double"&gt;11.1361025301408&lt;/D&gt;&lt;D xsi:type="xsd:double"&gt;11.8953897799795&lt;/D&gt;&lt;D xsi:type="xsd:double"&gt;12.4743405121783&lt;/D&gt;&lt;D xsi:type="xsd:double"&gt;12.4627489219214&lt;/D&gt;&lt;D xsi:type="xsd:double"&gt;12.6611740084252&lt;/D&gt;&lt;D xsi:type="xsd:double"&gt;12.2191402150941&lt;/D&gt;&lt;D xsi:type="xsd:double"&gt;12.5284427700962&lt;/D&gt;&lt;D xsi:type="xsd:double"&gt;12.6421405434335&lt;/D&gt;&lt;D xsi:type="xsd:double"&gt;11.8473487489156&lt;/D&gt;&lt;D xsi:type="xsd:double"&gt;12.486249694022&lt;/D&gt;&lt;D xsi:type="xsd:double"&gt;12.6464656518125&lt;/D&gt;&lt;D xsi:type="xsd:double"&gt;13.1117363296346&lt;/D&gt;&lt;D xsi:type="xsd:double"&gt;13.5895345609474&lt;/D&gt;&lt;D xsi:type="xsd:double"&gt;13.1512647295124&lt;/D&gt;&lt;D xsi:type="xsd:double"&gt;12.2733855367788&lt;/D&gt;&lt;D xsi:type="xsd:double"&gt;11.3509568945755&lt;/D&gt;&lt;D xsi:type="xsd:double"&gt;14.1914516604118&lt;/D&gt;&lt;D xsi:type="xsd:double"&gt;15.9108643416417&lt;/D&gt;&lt;D xsi:type="xsd:double"&gt;15.8051598860744&lt;/D&gt;&lt;D xsi:type="xsd:double"&gt;15.6140646541283&lt;/D&gt;&lt;D xsi:type="xsd:double"&gt;15.276965601509&lt;/D&gt;&lt;D xsi:type="xsd:double"&gt;14.2811928907146&lt;/D&gt;&lt;D xsi:type="xsd:double"&gt;13.5968839843889&lt;/D&gt;&lt;D xsi:type="xsd:double"&gt;14.6335219592291&lt;/D&gt;&lt;D xsi:type="xsd:double"&gt;14.5525563760566&lt;/D&gt;&lt;D xsi:type="xsd:double"&gt;14.0929005445403&lt;/D&gt;&lt;D xsi:type="xsd:double"&gt;13.7583271501892&lt;/D&gt;&lt;D xsi:type="xsd:double"&gt;13.634310452981&lt;/D&gt;&lt;D xsi:type="xsd:double"&gt;13.3436537864194&lt;/D&gt;&lt;D xsi:type="xsd:double"&gt;13.1816168736866&lt;/D&gt;&lt;D xsi:type="xsd:double"&gt;13.0047111286551&lt;/D&gt;&lt;D xsi:type="xsd:double"&gt;12.3520910251163&lt;/D&gt;&lt;D xsi:type="xsd:double"&gt;12.1572964849437&lt;/D&gt;&lt;D xsi:type="xsd:double"&gt;11.9369130692477&lt;/D&gt;&lt;D xsi:type="xsd:double"&gt;12.214598003844&lt;/D&gt;&lt;D xsi:type="xsd:double"&gt;11.604969020595&lt;/D&gt;&lt;D xsi:type="xsd:double"&gt;12.1485952098497&lt;/D&gt;&lt;D xsi:type="xsd:double"&gt;12.3135382267747&lt;/D&gt;&lt;D xsi:type="xsd:double"&gt;12.0535602267491&lt;/D&gt;&lt;D xsi:type="xsd:double"&gt;11.5736271856438&lt;/D&gt;&lt;D xsi:type="xsd:double"&gt;10.6507947730866&lt;/D&gt;&lt;D xsi:type="xsd:double"&gt;10.5366120594284&lt;/D&gt;&lt;D xsi:type="xsd:double"&gt;9.91906010826036&lt;/D&gt;&lt;D xsi:type="xsd:double"&gt;9.80170470424889&lt;/D&gt;&lt;D xsi:type="xsd:double"&gt;9.56529703556736&lt;/D&gt;&lt;D xsi:type="xsd:double"&gt;8.4681314688779&lt;/D&gt;&lt;D xsi:type="xsd:double"&gt;9.03871801566244&lt;/D&gt;&lt;D xsi:type="xsd:double"&gt;9.77602313919701&lt;/D&gt;&lt;D xsi:type="xsd:double"&gt;9.83935941681561&lt;/D&gt;&lt;D xsi:type="xsd:double"&gt;10.557497808927&lt;/D&gt;&lt;D xsi:type="xsd:double"&gt;10.5515368674112&lt;/D&gt;&lt;D xsi:type="xsd:double"&gt;9.99720595682145&lt;/D&gt;&lt;D xsi:type="xsd:double"&gt;10.7277097035735&lt;/D&gt;&lt;D xsi:type="xsd:double"&gt;10.2359726728006&lt;/D&gt;&lt;D xsi:type="xsd:double"&gt;10.2456440130781&lt;/D&gt;&lt;D xsi:type="xsd:double"&gt;10.7463737176569&lt;/D&gt;&lt;D xsi:type="xsd:double"&gt;10.1614859613646&lt;/D&gt;&lt;D xsi:type="xsd:double"&gt;10.3720560567901&lt;/D&gt;&lt;D xsi:type="xsd:double"&gt;9.91957556055225&lt;/D&gt;&lt;D xsi:type="xsd:double"&gt;10.4574655906442&lt;/D&gt;&lt;D xsi:type="xsd:double"&gt;10.9749316211971&lt;/D&gt;&lt;D xsi:type="xsd:double"&gt;11.0930452109812&lt;/D&gt;&lt;D xsi:type="xsd:double"&gt;11.2245240250413&lt;/D&gt;&lt;D xsi:type="xsd:double"&gt;11.511304687027&lt;/D&gt;&lt;D xsi:type="xsd:double"&gt;11.5903700483516&lt;/D&gt;&lt;D xsi:type="xsd:double"&gt;11.7775811707806&lt;/D&gt;&lt;D xsi:type="xsd:double"&gt;11.3598666959158&lt;/D&gt;&lt;D xsi:type="xsd:double"&gt;11.6102540528411&lt;/D&gt;&lt;D xsi:type="xsd:double"&gt;11.7611678959406&lt;/D&gt;&lt;D xsi:type="xsd:double"&gt;11.8107826788735&lt;/D&gt;&lt;/FQL&gt;&lt;FQL&gt;&lt;Q&gt;WL-FDS^FG_PRICE_CHANGE(0,-1AY)&lt;/Q&gt;&lt;R&gt;1&lt;/R&gt;&lt;C&gt;1&lt;/C&gt;&lt;D xsi:type="xsd:double"&gt;-16.269561539546&lt;/D&gt;&lt;/FQL&gt;&lt;FQL&gt;&lt;Q&gt;EWD^FG_PRICE_MAVG(0,,,,30)&lt;/Q&gt;&lt;R&gt;1&lt;/R&gt;&lt;C&gt;1&lt;/C&gt;&lt;D xsi:type="xsd:double"&gt;41.600334&lt;/D&gt;&lt;/FQL&gt;&lt;FQL&gt;&lt;Q&gt;EWG^FG_PRICE_MAVG(0,,,,30)&lt;/Q&gt;&lt;R&gt;1&lt;/R&gt;&lt;C&gt;1&lt;/C&gt;&lt;D xsi:type="xsd:double"&gt;32.382668&lt;/D&gt;&lt;/FQL&gt;&lt;FQL&gt;&lt;Q&gt;EWL^FMA_COS_UP("EPS","1M",+1,0,,,"PORTAGG","MEANR")&lt;/Q&gt;&lt;R&gt;1&lt;/R&gt;&lt;C&gt;1&lt;/C&gt;&lt;D xsi:type="xsd:double"&gt;14&lt;/D&gt;&lt;/FQL&gt;&lt;FQL&gt;&lt;Q&gt;EWU^FG_ROE(0)&lt;/Q&gt;&lt;R&gt;1&lt;/R&gt;&lt;C&gt;1&lt;/C&gt;&lt;D xsi:type="xsd:double"&gt;13.846964527699&lt;/D&gt;&lt;/FQL&gt;&lt;FQL&gt;&lt;Q&gt;TRYUS10Y-FDS^PCTCHG(FG_YIELD(0,,,,"YTM"),FG_YIELD(-3AM,,,,"YTM"))&lt;/Q&gt;&lt;R&gt;0&lt;/R&gt;&lt;C&gt;0&lt;/C&gt;&lt;/FQL&gt;&lt;FQL&gt;&lt;Q&gt;TRYGB10Y-FDS^FG_YIELD(0,,,,"YTM")&lt;/Q&gt;&lt;R&gt;0&lt;/R&gt;&lt;C&gt;0&lt;/C&gt;&lt;/FQL&gt;&lt;FQL&gt;&lt;Q&gt;CAGDPY@NZ^EE_ACTUAL_ANNUAL(MED,0)&lt;/Q&gt;&lt;R&gt;1&lt;/R&gt;&lt;C&gt;1&lt;/C&gt;&lt;D xsi:type="xsd:double"&gt;-7.1&lt;/D&gt;&lt;/FQL&gt;&lt;FQL&gt;&lt;Q&gt;USDUSD^FG_PRICE(0)&lt;/Q&gt;&lt;R&gt;1&lt;/R&gt;&lt;C&gt;1&lt;/C&gt;&lt;D xsi:type="xsd:double"&gt;1&lt;/D&gt;&lt;/FQL&gt;&lt;FQL&gt;&lt;Q&gt;USDJPY^FG_PRICE(0)&lt;/Q&gt;&lt;R&gt;1&lt;/R&gt;&lt;C&gt;1&lt;/C&gt;&lt;D xsi:type="xsd:double"&gt;143.13501&lt;/D&gt;&lt;/FQL&gt;&lt;FQL&gt;&lt;Q&gt;EWN^FG_TOTAL_RETURNC(-10AY,0,AM)&lt;/Q&gt;&lt;R&gt;121&lt;/R&gt;&lt;C&gt;1&lt;/C&gt;&lt;D xsi:type="xsd:double"&gt;-1.7835438&lt;/D&gt;&lt;D xsi:type="xsd:double"&gt;-4.416013&lt;/D&gt;&lt;D xsi:type="xsd:double"&gt;6.822109&lt;/D&gt;&lt;D xsi:type="xsd:double"&gt;-0.99635124&lt;/D&gt;&lt;D xsi:type="xsd:double"&gt;-0.8398175&lt;/D&gt;&lt;D xsi:type="xsd:double"&gt;5.7219625&lt;/D&gt;&lt;D xsi:type="xsd:double"&gt;-0.50801635&lt;/D&gt;&lt;D xsi:type="xsd:double"&gt;4.8311114&lt;/D&gt;&lt;D xsi:type="xsd:double"&gt;0.44959784&lt;/D&gt;&lt;D xsi:type="xsd:double"&gt;1.1024714&lt;/D&gt;&lt;D xsi:type="xsd:double"&gt;-2.5382638&lt;/D&gt;&lt;D xsi:type="xsd:double"&gt;-5.7449284&lt;/D&gt;&lt;D xsi:type="xsd:double"&gt;-5.3230467&lt;/D&gt;&lt;D xsi:type="xsd:double"&gt;7.1244597&lt;/D&gt;&lt;D xsi:type="xsd:double"&gt;-0.32051206&lt;/D&gt;&lt;D xsi:type="xsd:double"&gt;-2.1349251&lt;/D&gt;&lt;D xsi:type="xsd:double"&gt;-5.950415&lt;/D&gt;&lt;D xsi:type="xsd:double"&gt;-0.13181567&lt;/D&gt;&lt;D xsi:type="xsd:double"&gt;6.423235&lt;/D&gt;&lt;D xsi:type="xsd:double"&gt;2.9764295&lt;/D&gt;&lt;D xsi:type="xsd:double"&gt;0.44158697&lt;/D&gt;&lt;D xsi:type="xsd:double"&gt;-11.934275&lt;/D&gt;&lt;D xsi:type="xsd:double"&gt;9.852672&lt;/D&gt;&lt;D xsi:type="xsd:double"&gt;3.3109784&lt;/D&gt;&lt;D xsi:type="xsd:double"&gt;0.24340153&lt;/D&gt;&lt;D xsi:type="xsd:double"&gt;-1.3354897&lt;/D&gt;&lt;D xsi:type="xsd:double"&gt;-2.7891636&lt;/D&gt;&lt;D xsi:type="xsd:double"&gt;2.8698564&lt;/D&gt;&lt;D xsi:type="xsd:double"&gt;3.282094&lt;/D&gt;&lt;D xsi:type="xsd:double"&gt;2.4135113&lt;/D&gt;&lt;D xsi:type="xsd:double"&gt;6.0879827&lt;/D&gt;&lt;D xsi:type="xsd:double"&gt;3.9244652&lt;/D&gt;&lt;D xsi:type="xsd:double"&gt;4.951906&lt;/D&gt;&lt;D xsi:type="xsd:double"&gt;-0.18280149&lt;/D&gt;&lt;D xsi:type="xsd:double"&gt;5.2667856&lt;/D&gt;&lt;D xsi:type="xsd:double"&gt;0.2616048&lt;/D&gt;&lt;D xsi:type="xsd:double"&gt;0.71754456&lt;/D&gt;&lt;D xsi:type="xsd:double"&gt;1.8782377&lt;/D&gt;&lt;D xsi:type="xsd:double"&gt;0.31785965&lt;/D&gt;&lt;D xsi:type="xsd:double"&gt;0.82086325&lt;/D&gt;&lt;D xsi:type="xsd:double"&gt;7.585335&lt;/D&gt;&lt;D xsi:type="xsd:double"&gt;-5.8460655&lt;/D&gt;&lt;D xsi:type="xsd:double"&gt;-1.435256&lt;/D&gt;&lt;D xsi:type="xsd:double"&gt;2.3741722&lt;/D&gt;&lt;D xsi:type="xsd:double"&gt;-1.3296247&lt;/D&gt;&lt;D xsi:type="xsd:double"&gt;-3.9152026&lt;/D&gt;&lt;D xsi:type="xsd:double"&gt;5.170703&lt;/D&gt;&lt;D xsi:type="xsd:double"&gt;-0.724864&lt;/D&gt;&lt;D xsi:type="xsd:double"&gt;-3.1428576&lt;/D&gt;&lt;D xsi:type="xsd:double"&gt;-10.22616&lt;/D&gt;&lt;D xsi:type="xsd:double"&gt;3.1763434&lt;/D&gt;&lt;D xsi:type="xsd:double"&gt;-7.1629763&lt;/D&gt;&lt;D xsi:type="xsd:double"&gt;7.5449944&lt;/D&gt;&lt;D xsi:type="xsd:double"&gt;5.23504&lt;/D&gt;&lt;D xsi:type="xsd:double"&gt;0.5414605&lt;/D&gt;&lt;D xsi:type="xsd:double"&gt;4.712224&lt;/D&gt;&lt;D xsi:type="xsd:double"&gt;-2.764386&lt;/D&gt;&lt;D xsi:type="xsd:double"&gt;3.5787106&lt;/D&gt;&lt;D xsi:type="xsd:double"&gt;3.139305&lt;/D&gt;&lt;D xsi:type="xsd:double"&gt;-4.9778104&lt;/D&gt;&lt;D xsi:type="xsd:double"&gt;3.8038135&lt;/D&gt;&lt;D xsi:type="xsd:double"&gt;2.5715232&lt;/D&gt;&lt;D xsi:type="xsd:double"&gt;2.507043&lt;/D&gt;&lt;D xsi:type="xsd:double"&gt;3.8489342&lt;/D&gt;&lt;D xsi:type="xsd:double"&gt;-2.9264033&lt;/D&gt;&lt;D xsi:type="xsd:double"&gt;-6.5164385&lt;/D&gt;&lt;D xsi:type="xsd:double"&gt;-16.48209&lt;/D&gt;&lt;D xsi:type="xsd:double"&gt;9.32138&lt;/D&gt;&lt;D xsi:type="xsd:double"&gt;7.6346755&lt;/D&gt;&lt;D xsi:type="xsd:double"&gt;7.9363823&lt;/D&gt;&lt;D xsi:type="xsd:double"&gt;8.155704&lt;/D&gt;&lt;D xsi:type="xsd:double"&gt;2.0851254&lt;/D&gt;&lt;D xsi:type="xsd:double"&gt;-4.308897&lt;/D&gt;&lt;D xsi:type="xsd:double"&gt;2.8362513&lt;/D&gt;&lt;D xsi:type="xsd:double"&gt;11.913574&lt;/D&gt;&lt;D xsi:type="xsd:double"&gt;5.6032777&lt;/D&gt;&lt;D xsi:type="xsd:double"&gt;1.7378688&lt;/D&gt;&lt;D xsi:type="xsd:double"&gt;4.4365287&lt;/D&gt;&lt;D xsi:type="xsd:double"&gt;5.270326&lt;/D&gt;&lt;D xsi:type="xsd:double"&gt;5.848074&lt;/D&gt;&lt;D xsi:type="xsd:double"&gt;0.265038&lt;/D&gt;&lt;D xsi:type="xsd:double"&gt;-0.13600588&lt;/D&gt;&lt;D xsi:type="xsd:double"&gt;0.45090914&lt;/D&gt;&lt;D xsi:type="xsd:double"&gt;7.2026134&lt;/D&gt;&lt;D xsi:type="xsd:double"&gt;-1.5702307&lt;/D&gt;&lt;D xsi:type="xsd:double"&gt;0.6864548&lt;/D&gt;&lt;D xsi:type="xsd:double"&gt;-5.1277103&lt;/D&gt;&lt;D xsi:type="xsd:double"&gt;1.9367814&lt;/D&gt;&lt;D xsi:type="xsd:double"&gt;-10.962725&lt;/D&gt;&lt;D xsi:type="xsd:double"&gt;-2.1490932&lt;/D&gt;&lt;D xsi:type="xsd:double"&gt;-2.562338&lt;/D&gt;&lt;D xsi:type="xsd:double"&gt;-10.30758&lt;/D&gt;&lt;D xsi:type="xsd:double"&gt;2.8010488&lt;/D&gt;&lt;D xsi:type="xsd:double"&gt;-6.7398605&lt;/D&gt;&lt;D xsi:type="xsd:double"&gt;3.0982018&lt;/D&gt;&lt;D xsi:type="xsd:double"&gt;-6.0101986&lt;/D&gt;&lt;D xsi:type="xsd:double"&gt;-12.789035&lt;/D&gt;&lt;D xsi:type="xsd:double"&gt;7.528639&lt;/D&gt;&lt;D xsi:type="xsd:double"&gt;17.38205&lt;/D&gt;&lt;D xsi:type="xsd:double"&gt;-2.3016095&lt;/D&gt;&lt;D xsi:type="xsd:double"&gt;13.354707&lt;/D&gt;&lt;D xsi:type="xsd:double"&gt;-2.9571116&lt;/D&gt;&lt;D xsi:type="xsd:double"&gt;-1.614666&lt;/D&gt;&lt;D xsi:type="xsd:double"&gt;4.1707754&lt;/D&gt;&lt;D xsi:type="xsd:double"&gt;1.8952847&lt;/D&gt;&lt;D xsi:type="xsd:double"&gt;0.62662363&lt;/D&gt;&lt;D xsi:type="xsd:double"&gt;3.4112096&lt;/D&gt;&lt;D xsi:type="xsd:double"&gt;-8.178944&lt;/D&gt;&lt;D xsi:type="xsd:double"&gt;-8.070862&lt;/D&gt;&lt;D xsi:type="xsd:double"&gt;-1.6461492&lt;/D&gt;&lt;D xsi:type="xsd:double"&gt;15.008842&lt;/D&gt;&lt;D xsi:type="xsd:double"&gt;6.977117&lt;/D&gt;&lt;D xsi:type="xsd:double"&gt;2.3846626&lt;/D&gt;&lt;D xsi:type="xsd:double"&gt;3.809321&lt;/D&gt;&lt;D xsi:type="xsd:double"&gt;4.3195724&lt;/D&gt;&lt;D xsi:type="xsd:double"&gt;-2.6934683&lt;/D&gt;&lt;D xsi:type="xsd:double"&gt;6.8374276&lt;/D&gt;&lt;D xsi:type="xsd:double"&gt;-1.5506446&lt;/D&gt;&lt;D xsi:type="xsd:double"&gt;-3.1380296&lt;/D&gt;&lt;D xsi:type="xsd:double"&gt;3.4242272&lt;/D&gt;&lt;D xsi:type="xsd:double"&gt;1.2886643&lt;/D&gt;&lt;/FQL&gt;&lt;FQL&gt;&lt;Q&gt;EWJ^FMA_PE(LTMA,-10AY,0,AM,"PORTAGG","MEANR")&lt;/Q&gt;&lt;R&gt;121&lt;/R&gt;&lt;C&gt;1&lt;/C&gt;&lt;D xsi:type="xsd:double"&gt;15.4286075255403&lt;/D&gt;&lt;D xsi:type="xsd:double"&gt;14.7065166267534&lt;/D&gt;&lt;D xsi:type="xsd:double"&gt;15.9654064465761&lt;/D&gt;&lt;D xsi:type="xsd:double"&gt;16.1917123386014&lt;/D&gt;&lt;D xsi:type="xsd:double"&gt;15.6890528811828&lt;/D&gt;&lt;D xsi:type="xsd:double"&gt;16.9321203067015&lt;/D&gt;&lt;D xsi:type="xsd:double"&gt;16.8725663433186&lt;/D&gt;&lt;D xsi:type="xsd:double"&gt;16.9733047191973&lt;/D&gt;&lt;D xsi:type="xsd:double"&gt;17.1758361571392&lt;/D&gt;&lt;D xsi:type="xsd:double"&gt;16.9564519391573&lt;/D&gt;&lt;D xsi:type="xsd:double"&gt;16.7212633849991&lt;/D&gt;&lt;D xsi:type="xsd:double"&gt;15.7091512857482&lt;/D&gt;&lt;D xsi:type="xsd:double"&gt;15.1717236283757&lt;/D&gt;&lt;D xsi:type="xsd:double"&gt;15.7664425194868&lt;/D&gt;&lt;D xsi:type="xsd:double"&gt;16.2670470739019&lt;/D&gt;&lt;D xsi:type="xsd:double"&gt;15.6266440618873&lt;/D&gt;&lt;D xsi:type="xsd:double"&gt;14.3185782585079&lt;/D&gt;&lt;D xsi:type="xsd:double"&gt;13.9581702484063&lt;/D&gt;&lt;D xsi:type="xsd:double"&gt;13.8548763634678&lt;/D&gt;&lt;D xsi:type="xsd:double"&gt;13.9438965978409&lt;/D&gt;&lt;D xsi:type="xsd:double"&gt;14.0067677039624&lt;/D&gt;&lt;D xsi:type="xsd:double"&gt;13.5448983750214&lt;/D&gt;&lt;D xsi:type="xsd:double"&gt;14.1994832538294&lt;/D&gt;&lt;D xsi:type="xsd:double"&gt;13.9603365984447&lt;/D&gt;&lt;D xsi:type="xsd:double"&gt;14.3927169113086&lt;/D&gt;&lt;D xsi:type="xsd:double"&gt;14.6686336075351&lt;/D&gt;&lt;D xsi:type="xsd:double"&gt;15.5845178792127&lt;/D&gt;&lt;D xsi:type="xsd:double"&gt;16.4875355030734&lt;/D&gt;&lt;D xsi:type="xsd:double"&gt;16.6807875682828&lt;/D&gt;&lt;D xsi:type="xsd:double"&gt;15.9546973608978&lt;/D&gt;&lt;D xsi:type="xsd:double"&gt;15.7629920110502&lt;/D&gt;&lt;D xsi:type="xsd:double"&gt;15.6303105755657&lt;/D&gt;&lt;D xsi:type="xsd:double"&gt;15.643490033175&lt;/D&gt;&lt;D xsi:type="xsd:double"&gt;15.6409955880964&lt;/D&gt;&lt;D xsi:type="xsd:double"&gt;15.455107322132&lt;/D&gt;&lt;D xsi:type="xsd:double"&gt;14.9226344247617&lt;/D&gt;&lt;D xsi:type="xsd:double"&gt;15.0058623930357&lt;/D&gt;&lt;D xsi:type="xsd:double"&gt;15.5211225833806&lt;/D&gt;&lt;D xsi:type="xsd:double"&gt;15.9493261565347&lt;/D&gt;&lt;D xsi:type="xsd:double"&gt;16.4825372264723&lt;/D&gt;&lt;D xsi:type="xsd:double"&gt;16.7916737310796&lt;/D&gt;&lt;D xsi:type="xsd:double"&gt;14.7338716020799&lt;/D&gt;&lt;D xsi:type="xsd:double"&gt;14.2926610881918&lt;/D&gt;&lt;D xsi:type="xsd:double"&gt;14.3063805276655&lt;/D&gt;&lt;D xsi:type="xsd:double"&gt;14.1790860343976&lt;/D&gt;&lt;D xsi:type="xsd:double"&gt;13.9196161954039&lt;/D&gt;&lt;D xsi:type="xsd:double"&gt;13.9870392098219&lt;/D&gt;&lt;D xsi:type="xsd:double"&gt;13.6533211681266&lt;/D&gt;&lt;D xsi:type="xsd:double"&gt;13.8800556294103&lt;/D&gt;&lt;D xsi:type="xsd:double"&gt;12.5601466172745&lt;/D&gt;&lt;D xsi:type="xsd:double"&gt;12.676603925178&lt;/D&gt;&lt;D xsi:type="xsd:double"&gt;11.5647941543186&lt;/D&gt;&lt;D xsi:type="xsd:double"&gt;12.1044512092648&lt;/D&gt;&lt;D xsi:type="xsd:double"&gt;12.785086132348&lt;/D&gt;&lt;D xsi:type="xsd:double"&gt;12.7200381557624&lt;/D&gt;&lt;D xsi:type="xsd:double"&gt;12.7783669493114&lt;/D&gt;&lt;D xsi:type="xsd:double"&gt;12.6513351699803&lt;/D&gt;&lt;D xsi:type="xsd:double"&gt;12.8629633932097&lt;/D&gt;&lt;D xsi:type="xsd:double"&gt;13.0178773581738&lt;/D&gt;&lt;D xsi:type="xsd:double"&gt;12.7119068356297&lt;/D&gt;&lt;D xsi:type="xsd:double"&gt;13.5013232023661&lt;/D&gt;&lt;D xsi:type="xsd:double"&gt;13.9434874926745&lt;/D&gt;&lt;D xsi:type="xsd:double"&gt;14.7906726295521&lt;/D&gt;&lt;D xsi:type="xsd:double"&gt;15.3717244512473&lt;/D&gt;&lt;D xsi:type="xsd:double"&gt;15.1694662481048&lt;/D&gt;&lt;D xsi:type="xsd:double"&gt;14.4824215682225&lt;/D&gt;&lt;D xsi:type="xsd:double"&gt;13.8489007002888&lt;/D&gt;&lt;D xsi:type="xsd:double"&gt;14.2275193323342&lt;/D&gt;&lt;D xsi:type="xsd:double"&gt;15.2933257796765&lt;/D&gt;&lt;D xsi:type="xsd:double"&gt;16.9739038783862&lt;/D&gt;&lt;D xsi:type="xsd:double"&gt;17.7895430066793&lt;/D&gt;&lt;D xsi:type="xsd:double"&gt;18.7660781089814&lt;/D&gt;&lt;D xsi:type="xsd:double"&gt;19.937149983275&lt;/D&gt;&lt;D xsi:type="xsd:double"&gt;20.6040721216634&lt;/D&gt;&lt;D xsi:type="xsd:double"&gt;22.7867984338394&lt;/D&gt;&lt;D xsi:type="xsd:double"&gt;22.9701927413641&lt;/D&gt;&lt;D xsi:type="xsd:double"&gt;23.763212421895&lt;/D&gt;&lt;D xsi:type="xsd:double"&gt;21.6770992801852&lt;/D&gt;&lt;D xsi:type="xsd:double"&gt;21.428133704887&lt;/D&gt;&lt;D xsi:type="xsd:double"&gt;20.7918644663941&lt;/D&gt;&lt;D xsi:type="xsd:double"&gt;20.1995581400302&lt;/D&gt;&lt;D xsi:type="xsd:double"&gt;19.9283780917869&lt;/D&gt;&lt;D xsi:type="xsd:double"&gt;19.252879734267&lt;/D&gt;&lt;D xsi:type="xsd:double"&gt;18.300711447691&lt;/D&gt;&lt;D xsi:type="xsd:double"&gt;18.5264704973513&lt;/D&gt;&lt;D xsi:type="xsd:double"&gt;17.6467013977822&lt;/D&gt;&lt;D xsi:type="xsd:double"&gt;16.8716341067439&lt;/D&gt;&lt;D xsi:type="xsd:double"&gt;16.09079623863&lt;/D&gt;&lt;D xsi:type="xsd:double"&gt;14.6919279771435&lt;/D&gt;&lt;D xsi:type="xsd:double"&gt;14.702745064573&lt;/D&gt;&lt;D xsi:type="xsd:double"&gt;14.7047075980155&lt;/D&gt;&lt;D xsi:type="xsd:double"&gt;14.3059297294987&lt;/D&gt;&lt;D xsi:type="xsd:double"&gt;14.1735912290206&lt;/D&gt;&lt;D xsi:type="xsd:double"&gt;13.9323829177245&lt;/D&gt;&lt;D xsi:type="xsd:double"&gt;13.9742529233998&lt;/D&gt;&lt;D xsi:type="xsd:double"&gt;13.9565337941476&lt;/D&gt;&lt;D xsi:type="xsd:double"&gt;13.1742799236862&lt;/D&gt;&lt;D xsi:type="xsd:double"&gt;13.1521297283115&lt;/D&gt;&lt;D xsi:type="xsd:double"&gt;13.722001067943&lt;/D&gt;&lt;D xsi:type="xsd:double"&gt;12.8855924774957&lt;/D&gt;&lt;D xsi:type="xsd:double"&gt;13.4952020264739&lt;/D&gt;&lt;D xsi:type="xsd:double"&gt;13.5797609711392&lt;/D&gt;&lt;D xsi:type="xsd:double"&gt;13.5735561250135&lt;/D&gt;&lt;D xsi:type="xsd:double"&gt;13.7059802388083&lt;/D&gt;&lt;D xsi:type="xsd:double"&gt;14.0471854832872&lt;/D&gt;&lt;D xsi:type="xsd:double"&gt;14.4596401159245&lt;/D&gt;&lt;D xsi:type="xsd:double"&gt;14.6811081571615&lt;/D&gt;&lt;D xsi:type="xsd:double"&gt;14.4861800960246&lt;/D&gt;&lt;D xsi:type="xsd:double"&gt;15.0316807703466&lt;/D&gt;&lt;D xsi:type="xsd:double"&gt;14.5043277902702&lt;/D&gt;&lt;D xsi:type="xsd:double"&gt;15.2760411029152&lt;/D&gt;&lt;D xsi:type="xsd:double"&gt;15.3010720377504&lt;/D&gt;&lt;D xsi:type="xsd:double"&gt;16.1479831963342&lt;/D&gt;&lt;D xsi:type="xsd:double"&gt;17.0461634783324&lt;/D&gt;&lt;D xsi:type="xsd:double"&gt;17.0767247010589&lt;/D&gt;&lt;D xsi:type="xsd:double"&gt;16.7470914038733&lt;/D&gt;&lt;D xsi:type="xsd:double"&gt;16.7488457874934&lt;/D&gt;&lt;D xsi:type="xsd:double"&gt;16.7359244002769&lt;/D&gt;&lt;D xsi:type="xsd:double"&gt;16.2457170464935&lt;/D&gt;&lt;D xsi:type="xsd:double"&gt;15.9787864830711&lt;/D&gt;&lt;D xsi:type="xsd:double"&gt;15.6532154753177&lt;/D&gt;&lt;/FQL&gt;&lt;FQL&gt;&lt;Q&gt;CPALM-FDS^FG_PRICE_CHANGE(0,-1AY)&lt;/Q&gt;&lt;R&gt;1&lt;/R&gt;&lt;C&gt;1&lt;/C&gt;&lt;D xsi:type="xsd:double"&gt;15.1441000543774&lt;/D&gt;&lt;/FQL&gt;&lt;FQL&gt;&lt;Q&gt;TIOS-FDS^FG_PRICE_CHANGE(0,-1AY)&lt;/Q&gt;&lt;R&gt;1&lt;/R&gt;&lt;C&gt;1&lt;/C&gt;&lt;D xsi:type="xsd:double"&gt;-23.41939755048&lt;/D&gt;&lt;/FQL&gt;&lt;FQL&gt;&lt;Q&gt;EWC^FG_TOTAL_RETURNC(0,-3AM)&lt;/Q&gt;&lt;R&gt;1&lt;/R&gt;&lt;C&gt;1&lt;/C&gt;&lt;D xsi:type="xsd:double"&gt;11.929071&lt;/D&gt;&lt;/FQL&gt;&lt;FQL&gt;&lt;Q&gt;SPY^FMA_ROE(NTMA,-20AY,NOW,FY,"PORTAGG","MEANR")&lt;/Q&gt;&lt;R&gt;20&lt;/R&gt;&lt;C&gt;1&lt;/C&gt;&lt;D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xsi:type="xsd:double"&gt;18.2929292773882&lt;/D&gt;&lt;D xsi:type="xsd:double"&gt;17.2298191467853&lt;/D&gt;&lt;D xsi:type="xsd:double"&gt;20.6862902670697&lt;/D&gt;&lt;D xsi:type="xsd:double"&gt;20.5983105900292&lt;/D&gt;&lt;D xsi:type="xsd:double"&gt;20.3440340816855&lt;/D&gt;&lt;/FQL&gt;&lt;FQL&gt;&lt;Q&gt;TRYAE10Y-FDS^FG_YIELD(-10AY,0,Y,,"YTM")&lt;/Q&gt;&lt;R&gt;10&lt;/R&gt;&lt;C&gt;1&lt;/C&gt;&lt;D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xsi:type="xsd:double"&gt;-1.6021252&lt;/D&gt;&lt;D xsi:type="xsd:double"&gt;-6.2774&lt;/D&gt;&lt;D xsi:type="xsd:double"&gt;2.0905733&lt;/D&gt;&lt;D xsi:type="xsd:double"&gt;-5.1761627&lt;/D&gt;&lt;D xsi:type="xsd:double"&gt;-4.9743357&lt;/D&gt;&lt;D xsi:type="xsd:double"&gt;-0.61775446&lt;/D&gt;&lt;D xsi:type="xsd:double"&gt;-2.9622078&lt;/D&gt;&lt;D xsi:type="xsd:double"&gt;0.31130314&lt;/D&gt;&lt;D xsi:type="xsd:double"&gt;-4.2942166&lt;/D&gt;&lt;D xsi:type="xsd:double"&gt;-1.4931619&lt;/D&gt;&lt;D xsi:type="xsd:double"&gt;-6.5383253&lt;/D&gt;&lt;D xsi:type="xsd:double"&gt;-8.343803&lt;/D&gt;&lt;D xsi:type="xsd:double"&gt;-9.298193&lt;/D&gt;&lt;D xsi:type="xsd:double"&gt;-2.014637&lt;/D&gt;&lt;D xsi:type="xsd:double"&gt;-7.75947&lt;/D&gt;&lt;D xsi:type="xsd:double"&gt;-4.15886&lt;/D&gt;&lt;D xsi:type="xsd:double"&gt;-11.509632999999999&lt;/D&gt;&lt;D xsi:type="xsd:double"&gt;-16.779482&lt;/D&gt;&lt;D xsi:type="xsd:double"&gt;-13.572377&lt;/D&gt;&lt;D xsi:type="xsd:double"&gt;-9.014243&lt;/D&gt;&lt;D xsi:type="xsd:double"&gt;-10.385376&lt;/D&gt;&lt;D xsi:type="xsd:double"&gt;-19.83239&lt;/D&gt;&lt;D xsi:type="xsd:double"&gt;-8.680266&lt;/D&gt;&lt;D xsi:type="xsd:double"&gt;-0.067442656&lt;/D&gt;&lt;D xsi:type="xsd:double"&gt;4.523313&lt;/D&gt;&lt;D xsi:type="xsd:double"&gt;-3.9819121&lt;/D&gt;&lt;D xsi:type="xsd:double"&gt;-2.899462&lt;/D&gt;&lt;D xsi:type="xsd:double"&gt;-0.04518032&lt;/D&gt;&lt;D xsi:type="xsd:double"&gt;14.757895&lt;/D&gt;&lt;D xsi:type="xsd:double"&gt;14.129173&lt;/D&gt;&lt;D xsi:type="xsd:double"&gt;15.258848&lt;/D&gt;&lt;D xsi:type="xsd:double"&gt;12.293601&lt;/D&gt;&lt;D xsi:type="xsd:double"&gt;18.985199&lt;/D&gt;&lt;D xsi:type="xsd:double"&gt;34.406673&lt;/D&gt;&lt;D xsi:type="xsd:double"&gt;25.076569&lt;/D&gt;&lt;D xsi:type="xsd:double"&gt;22.12187&lt;/D&gt;&lt;D xsi:type="xsd:double"&gt;25.844456&lt;/D&gt;&lt;D xsi:type="xsd:double"&gt;31.282055&lt;/D&gt;&lt;D xsi:type="xsd:double"&gt;28.064156&lt;/D&gt;&lt;D xsi:type="xsd:double"&gt;22.811758&lt;/D&gt;&lt;D xsi:type="xsd:double"&gt;23.97425&lt;/D&gt;&lt;D xsi:type="xsd:double"&gt;17.333973&lt;/D&gt;&lt;D xsi:type="xsd:double"&gt;7.600212&lt;/D&gt;&lt;D xsi:type="xsd:double"&gt;4.4814587&lt;/D&gt;&lt;D xsi:type="xsd:double"&gt;0.9349108&lt;/D&gt;&lt;D xsi:type="xsd:double"&gt;-5.140895&lt;/D&gt;&lt;D xsi:type="xsd:double"&gt;-0.5984247&lt;/D&gt;&lt;D xsi:type="xsd:double"&gt;-1.3868868&lt;/D&gt;&lt;D xsi:type="xsd:double"&gt;-0.76878667&lt;/D&gt;&lt;D xsi:type="xsd:double"&gt;-14.568156&lt;/D&gt;&lt;D xsi:type="xsd:double"&gt;-12.180174&lt;/D&gt;&lt;D xsi:type="xsd:double"&gt;-14.970959&lt;/D&gt;&lt;D xsi:type="xsd:double"&gt;-14.793909&lt;/D&gt;&lt;D xsi:type="xsd:double"&gt;</t>
        </r>
      </text>
    </comment>
    <comment ref="A5" authorId="0" shapeId="0" xr:uid="{BF79A4E2-5F9B-4BD4-8198-F7B27642FA14}">
      <text>
        <r>
          <rPr>
            <b/>
            <sz val="9"/>
            <color indexed="81"/>
            <rFont val="Tahoma"/>
            <charset val="1"/>
          </rPr>
          <t>-8.326113&lt;/D&gt;&lt;D xsi:type="xsd:double"&gt;-3.6580682&lt;/D&gt;&lt;D xsi:type="xsd:double"&gt;1.39575&lt;/D&gt;&lt;D xsi:type="xsd:double"&gt;-5.7905254&lt;/D&gt;&lt;D xsi:type="xsd:double"&gt;5.90657&lt;/D&gt;&lt;D xsi:type="xsd:double"&gt;-3.4020603&lt;/D&gt;&lt;D xsi:type="xsd:double"&gt;-10.82254&lt;/D&gt;&lt;D xsi:type="xsd:double"&gt;-8.60042&lt;/D&gt;&lt;D xsi:type="xsd:double"&gt;12.355781&lt;/D&gt;&lt;D xsi:type="xsd:double"&gt;14.641178&lt;/D&gt;&lt;D xsi:type="xsd:double"&gt;26.462292&lt;/D&gt;&lt;D xsi:type="xsd:double"&gt;13.607955&lt;/D&gt;&lt;D xsi:type="xsd:double"&gt;5.572474&lt;/D&gt;&lt;D xsi:type="xsd:double"&gt;-15.198785&lt;/D&gt;&lt;D xsi:type="xsd:double"&gt;-13.583672&lt;/D&gt;&lt;D xsi:type="xsd:double"&gt;2.073133&lt;/D&gt;&lt;D xsi:type="xsd:double"&gt;2.0018458&lt;/D&gt;&lt;D xsi:type="xsd:double"&gt;18.771385&lt;/D&gt;&lt;D xsi:type="xsd:double"&gt;31.0215&lt;/D&gt;&lt;D xsi:type="xsd:double"&gt;18.645107&lt;/D&gt;&lt;D xsi:type="xsd:double"&gt;13.595474&lt;/D&gt;&lt;D xsi:type="xsd:double"&gt;26.821745&lt;/D&gt;&lt;D xsi:type="xsd:double"&gt;21.41837&lt;/D&gt;&lt;D xsi:type="xsd:double"&gt;30.432106&lt;/D&gt;&lt;D xsi:type="xsd:double"&gt;35.03207&lt;/D&gt;&lt;D xsi:type="xsd:double"&gt;78.92337&lt;/D&gt;&lt;D xsi:type="xsd:double"&gt;81.25161&lt;/D&gt;&lt;D xsi:type="xsd:double"&gt;65.9867&lt;/D&gt;&lt;D xsi:type="xsd:double"&gt;55.45162&lt;/D&gt;&lt;D xsi:type="xsd:double"&gt;42.53378&lt;/D&gt;&lt;D xsi:type="xsd:double"&gt;38.89084&lt;/D&gt;&lt;D xsi:type="xsd:double"&gt;39.459564&lt;/D&gt;&lt;D xsi:type="xsd:double"&gt;40.716434&lt;/D&gt;&lt;D xsi:type="xsd:double"&gt;15.103304&lt;/D&gt;&lt;D xsi:type="xsd:double"&gt;22.226488&lt;/D&gt;&lt;D xsi:type="xsd:double"&gt;4.3463707&lt;/D&gt;&lt;D xsi:type="xsd:double"&gt;-3.9637089&lt;/D&gt;&lt;D xsi:type="xsd:double"&gt;-7.834035&lt;/D&gt;&lt;D xsi:type="xsd:double"&gt;-20.620203&lt;/D&gt;&lt;D xsi:type="xsd:double"&gt;-20.37754&lt;/D&gt;&lt;D xsi:type="xsd:double"&gt;-28.712803&lt;/D&gt;&lt;D xsi:type="xsd:double"&gt;-28.925938&lt;/D&gt;&lt;D xsi:type="xsd:double"&gt;-32.185013&lt;/D&gt;&lt;D xsi:type="xsd:double"&gt;-38.869305&lt;/D&gt;&lt;D xsi:type="xsd:double"&gt;-34.534973&lt;/D&gt;&lt;D xsi:type="xsd:double"&gt;-22.166967&lt;/D&gt;&lt;D xsi:type="xsd:double"&gt;-26.87475&lt;/D&gt;&lt;D xsi:type="xsd:double"&gt;-10.211963&lt;/D&gt;&lt;D xsi:type="xsd:double"&gt;-5.0076904&lt;/D&gt;&lt;D xsi:type="xsd:double"&gt;-9.941989&lt;/D&gt;&lt;D xsi:type="xsd:double"&gt;6.5263987&lt;/D&gt;&lt;D xsi:type="xsd:double"&gt;0.99829435&lt;/D&gt;&lt;D xsi:type="xsd:double"&gt;10.79123&lt;/D&gt;&lt;D xsi:type="xsd:double"&gt;10.294461&lt;/D&gt;&lt;D xsi:type="xsd:double"&gt;3.7821174&lt;/D&gt;&lt;D xsi:type="xsd:double"&gt;21.82616&lt;/D&gt;&lt;D xsi:type="xsd:double"&gt;4.4020414&lt;/D&gt;&lt;D xsi:type="xsd:double"&gt;7.403207&lt;/D&gt;&lt;D xsi:type="xsd:double"&gt;25.47084&lt;/D&gt;&lt;D xsi:type="xsd:double"&gt;7.305062&lt;/D&gt;&lt;D xsi:type="xsd:double"&gt;13.465738&lt;/D&gt;&lt;D xsi:type="xsd:double"&gt;23.139095&lt;/D&gt;&lt;D xsi:type="xsd:double"&gt;10.989618&lt;/D&gt;&lt;D xsi:type="xsd:double"&gt;23.413599&lt;/D&gt;&lt;D xsi:type="xsd:double"&gt;19.618965&lt;/D&gt;&lt;D xsi:type="xsd:double"&gt;14.420092&lt;/D&gt;&lt;D xsi:type="xsd:double"&gt;33.84197&lt;/D&gt;&lt;D xsi:type="xsd:double"&gt;41.41941&lt;/D&gt;&lt;/FQL&gt;&lt;FQL&gt;&lt;Q&gt;QQQ^FMA_ROE(NTMA,-20AY,NOW,FY,"PORTAGG","MEANR")&lt;/Q&gt;&lt;R&gt;20&lt;/R&gt;&lt;C&gt;1&lt;/C&gt;&lt;D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xsi:type="xsd:double"&gt;25.9001753941815&lt;/D&gt;&lt;D xsi:type="xsd:double"&gt;25.4476853128011&lt;/D&gt;&lt;D xsi:type="xsd:double"&gt;27.6470377516053&lt;/D&gt;&lt;D xsi:type="xsd:double"&gt;24.9178959308229&lt;/D&gt;&lt;D xsi:type="xsd:double"&gt;26.0524047586362&lt;/D&gt;&lt;/FQL&gt;&lt;FQL&gt;&lt;Q&gt;TRYMY10Y-FDS^FG_YIELD(-10AY,0,Y,,"YTM")&lt;/Q&gt;&lt;R&gt;10&lt;/R&gt;&lt;C&gt;1&lt;/C&gt;&lt;D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xsi:type="xsd:double"&gt;3.08926120822716&lt;/D&gt;&lt;/FQL&gt;&lt;FQL&gt;&lt;Q&gt;USDCHF^STD(FG_PRICE_CHANGE(0,-3AY,M))&lt;/Q&gt;&lt;R&gt;1&lt;/R&gt;&lt;C&gt;1&lt;/C&gt;&lt;D xsi:type="xsd:double"&gt;2.48032487496995&lt;/D&gt;&lt;/FQL&gt;&lt;FQL&gt;&lt;Q&gt;USDUSD^STD(FG_PRICE_CHANGE(0,-3AY,M))&lt;/Q&gt;&lt;R&gt;1&lt;/R&gt;&lt;C&gt;1&lt;/C&gt;&lt;D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xsi:type="xsd:double"&gt;2.18410832220464&lt;/D&gt;&lt;/FQL&gt;&lt;FQL&gt;&lt;Q&gt;USDAUD^STD(FG_PRICE_CHANGE(0,-3AY,M))&lt;/Q&gt;&lt;R&gt;1&lt;/R&gt;&lt;C&gt;1&lt;/C&gt;&lt;D xsi:type="xsd:double"&gt;3.13974050035568&lt;/D&gt;&lt;/FQL&gt;&lt;FQL&gt;&lt;Q&gt;EWI^FMA_EPS(NTMA,-20AY,0,CY,,"PORTAGG","MEANR")&lt;/Q&gt;&lt;R&gt;20&lt;/R&gt;&lt;C&gt;1&lt;/C&gt;&lt;D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xsi:type="xsd:double"&gt;1.99711745729499&lt;/D&gt;&lt;D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xsi:type="xsd:double"&gt;3.1582355&lt;/D&gt;&lt;D xsi:type="xsd:double"&gt;-5.831039&lt;/D&gt;&lt;D xsi:type="xsd:double"&gt;0.6333113&lt;/D&gt;&lt;D xsi:type="xsd:double"&gt;-2.6778936&lt;/D&gt;&lt;D xsi:type="xsd:double"&gt;-0.9047508&lt;/D&gt;&lt;D xsi:type="xsd:double"&gt;2.1462917&lt;/D&gt;&lt;D xsi:type="xsd:double"&gt;1.548028&lt;/D&gt;&lt;D xsi:type="xsd:double"&gt;8.22817&lt;/D&gt;&lt;D xsi:type="xsd:double"&gt;6.063187&lt;/D&gt;&lt;D xsi:type="xsd:double"&gt;7.0798993&lt;/D&gt;&lt;D xsi:type="xsd:double"&gt;8.372569&lt;/D&gt;&lt;D xsi:type="xsd:double"&gt;1.2771368&lt;/D&gt;&lt;D xsi:type="xsd:double"&gt;-2.211237&lt;/D&gt;&lt;D xsi:type="xsd:double"&gt;9.414518&lt;/D&gt;&lt;D xsi:type="xsd:double"&gt;2.0985603&lt;/D&gt;&lt;D xsi:type="xsd:double"&gt;0.63580275&lt;/D&gt;&lt;D xsi:type="xsd:double"&gt;-4.2771397&lt;/D&gt;&lt;D xsi:type="xsd:double"&gt;-9.647882&lt;/D&gt;&lt;D xsi:type="xsd:double"&gt;-5.6134043&lt;/D&gt;&lt;D xsi:type="xsd:double"&gt;-4.989046&lt;/D&gt;&lt;D xsi:type="xsd:double"&gt;-4.996628&lt;/D&gt;&lt;D xsi:type="xsd:double"&gt;-17.246914&lt;/D&gt;&lt;D xsi:type="xsd:double"&gt;-6.725979&lt;/D&gt;&lt;D xsi:type="xsd:double"&gt;3.0100226&lt;/D&gt;&lt;D xsi:type="xsd:double"&gt;8.246529&lt;/D&gt;&lt;D xsi:type="xsd:double"&gt;-0.3020525&lt;/D&gt;&lt;D xsi:type="xsd:double"&gt;-2.0626128&lt;/D&gt;&lt;D xsi:type="xsd:double"&gt;2.2011042&lt;/D&gt;&lt;D xsi:type="xsd:double"&gt;12.233818&lt;/D&gt;&lt;D xsi:type="xsd:double"&gt;15.094304&lt;/D&gt;&lt;D xsi:type="xsd:double"&gt;14.731741&lt;/D&gt;&lt;D xsi:type="xsd:double"&gt;15.787994&lt;/D&gt;&lt;D xsi:type="xsd:double"&gt;21.035803&lt;/D&gt;&lt;D xsi:type="xsd:double"&gt;37.131966&lt;/D&gt;&lt;D xsi:type="xsd:double"&gt;31.407297&lt;/D&gt;&lt;D xsi:type="xsd:double"&gt;27.1675&lt;/D&gt;&lt;D xsi:type="xsd:double"&gt;28.131819&lt;/D&gt;&lt;D xsi:type="xsd:double"&gt;32.30537&lt;/D&gt;&lt;D xsi:type="xsd:double"&gt;36.534073&lt;/D&gt;&lt;D xsi:type="xsd:double"&gt;33.814537&lt;/D&gt;&lt;D xsi:type="xsd:double"&gt;39.839912&lt;/D&gt;&lt;D xsi:type="xsd:double"&gt;28.148197&lt;/D&gt;&lt;D xsi:type="xsd:double"&gt;19.060564&lt;/D&gt;&lt;D xsi:type="xsd:double"&gt;17.284466&lt;/D&gt;&lt;D xsi:type="xsd:double"&gt;10.003435&lt;/D&gt;&lt;D xsi:type="xsd:double"&gt;6.141758&lt;/D&gt;&lt;D xsi:type="xsd:double"&gt;6.0448766&lt;/D&gt;&lt;D xsi:type="xsd:double"&gt;5.0014973&lt;/D&gt;&lt;D xsi:type="xsd:double"&gt;0.9768963&lt;/D&gt;&lt;D xsi:type="xsd:double"&gt;-11.246103&lt;/D&gt;&lt;D xsi:type="xsd:double"&gt;-8.485002&lt;/D&gt;&lt;D xsi:type="xsd:double"&gt;-15.731925&lt;/D&gt;&lt;D xsi:type="xsd:double"&gt;-15.064871&lt;/D&gt;&lt;D xsi:type="xsd:double"&gt;-5.8496118&lt;/D&gt;&lt;D xsi:type="xsd:double"&gt;-3.961438&lt;/D&gt;&lt;D xsi:type="xsd:double"&gt;-1.4939427&lt;/D&gt;&lt;D xsi:type="xsd:double"&gt;-3.3176541&lt;/D&gt;&lt;D xsi:type="xsd:double"&gt;4.3534994&lt;/D&gt;&lt;D xsi:type="xsd:double"&gt;2.6614547&lt;/D&gt;&lt;D xsi:type="xsd:double"&gt;-2.0462573&lt;/D&gt;&lt;D xsi:type="xsd:double"&gt;4.979062&lt;/D&gt;&lt;D xsi:type="xsd:double"&gt;18.988573&lt;/D&gt;&lt;D xsi:type="xsd:double"&gt;19.166243&lt;/D&gt;&lt;D xsi:type="xsd:double"&gt;33.30121&lt;/D&gt;&lt;D xsi:type="xsd:double"&gt;20.32199&lt;/D&gt;&lt;D xsi:type="xsd:double"&gt;6.885755&lt;/D&gt;&lt;D xsi:type="xsd:double"&gt;-11.211991&lt;/D&gt;&lt;D xsi:type="xsd:double"&gt;-7.3037806&lt;/D&gt;&lt;D xsi:type="xsd:double"&gt;2.6098132&lt;/D&gt;&lt;D xsi:type="xsd:double"&gt;7.207179&lt;/D&gt;&lt;D xsi:type="xsd:double"&gt;12.127304&lt;/D&gt;&lt;D xsi:type="xsd:double"&gt;20.461666&lt;/D&gt;&lt;D xsi:type="xsd:double"&gt;10.514223&lt;/D&gt;&lt;D xsi:type="xsd:double"&gt;11.33368&lt;/D&gt;&lt;D xsi:type="xsd:double"&gt;21.550167&lt;/D&gt;&lt;D xsi:type="xsd:double"&gt;24.635113&lt;/D&gt;&lt;D xsi:type="xsd:double"&gt;29.542564&lt;/D&gt;&lt;D xsi:type="xsd:double"&gt;40.022552&lt;/D&gt;&lt;D xsi:type="xsd:double"&gt;75.49988&lt;/D&gt;&lt;D xsi:type="xsd:double"&gt;76.617584&lt;/D&gt;&lt;D xsi:type="xsd:double"&gt;64.52477&lt;/D&gt;&lt;D xsi:type="xsd:double"&gt;50.36216&lt;/D&gt;&lt;D xsi:type="xsd:double"&gt;41.37635&lt;/D&gt;&lt;D xsi:type="xsd:double"&gt;48.463486&lt;/D&gt;&lt;D xsi:type="xsd:double"&gt;52.712486&lt;/D&gt;&lt;D xsi:type="xsd:double"&gt;49.52004&lt;/D&gt;&lt;D xsi:type="xsd:double"&gt;28.251219&lt;/D&gt;&lt;D xsi:type="xsd:double"&gt;22.351574&lt;/D&gt;&lt;D xsi:type="xsd:double"&gt;7.0776343&lt;/D&gt;&lt;D xsi:type="xsd:double"&gt;-0.24108887&lt;/D&gt;&lt;D xsi:type="xsd:double"&gt;-4.7128916&lt;/D&gt;&lt;D xsi:type="xsd:double"&gt;-21.312666&lt;/D&gt;&lt;D xsi:type="xsd:double"&gt;-19.322432&lt;/D&gt;&lt;D xsi:type="xsd:double"&gt;-24.657518&lt;/D&gt;&lt;D xsi:type="xsd:double"&gt;-22.671938&lt;/D&gt;&lt;D xsi:type="xsd:double"&gt;-31.101143&lt;/D&gt;&lt;D xsi:type="xsd:double"&gt;-39.93007&lt;/D&gt;&lt;D xsi:type="xsd:double"&gt;-35.848&lt;/D&gt;&lt;D xsi:type="xsd:double"&gt;-22.109186&lt;/D&gt;&lt;D xsi:type="xsd:double"&gt;-23.927265&lt;/D&gt;&lt;D xsi:type="xsd:double"&gt;-3.1506538&lt;/D&gt;&lt;D xsi:type="xsd:double"&gt;-3.9503932&lt;/D&gt;&lt;D xsi:type="xsd:double"&gt;-3.0162275&lt;/D&gt;&lt;D xsi:type="xsd:double"&gt;12.63913&lt;/D&gt;&lt;D xsi:type="xsd:double"&gt;13.938797&lt;/D&gt;&lt;D xsi:type="xsd:double"&gt;20.46548&lt;/D&gt;&lt;D xsi:type="xsd:double"&gt;20.831226&lt;/D&gt;&lt;D xsi:type="xsd:double"&gt;14.070379&lt;/D&gt;&lt;D xsi:type="xsd:double"&gt;24.429358&lt;/D&gt;&lt;D xsi:type="xsd:double"&gt;13.8125305&lt;/D&gt;&lt;D xsi:type="xsd:double"&gt;11.511505&lt;/D&gt;&lt;D xsi:type="xsd:double"&gt;22.102093&lt;/D&gt;&lt;D xsi:type="xsd:double"&gt;9.614002&lt;/D&gt;&lt;D xsi:type="xsd:double"&gt;17.975319&lt;/D&gt;&lt;D xsi:type="xsd:double"&gt;25.091148&lt;/D&gt;&lt;D xsi:type="xsd:double"&gt;18.733013&lt;/D&gt;&lt;D xsi:type="xsd:double"&gt;26.3937&lt;/D&gt;&lt;D xsi:type="xsd:double"&gt;19.864882&lt;/D&gt;&lt;D xsi:type="xsd:double"&gt;12.8985405&lt;/D&gt;&lt;D xsi:type="xsd:double"&gt;26.461292&lt;/D&gt;&lt;D xsi:type="xsd:double"&gt;39.33662&lt;/D&gt;&lt;/FQL&gt;&lt;FQL&gt;&lt;Q&gt;SPY^FG_TOTAL_RETURNC(-10AY,0,AM)&lt;/Q&gt;&lt;R&gt;121&lt;/R&gt;&lt;C&gt;1&lt;/C&gt;&lt;D xsi:type="xsd:double"&gt;-0.71106553&lt;/D&gt;&lt;D xsi:type="xsd:double"&gt;-0.8792281&lt;/D&gt;&lt;D xsi:type="xsd:double"&gt;5.8523655&lt;/D&gt;&lt;D xsi:type="xsd:double"&gt;0.93694925&lt;/D&gt;&lt;D xsi:type="xsd:double"&gt;-2.7345955&lt;/D&gt;&lt;D xsi:type="xsd:double"&gt;3.9064765&lt;/D&gt;&lt;D xsi:type="xsd:double"&gt;-1.9034684&lt;/D&gt;&lt;D xsi:type="xsd:double"&gt;2.4448276&lt;/D&gt;&lt;D xsi:type="xsd:double"&gt;0.9156823&lt;/D&gt;&lt;D xsi:type="xsd:double"&gt;-0.87200403&lt;/D&gt;&lt;D xsi:type="xsd:double"&gt;-1.4441013&lt;/D&gt;&lt;D xsi:type="xsd:double"&gt;-3.636533&lt;/D&gt;&lt;D xsi:type="xsd:double"&gt;-2.7100444&lt;/D&gt;&lt;D xsi:type="xsd:double"&gt;7.1298957&lt;/D&gt;&lt;D xsi:type="xsd:double"&gt;1.4327168&lt;/D&gt;&lt;D xsi:type="xsd:double"&gt;-1.2570024&lt;/D&gt;&lt;D xsi:type="xsd:double"&gt;-8.532667&lt;/D&gt;&lt;D xsi:type="xsd:double"&gt;3.6991477&lt;/D&gt;&lt;D xsi:type="xsd:double"&gt;4.651177&lt;/D&gt;&lt;D xsi:type="xsd:double"&gt;3.0671597&lt;/D&gt;&lt;D xsi:type="xsd:double"&gt;0.42512417&lt;/D&gt;&lt;D xsi:type="xsd:double"&gt;-4.565114&lt;/D&gt;&lt;D xsi:type="xsd:double"&gt;8.476949&lt;/D&gt;&lt;D xsi:type="xsd:double"&gt;0.35562515&lt;/D&gt;&lt;D xsi:type="xsd:double"&gt;-0.28845072&lt;/D&gt;&lt;D xsi:type="xsd:double"&gt;-1.1133313&lt;/D&gt;&lt;D xsi:type="xsd:double"&gt;3.9170623&lt;/D&gt;&lt;D xsi:type="xsd:double"&gt;2.7474642&lt;/D&gt;&lt;D xsi:type="xsd:double"&gt;1.1932611&lt;/D&gt;&lt;D xsi:type="xsd:double"&gt;3.5550475&lt;/D&gt;&lt;D xsi:type="xsd:double"&gt;-1.0424495&lt;/D&gt;&lt;D xsi:type="xsd:double"&gt;2.1316767&lt;/D&gt;&lt;D xsi:type="xsd:double"&gt;1.3034344&lt;/D&gt;&lt;D xsi:type="xsd:double"&gt;0.3296256&lt;/D&gt;&lt;D xsi:type="xsd:double"&gt;2.4323463&lt;/D&gt;&lt;D xsi:type="xsd:double"&gt;-1.0679603&lt;/D&gt;&lt;D xsi:type="xsd:double"&gt;2.75141&lt;/D&gt;&lt;D xsi:type="xsd:double"&gt;3.0633807&lt;/D&gt;&lt;D xsi:type="xsd:double"&gt;0.97784996&lt;/D&gt;&lt;D xsi:type="xsd:double"&gt;3.2453656&lt;/D&gt;&lt;D xsi:type="xsd:double"&gt;7.2048426&lt;/D&gt;&lt;D xsi:type="xsd:double"&gt;-4.2396545&lt;/D&gt;&lt;D xsi:type="xsd:double"&gt;-4.6597004&lt;/D&gt;&lt;D xsi:type="xsd:double"&gt;2.2870302&lt;/D&gt;&lt;D xsi:type="xsd:double"&gt;2.0970821&lt;/D&gt;&lt;D xsi:type="xsd:double"&gt;-0.58401823&lt;/D&gt;&lt;D xsi:type="xsd:double"&gt;4.4811606&lt;/D&gt;&lt;D xsi:type="xsd:double"&gt;2.9706478&lt;/D&gt;&lt;D xsi:type="xsd:double"&gt;0.76841116&lt;/D&gt;&lt;D xsi:type="xsd:double"&gt;-8.724075&lt;/D&gt;&lt;D xsi:type="xsd:double"&gt;1.1570573&lt;/D&gt;&lt;D xsi:type="xsd:double"&gt;-7.0233345&lt;/D&gt;&lt;D xsi:type="xsd:double"&gt;7.1391106&lt;/D&gt;&lt;D xsi:type="xsd:double"&gt;5.0492883&lt;/D&gt;&lt;D xsi:type="xsd:double"&gt;0.6002307&lt;/D&gt;&lt;D xsi:type="xsd:double"&gt;4.920435&lt;/D&gt;&lt;D xsi:type="xsd:double"&gt;-3.6229193&lt;/D&gt;&lt;D xsi:type="xsd:double"&gt;3.5856366&lt;/D&gt;&lt;D xsi:type="xsd:double"&gt;3.605497&lt;/D&gt;&lt;D xsi:type="xsd:double"&gt;-5.0130844&lt;/D&gt;&lt;D xsi:type="xsd:double"&gt;3.4511328&lt;/D&gt;&lt;D xsi:type="xsd:double"&gt;2.0988584&lt;/D&gt;&lt;D xsi:type="xsd:double"&gt;4.6021223&lt;/D&gt;&lt;D xsi:type="xsd:double"&gt;2.8402328&lt;/D&gt;&lt;D xsi:type="xsd:double"&gt;0.19823313&lt;/D&gt;&lt;D xsi:type="xsd:double"&gt;-8.034002&lt;/D&gt;&lt;D xsi:type="xsd:double"&gt;-14.296394&lt;/D&gt;&lt;D xsi:type="xsd:double"&gt;13.270462&lt;/D&gt;&lt;D xsi:type="xsd:double"&gt;5.741167&lt;/D&gt;&lt;D xsi:type="xsd:double"&gt;-0.70891976&lt;/D&gt;&lt;D xsi:type="xsd:double"&gt;7.722056&lt;/D&gt;&lt;D xsi:type="xsd:double"&gt;7.7687025&lt;/D&gt;&lt;D xsi:type="xsd:double"&gt;-5.244607&lt;/D&gt;&lt;D xsi:type="xsd:double"&gt;2.8868675&lt;/D&gt;&lt;D xsi:type="xsd:double"&gt;7.524693&lt;/D&gt;&lt;D xsi:type="xsd:double"&gt;1.8998504&lt;/D&gt;&lt;D xsi:type="xsd:double"&gt;1.4661312&lt;/D&gt;&lt;D xsi:type="xsd:double"&gt;1.5891671&lt;/D&gt;&lt;D xsi:type="xsd:double"&gt;4.4481993&lt;/D&gt;&lt;D xsi:type="xsd:double"&gt;5.439663&lt;/D&gt;&lt;D xsi:type="xsd:double"&gt;0.42393208&lt;/D&gt;&lt;D xsi:type="xsd:double"&gt;2.0831943&lt;/D&gt;&lt;D xsi:type="xsd:double"&gt;2.9066443&lt;/D&gt;&lt;D xsi:type="xsd:double"&gt;2.5603056&lt;/D&gt;&lt;D xsi:type="xsd:double"&gt;-1.372093&lt;/D&gt;&lt;D xsi:type="xsd:double"&gt;2.552867&lt;/D&gt;&lt;D xsi:type="xsd:double"&gt;1.1080742&lt;/D&gt;&lt;D xsi:type="xsd:double"&gt;4.355037&lt;/D&gt;&lt;D xsi:type="xsd:double"&gt;-9.642548&lt;/D&gt;&lt;D xsi:type="xsd:double"&gt;1.5096068&lt;/D&gt;&lt;D xsi:type="xsd:double"&gt;3.7306905&lt;/D&gt;&lt;D xsi:type="xsd:double"&gt;-7.8243437&lt;/D&gt;&lt;D xsi:type="xsd:double"&gt;-0.48169494&lt;/D&gt;&lt;D xsi:type="xsd:double"&gt;-6.019169&lt;/D&gt;&lt;D xsi:type="xsd:double"&gt;3.2038927&lt;/D&gt;&lt;D xsi:type="xsd:double"&gt;1.0647297&lt;/D&gt;&lt;D xsi:type="xsd:double"&gt;-9.973949&lt;/D&gt;&lt;D xsi:type="xsd:double"&gt;4.568219&lt;/D&gt;&lt;D xsi:type="xsd:double"&gt;5.8818817&lt;/D&gt;&lt;D xsi:type="xsd:double"&gt;-4.7615886&lt;/D&gt;&lt;D xsi:type="xsd:double"&gt;6.3660145&lt;/D&gt;&lt;D xsi:type="xsd:double"&gt;-1.9596696&lt;/D&gt;&lt;D xsi:type="xsd:double"&gt;0.07324219&lt;/D&gt;&lt;D xsi:type="xsd:double"&gt;4.015243&lt;/D&gt;&lt;D xsi:type="xsd:double"&gt;1.8452525&lt;/D&gt;&lt;D xsi:type="xsd:double"&gt;4.232204&lt;/D&gt;&lt;D xsi:type="xsd:double"&gt;3.7416577&lt;/D&gt;&lt;D xsi:type="xsd:double"&gt;-2.7669072&lt;/D&gt;&lt;D xsi:type="xsd:double"&gt;-2.8180838&lt;/D&gt;&lt;D xsi:type="xsd:double"&gt;-3.6075592&lt;/D&gt;&lt;D xsi:type="xsd:double"&gt;10.665237&lt;/D&gt;&lt;D xsi:type="xsd:double"&gt;5.2731156&lt;/D&gt;&lt;D xsi:type="xsd:double"&gt;2.2874594&lt;/D&gt;&lt;D xsi:type="xsd:double"&gt;4.004836&lt;/D&gt;&lt;D xsi:type="xsd:double"&gt;3.5264611&lt;/D&gt;&lt;D xsi:type="xsd:double"&gt;-2.8499305&lt;/D&gt;&lt;D xsi:type="xsd:double"&gt;4.1671515&lt;/D&gt;&lt;D xsi:type="xsd:double"&gt;3.5310984&lt;/D&gt;&lt;D xsi:type="xsd:double"&gt;-0.35324097&lt;/D&gt;&lt;D xsi:type="xsd:double"&gt;3.1445146&lt;/D&gt;&lt;D xsi:type="xsd:double"&gt;2.2255898&lt;/D&gt;&lt;/FQL&gt;&lt;FQL&gt;&lt;Q&gt;EWU^FMA_DIV_YLD(NTMA,-10AY,0,AM,"PORTAGG","MEANR")&lt;/Q&gt;&lt;R&gt;121&lt;/R&gt;&lt;C&gt;1&lt;/C&gt;&lt;D xsi:type="xsd:double"&gt;4.01722383555993&lt;/D&gt;&lt;D xsi:type="xsd:double"&gt;4.19967927003843&lt;/D&gt;&lt;D xsi:type="xsd:double"&gt;4.00811273415948&lt;/D&gt;&lt;D xsi:type="xsd:double"&gt;4.11100202539328&lt;/D&gt;&lt;D xsi:type="xsd:double"&gt;4.01185542750687&lt;/D&gt;&lt;D xsi:type="xsd:double"&gt;3.88455792026231&lt;/D&gt;&lt;D xsi:type="xsd:double"&gt;4.00296449388807&lt;/D&gt;&lt;D xsi:type="xsd:double"&gt;3.82730114105526&lt;/D&gt;&lt;D xsi:type="xsd:double"&gt;3.88058257294293&lt;/D&gt;&lt;D xsi:type="xsd:double"&gt;4.05538028785399&lt;/D&gt;&lt;D xsi:type="xsd:double"&gt;4.24569145730794&lt;/D&gt;&lt;D xsi:type="xsd:double"&gt;4.44164003776288&lt;/D&gt;&lt;D xsi:type="xsd:double"&gt;4.46339316864727&lt;/D&gt;&lt;D xsi:type="xsd:double"&gt;4.26228614018004&lt;/D&gt;&lt;D xsi:type="xsd:double"&gt;4.18969086940279&lt;/D&gt;&lt;D xsi:type="xsd:double"&gt;4.28181821948409&lt;/D&gt;&lt;D xsi:type="xsd:double"&gt;4.49445663383726&lt;/D&gt;&lt;D xsi:type="xsd:double"&gt;4.50580565864833&lt;/D&gt;&lt;D xsi:type="xsd:double"&gt;4.43689242952493&lt;/D&gt;&lt;D xsi:type="xsd:double"&gt;4.22792221344246&lt;/D&gt;&lt;D xsi:type="xsd:double"&gt;4.26389121689296&lt;/D&gt;&lt;D xsi:type="xsd:double"&gt;4.61983550230097&lt;/D&gt;&lt;D xsi:type="xsd:double"&gt;4.11892853306148&lt;/D&gt;&lt;D xsi:type="xsd:double"&gt;4.08002728106938&lt;/D&gt;&lt;D xsi:type="xsd:double"&gt;4.21261492004932&lt;/D&gt;&lt;D xsi:type="xsd:double"&gt;4.32089062344707&lt;/D&gt;&lt;D xsi:type="xsd:double"&gt;4.38467014530051&lt;/D&gt;&lt;D xsi:type="xsd:double"&gt;4.32980325701259&lt;/D&gt;&lt;D xsi:type="xsd:double"&gt;4.27728853989947&lt;/D&gt;&lt;D xsi:type="xsd:double"&gt;4.30088445744787&lt;/D&gt;&lt;D xsi:type="xsd:double"&gt;4.3336176585542&lt;/D&gt;&lt;D xsi:type="xsd:double"&gt;4.35724106846829&lt;/D&gt;&lt;D xsi:type="xsd:double"&gt;4.22907210147073&lt;/D&gt;&lt;D xsi:type="xsd:double"&gt;4.31228851905552&lt;/D&gt;&lt;D xsi:type="xsd:double"&gt;4.25134429645877&lt;/D&gt;&lt;D xsi:type="xsd:double"&gt;4.3508745577946&lt;/D&gt;&lt;D xsi:type="xsd:double"&gt;4.33248682134904&lt;/D&gt;&lt;D xsi:type="xsd:double"&gt;4.30692663097111&lt;/D&gt;&lt;D xsi:type="xsd:double"&gt;4.37716217882211&lt;/D&gt;&lt;D xsi:type="xsd:double"&gt;4.24348997581978&lt;/D&gt;&lt;D xsi:type="xsd:double"&gt;4.1654052541655&lt;/D&gt;&lt;D xsi:type="xsd:double"&gt;4.57129425259251&lt;/D&gt;&lt;D xsi:type="xsd:double"&gt;4.58589977014701&lt;/D&gt;&lt;D xsi:type="xsd:double"&gt;4.34550826976631&lt;/D&gt;&lt;D xsi:type="xsd:double"&gt;4.30767844586725&lt;/D&gt;&lt;D xsi:type="xsd:double"&gt;4.41851664820981&lt;/D&gt;&lt;D xsi:type="xsd:double"&gt;4.38740150172169&lt;/D&gt;&lt;D xsi:type="xsd:double"&gt;4.50767664925575&lt;/D&gt;&lt;D xsi:type="xsd:double"&gt;4.48401278633945&lt;/D&gt;&lt;D xsi:type="xsd:double"&gt;4.95942358424014&lt;/D&gt;&lt;D xsi:type="xsd:double"&gt;4.95670835666045&lt;/D&gt;&lt;D xsi:type="xsd:double"&gt;5.4597817995429&lt;/D&gt;&lt;D xsi:type="xsd:double"&gt;5.17817975400853&lt;/D&gt;&lt;D xsi:type="xsd:double"&gt;4.9426807195037&lt;/D&gt;&lt;D xsi:type="xsd:double"&gt;4.94005635931375&lt;/D&gt;&lt;D xsi:type="xsd:double"&gt;4.85127430489794&lt;/D&gt;&lt;D xsi:type="xsd:double"&gt;4.92838100632943&lt;/D&gt;&lt;D xsi:type="xsd:double"&gt;4.80495969277656&lt;/D&gt;&lt;D xsi:type="xsd:double"&gt;4.79539033194331&lt;/D&gt;&lt;D xsi:type="xsd:double"&gt;5.13302455322166&lt;/D&gt;&lt;D xsi:type="xsd:double"&gt;4.87240667027331&lt;/D&gt;&lt;D xsi:type="xsd:double"&gt;4.82424978538036&lt;/D&gt;&lt;D xsi:type="xsd:double"&gt;4.71488814797897&lt;/D&gt;&lt;D xsi:type="xsd:double"&gt;4.53438392616411&lt;/D&gt;&lt;D xsi:type="xsd:double"&gt;4.68834764305818&lt;/D&gt;&lt;D xsi:type="xsd:double"&gt;5.15021665566609&lt;/D&gt;&lt;D xsi:type="xsd:double"&gt;6.40180133418144&lt;/D&gt;&lt;D xsi:type="xsd:double"&gt;5.37694457446766&lt;/D&gt;&lt;D xsi:type="xsd:double"&gt;4.22968368687343&lt;/D&gt;&lt;D xsi:type="xsd:double"&gt;4.17210476398723&lt;/D&gt;&lt;D xsi:type="xsd:double"&gt;4.07713602256371&lt;/D&gt;&lt;D xsi:type="xsd:double"&gt;4.04973631036205&lt;/D&gt;&lt;D xsi:type="xsd:double"&gt;4.26233839329015&lt;/D&gt;&lt;D xsi:type="xsd:double"&gt;4.43423350498577&lt;/D&gt;&lt;D xsi:type="xsd:double"&gt;3.98596305588389&lt;/D&gt;&lt;D xsi:type="xsd:double"&gt;3.9222346574172&lt;/D&gt;&lt;D xsi:type="xsd:double"&gt;3.97994139530258&lt;/D&gt;&lt;D xsi:type="xsd:double"&gt;4.06871875922585&lt;/D&gt;&lt;D xsi:type="xsd:double"&gt;4.03343961338603&lt;/D&gt;&lt;D xsi:type="xsd:double"&gt;3.96669329756191&lt;/D&gt;&lt;D xsi:type="xsd:double"&gt;3.90963053457228&lt;/D&gt;&lt;D xsi:type="xsd:double"&gt;3.91935749053019&lt;/D&gt;&lt;D xsi:type="xsd:double"&gt;4.0969138149412&lt;/D&gt;&lt;D xsi:type="xsd:double"&gt;4.20329251480492&lt;/D&gt;&lt;D xsi:type="xsd:double"&gt;4.18192819506506&lt;/D&gt;&lt;D xsi:type="xsd:double"&gt;4.02399568330939&lt;/D&gt;&lt;D xsi:type="xsd:double"&gt;4.18060503050505&lt;/D&gt;&lt;D xsi:type="xsd:double"&gt;3.92888500455556&lt;/D&gt;&lt;D xsi:type="xsd:double"&gt;3.84587458599323&lt;/D&gt;&lt;D xsi:type="xsd:double"&gt;3.89229760708913&lt;/D&gt;&lt;D xsi:type="xsd:double"&gt;3.93700062040941&lt;/D&gt;&lt;D xsi:type="xsd:double"&gt;4.1238269067905&lt;/D&gt;&lt;D xsi:type="xsd:double"&gt;4.03585646372673&lt;/D&gt;&lt;D xsi:type="xsd:double"&gt;4.24689970567415&lt;/D&gt;&lt;D xsi:type="xsd:double"&gt;4.21687137201439&lt;/D&gt;&lt;D xsi:type="xsd:double"&gt;4.30361359018872&lt;/D&gt;&lt;D xsi:type="xsd:double"&gt;4.81000133057725&lt;/D&gt;&lt;D xsi:type="xsd:double"&gt;4.51320821960266&lt;/D&gt;&lt;D xsi:type="xsd:double"&gt;4.25825153066675&lt;/D&gt;&lt;D xsi:type="xsd:double"&gt;4.27301219559316&lt;/D&gt;&lt;D xsi:type="xsd:double"&gt;4.10075309702097&lt;/D&gt;&lt;D xsi:type="xsd:double"&gt;4.11213156968087&lt;/D&gt;&lt;D xsi:type="xsd:double"&gt;4.34459873439808&lt;/D&gt;&lt;D xsi:type="xsd:double"&gt;4.13630089493696&lt;/D&gt;&lt;D xsi:type="xsd:double"&gt;4.3885361385644&lt;/D&gt;&lt;D xsi:type="xsd:double"&gt;4.41604905400479&lt;/D&gt;&lt;D xsi:type="xsd:double"&gt;4.26288084923985&lt;/D&gt;&lt;D xsi:type="xsd:double"&gt;4.57707117660009&lt;/D&gt;&lt;D xsi:type="xsd:double"&gt;4.47894899457735&lt;/D&gt;&lt;D xsi:type="xsd:double"&gt;4.668138403608&lt;/D&gt;&lt;D xsi:type="xsd:double"&gt;4.44241444871628&lt;/D&gt;&lt;D xsi:type="xsd:double"&gt;4.26568792461027&lt;/D&gt;&lt;D xsi:type="xsd:double"&gt;4.30143570434176&lt;/D&gt;&lt;D xsi:type="xsd:double"&gt;4.18492814497081&lt;/D&gt;&lt;D xsi:type="xsd:double"&gt;4.03963454970838&lt;/D&gt;&lt;D xsi:type="xsd:double"&gt;3.93985982156345&lt;/D&gt;&lt;D xsi:type="xsd:double"&gt;3.85141673939565&lt;/D&gt;&lt;D xsi:type="xsd:double"&gt;3.97066390626516&lt;/D&gt;&lt;D xsi:type="xsd:double"&gt;3.87108641165499&lt;/D&gt;&lt;D xsi:type="xsd:double"&gt;3.81194298096953&lt;/D&gt;&lt;D xsi:type="xsd:double"&gt;3.85352415392725&lt;/D&gt;&lt;/FQL&gt;&lt;FQL&gt;&lt;Q&gt;EWJ^FMA_PE(NTMA,-10AY,0,AM,"PORTAGG","MEANR")&lt;/Q&gt;&lt;R&gt;121&lt;/R&gt;&lt;C&gt;1&lt;/C&gt;&lt;D xsi:type="xsd:double"&gt;14.1108844820929&lt;/D&gt;&lt;D xsi:type="xsd:double"&gt;13.204496145401&lt;/D&gt;&lt;D xsi:type="xsd:double"&gt;14.5583207386854&lt;/D&gt;&lt;D xsi:type="xsd:double"&gt;14.5334721925187&lt;/D&gt;&lt;D xsi:type="xsd:double"&gt;14.1495457513743&lt;/D&gt;&lt;D xsi:type="xsd:double"&gt;15.1015622612669&lt;/D&gt;&lt;D xsi:type="xsd:double"&gt;15.3433500462714&lt;/D&gt;&lt;D xsi:type="xsd:double"&gt;15.9058766950377&lt;/D&gt;&lt;D xsi:type="xsd:double"&gt;16.3571333211768&lt;/D&gt;&lt;D xsi:type="xsd:double"&gt;15.7864572920246&lt;/D&gt;&lt;D xsi:type="xsd:double"&gt;15.3401031870695&lt;/D&gt;&lt;D xsi:type="xsd:double"&gt;13.88600600834&lt;/D&gt;&lt;D xsi:type="xsd:double"&gt;13.3711799520933&lt;/D&gt;&lt;D xsi:type="xsd:double"&gt;14.2430661679779&lt;/D&gt;&lt;D xsi:type="xsd:double"&gt;14.7080836919782&lt;/D&gt;&lt;D xsi:type="xsd:double"&gt;13.9106658051094&lt;/D&gt;&lt;D xsi:type="xsd:double"&gt;12.7353654559388&lt;/D&gt;&lt;D xsi:type="xsd:double"&gt;12.3680591386574&lt;/D&gt;&lt;D xsi:type="xsd:double"&gt;12.8685116429064&lt;/D&gt;&lt;D xsi:type="xsd:double"&gt;13.3135353938638&lt;/D&gt;&lt;D xsi:type="xsd:double"&gt;13.3571394345416&lt;/D&gt;&lt;D xsi:type="xsd:double"&gt;12.3578227422705&lt;/D&gt;&lt;D xsi:type="xsd:double"&gt;13.5205941787247&lt;/D&gt;&lt;D xsi:type="xsd:double"&gt;13.088839342114&lt;/D&gt;&lt;D xsi:type="xsd:double"&gt;13.6158946254387&lt;/D&gt;&lt;D xsi:type="xsd:double"&gt;13.735786810911&lt;/D&gt;&lt;D xsi:type="xsd:double"&gt;14.4447819648914&lt;/D&gt;&lt;D xsi:type="xsd:double"&gt;14.8319550752638&lt;/D&gt;&lt;D xsi:type="xsd:double"&gt;14.7509543435014&lt;/D&gt;&lt;D xsi:type="xsd:double"&gt;14.1221897180168&lt;/D&gt;&lt;D xsi:type="xsd:double"&gt;13.8624014014096&lt;/D&gt;&lt;D xsi:type="xsd:double"&gt;13.9320426953018&lt;/D&gt;&lt;D xsi:type="xsd:double"&gt;14.2661438925281&lt;/D&gt;&lt;D xsi:type="xsd:double"&gt;14.4247035565623&lt;/D&gt;&lt;D xsi:type="xsd:double"&gt;14.26033790683&lt;/D&gt;&lt;D xsi:type="xsd:double"&gt;13.6238314185609&lt;/D&gt;&lt;D xsi:type="xsd:double"&gt;13.9462933572727&lt;/D&gt;&lt;D xsi:type="xsd:double"&gt;14.6644285977656&lt;/D&gt;&lt;D xsi:type="xsd:double"&gt;14.6385185686047&lt;/D&gt;&lt;D xsi:type="xsd:double"&gt;14.8290910351548&lt;/D&gt;&lt;D xsi:type="xsd:double"&gt;15.1295323921333&lt;/D&gt;&lt;D xsi:type="xsd:double"&gt;13.4984816534362&lt;/D&gt;&lt;D xsi:type="xsd:double"&gt;12.8060020761396&lt;/D&gt;&lt;D xsi:type="xsd:double"&gt;13.2500432444426&lt;/D&gt;&lt;D xsi:type="xsd:double"&gt;13.1186199927756&lt;/D&gt;&lt;D xsi:type="xsd:double"&gt;12.7886184124341&lt;/D&gt;&lt;D xsi:type="xsd:double"&gt;13.0674705273985&lt;/D&gt;&lt;D xsi:type="xsd:double"&gt;12.6851923302547&lt;/D&gt;&lt;D xsi:type="xsd:double"&gt;13.2064101438368&lt;/D&gt;&lt;D xsi:type="xsd:double"&gt;11.653360445233&lt;/D&gt;&lt;D xsi:type="xsd:double"&gt;12.0788188954512&lt;/D&gt;&lt;D xsi:type="xsd:double"&gt;11.18397027469&lt;/D&gt;&lt;D xsi:type="xsd:double"&gt;11.876042687182&lt;/D&gt;&lt;D xsi:type="xsd:double"&gt;12.5490707828392&lt;/D&gt;&lt;D xsi:type="xsd:double"&gt;12.6073110397069&lt;/D&gt;&lt;D xsi:type="xsd:double"&gt;12.7370376328623&lt;/D&gt;&lt;D xsi:type="xsd:double"&gt;12.3064041621388&lt;/D&gt;&lt;D xsi:type="xsd:double"&gt;12.7350722187993&lt;/D&gt;&lt;D xsi:type="xsd:double"&gt;12.9127069963729&lt;/D&gt;&lt;D xsi:type="xsd:double"&gt;12.365329058566&lt;/D&gt;&lt;D xsi:type="xsd:double"&gt;13.313704832097&lt;/D&gt;&lt;D xsi:type="xsd:double"&gt;13.7144488076876&lt;/D&gt;&lt;D xsi:type="xsd:double"&gt;14.3076340111758&lt;/D&gt;&lt;D xsi:type="xsd:double"&gt;14.6332849383593&lt;/D&gt;&lt;D xsi:type="xsd:double"&gt;14.356261387934&lt;/D&gt;&lt;D xsi:type="xsd:double"&gt;13.4207131451641&lt;/D&gt;&lt;D xsi:type="xsd:double"&gt;12.6663557739952&lt;/D&gt;&lt;D xsi:type="xsd:double"&gt;13.8176171290866&lt;/D&gt;&lt;D xsi:type="xsd:double"&gt;15.8158662881702&lt;/D&gt;&lt;D xsi:type="xsd:double"&gt;17.8509338555983&lt;/D&gt;&lt;D xsi:type="xsd:double"&gt;17.9018144138505&lt;/D&gt;&lt;D xsi:type="xsd:double"&gt;18.1003162375057&lt;/D&gt;&lt;D xsi:type="xsd:double"&gt;18.2159857565173&lt;/D&gt;&lt;D xsi:type="xsd:double"&gt;17.5890259496973&lt;/D&gt;&lt;D xsi:type="xsd:double"&gt;18.8137930817733&lt;/D&gt;&lt;D xsi:type="xsd:double"&gt;18.1484885676693&lt;/D&gt;&lt;D xsi:type="xsd:double"&gt;18.6595011186943&lt;/D&gt;&lt;D xsi:type="xsd:double"&gt;17.6430214787252&lt;/D&gt;&lt;D xsi:type="xsd:double"&gt;17.8144321643781&lt;/D&gt;&lt;D xsi:type="xsd:double"&gt;16.784410469624&lt;/D&gt;&lt;D xsi:type="xsd:double"&gt;16.2763380748402&lt;/D&gt;&lt;D xsi:type="xsd:double"&gt;16.4226621385787&lt;/D&gt;&lt;D xsi:type="xsd:double"&gt;15.8915595115188&lt;/D&gt;&lt;D xsi:type="xsd:double"&gt;15.1205359365878&lt;/D&gt;&lt;D xsi:type="xsd:double"&gt;15.9389723753362&lt;/D&gt;&lt;D xsi:type="xsd:double"&gt;15.2542139692521&lt;/D&gt;&lt;D xsi:type="xsd:double"&gt;14.8304250525776&lt;/D&gt;&lt;D xsi:type="xsd:double"&gt;14.4456516785088&lt;/D&gt;&lt;D xsi:type="xsd:double"&gt;13.2600585630484&lt;/D&gt;&lt;D xsi:type="xsd:double"&gt;13.2482600401161&lt;/D&gt;&lt;D xsi:type="xsd:double"&gt;13.5439132139413&lt;/D&gt;&lt;D xsi:type="xsd:double"&gt;12.6247704278278&lt;/D&gt;&lt;D xsi:type="xsd:double"&gt;12.669330876903&lt;/D&gt;&lt;D xsi:type="xsd:double"&gt;12.4635737498931&lt;/D&gt;&lt;D xsi:type="xsd:double"&gt;12.7902121040601&lt;/D&gt;&lt;D xsi:type="xsd:double"&gt;12.9708010127525&lt;/D&gt;&lt;D xsi:type="xsd:double"&gt;12.1434510957289&lt;/D&gt;&lt;D xsi:type="xsd:double"&gt;12.3274603234079&lt;/D&gt;&lt;D xsi:type="xsd:double"&gt;13.0892738410548&lt;/D&gt;&lt;D xsi:type="xsd:double"&gt;12.3152504693436&lt;/D&gt;&lt;D xsi:type="xsd:double"&gt;12.9582729645987&lt;/D&gt;&lt;D xsi:type="xsd:double"&gt;13.0478917895665&lt;/D&gt;&lt;D xsi:type="xsd:double"&gt;12.8272105568574&lt;/D&gt;&lt;D xsi:type="xsd:double"&gt;13.3210968217057&lt;/D&gt;&lt;D xsi:type="xsd:double"&gt;14.0898732906333&lt;/D&gt;&lt;D xsi:type="xsd:double"&gt;14.6729724237509&lt;/D&gt;&lt;D xsi:type="xsd:double"&gt;14.7292353040719&lt;/D&gt;&lt;D xsi:type="xsd:double"&gt;14.1649550435335&lt;/D&gt;&lt;D xsi:type="xsd:double"&gt;14.6929017026565&lt;/D&gt;&lt;D xsi:type="xsd:double"&gt;13.8151888343672&lt;/D&gt;&lt;D xsi:type="xsd:double"&gt;14.373813689777&lt;/D&gt;&lt;D xsi:type="xsd:double"&gt;14.0643245694477&lt;/D&gt;&lt;D xsi:type="xsd:double"&gt;14.7366073048346&lt;/D&gt;&lt;D xsi:type="xsd:double"&gt;15.5575904424026&lt;/D&gt;&lt;D xsi:type="xsd:double"&gt;16.0639433959909&lt;/D&gt;&lt;D xsi:type="xsd:double"&gt;15.1855792324996&lt;/D&gt;&lt;D xsi:type="xsd:double"&gt;15.4418630752516&lt;/D&gt;&lt;D xsi:type="xsd:double"&gt;15.4956427470006&lt;/D&gt;&lt;D xsi:type="xsd:double"&gt;14.7266379573037&lt;/D&gt;&lt;D xsi:type="xsd:double"&gt;14.430100372605&lt;/D&gt;&lt;D xsi:type="xsd:double"&gt;14.1577403378745&lt;/D&gt;&lt;/FQL&gt;&lt;FQL&gt;&lt;Q&gt;EWC^FMA_PE(LTMA,-10AY,0,AM,"PORTAGG","MEANR")&lt;/Q&gt;&lt;R&gt;121&lt;/R&gt;&lt;C&gt;1&lt;/C&gt;&lt;D xsi:type="xsd:double"&gt;15.9895560942524&lt;/D&gt;&lt;D xsi:type="xsd:double"&gt;15.5666117751883&lt;/D&gt;&lt;D xsi:type="xsd:double"&gt;15.9807388792348&lt;/D&gt;&lt;D xsi:type="xsd:double"&gt;15.6023388365469&lt;/D&gt;&lt;D xsi:type="xsd:double"&gt;15.9579375914212&lt;/D&gt;&lt;D xsi:type="xsd:double"&gt;17.0329169622469&lt;/D&gt;&lt;D xsi:type="xsd:double"&gt;17.0235714352198&lt;/D&gt;&lt;D xsi:type="xsd:double"&gt;17.3301327909989&lt;/D&gt;&lt;D xsi:type="xsd:double"&gt;17.2509325764749&lt;/D&gt;&lt;D xsi:type="xsd:double"&gt;17.1829838457663&lt;/D&gt;&lt;D xsi:type="xsd:double"&gt;16.6565541319655&lt;/D&gt;&lt;D xsi:type="xsd:double"&gt;16.5568603854351&lt;/D&gt;&lt;D xsi:type="xsd:double"&gt;16.3660055566418&lt;/D&gt;&lt;D xsi:type="xsd:double"&gt;16.781756950283&lt;/D&gt;&lt;D xsi:type="xsd:double"&gt;16.6279639159919&lt;/D&gt;&lt;D xsi:type="xsd:double"&gt;16.5645929933106&lt;/D&gt;&lt;D xsi:type="xsd:double"&gt;14.9483189288002&lt;/D&gt;&lt;D xsi:type="xsd:double"&gt;15.6168821012362&lt;/D&gt;&lt;D xsi:type="xsd:double"&gt;15.9798475786873&lt;/D&gt;&lt;D xsi:type="xsd:double"&gt;16.3492793378789&lt;/D&gt;&lt;D xsi:type="xsd:double"&gt;16.6508315628322&lt;/D&gt;&lt;D xsi:type="xsd:double"&gt;16.5394934373748&lt;/D&gt;&lt;D xsi:type="xsd:double"&gt;17.1735202233841&lt;/D&gt;&lt;D xsi:type="xsd:double"&gt;17.4864785670122&lt;/D&gt;&lt;D xsi:type="xsd:double"&gt;17.6984622125728&lt;/D&gt;&lt;D xsi:type="xsd:double"&gt;18.236786689284&lt;/D&gt;&lt;D xsi:type="xsd:double"&gt;18.8231631524516&lt;/D&gt;&lt;D xsi:type="xsd:double"&gt;19.3906067286077&lt;/D&gt;&lt;D xsi:type="xsd:double"&gt;19.8875178302108&lt;/D&gt;&lt;D xsi:type="xsd:double"&gt;19.5257231119732&lt;/D&gt;&lt;D xsi:type="xsd:double"&gt;19.1378890937824&lt;/D&gt;&lt;D xsi:type="xsd:double"&gt;18.7853852023122&lt;/D&gt;&lt;D xsi:type="xsd:double"&gt;18.5828981091768&lt;/D&gt;&lt;D xsi:type="xsd:double"&gt;18.1061457683127&lt;/D&gt;&lt;D xsi:type="xsd:double"&gt;18.0384482993515&lt;/D&gt;&lt;D xsi:type="xsd:double"&gt;17.6428478000191&lt;/D&gt;&lt;D xsi:type="xsd:double"&gt;17.650692422515&lt;/D&gt;&lt;D xsi:type="xsd:double"&gt;17.5730762582819&lt;/D&gt;&lt;D xsi:type="xsd:double"&gt;17.2783422555743&lt;/D&gt;&lt;D xsi:type="xsd:double"&gt;17.2141075852701&lt;/D&gt;&lt;D xsi:type="xsd:double"&gt;17.1053973104326&lt;/D&gt;&lt;D xsi:type="xsd:double"&gt;16.1209098697349&lt;/D&gt;&lt;D xsi:type="xsd:double"&gt;15.6660420031615&lt;/D&gt;&lt;D xsi:type="xsd:double"&gt;15.6307439403457&lt;/D&gt;&lt;D xsi:type="xsd:double"&gt;15.5149666412153&lt;/D&gt;&lt;D xsi:type="xsd:double"&gt;15.5235197765063&lt;/D&gt;&lt;D xsi:type="xsd:double"&gt;15.5014086612429&lt;/D&gt;&lt;D xsi:type="xsd:double"&gt;15.3793567010364&lt;/D&gt;&lt;D xsi:type="xsd:double"&gt;15.1398035543172&lt;/D&gt;&lt;D xsi:type="xsd:double"&gt;14.0399811538607&lt;/D&gt;&lt;D xsi:type="xsd:double"&gt;13.8687049956769&lt;/D&gt;&lt;D xsi:type="xsd:double"&gt;13.1192803135057&lt;/D&gt;&lt;D xsi:type="xsd:double"&gt;14.3356663879129&lt;/D&gt;&lt;D xsi:type="xsd:double"&gt;14.8770149244622&lt;/D&gt;&lt;D xsi:type="xsd:double"&gt;14.7194223554788&lt;/D&gt;&lt;D xsi:type="xsd:double"&gt;14.652872928545&lt;/D&gt;&lt;D xsi:type="xsd:double"&gt;14.4453848401559&lt;/D&gt;&lt;D xsi:type="xsd:double"&gt;14.4573783510933&lt;/D&gt;&lt;D xsi:type="xsd:double"&gt;14.5303190889753&lt;/D&gt;&lt;D xsi:type="xsd:double"&gt;14.2972400588541&lt;/D&gt;&lt;D xsi:type="xsd:double"&gt;14.6756536542687&lt;/D&gt;&lt;D xsi:type="xsd:double"&gt;14.6770316582754&lt;/D&gt;&lt;D xsi:type="xsd:double"&gt;15.1585125498343&lt;/D&gt;&lt;D xsi:type="xsd:double"&gt;15.3465760560853&lt;/D&gt;&lt;D xsi:type="xsd:double"&gt;15.5351161310269&lt;/D&gt;&lt;D xsi:type="xsd:double"&gt;14.8053174002648&lt;/D&gt;&lt;D xsi:type="xsd:double"&gt;14.0306384669019&lt;/D&gt;&lt;D xsi:type="xsd:double"&gt;15.3330681352297&lt;/D&gt;&lt;D xsi:type="xsd:double"&gt;17.2278714111579&lt;/D&gt;&lt;D xsi:type="xsd:double"&gt;17.1083071024662&lt;/D&gt;&lt;D xsi:type="xsd:double"&gt;17.8294810666792&lt;/D&gt;&lt;D xsi:type="xsd:double"&gt;18.4073355840538&lt;/D&gt;&lt;D xsi:type="xsd:double"&gt;18.2102912366339&lt;/D&gt;&lt;D xsi:type="xsd:double"&gt;18.4189798876482&lt;/D&gt;&lt;D xsi:type="xsd:double"&gt;19.9683346506779&lt;/D&gt;&lt;D xsi:type="xsd:double"&gt;20.4879106875724&lt;/D&gt;&lt;D xsi:type="xsd:double"&gt;20.270365174719&lt;/D&gt;&lt;D xsi:type="xsd:double"&gt;19.9904739717302&lt;/D&gt;&lt;D xsi:type="xsd:double"&gt;19.6500034088367&lt;/D&gt;&lt;D xsi:type="xsd:double"&gt;19.2913393268857&lt;/D&gt;&lt;D xsi:type="xsd:double"&gt;18.7568100790523&lt;/D&gt;&lt;D xsi:type="xsd:double"&gt;18.5815296320512&lt;/D&gt;&lt;D xsi:type="xsd:double"&gt;17.9336570474581&lt;/D&gt;&lt;D xsi:type="xsd:double"&gt;17.2698509779197&lt;/D&gt;&lt;D xsi:type="xsd:double"&gt;16.6335588104003&lt;/D&gt;&lt;D xsi:type="xsd:double"&gt;16.6291677032646&lt;/D&gt;&lt;D xsi:type="xsd:double"&gt;15.9383858565328&lt;/D&gt;&lt;D xsi:type="xsd:double"&gt;15.4833860889138&lt;/D&gt;&lt;D xsi:type="xsd:double"&gt;14.905091301863&lt;/D&gt;&lt;D xsi:type="xsd:double"&gt;15.2370762119043&lt;/D&gt;&lt;D xsi:type="xsd:double"&gt;15.0991309801464&lt;/D&gt;&lt;D xsi:type="xsd:double"&gt;14.6149098851145&lt;/D&gt;&lt;D xsi:type="xsd:double"&gt;14.3362577197463&lt;/D&gt;&lt;D xsi:type="xsd:double"&gt;13.5749032207307&lt;/D&gt;&lt;D xsi:type="xsd:double"&gt;13.2372716090821&lt;/D&gt;&lt;D xsi:type="xsd:double"&gt;13.0914954032713&lt;/D&gt;&lt;D xsi:type="xsd:double"&gt;12.1291945066865&lt;/D&gt;&lt;D xsi:type="xsd:double"&gt;12.4886544933531&lt;/D&gt;&lt;D xsi:type="xsd:double"&gt;12.7748052871226&lt;/D&gt;&lt;D xsi:type="xsd:double"&gt;12.1295259350099&lt;/D&gt;&lt;D xsi:type="xsd:double"&gt;12.8868905579343&lt;/D&gt;&lt;D xsi:type="xsd:double"&gt;12.5911475953103&lt;/D&gt;&lt;D xsi:type="xsd:double"&gt;12.5568544212128&lt;/D&gt;&lt;D xsi:type="xsd:double"&gt;12.7949837427017&lt;/D&gt;&lt;D xsi:type="xsd:double"&gt;12.8251301945017&lt;/D&gt;&lt;D xsi:type="xsd:double"&gt;12.8952068662287&lt;/D&gt;&lt;D xsi:type="xsd:double"&gt;13.459526538497&lt;/D&gt;&lt;D xsi:type="xsd:double"&gt;13.2561791323771&lt;/D&gt;&lt;D xsi:type="xsd:double"&gt;13.2267519401003&lt;/D&gt;&lt;D xsi:type="xsd:double"&gt;12.9051369837269&lt;/D&gt;&lt;D xsi:type="xsd:double"&gt;13.6957379781&lt;/D&gt;&lt;D xsi:type="xsd:double"&gt;14.6306153472528&lt;/D&gt;&lt;D xsi:type="xsd:double"&gt;14.7119450950337&lt;/D&gt;&lt;D xsi:type="xsd:double"&gt;14.8451707178936&lt;/D&gt;&lt;D xsi:type="xsd:double"&gt;14.9558475855722&lt;/D&gt;&lt;D xsi:type="xsd:double"&gt;14.8986147021656&lt;/D&gt;&lt;D xsi:type="xsd:double"&gt;14.9766466645381&lt;/D&gt;&lt;D xsi:type="xsd:double"&gt;14.8399135943907&lt;/D&gt;&lt;D xsi:type="xsd:double"&gt;15.1757778954445&lt;/D&gt;&lt;D xsi:type="xsd:double"&gt;15.382109961348&lt;/D&gt;&lt;D xsi:type="xsd:double"&gt;15.8239119469963&lt;/D&gt;&lt;/FQL&gt;&lt;FQL&gt;&lt;Q&gt;WL-FDS^FG_PRICE_CHANGE(0,-3AM)&lt;/Q&gt;&lt;R&gt;1&lt;/R&gt;&lt;C&gt;1&lt;/C&gt;&lt;D xsi:type="xsd:double"&gt;1.5040164074517&lt;/D&gt;&lt;/FQL&gt;&lt;FQL&gt;&lt;Q&gt;NI-FDS^FG_PRICE_CHANGE(0,-3AM)&lt;/Q&gt;&lt;R&gt;1&lt;/R&gt;&lt;C&gt;1&lt;/C&gt;&lt;D xsi:type="xsd:double"&gt;-1.66320166320166&lt;/D&gt;&lt;/FQL&gt;&lt;FQL&gt;&lt;Q&gt;CPALM-FDS^FG_PRICE_CHANGE(0,-3AM)&lt;/Q&gt;&lt;R&gt;1&lt;/R&gt;&lt;C&gt;1&lt;/C&gt;&lt;D xsi:type="xsd:double"&gt;7.35107731305451&lt;/D&gt;&lt;/FQL&gt;&lt;FQL&gt;&lt;Q&gt;BRENT-FDS^FG_PRICE_CHANGE(0,-3AM)&lt;/Q&gt;&lt;R&gt;1&lt;/R&gt;&lt;C&gt;1&lt;/C&gt;&lt;D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xsi:type="xsd:double"&gt;-13.1161393296404&lt;/D&gt;&lt;/FQL&gt;&lt;FQL&gt;&lt;Q&gt;FC0000CH^FG_PRICE(0)&lt;/Q&gt;&lt;R&gt;1&lt;/R&gt;&lt;C&gt;1&lt;/C&gt;&lt;D xsi:type="xsd:double"&gt;355.61557&lt;/D&gt;&lt;/FQL&gt;&lt;FQL&gt;&lt;Q&gt;FC0000AU^FG_PRICE(0)&lt;/Q&gt;&lt;R&gt;1&lt;/R&gt;&lt;C&gt;1&lt;/C&gt;&lt;D xsi:type="xsd:double"&gt;395.03967&lt;/D&gt;&lt;/FQL&gt;&lt;FQL&gt;&lt;Q&gt;CAGDPY@GB^EE_ACTUAL_ANNUAL(MED,+1)&lt;/Q&gt;&lt;R&gt;1&lt;/R&gt;&lt;C&gt;1&lt;/C&gt;&lt;D xsi:type="xsd:double"&gt;-2.8&lt;/D&gt;&lt;/FQL&gt;&lt;FQL&gt;&lt;Q&gt;CC_GB^FG_COMPANY_NAME&lt;/Q&gt;&lt;R&gt;1&lt;/R&gt;&lt;C&gt;1&lt;/C&gt;&lt;D xsi:type="xsd:string"&gt;United Kingdom&lt;/D</t>
        </r>
      </text>
    </comment>
    <comment ref="A6" authorId="0" shapeId="0" xr:uid="{3C4FAB59-464E-4CB4-9A95-1E932AE117A6}">
      <text>
        <r>
          <rPr>
            <b/>
            <sz val="9"/>
            <color indexed="81"/>
            <rFont val="Tahoma"/>
            <charset val="1"/>
          </rPr>
          <t>&gt;&lt;/FQL&gt;&lt;FQL&gt;&lt;Q&gt;USDSEK^STD(FG_PRICE_CHANGE(0,-1AY,AM))&lt;/Q&gt;&lt;R&gt;1&lt;/R&gt;&lt;C&gt;1&lt;/C&gt;&lt;D xsi:type="xsd:double"&gt;3.57100222910348&lt;/D&gt;&lt;/FQL&gt;&lt;FQL&gt;&lt;Q&gt;USDCHF^STD(FG_PRICE_CHANGE(0,-1AY,AM))&lt;/Q&gt;&lt;R&gt;1&lt;/R&gt;&lt;C&gt;1&lt;/C&gt;&lt;D xsi:type="xsd:double"&gt;2.60600311399004&lt;/D&gt;&lt;/FQL&gt;&lt;FQL&gt;&lt;Q&gt;USDUSD^STD(FG_PRICE_CHANGE(0,-1AY,AM))&lt;/Q&gt;&lt;R&gt;1&lt;/R&gt;&lt;C&gt;1&lt;/C&gt;&lt;D xsi:type="xsd:double"&gt;0&lt;/D&gt;&lt;/FQL&gt;&lt;FQL&gt;&lt;Q&gt;SPY^FG_COMPANY_NAME&lt;/Q&gt;&lt;R&gt;1&lt;/R&gt;&lt;C&gt;1&lt;/C&gt;&lt;D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xsi:type="xsd:double"&gt;9.22076567390079&lt;/D&gt;&lt;D xsi:type="xsd:double"&gt;9.22544557136732&lt;/D&gt;&lt;D xsi:type="xsd:double"&gt;9.29976871138421&lt;/D&gt;&lt;/FQL&gt;&lt;FQL&gt;&lt;Q&gt;TRYQA10Y-FDS^FG_YIELD(-10AY,0,Y,,"YTM")&lt;/Q&gt;&lt;R&gt;10&lt;/R&gt;&lt;C&gt;1&lt;/C&gt;&lt;D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xsi:type="xsd:double"&gt;-4.5423985&lt;/D&gt;&lt;/FQL&gt;&lt;FQL&gt;&lt;Q&gt;USDCHF^FG_PRICE_CHANGE(0,-3AM)&lt;/Q&gt;&lt;R&gt;1&lt;/R&gt;&lt;C&gt;1&lt;/C&gt;&lt;D xsi:type="xsd:double"&gt;-5.937886&lt;/D&gt;&lt;/FQL&gt;&lt;FQL&gt;&lt;Q&gt;USDEUR^FG_PRICE_CHANGE(0,-3AM)&lt;/Q&gt;&lt;R&gt;1&lt;/R&gt;&lt;C&gt;1&lt;/C&gt;&lt;D xsi:type="xsd:double"&gt;-4.0245714&lt;/D&gt;&lt;/FQL&gt;&lt;FQL&gt;&lt;Q&gt;USDAUD^FG_PRICE_CHANGE(0,-3AM)&lt;/Q&gt;&lt;R&gt;1&lt;/R&gt;&lt;C&gt;1&lt;/C&gt;&lt;D xsi:type="xsd:double"&gt;-3.3399403&lt;/D&gt;&lt;/FQL&gt;&lt;FQL&gt;&lt;Q&gt;EWQ^FMA_EPS(NTMA,-20AY,0,CY,,"PORTAGG","MEANR")&lt;/Q&gt;&lt;R&gt;20&lt;/R&gt;&lt;C&gt;1&lt;/C&gt;&lt;D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xsi:type="xsd:double"&gt;2.19705970678672&lt;/D&gt;&lt;D xsi:type="xsd:double"&gt;1.85109750448731&lt;/D&gt;&lt;D xsi:type="xsd:double"&gt;2.46081748725315&lt;/D&gt;&lt;D xsi:type="xsd:double"&gt;2.80266519059803&lt;/D&gt;&lt;D xsi:type="xsd:double"&gt;2.92070467941154&lt;/D&gt;&lt;/FQL&gt;&lt;FQL&gt;&lt;Q&gt;EWU^FG_COMPANY_NAME&lt;/Q&gt;&lt;R&gt;1&lt;/R&gt;&lt;C&gt;1&lt;/C&gt;&lt;D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xsi:type="xsd:double"&gt;6.51381088906606&lt;/D&gt;&lt;/FQL&gt;&lt;FQL&gt;&lt;Q&gt;CC_DE^FG_COMPANY_NAME&lt;/Q&gt;&lt;R&gt;1&lt;/R&gt;&lt;C&gt;1&lt;/C&gt;&lt;D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xsi:type="xsd:double"&gt;-0.5755186&lt;/D&gt;&lt;/FQL&gt;&lt;FQL&gt;&lt;Q&gt;USDCHF^FG_PRICE_CHANGE(0,-1AM)&lt;/Q&gt;&lt;R&gt;1&lt;/R&gt;&lt;C&gt;1&lt;/C&gt;&lt;D xsi:type="xsd:double"&gt;0.11713505&lt;/D&gt;&lt;/FQL&gt;&lt;FQL&gt;&lt;Q&gt;USDEUR^FG_PRICE_CHANGE(0,-1AM)&lt;/Q&gt;&lt;R&gt;1&lt;/R&gt;&lt;C&gt;1&lt;/C&gt;&lt;D xsi:type="xsd:double"&gt;0.047576427&lt;/D&gt;&lt;/FQL&gt;&lt;FQL&gt;&lt;Q&gt;USDAUD^FG_PRICE_CHANGE(0,-1AM)&lt;/Q&gt;&lt;R&gt;1&lt;/R&gt;&lt;C&gt;1&lt;/C&gt;&lt;D xsi:type="xsd:double"&gt;-1.5688896&lt;/D&gt;&lt;/FQL&gt;&lt;FQL&gt;&lt;Q&gt;EWC^FMA_ROE(NTMA,-20AY,NOW,FY,"PORTAGG","MEANR")&lt;/Q&gt;&lt;R&gt;20&lt;/R&gt;&lt;C&gt;1&lt;/C&gt;&lt;D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xsi:type="xsd:double"&gt;11.9786784677485&lt;/D&gt;&lt;D xsi:type="xsd:double"&gt;11.1922086822881&lt;/D&gt;&lt;D xsi:type="xsd:double"&gt;14.1061782856045&lt;/D&gt;&lt;D xsi:type="xsd:double"&gt;14.002940310619&lt;/D&gt;&lt;D xsi:type="xsd:double"&gt;13.1491479008301&lt;/D&gt;&lt;/FQL&gt;&lt;FQL&gt;&lt;Q&gt;TIPSCL10Y-FDS^FG_YIELD(-10AY,0,Y,,"YTM")&lt;/Q&gt;&lt;R&gt;10&lt;/R&gt;&lt;C&gt;1&lt;/C&gt;&lt;D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xsi:type="xsd:double"&gt;1.1&lt;/D&gt;&lt;/FQL&gt;&lt;FQL&gt;&lt;Q&gt;CAGDPY@JP^EE_ACTUAL_ANNUAL(MED,+1)&lt;/Q&gt;&lt;R&gt;1&lt;/R&gt;&lt;C&gt;1&lt;/C&gt;&lt;D xsi:type="xsd:double"&gt;4&lt;/D&gt;&lt;/FQL&gt;&lt;FQL&gt;&lt;Q&gt;CC_CA^FG_COMPANY_NAME&lt;/Q&gt;&lt;R&gt;1&lt;/R&gt;&lt;C&gt;1&lt;/C&gt;&lt;D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xsi:type="xsd:double"&gt;-8.069402&lt;/D&gt;&lt;/FQL&gt;&lt;FQL&gt;&lt;Q&gt;USDCHF^FG_PRICE_CHANGE(0,-1AY)&lt;/Q&gt;&lt;R&gt;1&lt;/R&gt;&lt;C&gt;1&lt;/C&gt;&lt;D xsi:type="xsd:double"&gt;-8.274478&lt;/D&gt;&lt;/FQL&gt;&lt;FQL&gt;&lt;Q&gt;USDEUR^FG_PRICE_CHANGE(0,-1AY)&lt;/Q&gt;&lt;R&gt;1&lt;/R&gt;&lt;C&gt;1&lt;/C&gt;&lt;D xsi:type="xsd:double"&gt;-5.8209715&lt;/D&gt;&lt;/FQL&gt;&lt;FQL&gt;&lt;Q&gt;USDAUD^FG_PRICE_CHANGE(0,-1AY)&lt;/Q&gt;&lt;R&gt;1&lt;/R&gt;&lt;C&gt;1&lt;/C&gt;&lt;D xsi:type="xsd:double"&gt;-7.426417&lt;/D&gt;&lt;/FQL&gt;&lt;FQL&gt;&lt;Q&gt;QQQ^FMA_EPS(NTMA,-20AY,0,CY,,"PORTAGG","MEANR")&lt;/Q&gt;&lt;R&gt;20&lt;/R&gt;&lt;C&gt;1&lt;/C&gt;&lt;D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xsi:type="xsd:double"&gt;9.58367357249962&lt;/D&gt;&lt;D xsi:type="xsd:double"&gt;10.6841505033347&lt;/D&gt;&lt;D xsi:type="xsd:double"&gt;13.9300394020218&lt;/D&gt;&lt;D xsi:type="xsd:double"&gt;12.9987631337275&lt;/D&gt;&lt;D xsi:type="xsd:double"&gt;16.6470023372621&lt;/D&gt;&lt;/FQL&gt;&lt;FQL&gt;&lt;Q&gt;EWL^P_PRICE_RETURNS_PR('52W',2,-10AY,0,AM)&lt;/Q&gt;&lt;R&gt;121&lt;/R&gt;&lt;C&gt;1&lt;/C&gt;&lt;D xsi:type="xsd:double"&gt;6.913841&lt;/D&gt;&lt;D xsi:type="xsd:double"&gt;-0.9533763&lt;/D&gt;&lt;D xsi:type="xsd:double"&gt;5.3115845&lt;/D&gt;&lt;D xsi:type="xsd:double"&gt;1.8265843&lt;/D&gt;&lt;D xsi:type="xsd:double"&gt;3.8287997&lt;/D&gt;&lt;D xsi:type="xsd:double"&gt;0.13437271&lt;/D&gt;&lt;D xsi:type="xsd:double"&gt;1.874435&lt;/D&gt;&lt;D xsi:type="xsd:double"&gt;2.905476&lt;/D&gt;&lt;D xsi:type="xsd:double"&gt;2.8493881&lt;/D&gt;&lt;D xsi:type="xsd:double"&gt;1.3992906&lt;/D&gt;&lt;D xsi:type="xsd:double"&gt;0.633502&lt;/D&gt;&lt;D xsi:type="xsd:double"&gt;-2.4395347&lt;/D&gt;&lt;D xsi:type="xsd:double"&gt;-5.465889&lt;/D&gt;&lt;D xsi:type="xsd:double"&gt;2.2267938&lt;/D&gt;&lt;D xsi:type="xsd:double"&gt;-4.9206553&lt;/D&gt;&lt;D xsi:type="xsd:double"&gt;-0.4926741&lt;/D&gt;&lt;D xsi:type="xsd:double"&gt;-9.215212&lt;/D&gt;&lt;D xsi:type="xsd:double"&gt;-12.5362215&lt;/D&gt;&lt;D xsi:type="xsd:double"&gt;-13.005668&lt;/D&gt;&lt;D xsi:type="xsd:double"&gt;-9.387678&lt;/D&gt;&lt;D xsi:type="xsd:double"&gt;-10.926437&lt;/D&gt;&lt;D xsi:type="xsd:double"&gt;-14.847792&lt;/D&gt;&lt;D xsi:type="xsd:double"&gt;-7.7399015&lt;/D&gt;&lt;D xsi:type="xsd:double"&gt;-3.2033503&lt;/D&gt;&lt;D xsi:type="xsd:double"&gt;4.6409845&lt;/D&gt;&lt;D xsi:type="xsd:double"&gt;-5.581993&lt;/D&gt;&lt;D xsi:type="xsd:double"&gt;-5.158162&lt;/D&gt;&lt;D xsi:type="xsd:double"&gt;-4.39896&lt;/D&gt;&lt;D xsi:type="xsd:double"&gt;9.273327&lt;/D&gt;&lt;D xsi:type="xsd:double"&gt;11.400676&lt;/D&gt;&lt;D xsi:type="xsd:double"&gt;13.576544&lt;/D&gt;&lt;D xsi:type="xsd:double"&gt;11.481643&lt;/D&gt;&lt;D xsi:type="xsd:double"&gt;16.371845&lt;/D&gt;&lt;D xsi:type="xsd:double"&gt;26.095032&lt;/D&gt;&lt;D xsi:type="xsd:double"&gt;17.691076&lt;/D&gt;&lt;D xsi:type="xsd:double"&gt;15.485716&lt;/D&gt;&lt;D xsi:type="xsd:double"&gt;15.264463&lt;/D&gt;&lt;D xsi:type="xsd:double"&gt;20.225037&lt;/D&gt;&lt;D xsi:type="xsd:double"&gt;25.224125&lt;/D&gt;&lt;D xsi:type="xsd:double"&gt;23.543442&lt;/D&gt;&lt;D xsi:type="xsd:double"&gt;25.519108&lt;/D&gt;&lt;D xsi:type="xsd:double"&gt;16.95553&lt;/D&gt;&lt;D xsi:type="xsd:double"&gt;7.333696&lt;/D&gt;&lt;D xsi:type="xsd:double"&gt;4.7405243&lt;/D&gt;&lt;D xsi:type="xsd:double"&gt;-0.525105&lt;/D&gt;&lt;D xsi:type="xsd:double"&gt;-5.131584&lt;/D&gt;&lt;D xsi:type="xsd:double"&gt;2.8054476&lt;/D&gt;&lt;D xsi:type="xsd:double"&gt;4.000175&lt;/D&gt;&lt;D xsi:type="xsd:double"&gt;3.4263253&lt;/D&gt;&lt;D xsi:type="xsd:double"&gt;-3.5609186&lt;/D&gt;&lt;D xsi:type="xsd:double"&gt;-3.480786&lt;/D&gt;&lt;D xsi:type="xsd:double"&gt;-10.530371&lt;/D&gt;&lt;D xsi:type="xsd:double"&gt;-9.318066&lt;/D&gt;&lt;D xsi:type="xsd:double"&gt;0.10691881&lt;/D&gt;&lt;D xsi:type="xsd:double"&gt;6.380415&lt;/D&gt;&lt;D xsi:type="xsd:double"&gt;8.330906&lt;/D&gt;&lt;D xsi:type="xsd:double"&gt;10.059559&lt;/D&gt;&lt;D xsi:type="xsd:double"&gt;19.032288&lt;/D&gt;&lt;D xsi:type="xsd:double"&gt;10.564507&lt;/D&gt;&lt;D xsi:type="xsd:double"&gt;8.411431&lt;/D&gt;&lt;D xsi:type="xsd:double"&gt;10.272002&lt;/D&gt;&lt;D xsi:type="xsd:double"&gt;20.42613&lt;/D&gt;&lt;D xsi:type="xsd:double"&gt;21.360992&lt;/D&gt;&lt;D xsi:type="xsd:double"&gt;34.67423&lt;/D&gt;&lt;D xsi:type="xsd:double"&gt;25.986183&lt;/D&gt;&lt;D xsi:type="xsd:double"&gt;12.611378&lt;/D&gt;&lt;D xsi:type="xsd:double"&gt;0.9810209&lt;/D&gt;&lt;D xsi:type="xsd:double"&gt;5.080712&lt;/D&gt;&lt;D xsi:type="xsd:double"&gt;4.844892&lt;/D&gt;&lt;D xsi:type="xsd:double"&gt;5.523205&lt;/D&gt;&lt;D xsi:type="xsd:double"&gt;12.935984&lt;/D&gt;&lt;D xsi:type="xsd:double"&gt;14.806414&lt;/D&gt;&lt;D xsi:type="xsd:double"&gt;11.58992&lt;/D&gt;&lt;D xsi:type="xsd:double"&gt;8.308458&lt;/D&gt;&lt;D xsi:type="xsd:double"&gt;11.944604&lt;/D&gt;&lt;D xsi:type="xsd:double"&gt;9.896922&lt;/D&gt;&lt;D xsi:type="xsd:double"&gt;12.470102&lt;/D&gt;&lt;D xsi:type="xsd:double"&gt;11.9610195&lt;/D&gt;&lt;D xsi:type="xsd:double"&gt;28.94907&lt;/D&gt;&lt;D xsi:type="xsd:double"&gt;27.454662&lt;/D&gt;&lt;D xsi:type="xsd:double"&gt;31.60386&lt;/D&gt;&lt;D xsi:type="xsd:double"&gt;28.10589&lt;/D&gt;&lt;D xsi:type="xsd:double"&gt;21.86414&lt;/D&gt;&lt;D xsi:type="xsd:double"&gt;24.685144&lt;/D&gt;&lt;D xsi:type="xsd:double"&gt;18.55333&lt;/D&gt;&lt;D xsi:type="xsd:double"&gt;24.128092&lt;/D&gt;&lt;D xsi:type="xsd:double"&gt;17.225122&lt;/D&gt;&lt;D xsi:type="xsd:double"&gt;22.665178&lt;/D&gt;&lt;D xsi:type="xsd:double"&gt;8.975625&lt;/D&gt;&lt;D xsi:type="xsd:double"&gt;13.189184&lt;/D&gt;&lt;D xsi:type="xsd:double"&gt;11.433053&lt;/D&gt;&lt;D xsi:type="xsd:double"&gt;1.9319296&lt;/D&gt;&lt;D xsi:type="xsd:double"&gt;-4.1648507&lt;/D&gt;&lt;D xsi:type="xsd:double"&gt;-13.497478&lt;/D&gt;&lt;D xsi:type="xsd:double"&gt;-11.980992&lt;/D&gt;&lt;D xsi:type="xsd:double"&gt;-16.705114&lt;/D&gt;&lt;D xsi:type="xsd:double"&gt;-20.982433&lt;/D&gt;&lt;D xsi:type="xsd:double"&gt;-19.397276&lt;/D&gt;&lt;D xsi:type="xsd:double"&gt;-11.552757&lt;/D&gt;&lt;D xsi:type="xsd:double"&gt;-18.28254&lt;/D&gt;&lt;D xsi:type="xsd:double"&gt;-4.9328623&lt;/D&gt;&lt;D xsi:type="xsd:double"&gt;-6.834626&lt;/D&gt;&lt;D xsi:type="xsd:double"&gt;-7.952613&lt;/D&gt;&lt;D xsi:type="xsd:double"&gt;4.6230316&lt;/D&gt;&lt;D xsi:type="xsd:double"&gt;6.9660425&lt;/D&gt;&lt;D xsi:type="xsd:double"&gt;12.369167&lt;/D&gt;&lt;D xsi:type="xsd:double"&gt;14.275169&lt;/D&gt;&lt;D xsi:type="xsd:double"&gt;9.889197&lt;/D&gt;&lt;D xsi:type="xsd:double"&gt;19.327295&lt;/D&gt;&lt;D xsi:type="xsd:double"&gt;9.115469&lt;/D&gt;&lt;D xsi:type="xsd:double"&gt;6.8092346&lt;/D&gt;&lt;D xsi:type="xsd:double"&gt;16.522396&lt;/D&gt;&lt;D xsi:type="xsd:double"&gt;8.291328&lt;/D&gt;&lt;D xsi:type="xsd:double"&gt;9.457052&lt;/D&gt;&lt;D xsi:type="xsd:double"&gt;10.024202&lt;/D&gt;&lt;D xsi:type="xsd:double"&gt;-1.5482605&lt;/D&gt;&lt;D xsi:type="xsd:double"&gt;5.1164985&lt;/D&gt;&lt;D xsi:type="xsd:double"&gt;7.363701&lt;/D&gt;&lt;D xsi:type="xsd:double"&gt;7.171583&lt;/D&gt;&lt;D xsi:type="xsd:double"&gt;18.04979&lt;/D&gt;&lt;D xsi:type="xsd:double"&gt;23.962284&lt;/D&gt;&lt;/FQL&gt;&lt;FQL&gt;&lt;Q&gt;EWG^FG_TOTAL_RETURNC(-10AY,0,AM)&lt;/Q&gt;&lt;R&gt;121&lt;/R&gt;&lt;C&gt;1&lt;/C&gt;&lt;D xsi:type="xsd:double"&gt;-4.2320786&lt;/D&gt;&lt;D xsi:type="xsd:double"&gt;-6.129718&lt;/D&gt;&lt;D xsi:type="xsd:double"&gt;9.719062&lt;/D&gt;&lt;D xsi:type="xsd:double"&gt;-2.491349&lt;/D&gt;&lt;D xsi:type="xsd:double"&gt;0.106453896&lt;/D&gt;&lt;D xsi:type="xsd:double"&gt;5.281818&lt;/D&gt;&lt;D xsi:type="xsd:double"&gt;1.3468027&lt;/D&gt;&lt;D xsi:type="xsd:double"&gt;0.6312251&lt;/D&gt;&lt;D xsi:type="xsd:double"&gt;-1.848799&lt;/D&gt;&lt;D xsi:type="xsd:double"&gt;0.22978783&lt;/D&gt;&lt;D xsi:type="xsd:double"&gt;-4.6432257&lt;/D&gt;&lt;D xsi:type="xsd:double"&gt;-4.6186924&lt;/D&gt;&lt;D xsi:type="xsd:double"&gt;-7.282275&lt;/D&gt;&lt;D xsi:type="xsd:double"&gt;9.028339&lt;/D&gt;&lt;D xsi:type="xsd:double"&gt;0.8911967&lt;/D&gt;&lt;D xsi:type="xsd:double"&gt;-1.3985991&lt;/D&gt;&lt;D xsi:type="xsd:double"&gt;-9.443826&lt;/D&gt;&lt;D xsi:type="xsd:double"&gt;-2.514428&lt;/D&gt;&lt;D xsi:type="xsd:double"&gt;6.4270616&lt;/D&gt;&lt;D xsi:type="xsd:double"&gt;5.5621743&lt;/D&gt;&lt;D xsi:type="xsd:double"&gt;-2.1452785&lt;/D&gt;&lt;D xsi:type="xsd:double"&gt;-9.7040415&lt;/D&gt;&lt;D xsi:type="xsd:double"&gt;10.38394&lt;/D&gt;&lt;D xsi:type="xsd:double"&gt;3.3596873&lt;/D&gt;&lt;D xsi:type="xsd:double"&gt;-0.76481104&lt;/D&gt;&lt;D xsi:type="xsd:double"&gt;-0.5780399&lt;/D&gt;&lt;D xsi:type="xsd:double"&gt;-3.2170534&lt;/D&gt;&lt;D xsi:type="xsd:double"&gt;5.602956&lt;/D&gt;&lt;D xsi:type="xsd:double"&gt;5.3869486&lt;/D&gt;&lt;D xsi:type="xsd:double"&gt;-0.75594187&lt;/D&gt;&lt;D xsi:type="xsd:double"&gt;3.8084865&lt;/D&gt;&lt;D xsi:type="xsd:double"&gt;3.6687613&lt;/D&gt;&lt;D xsi:type="xsd:double"&gt;3.7748575&lt;/D&gt;&lt;D xsi:type="xsd:double"&gt;1.3515115&lt;/D&gt;&lt;D xsi:type="xsd:double"&gt;-0.16334653&lt;/D&gt;&lt;D xsi:type="xsd:double"&gt;1.7342925&lt;/D&gt;&lt;D xsi:type="xsd:double"&gt;2.4445176&lt;/D&gt;&lt;D xsi:type="xsd:double"&gt;2.7943492&lt;/D&gt;&lt;D xsi:type="xsd:double"&gt;1.1606455&lt;/D&gt;&lt;D xsi:type="xsd:double"&gt;0.4340291&lt;/D&gt;&lt;D xsi:type="xsd:double"&gt;7.1127176&lt;/D&gt;&lt;D xsi:type="xsd:double"&gt;-8.10355&lt;/D&gt;&lt;D xsi:type="xsd:double"&gt;-3.2761753&lt;/D&gt;&lt;D xsi:type="xsd:double"&gt;3.3554912&lt;/D&gt;&lt;D xsi:type="xsd:double"&gt;-1.3782561&lt;/D&gt;&lt;D xsi:type="xsd:double"&gt;-5.6324005&lt;/D&gt;&lt;D xsi:type="xsd:double"&gt;5.325246&lt;/D&gt;&lt;D xsi:type="xsd:double"&gt;-1.2159944&lt;/D&gt;&lt;D xsi:type="xsd:double"&gt;-1.9112408&lt;/D&gt;&lt;D xsi:type="xsd:double"&gt;-11.558783&lt;/D&gt;&lt;D xsi:type="xsd:double"&gt;0.29872656&lt;/D&gt;&lt;D xsi:type="xsd:double"&gt;-6.8131027&lt;/D&gt;&lt;D xsi:type="xsd:double"&gt;7.670796&lt;/D&gt;&lt;D xsi:type="xsd:double"&gt;0.8163214&lt;/D&gt;&lt;D xsi:type="xsd:double"&gt;-1.0305524&lt;/D&gt;&lt;D xsi:type="xsd:double"&gt;6.1361194&lt;/D&gt;&lt;D xsi:type="xsd:double"&gt;-2.9432356&lt;/D&gt;&lt;D xsi:type="xsd:double"&gt;2.926159&lt;/D&gt;&lt;D xsi:type="xsd:double"&gt;-0.7567525&lt;/D&gt;&lt;D xsi:type="xsd:double"&gt;-5.7734194&lt;/D&gt;&lt;D xsi:type="xsd:double"&gt;3.3525944&lt;/D&gt;&lt;D xsi:type="xsd:double"&gt;5.928409&lt;/D&gt;&lt;D xsi:type="xsd:double"&gt;2.3583293&lt;/D&gt;&lt;D xsi:type="xsd:double"&gt;1.6506195&lt;/D&gt;&lt;D xsi:type="xsd:double"&gt;-2.0297706&lt;/D&gt;&lt;D xsi:type="xsd:double"&gt;-8.529001&lt;/D&gt;&lt;D xsi:type="xsd:double"&gt;-20.271795&lt;/D&gt;&lt;D xsi:type="xsd:double"&gt;8.806812&lt;/D&gt;&lt;D xsi:type="xsd:double"&gt;11.9234085&lt;/D&gt;&lt;D xsi:type="xsd:double"&gt;4.3821454&lt;/D&gt;&lt;D xsi:type="xsd:double"&gt;11.027479&lt;/D&gt;&lt;D xsi:type="xsd:double"&gt;1.9999981&lt;/D&gt;&lt;D xsi:type="xsd:double"&gt;-5.0847473&lt;/D&gt;&lt;D xsi:type="xsd:double"&gt;-3.0812323&lt;/D&gt;&lt;D xsi:type="xsd:double"&gt;11.018789&lt;/D&gt;&lt;D xsi:type="xsd:double"&gt;4.9174905&lt;/D&gt;&lt;D xsi:type="xsd:double"&gt;-0.59673786&lt;/D&gt;&lt;D xsi:type="xsd:double"&gt;1.1374354&lt;/D&gt;&lt;D xsi:type="xsd:double"&gt;3.7488341&lt;/D&gt;&lt;D xsi:type="xsd:double"&gt;5.8416247&lt;/D&gt;&lt;D xsi:type="xsd:double"&gt;1.3940215&lt;/D&gt;&lt;D xsi:type="xsd:double"&gt;-0.0700593&lt;/D&gt;&lt;D xsi:type="xsd:double"&gt;-1.5419781&lt;/D&gt;&lt;D xsi:type="xsd:double"&gt;1.566124&lt;/D&gt;&lt;D xsi:type="xsd:double"&gt;-2.8555095&lt;/D&gt;&lt;D xsi:type="xsd:double"&gt;-0.5290985&lt;/D&gt;&lt;D xsi:type="xsd:double"&gt;-5.526006&lt;/D&gt;&lt;D xsi:type="xsd:double"&gt;3.8050413&lt;/D&gt;&lt;D xsi:type="xsd:double"&gt;-4.503739&lt;/D&gt;&lt;D xsi:type="xsd:double"&gt;-4.264802&lt;/D&gt;&lt;D xsi:type="xsd:double"&gt;-5.884308&lt;/D&gt;&lt;D xsi:type="xsd:double"&gt;-8.795476&lt;/D&gt;&lt;D xsi:type="xsd:double"&gt;5.9643745&lt;/D&gt;&lt;D xsi:type="xsd:double"&gt;-9.945196&lt;/D&gt;&lt;D xsi:type="xsd:double"&gt;-3.7238479&lt;/D&gt;&lt;D xsi:type="xsd:double"&gt;-5.9973955&lt;/D&gt;&lt;D xsi:type="xsd:double"&gt;-9.708733&lt;/D&gt;&lt;D xsi:type="xsd:double"&gt;12.442387&lt;/D&gt;&lt;D xsi:type="xsd:double"&gt;15.027332&lt;/D&gt;&lt;D xsi:type="xsd:double"&gt;-1.7484725&lt;/D&gt;&lt;D xsi:type="xsd:double"&gt;12.817419&lt;/D&gt;&lt;D xsi:type="xsd:double"&gt;-1.8220782&lt;/D&gt;&lt;D xsi:type="xsd:double"&gt;-0.036388636&lt;/D&gt;&lt;D xsi:type="xsd:double"&gt;6.625414&lt;/D&gt;&lt;D xsi:type="xsd:double"&gt;-2.4240375&lt;/D&gt;&lt;D xsi:type="xsd:double"&gt;1.379776&lt;/D&gt;&lt;D xsi:type="xsd:double"&gt;2.9787183&lt;/D&gt;&lt;D xsi:type="xsd:double"&gt;-5.716258&lt;/D&gt;&lt;D xsi:type="xsd:double"&gt;-5.551493&lt;/D&gt;&lt;D xsi:type="xsd:double"&gt;-4.215002&lt;/D&gt;&lt;D xsi:type="xsd:double"&gt;13.564789&lt;/D&gt;&lt;D xsi:type="xsd:double"&gt;6.1555743&lt;/D&gt;&lt;D xsi:type="xsd:double"&gt;-1.5740156&lt;/D&gt;&lt;D xsi:type="xsd:double"&gt;3.9469242&lt;/D&gt;&lt;D xsi:type="xsd:double"&gt;4.3207884&lt;/D&gt;&lt;D xsi:type="xsd:double"&gt;-2.8553545&lt;/D&gt;&lt;D xsi:type="xsd:double"&gt;4.263568&lt;/D&gt;&lt;D xsi:type="xsd:double"&gt;-3.0249596&lt;/D&gt;&lt;D xsi:type="xsd:double"&gt;2.487731&lt;/D&gt;&lt;D xsi:type="xsd:double"&gt;3.8645864&lt;/D&gt;&lt;D xsi:type="xsd:double"&gt;3.62854&lt;/D&gt;&lt;/FQL&gt;&lt;FQL&gt;&lt;Q&gt;EWA^FMA_DIV_YLD(NTMA,-10AY,0,AM,"PORTAGG","MEANR")&lt;/Q&gt;&lt;R&gt;121&lt;/R&gt;&lt;C&gt;1&lt;/C&gt;&lt;D xsi:type="xsd:double"&gt;5.03980277400746&lt;/D&gt;&lt;D xsi:type="xsd:double"&gt;4.88494526674944&lt;/D&gt;&lt;D xsi:type="xsd:double"&gt;4.99427002830399&lt;/D&gt;&lt;D xsi:type="xsd:double"&gt;4.9885167442505&lt;/D&gt;&lt;D xsi:type="xsd:double"&gt;4.86759160920044&lt;/D&gt;&lt;D xsi:type="xsd:double"&gt;4.54828740335052&lt;/D&gt;&lt;D xsi:type="xsd:double"&gt;4.5684427082027&lt;/D&gt;&lt;D xsi:type="xsd:double"&gt;4.52684404165443&lt;/D&gt;&lt;D xsi:type="xsd:double"&gt;4.76087260482523&lt;/D&gt;&lt;D xsi:type="xsd:double"&gt;4.89755043169825&lt;/D&gt;&lt;D xsi:type="xsd:double"&gt;4.90189974626451&lt;/D&gt;&lt;D xsi:type="xsd:double"&gt;5.27221922116486&lt;/D&gt;&lt;D xsi:type="xsd:double"&gt;5.49412199620707&lt;/D&gt;&lt;D xsi:type="xsd:double"&gt;5.11059439507799&lt;/D&gt;&lt;D xsi:type="xsd:double"&gt;5.25630061437879&lt;/D&gt;&lt;D xsi:type="xsd:double"&gt;5.19807982711408&lt;/D&gt;&lt;D xsi:type="xsd:double"&gt;5.24441759468886&lt;/D&gt;&lt;D xsi:type="xsd:double"&gt;5.05190282869525&lt;/D&gt;&lt;D xsi:type="xsd:double"&gt;4.82932140459061&lt;/D&gt;&lt;D xsi:type="xsd:double"&gt;4.7300698428305&lt;/D&gt;&lt;D xsi:type="xsd:double"&gt;4.5362987598256&lt;/D&gt;&lt;D xsi:type="xsd:double"&gt;4.77970083396483&lt;/D&gt;&lt;D xsi:type="xsd:double"&gt;4.43560440708316&lt;/D&gt;&lt;D xsi:type="xsd:double"&gt;4.4539298539889&lt;/D&gt;&lt;D xsi:type="xsd:double"&gt;4.55586771334406&lt;/D&gt;&lt;D xsi:type="xsd:double"&gt;4.67217663493474&lt;/D&gt;&lt;D xsi:type="xsd:double"&gt;4.51534005831292&lt;/D&gt;&lt;D xsi:type="xsd:double"&gt;4.55278310554894&lt;/D&gt;&lt;D xsi:type="xsd:double"&gt;4.5141225654101&lt;/D&gt;&lt;D xsi:type="xsd:double"&gt;4.56126710016105&lt;/D&gt;&lt;D xsi:type="xsd:double"&gt;4.60693353748549&lt;/D&gt;&lt;D xsi:type="xsd:double"&gt;4.4884626248262&lt;/D&gt;&lt;D xsi:type="xsd:double"&gt;4.6383672605413&lt;/D&gt;&lt;D xsi:type="xsd:double"&gt;4.65215076208618&lt;/D&gt;&lt;D xsi:type="xsd:double"&gt;4.53770180057944&lt;/D&gt;&lt;D xsi:type="xsd:double"&gt;4.55581838013535&lt;/D&gt;&lt;D xsi:type="xsd:double"&gt;4.62788215410255&lt;/D&gt;&lt;D xsi:type="xsd:double"&gt;4.50514582636755&lt;/D&gt;&lt;D xsi:type="xsd:double"&gt;4.46787563104523&lt;/D&gt;&lt;D xsi:type="xsd:double"&gt;4.45210262641759&lt;/D&gt;&lt;D xsi:type="xsd:double"&gt;4.5034632422418&lt;/D&gt;&lt;D xsi:type="xsd:double"&gt;4.55850639680259&lt;/D&gt;&lt;D xsi:type="xsd:double"&gt;4.7987476820348&lt;/D&gt;&lt;D xsi:type="xsd:double"&gt;4.73986710245507&lt;/D&gt;&lt;D xsi:type="xsd:double"&gt;4.67852969101817&lt;/D&gt;&lt;D xsi:type="xsd:double"&gt;4.63597690119072&lt;/D&gt;&lt;D xsi:type="xsd:double"&gt;4.54738070279837&lt;/D&gt;&lt;D xsi:type="xsd:double"&gt;4.64308073701967&lt;/D&gt;&lt;D xsi:type="xsd:double"&gt;4.76734756000086&lt;/D&gt;&lt;D xsi:type="xsd:double"&gt;5.20974591365752&lt;/D&gt;&lt;D xsi:type="xsd:double"&gt;5.25395266343499&lt;/D&gt;&lt;D xsi:type="xsd:double"&gt;5.40609609837683&lt;/D&gt;&lt;D xsi:type="xsd:double"&gt;5.08115756413483&lt;/D&gt;&lt;D xsi:type="xsd:double"&gt;4.93323881927604&lt;/D&gt;&lt;D xsi:type="xsd:double"&gt;4.98881054769985&lt;/D&gt;&lt;D xsi:type="xsd:double"&gt;4.82419557237943&lt;/D&gt;&lt;D xsi:type="xsd:double"&gt;4.79839650290726&lt;/D&gt;&lt;D xsi:type="xsd:double"&gt;4.58297077408424&lt;/D&gt;&lt;D xsi:type="xsd:double"&gt;4.5301883556159&lt;/D&gt;&lt;D xsi:type="xsd:double"&gt;4.68916668160006&lt;/D&gt;&lt;D xsi:type="xsd:double"&gt;4.42810107882624&lt;/D&gt;&lt;D xsi:type="xsd:double"&gt;4.362451933017&lt;/D&gt;&lt;D xsi:type="xsd:double"&gt;4.26935703337694&lt;/D&gt;&lt;D xsi:type="xsd:double"&gt;4.23245181774139&lt;/D&gt;&lt;D xsi:type="xsd:double"&gt;4.12852006036911&lt;/D&gt;&lt;D xsi:type="xsd:double"&gt;4.32999696706913&lt;/D&gt;&lt;D xsi:type="xsd:double"&gt;5.57965878441175&lt;/D&gt;&lt;D xsi:type="xsd:double"&gt;4.16631284780372&lt;/D&gt;&lt;D xsi:type="xsd:double"&gt;3.56509849904865&lt;/D&gt;&lt;D xsi:type="xsd:double"&gt;3.48487588352115&lt;/D&gt;&lt;D xsi:type="xsd:double"&gt;3.42767296943713&lt;/D&gt;&lt;D xsi:type="xsd:double"&gt;3.38097882746877&lt;/D&gt;&lt;D xsi:type="xsd:double"&gt;3.60164472880237&lt;/D&gt;&lt;D xsi:type="xsd:double"&gt;3.66459623933383&lt;/D&gt;&lt;D xsi:type="xsd:double"&gt;3.4687711916758&lt;/D&gt;&lt;D xsi:type="xsd:double"&gt;3.54441628901396&lt;/D&gt;&lt;D xsi:type="xsd:double"&gt;3.5516922547641&lt;/D&gt;&lt;D xsi:type="xsd:double"&gt;3.92576676624648&lt;/D&gt;&lt;D xsi:type="xsd:double"&gt;3.9597550554337&lt;/D&gt;&lt;D xsi:type="xsd:double"&gt;3.91851920134075&lt;/D&gt;&lt;D xsi:type="xsd:double"&gt;3.93621241896435&lt;/D&gt;&lt;D xsi:type="xsd:double"&gt;3.95651633350665&lt;/D&gt;&lt;D xsi:type="xsd:double"&gt;4.10935502147059&lt;/D&gt;&lt;D xsi:type="xsd:double"&gt;4.06412571005987&lt;/D&gt;&lt;D xsi:type="xsd:double"&gt;4.04362398575896&lt;/D&gt;&lt;D xsi:type="xsd:double"&gt;3.92401462551184&lt;/D&gt;&lt;D xsi:type="xsd:double"&gt;4.0686939432585&lt;/D&gt;&lt;D xsi:type="xsd:double"&gt;3.88918284527574&lt;/D&gt;&lt;D xsi:type="xsd:double"&gt;4.26067765907044&lt;/D&gt;&lt;D xsi:type="xsd:double"&gt;4.43313946383794&lt;/D&gt;&lt;D xsi:type="xsd:double"&gt;4.19642483570259&lt;/D&gt;&lt;D xsi:type="xsd:double"&gt;4.5847769425323&lt;/D&gt;&lt;D xsi:type="xsd:double"&gt;4.65076941902515&lt;/D&gt;&lt;D xsi:type="xsd:double"&gt;5.13741344502021&lt;/D&gt;&lt;D xsi:type="xsd:double"&gt;4.93428119845665&lt;/D&gt;&lt;D xsi:type="xsd:double"&gt;4.65888943887013&lt;/D&gt;&lt;D xsi:type="xsd:double"&gt;5.22090237758879&lt;/D&gt;&lt;D xsi:type="xsd:double"&gt;4.9505990320138&lt;/D&gt;&lt;D xsi:type="xsd:double"&gt;4.49009830287434&lt;/D&gt;&lt;D xsi:type="xsd:double"&gt;4.51972656924621&lt;/D&gt;&lt;D xsi:type="xsd:double"&gt;4.2475112710783&lt;/D&gt;&lt;D xsi:type="xsd:double"&gt;4.50024137199953&lt;/D&gt;&lt;D xsi:type="xsd:double"&gt;4.69136671857564&lt;/D&gt;&lt;D xsi:type="xsd:double"&gt;4.42920786867112&lt;/D&gt;&lt;D xsi:type="xsd:double"&gt;4.52782035848453&lt;/D&gt;&lt;D xsi:type="xsd:double"&gt;4.35429651475008&lt;/D&gt;&lt;D xsi:type="xsd:double"&gt;4.04860568162365&lt;/D&gt;&lt;D xsi:type="xsd:double"&gt;4.28194293039776&lt;/D&gt;&lt;D xsi:type="xsd:double"&gt;4.33441964172505&lt;/D&gt;&lt;D xsi:type="xsd:double"&gt;4.51551828969109&lt;/D&gt;&lt;D xsi:type="xsd:double"&gt;4.36633784582084&lt;/D&gt;&lt;D xsi:type="xsd:double"&gt;3.98445786110142&lt;/D&gt;&lt;D xsi:type="xsd:double"&gt;4.02749300274838&lt;/D&gt;&lt;D xsi:type="xsd:double"&gt;3.98995464482591&lt;/D&gt;&lt;D xsi:type="xsd:double"&gt;3.93007971822635&lt;/D&gt;&lt;D xsi:type="xsd:double"&gt;4.04483917597034&lt;/D&gt;&lt;D xsi:type="xsd:double"&gt;3.98009557067882&lt;/D&gt;&lt;D xsi:type="xsd:double"&gt;3.93153205568135&lt;/D&gt;&lt;D xsi:type="xsd:double"&gt;3.85063506709381&lt;/D&gt;&lt;D xsi:type="xsd:double"&gt;3.73355901930722&lt;/D&gt;&lt;D xsi:type="xsd:double"&gt;3.64226592010043&lt;/D&gt;&lt;/FQL&gt;&lt;FQL&gt;&lt;Q&gt;EWA^FMA_ROE(NTMA,-20AY,NOW,FY,"PORTAGG","MEANR")&lt;/Q&gt;&lt;R&gt;20&lt;/R&gt;&lt;C&gt;1&lt;/C&gt;&lt;D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xsi:type="xsd:double"&gt;0.464182828189248&lt;/D&gt;&lt;/FQL&gt;&lt;FQL&gt;&lt;Q&gt;CAGDPY@JP^EE_ACTUAL_ANNUAL(MED,0)&lt;/Q&gt;&lt;R&gt;1&lt;/R&gt;&lt;C&gt;1&lt;/C&gt;&lt;D xsi:type="xsd:double"&gt;3.60658196299853&lt;/D&gt;&lt;/FQL&gt;&lt;FQL&gt;&lt;Q&gt;CC_AU^FG_COMPANY_NAME&lt;/Q&gt;&lt;R&gt;1&lt;/R&gt;&lt;C&gt;1&lt;/C&gt;&lt;D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xsi:type="xsd:double"&gt;10.122754&lt;/D&gt;&lt;/FQL&gt;&lt;FQL&gt;&lt;Q&gt;USDCHF^FG_PRICE(0)&lt;/Q&gt;&lt;R&gt;1&lt;/R&gt;&lt;C&gt;1&lt;/C&gt;&lt;D xsi:type="xsd:double"&gt;0.8437372&lt;/D&gt;&lt;/FQL&gt;&lt;FQL&gt;&lt;Q&gt;USDEUR^FG_PRICE(0)&lt;/Q&gt;&lt;R&gt;1&lt;/R&gt;&lt;C&gt;1&lt;/C&gt;&lt;D xsi:type="xsd:double"&gt;0.8959618&lt;/D&gt;&lt;/FQL&gt;&lt;FQL&gt;&lt;Q&gt;USDAUD^FG_PRICE(0)&lt;/Q&gt;&lt;R&gt;1&lt;/R&gt;&lt;C&gt;1&lt;/C&gt;&lt;D xsi:type="xsd:double"&gt;1.4516792&lt;/D&gt;&lt;/FQL&gt;&lt;FQL&gt;&lt;Q&gt;EWJ^P_PRICE_RETURNS_PR('52W',2,-10AY,0,AM)&lt;/Q&gt;&lt;R&gt;121&lt;/R&gt;&lt;C&gt;1&lt;/C&gt;&lt;D xsi:type="xsd:double"&gt;-0.2465725&lt;/D&gt;&lt;D xsi:type="xsd:double"&gt;-3.3687592&lt;/D&gt;&lt;D xsi:type="xsd:double"&gt;-1.6092598&lt;/D&gt;&lt;D xsi:type="xsd:double"&gt;-2.02834&lt;/D&gt;&lt;D xsi:type="xsd:double"&gt;1.9796252&lt;/D&gt;&lt;D xsi:type="xsd:double"&gt;8.291769&lt;/D&gt;&lt;D xsi:type="xsd:double"&gt;15.009367&lt;/D&gt;&lt;D xsi:type="xsd:double"&gt;22.046947&lt;/D&gt;&lt;D xsi:type="xsd:double"&gt;16.450823&lt;/D&gt;&lt;D xsi:type="xsd:double"&gt;10.102856&lt;/D&gt;&lt;D xsi:type="xsd:double"&gt;5.84656&lt;/D&gt;&lt;D xsi:type="xsd:double"&gt;4.5084834&lt;/D&gt;&lt;D xsi:type="xsd:double"&gt;-0.7001519&lt;/D&gt;&lt;D xsi:type="xsd:double"&gt;11.133862&lt;/D&gt;&lt;D xsi:type="xsd:double"&gt;8.205628&lt;/D&gt;&lt;D xsi:type="xsd:double"&gt;6.880021&lt;/D&gt;&lt;D xsi:type="xsd:double"&gt;-2.2516966&lt;/D&gt;&lt;D xsi:type="xsd:double"&gt;-9.703838&lt;/D&gt;&lt;D xsi:type="xsd:double"&gt;-10.511613&lt;/D&gt;&lt;D xsi:type="xsd:double"&gt;-7.9878864&lt;/D&gt;&lt;D xsi:type="xsd:double"&gt;-10.306263&lt;/D&gt;&lt;D xsi:type="xsd:double"&gt;-12.444359&lt;/D&gt;&lt;D xsi:type="xsd:double"&gt;-5.2678466&lt;/D&gt;&lt;D xsi:type="xsd:double"&gt;3.1307936&lt;/D&gt;&lt;D xsi:type="xsd:double"&gt;10.796785&lt;/D&gt;&lt;D xsi:type="xsd:double"&gt;3.164816&lt;/D&gt;&lt;D xsi:type="xsd:double"&gt;0.1711607&lt;/D&gt;&lt;D xsi:type="xsd:double"&gt;4.0160418&lt;/D&gt;&lt;D xsi:type="xsd:double"&gt;15.598226&lt;/D&gt;&lt;D xsi:type="xsd:double"&gt;18.387688&lt;/D&gt;&lt;D xsi:type="xsd:double"&gt;16.57573&lt;/D&gt;&lt;D xsi:type="xsd:double"&gt;10.065306&lt;/D&gt;&lt;D xsi:type="xsd:double"&gt;15.581142&lt;/D&gt;&lt;D xsi:type="xsd:double"&gt;21.34552&lt;/D&gt;&lt;D xsi:type="xsd:double"&gt;16.904974&lt;/D&gt;&lt;D xsi:type="xsd:double"&gt;12.412394&lt;/D&gt;&lt;D xsi:type="xsd:double"&gt;11.830271&lt;/D&gt;&lt;D xsi:type="xsd:double"&gt;18.027664&lt;/D&gt;&lt;D xsi:type="xsd:double"&gt;23.016644&lt;/D&gt;&lt;D xsi:type="xsd:double"&gt;22.852575&lt;/D&gt;&lt;D xsi:type="xsd:double"&gt;27.849174&lt;/D&gt;&lt;D xsi:type="xsd:double"&gt;21.538866&lt;/D&gt;&lt;D xsi:type="xsd:double"&gt;15.667129&lt;/D&gt;&lt;D xsi:type="xsd:double"&gt;18.175816&lt;/D&gt;&lt;D xsi:type="xsd:double"&gt;14.624357&lt;/D&gt;&lt;D xsi:type="xsd:double"&gt;9.496617&lt;/D&gt;&lt;D xsi:type="xsd:double"&gt;10.798883&lt;/D&gt;&lt;D xsi:type="xsd:double"&gt;9.148085&lt;/D&gt;&lt;D xsi:type="xsd:double"&gt;10.007488&lt;/D&gt;&lt;D xsi:type="xsd:double"&gt;-5.5586042&lt;/D&gt;&lt;D xsi:type="xsd:double"&gt;-7.077032&lt;/D&gt;&lt;D xsi:type="xsd:double"&gt;-14.086598&lt;/D&gt;&lt;D xsi:type="xsd:double"&gt;-14.698208&lt;/D&gt;&lt;D xsi:type="xsd:double"&gt;-9.513182&lt;/D&gt;&lt;D xsi:type="xsd:double"&gt;-6.200385&lt;/D&gt;&lt;D xsi:type="xsd:double"&gt;-7.6835036&lt;/D&gt;&lt;D xsi:type="xsd:double"&gt;-9.512531&lt;/D&gt;&lt;D xsi:type="xsd:double"&gt;-4.7406673&lt;/D&gt;&lt;D xsi:type="xsd:double"&gt;-5.929792&lt;/D&gt;&lt;D xsi:type="xsd:double"&gt;-7.1604013&lt;/D&gt;&lt;D xsi:type="xsd:double"&gt;-4.830432&lt;/D&gt;&lt;D xsi:type="xsd:double"&gt;8.052039&lt;/D&gt;&lt;D xsi:type="xsd:double"&gt;11.4213705&lt;/D&gt;&lt;D xsi:type="xsd:double"&gt;19.942701&lt;/D&gt;&lt;D xsi:type="xsd:double"&gt;10.703527&lt;/D&gt;&lt;D xsi:type="xsd:double"&gt;-1.3722658&lt;/D&gt;&lt;D xsi:type="xsd:double"&gt;-6.3652396&lt;/D&gt;&lt;D xsi:type="xsd:double"&gt;-4.9158096&lt;/D&gt;&lt;D xsi:type="xsd:double"&gt;4.7848105&lt;/D&gt;&lt;D xsi:type="xsd:double"&gt;4.5045257&lt;/D&gt;&lt;D xsi:type="xsd:double"&gt;5.962646&lt;/D&gt;&lt;D xsi:type="xsd:double"&gt;10.404801&lt;/D&gt;&lt;D xsi:type="xsd:double"&gt;4.7806025&lt;/D&gt;&lt;D xsi:type="xsd:double"&gt;3.4913182&lt;/D&gt;&lt;D xsi:type="xsd:double"&gt;12.5897045&lt;/D&gt;&lt;D xsi:type="xsd:double"&gt;11.889267&lt;/D&gt;&lt;D xsi:type="xsd:double"&gt;17.710876&lt;/D&gt;&lt;D xsi:type="xsd:double"&gt;25.749361&lt;/D&gt;&lt;D xsi:type="xsd:double"&gt;41.22019&lt;/D&gt;&lt;D xsi:type="xsd:double"&gt;33.38587&lt;/D&gt;&lt;D xsi:type="xsd:double"&gt;25.24836&lt;/D&gt;&lt;D xsi:type="xsd:double"&gt;23.535597&lt;/D&gt;&lt;D xsi:type="xsd:double"&gt;19.457674&lt;/D&gt;&lt;D xsi:type="xsd:double"&gt;19.22307&lt;/D&gt;&lt;D xsi:type="xsd:double"&gt;24.948036&lt;/D&gt;&lt;D xsi:type="xsd:double"&gt;16.605186&lt;/D&gt;&lt;D xsi:type="xsd:double"&gt;3.7154317&lt;/D&gt;&lt;D xsi:type="xsd:double"&gt;4.428673&lt;/D&gt;&lt;D xsi:type="xsd:double"&gt;-6.1692657&lt;/D&gt;&lt;D xsi:type="xsd:double"&gt;-6.275904&lt;/D&gt;&lt;D xsi:type="xsd:double"&gt;-7.443756&lt;/D&gt;&lt;D xsi:type="xsd:double"&gt;-15.535826&lt;/D&gt;&lt;D xsi:type="xsd:double"&gt;-12.774981&lt;/D&gt;&lt;D xsi:type="xsd:double"&gt;-20.396912&lt;/D&gt;&lt;D xsi:type="xsd:double"&gt;-16.057604&lt;/D&gt;&lt;D xsi:type="xsd:double"&gt;-17.672937&lt;/D&gt;&lt;D xsi:type="xsd:double"&gt;-31.195366&lt;/D&gt;&lt;D xsi:type="xsd:double"&gt;-25.097513&lt;/D&gt;&lt;D xsi:type="xsd:double"&gt;-16.752338&lt;/D&gt;&lt;D xsi:type="xsd:double"&gt;-18.06395&lt;/D&gt;&lt;D</t>
        </r>
      </text>
    </comment>
    <comment ref="A7" authorId="0" shapeId="0" xr:uid="{592D0EC4-8B03-40B0-BCCB-D4169868D696}">
      <text>
        <r>
          <rPr>
            <b/>
            <sz val="9"/>
            <color indexed="81"/>
            <rFont val="Tahoma"/>
            <charset val="1"/>
          </rPr>
          <t xml:space="preserve"> xsi:type="xsd:double"&gt;-4.77131&lt;/D&gt;&lt;D xsi:type="xsd:double"&gt;-10.581684&lt;/D&gt;&lt;D xsi:type="xsd:double"&gt;-7.4432077&lt;/D&gt;&lt;D xsi:type="xsd:double"&gt;6.6702366&lt;/D&gt;&lt;D xsi:type="xsd:double"&gt;5.146837&lt;/D&gt;&lt;D xsi:type="xsd:double"&gt;15.928006&lt;/D&gt;&lt;D xsi:type="xsd:double"&gt;15.855265&lt;/D&gt;&lt;D xsi:type="xsd:double"&gt;8.472406&lt;/D&gt;&lt;D xsi:type="xsd:double"&gt;26.172565&lt;/D&gt;&lt;D xsi:type="xsd:double"&gt;17.301727&lt;/D&gt;&lt;D xsi:type="xsd:double"&gt;12.833607&lt;/D&gt;&lt;D xsi:type="xsd:double"&gt;19.246233&lt;/D&gt;&lt;D xsi:type="xsd:double"&gt;13.842154&lt;/D&gt;&lt;D xsi:type="xsd:double"&gt;25.824333&lt;/D&gt;&lt;D xsi:type="xsd:double"&gt;27.452099&lt;/D&gt;&lt;D xsi:type="xsd:double"&gt;17.47223&lt;/D&gt;&lt;D xsi:type="xsd:double"&gt;17.091047&lt;/D&gt;&lt;D xsi:type="xsd:double"&gt;13.045859&lt;/D&gt;&lt;D xsi:type="xsd:double"&gt;11.69628&lt;/D&gt;&lt;D xsi:type="xsd:double"&gt;22.202217&lt;/D&gt;&lt;D xsi:type="xsd:double"&gt;22.189045&lt;/D&gt;&lt;/FQL&gt;&lt;FQL&gt;&lt;Q&gt;EWC^FG_TOTAL_RETURNC(-10AY,0,AM)&lt;/Q&gt;&lt;R&gt;121&lt;/R&gt;&lt;C&gt;1&lt;/C&gt;&lt;D xsi:type="xsd:double"&gt;-5.6620955&lt;/D&gt;&lt;D xsi:type="xsd:double"&gt;-4.3885174&lt;/D&gt;&lt;D xsi:type="xsd:double"&gt;4.4211984&lt;/D&gt;&lt;D xsi:type="xsd:double"&gt;-5.369079&lt;/D&gt;&lt;D xsi:type="xsd:double"&gt;-5.159277&lt;/D&gt;&lt;D xsi:type="xsd:double"&gt;2.3001194&lt;/D&gt;&lt;D xsi:type="xsd:double"&gt;-3.3904374&lt;/D&gt;&lt;D xsi:type="xsd:double"&gt;8.200968&lt;/D&gt;&lt;D xsi:type="xsd:double"&gt;-4.609084&lt;/D&gt;&lt;D xsi:type="xsd:double"&gt;-0.7089019&lt;/D&gt;&lt;D xsi:type="xsd:double"&gt;-10.098076&lt;/D&gt;&lt;D xsi:type="xsd:double"&gt;-2.8686821&lt;/D&gt;&lt;D xsi:type="xsd:double"&gt;-3.9933503&lt;/D&gt;&lt;D xsi:type="xsd:double"&gt;3.4228802&lt;/D&gt;&lt;D xsi:type="xsd:double"&gt;-3.1839132&lt;/D&gt;&lt;D xsi:type="xsd:double"&gt;-3.597927&lt;/D&gt;&lt;D xsi:type="xsd:double"&gt;-8.735216&lt;/D&gt;&lt;D xsi:type="xsd:double"&gt;7.826519&lt;/D&gt;&lt;D xsi:type="xsd:double"&gt;6.749892&lt;/D&gt;&lt;D xsi:type="xsd:double"&gt;9.0515375&lt;/D&gt;&lt;D xsi:type="xsd:double"&gt;-1.787138&lt;/D&gt;&lt;D xsi:type="xsd:double"&gt;-3.730005&lt;/D&gt;&lt;D xsi:type="xsd:double"&gt;5.630815&lt;/D&gt;&lt;D xsi:type="xsd:double"&gt;2.6052117&lt;/D&gt;&lt;D xsi:type="xsd:double"&gt;-1.6406238&lt;/D&gt;&lt;D xsi:type="xsd:double"&gt;1.3105631&lt;/D&gt;&lt;D xsi:type="xsd:double"&gt;1.4504075&lt;/D&gt;&lt;D xsi:type="xsd:double"&gt;1.7406702&lt;/D&gt;&lt;D xsi:type="xsd:double"&gt;4.564631&lt;/D&gt;&lt;D xsi:type="xsd:double"&gt;-0.3301561&lt;/D&gt;&lt;D xsi:type="xsd:double"&gt;-2.024287&lt;/D&gt;&lt;D xsi:type="xsd:double"&gt;-1.5402019&lt;/D&gt;&lt;D xsi:type="xsd:double"&gt;0.6486058&lt;/D&gt;&lt;D xsi:type="xsd:double"&gt;1.4362693&lt;/D&gt;&lt;D xsi:type="xsd:double"&gt;4.6345115&lt;/D&gt;&lt;D xsi:type="xsd:double"&gt;-0.18005371&lt;/D&gt;&lt;D xsi:type="xsd:double"&gt;4.0043354&lt;/D&gt;&lt;D xsi:type="xsd:double"&gt;0&lt;/D&gt;&lt;D xsi:type="xsd:double"&gt;1.1446357&lt;/D&gt;&lt;D xsi:type="xsd:double"&gt;2.0448565&lt;/D&gt;&lt;D xsi:type="xsd:double"&gt;3.1994581&lt;/D&gt;&lt;D xsi:type="xsd:double"&gt;-6.563324&lt;/D&gt;&lt;D xsi:type="xsd:double"&gt;-4.0592966&lt;/D&gt;&lt;D xsi:type="xsd:double"&gt;3.789544&lt;/D&gt;&lt;D xsi:type="xsd:double"&gt;1.9496679&lt;/D&gt;&lt;D xsi:type="xsd:double"&gt;-2.0097733&lt;/D&gt;&lt;D xsi:type="xsd:double"&gt;3.862667&lt;/D&gt;&lt;D xsi:type="xsd:double"&gt;0.9641886&lt;/D&gt;&lt;D xsi:type="xsd:double"&gt;-1.8758476&lt;/D&gt;&lt;D xsi:type="xsd:double"&gt;-8.724367&lt;/D&gt;&lt;D xsi:type="xsd:double"&gt;-0.41888952&lt;/D&gt;&lt;D xsi:type="xsd:double"&gt;-7.812655&lt;/D&gt;&lt;D xsi:type="xsd:double"&gt;12.273312&lt;/D&gt;&lt;D xsi:type="xsd:double"&gt;5.1840663&lt;/D&gt;&lt;D xsi:type="xsd:double"&gt;-1.7499983&lt;/D&gt;&lt;D xsi:type="xsd:double"&gt;3.4532905&lt;/D&gt;&lt;D xsi:type="xsd:double"&gt;-2.213633&lt;/D&gt;&lt;D xsi:type="xsd:double"&gt;3.2654405&lt;/D&gt;&lt;D xsi:type="xsd:double"&gt;0.7724762&lt;/D&gt;&lt;D xsi:type="xsd:double"&gt;-3.4843206&lt;/D&gt;&lt;D xsi:type="xsd:double"&gt;4.25992&lt;/D&gt;&lt;D xsi:type="xsd:double"&gt;0.103878975&lt;/D&gt;&lt;D xsi:type="xsd:double"&gt;2.5942564&lt;/D&gt;&lt;D xsi:type="xsd:double"&gt;1.8473387&lt;/D&gt;&lt;D xsi:type="xsd:double"&gt;0.7380128&lt;/D&gt;&lt;D xsi:type="xsd:double"&gt;-6.8931103&lt;/D&gt;&lt;D xsi:type="xsd:double"&gt;-26.108725&lt;/D&gt;&lt;D xsi:type="xsd:double"&gt;15.198445&lt;/D&gt;&lt;D xsi:type="xsd:double"&gt;6.8487406&lt;/D&gt;&lt;D xsi:type="xsd:double"&gt;-0.1453042&lt;/D&gt;&lt;D xsi:type="xsd:double"&gt;8.830559&lt;/D&gt;&lt;D xsi:type="xsd:double"&gt;5.811405&lt;/D&gt;&lt;D xsi:type="xsd:double"&gt;-6.0103655&lt;/D&gt;&lt;D xsi:type="xsd:double"&gt;1.1025429&lt;/D&gt;&lt;D xsi:type="xsd:double"&gt;10.868776&lt;/D&gt;&lt;D xsi:type="xsd:double"&gt;3.1105757&lt;/D&gt;&lt;D xsi:type="xsd:double"&gt;-0.9014785&lt;/D&gt;&lt;D xsi:type="xsd:double"&gt;4.51591&lt;/D&gt;&lt;D xsi:type="xsd:double"&gt;6.061554&lt;/D&gt;&lt;D xsi:type="xsd:double"&gt;3.8393974&lt;/D&gt;&lt;D xsi:type="xsd:double"&gt;6.717479&lt;/D&gt;&lt;D xsi:type="xsd:double"&gt;0.32280684&lt;/D&gt;&lt;D xsi:type="xsd:double"&gt;-2.3872733&lt;/D&gt;&lt;D xsi:type="xsd:double"&gt;2.0652175&lt;/D&gt;&lt;D xsi:type="xsd:double"&gt;-0.95846653&lt;/D&gt;&lt;D xsi:type="xsd:double"&gt;4.838705&lt;/D&gt;&lt;D xsi:type="xsd:double"&gt;-2.0769238&lt;/D&gt;&lt;D xsi:type="xsd:double"&gt;1.612699&lt;/D&gt;&lt;D xsi:type="xsd:double"&gt;-3.3150613&lt;/D&gt;&lt;D xsi:type="xsd:double"&gt;2.9967666&lt;/D&gt;&lt;D xsi:type="xsd:double"&gt;6.395805&lt;/D&gt;&lt;D xsi:type="xsd:double"&gt;-8.622813&lt;/D&gt;&lt;D xsi:type="xsd:double"&gt;1.4289498&lt;/D&gt;&lt;D xsi:type="xsd:double"&gt;-8.03833&lt;/D&gt;&lt;D xsi:type="xsd:double"&gt;0.61153173&lt;/D&gt;&lt;D xsi:type="xsd:double"&gt;1.1866808&lt;/D&gt;&lt;D xsi:type="xsd:double"&gt;-12.128144&lt;/D&gt;&lt;D xsi:type="xsd:double"&gt;7.389331&lt;/D&gt;&lt;D xsi:type="xsd:double"&gt;7.09306&lt;/D&gt;&lt;D xsi:type="xsd:double"&gt;-5.147785&lt;/D&gt;&lt;D xsi:type="xsd:double"&gt;7.9927325&lt;/D&gt;&lt;D xsi:type="xsd:double"&gt;-3.8968325&lt;/D&gt;&lt;D xsi:type="xsd:double"&gt;-3.7631214&lt;/D&gt;&lt;D xsi:type="xsd:double"&gt;5.638063&lt;/D&gt;&lt;D xsi:type="xsd:double"&gt;-3.0703008&lt;/D&gt;&lt;D xsi:type="xsd:double"&gt;3.04662&lt;/D&gt;&lt;D xsi:type="xsd:double"&gt;3.1630874&lt;/D&gt;&lt;D xsi:type="xsd:double"&gt;-5.457097&lt;/D&gt;&lt;D xsi:type="xsd:double"&gt;-0.65457225&lt;/D&gt;&lt;D xsi:type="xsd:double"&gt;-5.720276&lt;/D&gt;&lt;D xsi:type="xsd:double"&gt;9.402788&lt;/D&gt;&lt;D xsi:type="xsd:double"&gt;8.514404&lt;/D&gt;&lt;D xsi:type="xsd:double"&gt;-1.084888&lt;/D&gt;&lt;D xsi:type="xsd:double"&gt;0.7951617&lt;/D&gt;&lt;D xsi:type="xsd:double"&gt;3.5636544&lt;/D&gt;&lt;D xsi:type="xsd:double"&gt;-1.1557639&lt;/D&gt;&lt;D xsi:type="xsd:double"&gt;1.5944719&lt;/D&gt;&lt;D xsi:type="xsd:double"&gt;-1.7200768&lt;/D&gt;&lt;D xsi:type="xsd:double"&gt;2.9822707&lt;/D&gt;&lt;D xsi:type="xsd:double"&gt;5.270016&lt;/D&gt;&lt;D xsi:type="xsd:double"&gt;3.2465935&lt;/D&gt;&lt;/FQL&gt;&lt;FQL&gt;&lt;Q&gt;PLATI-FDS^FG_PRICE_CHANGE(0,-1AY)&lt;/Q&gt;&lt;R&gt;1&lt;/R&gt;&lt;C&gt;1&lt;/C&gt;&lt;D xsi:type="xsd:double"&gt;11.6022099447514&lt;/D&gt;&lt;/FQL&gt;&lt;FQL&gt;&lt;Q&gt;W-FDS^FG_PRICE_CHANGE(0,-1AY)&lt;/Q&gt;&lt;R&gt;1&lt;/R&gt;&lt;C&gt;1&lt;/C&gt;&lt;D xsi:type="xsd:double"&gt;0.819672131147553&lt;/D&gt;&lt;/FQL&gt;&lt;FQL&gt;&lt;Q&gt;FC0000JP^FG_PRICE(0)&lt;/Q&gt;&lt;R&gt;1&lt;/R&gt;&lt;C&gt;1&lt;/C&gt;&lt;D xsi:type="xsd:double"&gt;185.49318&lt;/D&gt;&lt;/FQL&gt;&lt;FQL&gt;&lt;Q&gt;EWU^FMA_EPS(NTMA,-20AY,0,CY,,"PORTAGG","MEANR")&lt;/Q&gt;&lt;R&gt;20&lt;/R&gt;&lt;C&gt;1&lt;/C&gt;&lt;D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xsi:type="xsd:double"&gt;2.53509270637054&lt;/D&gt;&lt;D xsi:type="xsd:double"&gt;2.03535923448403&lt;/D&gt;&lt;D xsi:type="xsd:double"&gt;2.71455451649836&lt;/D&gt;&lt;D xsi:type="xsd:double"&gt;3.12785085030901&lt;/D&gt;&lt;D xsi:type="xsd:double"&gt;3.00293990504371&lt;/D&gt;&lt;/FQL&gt;&lt;FQL&gt;&lt;Q&gt;ENZL^FMA_DIV_YLD(NTMA,-10AY,0,AM,"PORTAGG","MEANR")&lt;/Q&gt;&lt;R&gt;121&lt;/R&gt;&lt;C&gt;1&lt;/C&gt;&lt;D xsi:type="xsd:double"&gt;4.57172910160159&lt;/D&gt;&lt;D xsi:type="xsd:double"&gt;4.54166871323773&lt;/D&gt;&lt;D xsi:type="xsd:double"&gt;4.52358126047718&lt;/D&gt;&lt;D xsi:type="xsd:double"&gt;4.4532055061177&lt;/D&gt;&lt;D xsi:type="xsd:double"&gt;4.30584593029256&lt;/D&gt;&lt;D xsi:type="xsd:double"&gt;4.26227285815805&lt;/D&gt;&lt;D xsi:type="xsd:double"&gt;4.39963047108167&lt;/D&gt;&lt;D xsi:type="xsd:double"&gt;4.50887831199957&lt;/D&gt;&lt;D xsi:type="xsd:double"&gt;4.4774365593673&lt;/D&gt;&lt;D xsi:type="xsd:double"&gt;4.65300367779847&lt;/D&gt;&lt;D xsi:type="xsd:double"&gt;4.59314816659199&lt;/D&gt;&lt;D xsi:type="xsd:double"&gt;5.0513715565408&lt;/D&gt;&lt;D xsi:type="xsd:double"&gt;5.15988508179072&lt;/D&gt;&lt;D xsi:type="xsd:double"&gt;4.90731649228232&lt;/D&gt;&lt;D xsi:type="xsd:double"&gt;4.81372173146439&lt;/D&gt;&lt;D xsi:type="xsd:double"&gt;4.8055790656829&lt;/D&gt;&lt;D xsi:type="xsd:double"&gt;4.89997814738938&lt;/D&gt;&lt;D xsi:type="xsd:double"&gt;4.85116509122552&lt;/D&gt;&lt;D xsi:type="xsd:double"&gt;4.61056563036032&lt;/D&gt;&lt;D xsi:type="xsd:double"&gt;4.61955740689388&lt;/D&gt;&lt;D xsi:type="xsd:double"&gt;4.44755318030269&lt;/D&gt;&lt;D xsi:type="xsd:double"&gt;4.56668922254929&lt;/D&gt;&lt;D xsi:type="xsd:double"&gt;4.15288322286561&lt;/D&gt;&lt;D xsi:type="xsd:double"&gt;4.21461735867198&lt;/D&gt;&lt;D xsi:type="xsd:double"&gt;4.37624968776863&lt;/D&gt;&lt;D xsi:type="xsd:double"&gt;4.57042734098973&lt;/D&gt;&lt;D xsi:type="xsd:double"&gt;4.60110699620602&lt;/D&gt;&lt;D xsi:type="xsd:double"&gt;4.62717394955955&lt;/D&gt;&lt;D xsi:type="xsd:double"&gt;4.47939616113487&lt;/D&gt;&lt;D xsi:type="xsd:double"&gt;4.71782707733345&lt;/D&gt;&lt;D xsi:type="xsd:double"&gt;4.66993969929184&lt;/D&gt;&lt;D xsi:type="xsd:double"&gt;4.47671592468623&lt;/D&gt;&lt;D xsi:type="xsd:double"&gt;4.44322159044133&lt;/D&gt;&lt;D xsi:type="xsd:double"&gt;4.34093235903734&lt;/D&gt;&lt;D xsi:type="xsd:double"&gt;4.38419901032505&lt;/D&gt;&lt;D xsi:type="xsd:double"&gt;4.26798250550442&lt;/D&gt;&lt;D xsi:type="xsd:double"&gt;4.39819182278369&lt;/D&gt;&lt;D xsi:type="xsd:double"&gt;4.36629584804597&lt;/D&gt;&lt;D xsi:type="xsd:double"&gt;4.34600666802113&lt;/D&gt;&lt;D xsi:type="xsd:double"&gt;4.2244990042703&lt;/D&gt;&lt;D xsi:type="xsd:double"&gt;4.26427339463985&lt;/D&gt;&lt;D xsi:type="xsd:double"&gt;4.24862446970248&lt;/D&gt;&lt;D xsi:type="xsd:double"&gt;4.21501539905992&lt;/D&gt;&lt;D xsi:type="xsd:double"&gt;4.31122027068862&lt;/D&gt;&lt;D xsi:type="xsd:double"&gt;4.21781842953627&lt;/D&gt;&lt;D xsi:type="xsd:double"&gt;4.02616772278336&lt;/D&gt;&lt;D xsi:type="xsd:double"&gt;4.05913697025415&lt;/D&gt;&lt;D xsi:type="xsd:double"&gt;3.93290505624039&lt;/D&gt;&lt;D xsi:type="xsd:double"&gt;4.00378028540137&lt;/D&gt;&lt;D xsi:type="xsd:double"&gt;4.38607379306462&lt;/D&gt;&lt;D xsi:type="xsd:double"&gt;4.31354587820394&lt;/D&gt;&lt;D xsi:type="xsd:double"&gt;4.18396703545871&lt;/D&gt;&lt;D xsi:type="xsd:double"&gt;4.04220007090484&lt;/D&gt;&lt;D xsi:type="xsd:double"&gt;3.97762045531599&lt;/D&gt;&lt;D xsi:type="xsd:double"&gt;3.81365997697172&lt;/D&gt;&lt;D xsi:type="xsd:double"&gt;3.69468587635097&lt;/D&gt;&lt;D xsi:type="xsd:double"&gt;3.66664516401953&lt;/D&gt;&lt;D xsi:type="xsd:double"&gt;3.58785122484218&lt;/D&gt;&lt;D xsi:type="xsd:double"&gt;3.41780138965898&lt;/D&gt;&lt;D xsi:type="xsd:double"&gt;3.46294702951203&lt;/D&gt;&lt;D xsi:type="xsd:double"&gt;3.37937427518384&lt;/D&gt;&lt;D xsi:type="xsd:double"&gt;3.38482040096776&lt;/D&gt;&lt;D xsi:type="xsd:double"&gt;3.27983606955584&lt;/D&gt;&lt;D xsi:type="xsd:double"&gt;3.14079418403057&lt;/D&gt;&lt;D xsi:type="xsd:double"&gt;3.08285649916849&lt;/D&gt;&lt;D xsi:type="xsd:double"&gt;3.12833560029479&lt;/D&gt;&lt;D xsi:type="xsd:double"&gt;3.44708922141302&lt;/D&gt;&lt;D xsi:type="xsd:double"&gt;2.75735105858082&lt;/D&gt;&lt;D xsi:type="xsd:double"&gt;2.46022815166799&lt;/D&gt;&lt;D xsi:type="xsd:double"&gt;2.56457852735202&lt;/D&gt;&lt;D xsi:type="xsd:double"&gt;2.44478479068929&lt;/D&gt;&lt;D xsi:type="xsd:double"&gt;2.29183140786517&lt;/D&gt;&lt;D xsi:type="xsd:double"&gt;2.43104149799949&lt;/D&gt;&lt;D xsi:type="xsd:double"&gt;2.40394244236213&lt;/D&gt;&lt;D xsi:type="xsd:double"&gt;2.44193551866225&lt;/D&gt;&lt;D xsi:type="xsd:double"&gt;2.39817914530644&lt;/D&gt;&lt;D xsi:type="xsd:double"&gt;2.41535344758525&lt;/D&gt;&lt;D xsi:type="xsd:double"&gt;2.63905375411329&lt;/D&gt;&lt;D xsi:type="xsd:double"&gt;2.60452674752452&lt;/D&gt;&lt;D xsi:type="xsd:double"&gt;2.58176965498938&lt;/D&gt;&lt;D xsi:type="xsd:double"&gt;2.72906450683982&lt;/D&gt;&lt;D xsi:type="xsd:double"&gt;2.66822141600241&lt;/D&gt;&lt;D xsi:type="xsd:double"&gt;2.65324786308885&lt;/D&gt;&lt;D xsi:type="xsd:double"&gt;2.58455471559939&lt;/D&gt;&lt;D xsi:type="xsd:double"&gt;2.61375162467515&lt;/D&gt;&lt;D xsi:type="xsd:double"&gt;2.67966029659449&lt;/D&gt;&lt;D xsi:type="xsd:double"&gt;2.76889917107156&lt;/D&gt;&lt;D xsi:type="xsd:double"&gt;2.78218316080342&lt;/D&gt;&lt;D xsi:type="xsd:double"&gt;3.01508316139331&lt;/D&gt;&lt;D xsi:type="xsd:double"&gt;3.06663755871834&lt;/D&gt;&lt;D xsi:type="xsd:double"&gt;3.06477577467148&lt;/D&gt;&lt;D xsi:type="xsd:double"&gt;3.17955556279974&lt;/D&gt;&lt;D xsi:type="xsd:double"&gt;3.27688214158403&lt;/D&gt;&lt;D xsi:type="xsd:double"&gt;3.34529005787721&lt;/D&gt;&lt;D xsi:type="xsd:double"&gt;3.35411414099843&lt;/D&gt;&lt;D xsi:type="xsd:double"&gt;3.197992672027&lt;/D&gt;&lt;D xsi:type="xsd:double"&gt;3.37302153170928&lt;/D&gt;&lt;D xsi:type="xsd:double"&gt;3.44286956909816&lt;/D&gt;&lt;D xsi:type="xsd:double"&gt;3.35374493213394&lt;/D&gt;&lt;D xsi:type="xsd:double"&gt;3.45333951055925&lt;/D&gt;&lt;D xsi:type="xsd:double"&gt;3.3143519884008&lt;/D&gt;&lt;D xsi:type="xsd:double"&gt;3.39587188817799&lt;/D&gt;&lt;D xsi:type="xsd:double"&gt;3.47427501846368&lt;/D&gt;&lt;D xsi:type="xsd:double"&gt;3.41916401814158&lt;/D&gt;&lt;D xsi:type="xsd:double"&gt;3.50870281491996&lt;/D&gt;&lt;D xsi:type="xsd:double"&gt;3.50972147964982&lt;/D&gt;&lt;D xsi:type="xsd:double"&gt;3.41946583425952&lt;/D&gt;&lt;D xsi:type="xsd:double"&gt;3.50416812103382&lt;/D&gt;&lt;D xsi:type="xsd:double"&gt;3.42828024558658&lt;/D&gt;&lt;D xsi:type="xsd:double"&gt;3.6013076656932&lt;/D&gt;&lt;D xsi:type="xsd:double"&gt;3.41138615856025&lt;/D&gt;&lt;D xsi:type="xsd:double"&gt;3.00140123761931&lt;/D&gt;&lt;D xsi:type="xsd:double"&gt;2.97871440833777&lt;/D&gt;&lt;D xsi:type="xsd:double"&gt;2.90259347261713&lt;/D&gt;&lt;D xsi:type="xsd:double"&gt;2.74286605416461&lt;/D&gt;&lt;D xsi:type="xsd:double"&gt;2.78527583454436&lt;/D&gt;&lt;D xsi:type="xsd:double"&gt;2.7239445724238&lt;/D&gt;&lt;D xsi:type="xsd:double"&gt;2.75814513701404&lt;/D&gt;&lt;D xsi:type="xsd:double"&gt;2.62928359515801&lt;/D&gt;&lt;D xsi:type="xsd:double"&gt;2.51796477394364&lt;/D&gt;&lt;D xsi:type="xsd:double"&gt;3.13870182209406&lt;/D&gt;&lt;/FQL&gt;&lt;FQL&gt;&lt;Q&gt;EWI^FMA_PE(LTMA,-10AY,0,AM,"PORTAGG","MEANR")&lt;/Q&gt;&lt;R&gt;121&lt;/R&gt;&lt;C&gt;1&lt;/C&gt;&lt;D xsi:type="xsd:double"&gt;17.8599147731934&lt;/D&gt;&lt;D xsi:type="xsd:double"&gt;16.6137901813175&lt;/D&gt;&lt;D xsi:type="xsd:double"&gt;18.2465415901947&lt;/D&gt;&lt;D xsi:type="xsd:double"&gt;18.5718488422506&lt;/D&gt;&lt;D xsi:type="xsd:double"&gt;22.198648334139&lt;/D&gt;&lt;D xsi:type="xsd:double"&gt;45.3660681485857&lt;/D&gt;&lt;D xsi:type="xsd:double"&gt;42.7687759519394&lt;/D&gt;&lt;D xsi:type="xsd:double"&gt;40.0687244992236&lt;/D&gt;&lt;D xsi:type="xsd:double"&gt;37.3259207683979&lt;/D&gt;&lt;D xsi:type="xsd:double"&gt;34.4104075342983&lt;/D&gt;&lt;D xsi:type="xsd:double"&gt;31.1333328007083&lt;/D&gt;&lt;D xsi:type="xsd:double"&gt;28.3628641569039&lt;/D&gt;&lt;D xsi:type="xsd:double"&gt;25.2397059294722&lt;/D&gt;&lt;D xsi:type="xsd:double"&gt;23.2806416375&lt;/D&gt;&lt;D xsi:type="xsd:double"&gt;21.6984993755562&lt;/D&gt;&lt;D xsi:type="xsd:double"&gt;18.6260556114805&lt;/D&gt;&lt;D xsi:type="xsd:double"&gt;15.3442137346737&lt;/D&gt;&lt;D xsi:type="xsd:double"&gt;15.2901698920908&lt;/D&gt;&lt;D xsi:type="xsd:double"&gt;15.3290650874652&lt;/D&gt;&lt;D xsi:type="xsd:double"&gt;15.3707857482365&lt;/D&gt;&lt;D xsi:type="xsd:double"&gt;15.5467365638152&lt;/D&gt;&lt;D xsi:type="xsd:double"&gt;13.9711817444069&lt;/D&gt;&lt;D xsi:type="xsd:double"&gt;14.7857296654118&lt;/D&gt;&lt;D xsi:type="xsd:double"&gt;15.065896229453&lt;/D&gt;&lt;D xsi:type="xsd:double"&gt;14.5214283127583&lt;/D&gt;&lt;D xsi:type="xsd:double"&gt;15.2038510671554&lt;/D&gt;&lt;D xsi:type="xsd:double"&gt;14.6154833132795&lt;/D&gt;&lt;D xsi:type="xsd:double"&gt;27.7474039698298&lt;/D&gt;&lt;D xsi:type="xsd:double"&gt;27.3488655567196&lt;/D&gt;&lt;D xsi:type="xsd:double"&gt;86.0625564405379&lt;/D&gt;&lt;D xsi:type="xsd:double"&gt;79.7342739392257&lt;/D&gt;&lt;D xsi:type="xsd:double"&gt;72.4807928417322&lt;/D&gt;&lt;D xsi:type="xsd:double"&gt;65.7915756784264&lt;/D&gt;&lt;D xsi:type="xsd:double"&gt;58.1386839764673&lt;/D&gt;&lt;D xsi:type="xsd:double"&gt;51.4374220088679&lt;/D&gt;&lt;D xsi:type="xsd:double"&gt;44.5532427194684&lt;/D&gt;&lt;D xsi:type="xsd:double"&gt;37.0920517796973&lt;/D&gt;&lt;D xsi:type="xsd:double"&gt;30.270561998868&lt;/D&gt;&lt;D xsi:type="xsd:double"&gt;22.9058865440678&lt;/D&gt;&lt;D xsi:type="xsd:double"&gt;16.1783546060419&lt;/D&gt;&lt;D xsi:type="xsd:double"&gt;15.9316552002445&lt;/D&gt;&lt;D xsi:type="xsd:double"&gt;14.2354540856904&lt;/D&gt;&lt;D xsi:type="xsd:double"&gt;14.0533349774293&lt;/D&gt;&lt;D xsi:type="xsd:double"&gt;14.1811937174317&lt;/D&gt;&lt;D xsi:type="xsd:double"&gt;13.6391760417305&lt;/D&gt;&lt;D xsi:type="xsd:double"&gt;13.2886253224712&lt;/D&gt;&lt;D xsi:type="xsd:double"&gt;13.2808057715658&lt;/D&gt;&lt;D xsi:type="xsd:double"&gt;12.6838089793577&lt;/D&gt;&lt;D xsi:type="xsd:double"&gt;12.6695813652879&lt;/D&gt;&lt;D xsi:type="xsd:double"&gt;11.3108001361022&lt;/D&gt;&lt;D xsi:type="xsd:double"&gt;11.2345097284061&lt;/D&gt;&lt;D xsi:type="xsd:double"&gt;10.3106488544806&lt;/D&gt;&lt;D xsi:type="xsd:double"&gt;11.1445658509746&lt;/D&gt;&lt;D xsi:type="xsd:double"&gt;11.2593271388266&lt;/D&gt;&lt;D xsi:type="xsd:double"&gt;11.3087407579434&lt;/D&gt;&lt;D xsi:type="xsd:double"&gt;11.3367884322787&lt;/D&gt;&lt;D xsi:type="xsd:double"&gt;11.0308533287702&lt;/D&gt;&lt;D xsi:type="xsd:double"&gt;11.0805127392256&lt;/D&gt;&lt;D xsi:type="xsd:double"&gt;11.2984827660761&lt;/D&gt;&lt;D xsi:type="xsd:double"&gt;11.00590061088&lt;/D&gt;&lt;D xsi:type="xsd:double"&gt;11.3118920649741&lt;/D&gt;&lt;D xsi:type="xsd:double"&gt;11.641979500927&lt;/D&gt;&lt;D xsi:type="xsd:double"&gt;12.0199661032522&lt;/D&gt;&lt;D xsi:type="xsd:double"&gt;12.2369216075069&lt;/D&gt;&lt;D xsi:type="xsd:double"&gt;11.9873052523561&lt;/D&gt;&lt;D xsi:type="xsd:double"&gt;11.8016777242606&lt;/D&gt;&lt;D xsi:type="xsd:double"&gt;11.0732652527067&lt;/D&gt;&lt;D xsi:type="xsd:double"&gt;12.3022195165125&lt;/D&gt;&lt;D xsi:type="xsd:double"&gt;14.2272683608398&lt;/D&gt;&lt;D xsi:type="xsd:double"&gt;16.1304157484973&lt;/D&gt;&lt;D xsi:type="xsd:double"&gt;17.7048142302557&lt;/D&gt;&lt;D xsi:type="xsd:double"&gt;17.7527447310841&lt;/D&gt;&lt;D xsi:type="xsd:double"&gt;17.8014211800805&lt;/D&gt;&lt;D xsi:type="xsd:double"&gt;18.6399687197244&lt;/D&gt;&lt;D xsi:type="xsd:double"&gt;22.0709542281702&lt;/D&gt;&lt;D xsi:type="xsd:double"&gt;23.053936561267&lt;/D&gt;&lt;D xsi:type="xsd:double"&gt;20.3477034723972&lt;/D&gt;&lt;D xsi:type="xsd:double"&gt;20.3525735166553&lt;/D&gt;&lt;D xsi:type="xsd:double"&gt;19.8627345816533&lt;/D&gt;&lt;D xsi:type="xsd:double"&gt;19.2447597533063&lt;/D&gt;&lt;D xsi:type="xsd:double"&gt;18.5666363196744&lt;/D&gt;&lt;D xsi:type="xsd:double"&gt;18.2044163381729&lt;/D&gt;&lt;D xsi:type="xsd:double"&gt;17.3503995356789&lt;/D&gt;&lt;D xsi:type="xsd:double"&gt;15.7882782038712&lt;/D&gt;&lt;D xsi:type="xsd:double"&gt;14.9368988559654&lt;/D&gt;&lt;D xsi:type="xsd:double"&gt;14.3623498822599&lt;/D&gt;&lt;D xsi:type="xsd:double"&gt;12.7672599545387&lt;/D&gt;&lt;D xsi:type="xsd:double"&gt;12.1150967460871&lt;/D&gt;&lt;D xsi:type="xsd:double"&gt;11.8524467945234&lt;/D&gt;&lt;D xsi:type="xsd:double"&gt;10.7837623689634&lt;/D&gt;&lt;D xsi:type="xsd:double"&gt;10.5301484127292&lt;/D&gt;&lt;D xsi:type="xsd:double"&gt;10.3562711448904&lt;/D&gt;&lt;D xsi:type="xsd:double"&gt;10.1313627279421&lt;/D&gt;&lt;D xsi:type="xsd:double"&gt;9.45700454914585&lt;/D&gt;&lt;D xsi:type="xsd:double"&gt;8.97876824749566&lt;/D&gt;&lt;D xsi:type="xsd:double"&gt;8.43185685694555&lt;/D&gt;&lt;D xsi:type="xsd:double"&gt;8.08254559527458&lt;/D&gt;&lt;D xsi:type="xsd:double"&gt;8.17255159194034&lt;/D&gt;&lt;D xsi:type="xsd:double"&gt;8.28594963867932&lt;/D&gt;&lt;D xsi:type="xsd:double"&gt;7.44752082172897&lt;/D&gt;&lt;D xsi:type="xsd:double"&gt;8.13571254150703&lt;/D&gt;&lt;D xsi:type="xsd:double"&gt;8.23909760772028&lt;/D&gt;&lt;D xsi:type="xsd:double"&gt;8.22862798959732&lt;/D&gt;&lt;D xsi:type="xsd:double"&gt;8.38378288421564&lt;/D&gt;&lt;D xsi:type="xsd:double"&gt;8.2071572421251&lt;/D&gt;&lt;D xsi:type="xsd:double"&gt;8.46221935224499&lt;/D&gt;&lt;D xsi:type="xsd:double"&gt;8.56351505688347&lt;/D&gt;&lt;D xsi:type="xsd:double"&gt;8.20889731257101&lt;/D&gt;&lt;D xsi:type="xsd:double"&gt;8.2120434818887&lt;/D&gt;&lt;D xsi:type="xsd:double"&gt;7.90017820948708&lt;/D&gt;&lt;D xsi:type="xsd:double"&gt;8.26953666778643&lt;/D&gt;&lt;D xsi:type="xsd:double"&gt;8.86928574261009&lt;/D&gt;&lt;D xsi:type="xsd:double"&gt;9.01657001556237&lt;/D&gt;&lt;D xsi:type="xsd:double"&gt;9.29966735675725&lt;/D&gt;&lt;D xsi:type="xsd:double"&gt;9.48134448942253&lt;/D&gt;&lt;D xsi:type="xsd:double"&gt;9.4560969899052&lt;/D&gt;&lt;D xsi:type="xsd:double"&gt;9.5619115049098&lt;/D&gt;&lt;D xsi:type="xsd:double"&gt;9.42967734507865&lt;/D&gt;&lt;D xsi:type="xsd:double"&gt;9.70441030951861&lt;/D&gt;&lt;D xsi:type="xsd:double"&gt;9.82247371809969&lt;/D&gt;&lt;D xsi:type="xsd:double"&gt;10.0127578666945&lt;/D&gt;&lt;/FQL&gt;&lt;FQL&gt;&lt;Q&gt;DDR3512M-FDS^FG_PRICE_CHANGE(0,-1AY)&lt;/Q&gt;&lt;R&gt;1&lt;/R&gt;&lt;C&gt;1&lt;/C&gt;&lt;D xsi:type="xsd:double"&gt;-11.8769449659505&lt;/D&gt;&lt;/FQL&gt;&lt;FQL&gt;&lt;Q&gt;PASP-FDS^FG_PRICE_CHANGE(0,-1AY)&lt;/Q&gt;&lt;R&gt;1&lt;/R&gt;&lt;C&gt;1&lt;/C&gt;&lt;D xsi:type="xsd:double"&gt;-14.8&lt;/D&gt;&lt;/FQL&gt;&lt;FQL&gt;&lt;Q&gt;COPP-FDS^FG_PRICE_CHANGE(0,-1AY)&lt;/Q&gt;&lt;R&gt;1&lt;/R&gt;&lt;C&gt;1&lt;/C&gt;&lt;D xsi:type="xsd:double"&gt;26.302729528536&lt;/D&gt;&lt;/FQL&gt;&lt;FQL&gt;&lt;Q&gt;ENZL^FMA_ROE(NTMA,-20AY,NOW,FY,"PORTAGG","MEANR")&lt;/Q&gt;&lt;R&gt;20&lt;/R&gt;&lt;C&gt;1&lt;/C&gt;&lt;D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xsi:type="xsd:double"&gt;6.15&lt;/D&gt;&lt;/FQL&gt;&lt;FQL&gt;&lt;Q&gt;CAGDPY@DE^EE_ACTUAL_ANNUAL(MED,+1)&lt;/Q&gt;&lt;R&gt;1&lt;/R&gt;&lt;C&gt;1&lt;/C&gt;&lt;D xsi:type="xsd:double"&gt;6.85&lt;/D&gt;&lt;/FQL&gt;&lt;FQL&gt;&lt;Q&gt;CC_NZ^FG_COMPANY_NAME&lt;/Q&gt;&lt;R&gt;1&lt;/R&gt;&lt;C&gt;1&lt;/C&gt;&lt;D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xsi:type="xsd:double"&gt;2.86470858427176&lt;/D&gt;&lt;/FQL&gt;&lt;FQL&gt;&lt;Q&gt;EWG^P_PRICE_RETURNS_PR('52W',2,-10AY,0,AM)&lt;/Q&gt;&lt;R&gt;121&lt;/R&gt;&lt;C&gt;1&lt;/C&gt;&lt;D xsi:type="xsd:double"&gt;2.4187922&lt;/D&gt;&lt;D xsi:type="xsd:double"&gt;-9.463083&lt;/D&gt;&lt;D xsi:type="xsd:double"&gt;-2.5033176&lt;/D&gt;&lt;D xsi:type="xsd:double"&gt;-8.531737&lt;/D&gt;&lt;D xsi:type="xsd:double"&gt;-5.3942204&lt;/D&gt;&lt;D xsi:type="xsd:double"&gt;-3.5980344&lt;/D&gt;&lt;D xsi:type="xsd:double"&gt;-0.5595565&lt;/D&gt;&lt;D xsi:type="xsd:double"&gt;-0.09363294&lt;/D&gt;&lt;D xsi:type="xsd:double"&gt;-5.6617737&lt;/D&gt;&lt;D xsi:type="xsd:double"&gt;-4.154664&lt;/D&gt;&lt;D xsi:type="xsd:double"&gt;-5.7242393&lt;/D&gt;&lt;D xsi:type="xsd:double"&gt;-7.500595&lt;/D&gt;&lt;D xsi:type="xsd:double"&gt;-10.318851&lt;/D&gt;&lt;D xsi:type="xsd:double"&gt;4.0142775&lt;/D&gt;&lt;D xsi:type="xsd:double"&gt;-4.3545904&lt;/D&gt;&lt;D xsi:type="xsd:double"&gt;-3.2483876&lt;/D&gt;&lt;D xsi:type="xsd:double"&gt;-12.509668&lt;/D&gt;&lt;D xsi:type="xsd:double"&gt;-18.659782&lt;/D&gt;&lt;D xsi:type="xsd:double"&gt;-15.711599&lt;/D&gt;&lt;D xsi:type="xsd:double"&gt;-10.758961&lt;/D&gt;&lt;D xsi:type="xsd:double"&gt;-11.028528&lt;/D&gt;&lt;D xsi:type="xsd:double"&gt;-19.846546&lt;/D&gt;&lt;D xsi:type="xsd:double"&gt;-7.2152557&lt;/D&gt;&lt;D xsi:type="xsd:double"&gt;1.1534572&lt;/D&gt;&lt;D xsi:type="xsd:double"&gt;7.613671&lt;/D&gt;&lt;D xsi:type="xsd:double"&gt;-1.8680632&lt;/D&gt;&lt;D xsi:type="xsd:double"&gt;-4.8837423&lt;/D&gt;&lt;D xsi:type="xsd:double"&gt;0.82051754&lt;/D&gt;&lt;D xsi:type="xsd:double"&gt;17.33234&lt;/D&gt;&lt;D xsi:type="xsd:double"&gt;19.44883&lt;/D&gt;&lt;D xsi:type="xsd:double"&gt;16.509867&lt;/D&gt;&lt;D xsi:type="xsd:double"&gt;14.420069&lt;/D&gt;&lt;D xsi:type="xsd:double"&gt;20.97019&lt;/D&gt;&lt;D xsi:type="xsd:double"&gt;36.19919&lt;/D&gt;&lt;D xsi:type="xsd:double"&gt;23.185217&lt;/D&gt;&lt;D xsi:type="xsd:double"&gt;20.419168&lt;/D&gt;&lt;D xsi:type="xsd:double"&gt;25.169325&lt;/D&gt;&lt;D xsi:type="xsd:double"&gt;29.415058&lt;/D&gt;&lt;D xsi:type="xsd:double"&gt;35.268772&lt;/D&gt;&lt;D xsi:type="xsd:double"&gt;28.647793&lt;/D&gt;&lt;D xsi:type="xsd:double"&gt;30.75447&lt;/D&gt;&lt;D xsi:type="xsd:double"&gt;21.073973&lt;/D&gt;&lt;D xsi:type="xsd:double"&gt;12.810969&lt;/D&gt;&lt;D xsi:type="xsd:double"&gt;12.470091&lt;/D&gt;&lt;D xsi:type="xsd:double"&gt;6.2983036&lt;/D&gt;&lt;D xsi:type="xsd:double"&gt;-0.480026&lt;/D&gt;&lt;D xsi:type="xsd:double"&gt;4.991162&lt;/D&gt;&lt;D xsi:type="xsd:double"&gt;1.9464135&lt;/D&gt;&lt;D xsi:type="xsd:double"&gt;-2.3881614&lt;/D&gt;&lt;D xsi:type="xsd:double"&gt;-15.889204&lt;/D&gt;&lt;D xsi:type="xsd:double"&gt;-16.733223&lt;/D&gt;&lt;D xsi:type="xsd:double"&gt;-22.741604&lt;/D&gt;&lt;D xsi:type="xsd:double"&gt;-21.833206&lt;/D&gt;&lt;D xsi:type="xsd:double"&gt;-14.800954&lt;/D&gt;&lt;D xsi:type="xsd:double"&gt;-12.822903&lt;/D&gt;&lt;D xsi:type="xsd:double"&gt;-10.119665&lt;/D&gt;&lt;D xsi:type="xsd:double"&gt;-12.089241&lt;/D&gt;&lt;D xsi:type="xsd:double"&gt;-3.9078236&lt;/D&gt;&lt;D xsi:type="xsd:double"&gt;-9.282482&lt;/D&gt;&lt;D xsi:type="xsd:double"&gt;-13.633895&lt;/D&gt;&lt;D xsi:type="xsd:double"&gt;-8.999139&lt;/D&gt;&lt;D xsi:type="xsd:double"&gt;8.306635&lt;/D&gt;&lt;D xsi:type="xsd:double"&gt;11.232328&lt;/D&gt;&lt;D xsi:type="xsd:double"&gt;21.335018&lt;/D&gt;&lt;D xsi:type="xsd:double"&gt;10.403383&lt;/D&gt;&lt;D xsi:type="xsd:double"&gt;0.16936064&lt;/D&gt;&lt;D xsi:type="xsd:double"&gt;-19.305157&lt;/D&gt;&lt;D xsi:type="xsd:double"&gt;-17.274649&lt;/D&gt;&lt;D xsi:type="xsd:double"&gt;-4.6032133&lt;/D&gt;&lt;D xsi:type="xsd:double"&gt;-2.938944&lt;/D&gt;&lt;D xsi:type="xsd:double"&gt;8.233988&lt;/D&gt;&lt;D xsi:type="xsd:double"&gt;17.16299&lt;/D&gt;&lt;D xsi:type="xsd:double"&gt;8.243966&lt;/D&gt;&lt;D xsi:type="xsd:double"&gt;-1.553452&lt;/D&gt;&lt;D xsi:type="xsd:double"&gt;6.776035&lt;/D&gt;&lt;D xsi:type="xsd:double"&gt;11.147654&lt;/D&gt;&lt;D xsi:type="xsd:double"&gt;11.81966&lt;/D&gt;&lt;D xsi:type="xsd:double"&gt;20.497835&lt;/D&gt;&lt;D xsi:type="xsd:double"&gt;54.59101&lt;/D&gt;&lt;D xsi:type="xsd:double"&gt;56.501434&lt;/D&gt;&lt;D xsi:type="xsd:double"&gt;41.7783&lt;/D&gt;&lt;D xsi:type="xsd:double"&gt;33.027424&lt;/D&gt;&lt;D xsi:type="xsd:double"&gt;20.364893&lt;/D&gt;&lt;D xsi:type="xsd:double"&gt;19.852901&lt;/D&gt;&lt;D xsi:type="xsd:double"&gt;22.667837&lt;/D&gt;&lt;D xsi:type="xsd:double"&gt;25.898003&lt;/D&gt;&lt;D xsi:type="xsd:double"&gt;7.6613307&lt;/D&gt;&lt;D xsi:type="xsd:double"&gt;5.9998393&lt;/D&gt;&lt;D xsi:type="xsd:double"&gt;1.8335581&lt;/D&gt;&lt;D xsi:type="xsd:double"&gt;-4.323226&lt;/D&gt;&lt;D xsi:type="xsd:double"&gt;-11.624736&lt;/D&gt;&lt;D xsi:type="xsd:double"&gt;-24.648947&lt;/D&gt;&lt;D xsi:type="xsd:double"&gt;-21.25249&lt;/D&gt;&lt;D xsi:type="xsd:double"&gt;-29.034365&lt;/D&gt;&lt;D xsi:type="xsd:double"&gt;-30.60699&lt;/D&gt;&lt;D xsi:type="xsd:double"&gt;-35.144955&lt;/D&gt;&lt;D xsi:type="xsd:double"&gt;-40.3055&lt;/D&gt;&lt;D xsi:type="xsd:double"&gt;-32.521046&lt;/D&gt;&lt;D xsi:type="xsd:double"&gt;-20.260017&lt;/D&gt;&lt;D xsi:type="xsd:double"&gt;-22.236115&lt;/D&gt;&lt;D xsi:type="xsd:double"&gt;-8.131266&lt;/D&gt;&lt;D xsi:type="xsd:double"&gt;-5.7872&lt;/D&gt;&lt;D xsi:type="xsd:double"&gt;0.06674528&lt;/D&gt;&lt;D xsi:type="xsd:double"&gt;16.986084&lt;/D&gt;&lt;D xsi:type="xsd:double"&gt;9.282923&lt;/D&gt;&lt;D xsi:type="xsd:double"&gt;21.272278&lt;/D&gt;&lt;D xsi:type="xsd:double"&gt;29.71505&lt;/D&gt;&lt;D xsi:type="xsd:double"&gt;25.072336&lt;/D&gt;&lt;D xsi:type="xsd:double"&gt;36.093258&lt;/D&gt;&lt;D xsi:type="xsd:double"&gt;15.932202&lt;/D&gt;&lt;D xsi:type="xsd:double"&gt;14.458156&lt;/D&gt;&lt;D xsi:type="xsd:double"&gt;23.665964&lt;/D&gt;&lt;D xsi:type="xsd:double"&gt;7.8136206&lt;/D&gt;&lt;D xsi:type="xsd:double"&gt;14.230383&lt;/D&gt;&lt;D xsi:type="xsd:double"&gt;19.209421&lt;/D&gt;&lt;D xsi:type="xsd:double"&gt;9.394037&lt;/D&gt;&lt;D xsi:type="xsd:double"&gt;16.953827&lt;/D&gt;&lt;D xsi:type="xsd:double"&gt;11.011267&lt;/D&gt;&lt;D xsi:type="xsd:double"&gt;10.787177&lt;/D&gt;&lt;D xsi:type="xsd:double"&gt;21.708834&lt;/D&gt;&lt;D xsi:type="xsd:double"&gt;33.53847&lt;/D&gt;&lt;/FQL&gt;&lt;FQL&gt;&lt;Q&gt;EWA^FG_TOTAL_RETURNC(-10AY,0,AM)&lt;/Q&gt;&lt;R&gt;121&lt;/R&gt;&lt;C&gt;1&lt;/C&gt;&lt;D xsi:type="xsd:double"&gt;-10.766959&lt;/D&gt;&lt;D xsi:type="xsd:double"&gt;3.0165315&lt;/D&gt;&lt;D xsi:type="xsd:double"&gt;-3.128761&lt;/D&gt;&lt;D xsi:type="xsd:double"&gt;-5.1302137&lt;/D&gt;&lt;D xsi:type="xsd:double"&gt;-0.31545758&lt;/D&gt;&lt;D xsi:type="xsd:double"&gt;7.0524335&lt;/D&gt;&lt;D xsi:type="xsd:double"&gt;-1.2668967&lt;/D&gt;&lt;D xsi:type="xsd:double"&gt;2.865696&lt;/D&gt;&lt;D xsi:type="xsd:double"&gt;-5.322242&lt;/D&gt;&lt;D xsi:type="xsd:double"&gt;-3.5591722&lt;/D&gt;&lt;D xsi:type="xsd:double"&gt;-5.4570913&lt;/D&gt;&lt;D xsi:type="xsd:double"&gt;-5.0320683&lt;/D&gt;&lt;D xsi:type="xsd:double"&gt;-6.545454&lt;/D&gt;&lt;D xsi:type="xsd:double"&gt;8.671486&lt;/D&gt;&lt;D xsi:type="xsd:double"&gt;-2.710992&lt;/D&gt;&lt;D xsi:type="xsd:double"&gt;1.2253284&lt;/D&gt;&lt;D xsi:type="xsd:double"&gt;-8.756006&lt;/D&gt;&lt;D xsi:type="xsd:double"&gt;1.2287855&lt;/D&gt;&lt;D xsi:type="xsd:double"&gt;11.156071&lt;/D&gt;&lt;D xsi:type="xsd:double"&gt;3.0161262&lt;/D&gt;&lt;D xsi:type="xsd:double"&gt;-1.161027&lt;/D&gt;&lt;D xsi:type="xsd:double"&gt;-4.9013433&lt;/D&gt;&lt;D xsi:type="xsd:double"&gt;11.873638&lt;/D&gt;&lt;D xsi:type="xsd:double"&gt;0.63290596&lt;/D&gt;&lt;D xsi:type="xsd:double"&gt;0.33864975&lt;/D&gt;&lt;D xsi:type="xsd:double"&gt;-2.314365&lt;/D&gt;&lt;D xsi:type="xsd:double"&gt;2.8134227&lt;/D&gt;&lt;D xsi:type="xsd:double"&gt;-0.72720647&lt;/D&gt;&lt;D xsi:type="xsd:double"&gt;6.256211&lt;/D&gt;&lt;D xsi:type="xsd:double"&gt;3.0841112&lt;/D&gt;&lt;D xsi:type="xsd:double"&gt;0.49864054&lt;/D&gt;&lt;D xsi:type="xsd:double"&gt;1.0374308&lt;/D&gt;&lt;D xsi:type="xsd:double"&gt;-3.2589257&lt;/D&gt;&lt;D xsi:type="xsd:double"&gt;0.5009055&lt;/D&gt;&lt;D xsi:type="xsd:double"&gt;6.804323&lt;/D&gt;&lt;D xsi:type="xsd:double"&gt;-0.26361942&lt;/D&gt;&lt;D xsi:type="xsd:double"&gt;-1.3656437&lt;/D&gt;&lt;D xsi:type="xsd:double"&gt;1.8311739&lt;/D&gt;&lt;D xsi:type="xsd:double"&gt;0.13158321&lt;/D&gt;&lt;D xsi:type="xsd:double"&gt;3.6291838&lt;/D&gt;&lt;D xsi:type="xsd:double"&gt;4.417503&lt;/D&gt;&lt;D xsi:type="xsd:double"&gt;-4.1891336&lt;/D&gt;&lt;D xsi:type="xsd:double"&gt;-5.497837&lt;/D&gt;&lt;D xsi:type="xsd:double"&gt;2.5194645&lt;/D&gt;&lt;D xsi:type="xsd:double"&gt;0.98302364&lt;/D&gt;&lt;D xsi:type="xsd:double"&gt;0.106287&lt;/D&gt;&lt;D xsi:type="xsd:double"&gt;2.9292464&lt;/D&gt;&lt;D xsi:type="xsd:double"&gt;-0.43783188&lt;/D&gt;&lt;D xsi:type="xsd:double"&gt;-2.7264714&lt;/D&gt;&lt;D xsi:type="xsd:double"&gt;-9.764928&lt;/D&gt;&lt;D xsi:type="xsd:double"&gt;4.2084217&lt;/D&gt;&lt;D xsi:type="xsd:double"&gt;-4.5791745&lt;/D&gt;&lt;D xsi:type="xsd:double"&gt;7.4306607&lt;/D&gt;&lt;D xsi:type="xsd:double"&gt;3.7993073&lt;/D&gt;&lt;D xsi:type="xsd:double"&gt;-0.46926737&lt;/D&gt;&lt;D xsi:type="xsd:double"&gt;3.3946276&lt;/D&gt;&lt;D xsi:type="xsd:double"&gt;0.45599937&lt;/D&gt;&lt;D xsi:type="xsd:double"&gt;4.6367407&lt;/D&gt;&lt;D xsi:type="xsd:double"&gt;0.39840937&lt;/D&gt;&lt;D xsi:type="xsd:double"&gt;-6.52557&lt;/D&gt;&lt;D xsi:type="xsd:double"&gt;5.1415086&lt;/D&gt;&lt;D xsi:type="xsd:double"&gt;1.8393874&lt;/D&gt;&lt;D xsi:type="xsd:double"&gt;1.1894226&lt;/D&gt;&lt;D xsi:type="xsd:double"&gt;1.022315&lt;/D&gt;&lt;D xsi:type="xsd:double"&gt;0&lt;/D&gt;&lt;D xsi:type="xsd:double"&gt;-9.054941&lt;/D&gt;&lt;D xsi:type="xsd:double"&gt;-29.917835&lt;/D&gt;&lt;D xsi:type="xsd:double"&gt;14.5517235&lt;/D&gt;&lt;D xsi:type="xsd:double"&gt;10.656225&lt;/D&gt;&lt;D xsi:type="xsd:double"&gt;3.7462354&lt;/D&gt;&lt;D xsi:type="xsd:double"&gt;8.355511&lt;/D&gt;&lt;D xsi:type="xsd:double"&gt;2.259326&lt;/D&gt;&lt;D xsi:type="xsd:double"&gt;-4.5148907&lt;/D&gt;&lt;D xsi:type="xsd:double"&gt;2.2635818&lt;/D&gt;&lt;D xsi:type="xsd:double"&gt;14.608944&lt;/D&gt;&lt;D xsi:type="xsd:double"&gt;3.6186934&lt;/D&gt;&lt;D xsi:type="xsd:double"&gt;1.5455246&lt;/D&gt;&lt;D xsi:type="xsd:double"&gt;0.822711&lt;/D&gt;&lt;D xsi:type="xsd:double"&gt;2.2031784&lt;/D&gt;&lt;D xsi:type="xsd:double"&gt;4.710579&lt;/D&gt;&lt;D xsi:type="xsd:double"&gt;1.9443393&lt;/D&gt;&lt;D xsi:type="xsd:double"&gt;-0.04709959&lt;/D&gt;&lt;D xsi:type="xsd:double"&gt;-1.8588781&lt;/D&gt;&lt;D xsi:type="xsd:double"&gt;0.5411625&lt;/D&gt;&lt;D xsi:type="xsd:double"&gt;-2.0376801&lt;/D&gt;&lt;D xsi:type="xsd:double"&gt;4.2386174&lt;/D&gt;&lt;D xsi:type="xsd:double"&gt;-7.5301228&lt;/D&gt;&lt;D xsi:type="xsd:double"&gt;5.294764&lt;/D&gt;&lt;D xsi:type="xsd:double"&gt;-9.943712&lt;/D&gt;&lt;D xsi:type="xsd:double"&gt;7.7881575&lt;/D&gt;&lt;D xsi:type="xsd:double"&gt;9.413708&lt;/D&gt;&lt;D xsi:type="xsd:double"&gt;-7.0943356&lt;/D&gt;&lt;D xsi:type="xsd:double"&gt;1.3403773&lt;/D&gt;&lt;D xsi:type="xsd:double"&gt;-10.7954445&lt;/D&gt;&lt;D xsi:type="xsd:double"&gt;3.6641955&lt;/D&gt;&lt;D xsi:type="xsd:double"&gt;0.40268898&lt;/D&gt;&lt;D xsi:type="xsd:double"&gt;-12.566841&lt;/D&gt;&lt;D xsi:type="xsd:double"&gt;5.810392&lt;/D&gt;&lt;D xsi:type="xsd:double"&gt;12.090564&lt;/D&gt;&lt;D xsi:type="xsd:double"&gt;-1.9024253&lt;/D&gt;&lt;D xsi:type="xsd:double"&gt;11.289608&lt;/D&gt;&lt;D xsi:type="xsd:double"&gt;-7.738572&lt;/D&gt;&lt;D xsi:type="xsd:double"&gt;-3.780967&lt;/D&gt;&lt;D xsi:type="xsd:double"&gt;4.426384&lt;/D&gt;&lt;D xsi:type="xsd:double"&gt;-3.0276835&lt;/D&gt;&lt;D xsi:type="xsd:double"&gt;1.6175032&lt;/D&gt;&lt;D xsi:type="xsd:double"&gt;3.9803147&lt;/D&gt;&lt;D xsi:type="xsd:double"&gt;-7.440859&lt;/D&gt;&lt;D xsi:type="xsd:double"&gt;-1.254648&lt;/D&gt;&lt;D xsi:type="xsd:double"&gt;-3.2941222&lt;/D&gt;&lt;D xsi:type="xsd:double"&gt;8.321178&lt;/D&gt;&lt;D xsi:type="xsd:double"&gt;12.605643&lt;/D&gt;&lt;D xsi:type="xsd:double"&gt;-3.5423398&lt;/D&gt;&lt;D xsi:type="xsd:double"&gt;1.2663484&lt;/D&gt;&lt;D xsi:type="xsd:double"&gt;2.7928352&lt;/D&gt;&lt;D xsi:type="xsd:double"&gt;-3.8118422&lt;/D&gt;&lt;D xsi:type="xsd:double"&gt;4.173696&lt;/D&gt;&lt;D xsi:type="xsd:double"&gt;0.91713667&lt;/D&gt;&lt;D xsi:type="xsd:double"&gt;0.8994341&lt;/D&gt;&lt;D xsi:type="xsd:double"&gt;4.6191216&lt;/D&gt;&lt;D xsi:type="xsd:double"&gt;4.4539094&lt;/D&gt;&lt;/FQL&gt;&lt;FQL&gt;&lt;Q&gt;ENZL^JULIAN(FMA_DIV_YLD(NTMA,-10AY,0,AM,"PORTAGG","MEANR").DATES)&lt;/Q&gt;&lt;R&gt;121&lt;/R&gt;&lt;C&gt;1&lt;/C&gt;&lt;D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</t>
        </r>
      </text>
    </comment>
    <comment ref="A8" authorId="0" shapeId="0" xr:uid="{4C9EC611-793D-49B3-AFBA-6082C778C9C6}">
      <text>
        <r>
          <rPr>
            <b/>
            <sz val="9"/>
            <color indexed="81"/>
            <rFont val="Tahoma"/>
            <charset val="1"/>
          </rPr>
          <t>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xsi:type="xsd:long"&gt;45560&lt;/D&gt;&lt;/FQL&gt;&lt;FQL&gt;&lt;Q&gt;EWD^FMA_PE(LTMA,-10AY,0,AM,"PORTAGG","MEANR")&lt;/Q&gt;&lt;R&gt;121&lt;/R&gt;&lt;C&gt;1&lt;/C&gt;&lt;D xsi:type="xsd:double"&gt;15.9975096250154&lt;/D&gt;&lt;D xsi:type="xsd:double"&gt;15.7943040328838&lt;/D&gt;&lt;D xsi:type="xsd:double"&gt;17.2094855836152&lt;/D&gt;&lt;D xsi:type="xsd:double"&gt;17.6296427566868&lt;/D&gt;&lt;D xsi:type="xsd:double"&gt;18.3306073197418&lt;/D&gt;&lt;D xsi:type="xsd:double"&gt;20.3028254397121&lt;/D&gt;&lt;D xsi:type="xsd:double"&gt;19.9884372154015&lt;/D&gt;&lt;D xsi:type="xsd:double"&gt;19.6642775278457&lt;/D&gt;&lt;D xsi:type="xsd:double"&gt;19.4021513752543&lt;/D&gt;&lt;D xsi:type="xsd:double"&gt;18.8407063683087&lt;/D&gt;&lt;D xsi:type="xsd:double"&gt;18.3613897909588&lt;/D&gt;&lt;D xsi:type="xsd:double"&gt;17.5671427678568&lt;/D&gt;&lt;D xsi:type="xsd:double"&gt;16.5630149010859&lt;/D&gt;&lt;D xsi:type="xsd:double"&gt;17.1374221124387&lt;/D&gt;&lt;D xsi:type="xsd:double"&gt;16.906220085457&lt;/D&gt;&lt;D xsi:type="xsd:double"&gt;16.1136105152847&lt;/D&gt;&lt;D xsi:type="xsd:double"&gt;14.8058934454635&lt;/D&gt;&lt;D xsi:type="xsd:double"&gt;15.5362511309696&lt;/D&gt;&lt;D xsi:type="xsd:double"&gt;15.5093716247203&lt;/D&gt;&lt;D xsi:type="xsd:double"&gt;15.7577684431009&lt;/D&gt;&lt;D xsi:type="xsd:double"&gt;15.6146234712481&lt;/D&gt;&lt;D xsi:type="xsd:double"&gt;14.9277761190376&lt;/D&gt;&lt;D xsi:type="xsd:double"&gt;15.848384342838&lt;/D&gt;&lt;D xsi:type="xsd:double"&gt;16.0318551972883&lt;/D&gt;&lt;D xsi:type="xsd:double"&gt;16.2952246089123&lt;/D&gt;&lt;D xsi:type="xsd:double"&gt;17.4469150723134&lt;/D&gt;&lt;D xsi:type="xsd:double"&gt;17.4631892061572&lt;/D&gt;&lt;D xsi:type="xsd:double"&gt;18.3474081729939&lt;/D&gt;&lt;D xsi:type="xsd:double"&gt;18.2306000773971&lt;/D&gt;&lt;D xsi:type="xsd:double"&gt;17.3718920931529&lt;/D&gt;&lt;D xsi:type="xsd:double"&gt;17.5726948378254&lt;/D&gt;&lt;D xsi:type="xsd:double"&gt;17.6238446126311&lt;/D&gt;&lt;D xsi:type="xsd:double"&gt;18.0905701056251&lt;/D&gt;&lt;D xsi:type="xsd:double"&gt;17.6133844236783&lt;/D&gt;&lt;D xsi:type="xsd:double"&gt;17.4069329144687&lt;/D&gt;&lt;D xsi:type="xsd:double"&gt;16.8130896916216&lt;/D&gt;&lt;D xsi:type="xsd:double"&gt;17.5575067791436&lt;/D&gt;&lt;D xsi:type="xsd:double"&gt;18.5637459837511&lt;/D&gt;&lt;D xsi:type="xsd:double"&gt;18.0238121481597&lt;/D&gt;&lt;D xsi:type="xsd:double"&gt;18.0972700383691&lt;/D&gt;&lt;D xsi:type="xsd:double"&gt;18.4267800400263&lt;/D&gt;&lt;D xsi:type="xsd:double"&gt;17.0448785183511&lt;/D&gt;&lt;D xsi:type="xsd:double"&gt;16.7806655075354&lt;/D&gt;&lt;D xsi:type="xsd:double"&gt;16.8300248064505&lt;/D&gt;&lt;D xsi:type="xsd:double"&gt;16.7210733583433&lt;/D&gt;&lt;D xsi:type="xsd:double"&gt;16.3865099385434&lt;/D&gt;&lt;D xsi:type="xsd:double"&gt;16.6243819627993&lt;/D&gt;&lt;D xsi:type="xsd:double"&gt;16.8474931048091&lt;/D&gt;&lt;D xsi:type="xsd:double"&gt;17.037371067072&lt;/D&gt;&lt;D xsi:type="xsd:double"&gt;14.8901571378867&lt;/D&gt;&lt;D xsi:type="xsd:double"&gt;14.7969656154512&lt;/D&gt;&lt;D xsi:type="xsd:double"&gt;13.5587191691495&lt;/D&gt;&lt;D xsi:type="xsd:double"&gt;16.1558095811589&lt;/D&gt;&lt;D xsi:type="xsd:double"&gt;18.1911866892924&lt;/D&gt;&lt;D xsi:type="xsd:double"&gt;17.8905883035689&lt;/D&gt;&lt;D xsi:type="xsd:double"&gt;17.9724385282923&lt;/D&gt;&lt;D xsi:type="xsd:double"&gt;17.3160389677512&lt;/D&gt;&lt;D xsi:type="xsd:double"&gt;17.142953896042&lt;/D&gt;&lt;D xsi:type="xsd:double"&gt;16.9346577607654&lt;/D&gt;&lt;D xsi:type="xsd:double"&gt;15.6897914611506&lt;/D&gt;&lt;D xsi:type="xsd:double"&gt;16.5192870872897&lt;/D&gt;&lt;D xsi:type="xsd:double"&gt;16.9460905902132&lt;/D&gt;&lt;D xsi:type="xsd:double"&gt;15.9575999090033&lt;/D&gt;&lt;D xsi:type="xsd:double"&gt;16.4495457405733&lt;/D&gt;&lt;D xsi:type="xsd:double"&gt;13.9527292185538&lt;/D&gt;&lt;D xsi:type="xsd:double"&gt;13.2504089568922&lt;/D&gt;&lt;D xsi:type="xsd:double"&gt;12.759855699121&lt;/D&gt;&lt;D xsi:type="xsd:double"&gt;14.3073894478773&lt;/D&gt;&lt;D xsi:type="xsd:double"&gt;15.6997433092009&lt;/D&gt;&lt;D xsi:type="xsd:double"&gt;17.0746919181176&lt;/D&gt;&lt;D xsi:type="xsd:double"&gt;17.1899180101065&lt;/D&gt;&lt;D xsi:type="xsd:double"&gt;17.3158580869966&lt;/D&gt;&lt;D xsi:type="xsd:double"&gt;17.6901100185666&lt;/D&gt;&lt;D xsi:type="xsd:double"&gt;15.3931044795413&lt;/D&gt;&lt;D xsi:type="xsd:double"&gt;16.9423526935777&lt;/D&gt;&lt;D xsi:type="xsd:double"&gt;17.0904272717465&lt;/D&gt;&lt;D xsi:type="xsd:double"&gt;18.2323877185311&lt;/D&gt;&lt;D xsi:type="xsd:double"&gt;17.5604129321876&lt;/D&gt;&lt;D xsi:type="xsd:double"&gt;18.0947000318351&lt;/D&gt;&lt;D xsi:type="xsd:double"&gt;18.0824716809196&lt;/D&gt;&lt;D xsi:type="xsd:double"&gt;17.49236222328&lt;/D&gt;&lt;D xsi:type="xsd:double"&gt;17.9423125334018&lt;/D&gt;&lt;D xsi:type="xsd:double"&gt;17.5421305596108&lt;/D&gt;&lt;D xsi:type="xsd:double"&gt;17.5401253723411&lt;/D&gt;&lt;D xsi:type="xsd:double"&gt;17.2241812532725&lt;/D&gt;&lt;D xsi:type="xsd:double"&gt;16.5767981150618&lt;/D&gt;&lt;D xsi:type="xsd:double"&gt;16.2681089976422&lt;/D&gt;&lt;D xsi:type="xsd:double"&gt;16.7920007651048&lt;/D&gt;&lt;D xsi:type="xsd:double"&gt;12.041437168525&lt;/D&gt;&lt;D xsi:type="xsd:double"&gt;11.6476301231072&lt;/D&gt;&lt;D xsi:type="xsd:double"&gt;11.9482420889816&lt;/D&gt;&lt;D xsi:type="xsd:double"&gt;12.2168376809714&lt;/D&gt;&lt;D xsi:type="xsd:double"&gt;13.6765471679512&lt;/D&gt;&lt;D xsi:type="xsd:double"&gt;13.4690260760048&lt;/D&gt;&lt;D xsi:type="xsd:double"&gt;14.2947085656476&lt;/D&gt;&lt;D xsi:type="xsd:double"&gt;14.5367404165374&lt;/D&gt;&lt;D xsi:type="xsd:double"&gt;14.2175212896528&lt;/D&gt;&lt;D xsi:type="xsd:double"&gt;13.4121224767443&lt;/D&gt;&lt;D xsi:type="xsd:double"&gt;14.3757763680528&lt;/D&gt;&lt;D xsi:type="xsd:double"&gt;15.5896993486568&lt;/D&gt;&lt;D xsi:type="xsd:double"&gt;24.8133321956733&lt;/D&gt;&lt;D xsi:type="xsd:double"&gt;25.7725095879325&lt;/D&gt;&lt;D xsi:type="xsd:double"&gt;24.4535629677945&lt;/D&gt;&lt;D xsi:type="xsd:double"&gt;23.4248317143471&lt;/D&gt;&lt;D xsi:type="xsd:double"&gt;22.231183099723&lt;/D&gt;&lt;D xsi:type="xsd:double"&gt;20.8617035324094&lt;/D&gt;&lt;D xsi:type="xsd:double"&gt;19.7091279218272&lt;/D&gt;&lt;D xsi:type="xsd:double"&gt;17.9217385205226&lt;/D&gt;&lt;D xsi:type="xsd:double"&gt;16.687938902921&lt;/D&gt;&lt;D xsi:type="xsd:double"&gt;15.7461825469791&lt;/D&gt;&lt;D xsi:type="xsd:double"&gt;16.1237420998013&lt;/D&gt;&lt;D xsi:type="xsd:double"&gt;18.0125159529216&lt;/D&gt;&lt;D xsi:type="xsd:double"&gt;15.3788475532832&lt;/D&gt;&lt;D xsi:type="xsd:double"&gt;15.7278507964825&lt;/D&gt;&lt;D xsi:type="xsd:double"&gt;15.9626680490724&lt;/D&gt;&lt;D xsi:type="xsd:double"&gt;15.9062269780689&lt;/D&gt;&lt;D xsi:type="xsd:double"&gt;16.1085632733168&lt;/D&gt;&lt;D xsi:type="xsd:double"&gt;16.0138080900475&lt;/D&gt;&lt;D xsi:type="xsd:double"&gt;16.4271074229287&lt;/D&gt;&lt;D xsi:type="xsd:double"&gt;16.6444050474588&lt;/D&gt;&lt;D xsi:type="xsd:double"&gt;17.429456590007&lt;/D&gt;&lt;/FQL&gt;&lt;FQL&gt;&lt;Q&gt;DDR3512M-FDS^FG_PRICE_CHANGE(0,-6AM)&lt;/Q&gt;&lt;R&gt;1&lt;/R&gt;&lt;C&gt;1&lt;/C&gt;&lt;D xsi:type="xsd:double"&gt;-8.24136441754434&lt;/D&gt;&lt;/FQL&gt;&lt;FQL&gt;&lt;Q&gt;EWA^JULIAN(FMA_ROE(NTMA,-20AY,NOW,FY,"PORTAGG","MEANR").DATES)&lt;/Q&gt;&lt;R&gt;20&lt;/R&gt;&lt;C&gt;1&lt;/C&gt;&lt;D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xsi:type="xsd:double"&gt;6.0028777&lt;/D&gt;&lt;/FQL&gt;&lt;FQL&gt;&lt;Q&gt;CAGDPY@SE^EE_ACTUAL_ANNUAL(MED,0)&lt;/Q&gt;&lt;R&gt;1&lt;/R&gt;&lt;C&gt;1&lt;/C&gt;&lt;D xsi:type="xsd:double"&gt;6.54758763985883&lt;/D&gt;&lt;/FQL&gt;&lt;FQL&gt;&lt;Q&gt;CAGDPY@DE^EE_ACTUAL_ANNUAL(MED,0)&lt;/Q&gt;&lt;R&gt;1&lt;/R&gt;&lt;C&gt;1&lt;/C&gt;&lt;D xsi:type="xsd:double"&gt;5.88214213185842&lt;/D&gt;&lt;/FQL&gt;&lt;FQL&gt;&lt;Q&gt;USDITL^STD(FG_PRICE_CHANGE(0,-3AY,M))&lt;/Q&gt;&lt;R&gt;1&lt;/R&gt;&lt;C&gt;1&lt;/C&gt;&lt;D xsi:type="xsd:double"&gt;2.18410852976757&lt;/D&gt;&lt;/FQL&gt;&lt;FQL&gt;&lt;Q&gt;CAGDPY@NL^EE_ACTUAL_ANNUAL(MED,+1)&lt;/Q&gt;&lt;R&gt;1&lt;/R&gt;&lt;C&gt;1&lt;/C&gt;&lt;D xsi:type="xsd:double"&gt;9.75&lt;/D&gt;&lt;/FQL&gt;&lt;FQL&gt;&lt;Q&gt;CAGDPY@CA^EE_ACTUAL_ANNUAL(MED,+1)&lt;/Q&gt;&lt;R&gt;1&lt;/R&gt;&lt;C&gt;1&lt;/C&gt;&lt;D xsi:type="xsd:double"&gt;-1&lt;/D&gt;&lt;/FQL&gt;&lt;FQL&gt;&lt;Q&gt;USDITL^STD(FG_PRICE_CHANGE(0,-1AY,AM))&lt;/Q&gt;&lt;R&gt;1&lt;/R&gt;&lt;C&gt;1&lt;/C&gt;&lt;D xsi:type="xsd:double"&gt;1.81097821570972&lt;/D&gt;&lt;/FQL&gt;&lt;FQL&gt;&lt;Q&gt;USDANG^STD(FG_PRICE_CHANGE(0,-1AY,AM))&lt;/Q&gt;&lt;R&gt;1&lt;/R&gt;&lt;C&gt;1&lt;/C&gt;&lt;D xsi:type="xsd:double"&gt;0.0269180029862452&lt;/D&gt;&lt;/FQL&gt;&lt;FQL&gt;&lt;Q&gt;USDGBP^STD(FG_PRICE_CHANGE(0,-1AY,AM))&lt;/Q&gt;&lt;R&gt;1&lt;/R&gt;&lt;C&gt;1&lt;/C&gt;&lt;D xsi:type="xsd:double"&gt;1.9543683307456&lt;/D&gt;&lt;/FQL&gt;&lt;FQL&gt;&lt;Q&gt;TRYBR10Y-FDS^FG_YIELD(-10AY,0,Y,,"YTM")&lt;/Q&gt;&lt;R&gt;10&lt;/R&gt;&lt;C&gt;1&lt;/C&gt;&lt;D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xsi:type="xsd:double"&gt;-3.0524492&lt;/D&gt;&lt;/FQL&gt;&lt;FQL&gt;&lt;Q&gt;USDANG^FG_PRICE_CHANGE(0,-6AM)&lt;/Q&gt;&lt;R&gt;1&lt;/R&gt;&lt;C&gt;1&lt;/C&gt;&lt;D xsi:type="xsd:double"&gt;-0.09705424&lt;/D&gt;&lt;/FQL&gt;&lt;FQL&gt;&lt;Q&gt;USDUSD^FG_PRICE_CHANGE(0,-6AM)&lt;/Q&gt;&lt;R&gt;1&lt;/R&gt;&lt;C&gt;1&lt;/C&gt;&lt;D xsi:type="xsd:double"&gt;0&lt;/D&gt;&lt;/FQL&gt;&lt;FQL&gt;&lt;Q&gt;USDGBP^FG_PRICE_CHANGE(0,-6AM)&lt;/Q&gt;&lt;R&gt;1&lt;/R&gt;&lt;C&gt;1&lt;/C&gt;&lt;D xsi:type="xsd:double"&gt;-5.6408525&lt;/D&gt;&lt;/FQL&gt;&lt;FQL&gt;&lt;Q&gt;USDJPY^FG_PRICE_CHANGE(0,-6AM)&lt;/Q&gt;&lt;R&gt;1&lt;/R&gt;&lt;C&gt;1&lt;/C&gt;&lt;D xsi:type="xsd:double"&gt;-5.44343&lt;/D&gt;&lt;/FQL&gt;&lt;FQL&gt;&lt;Q&gt;USDCAD^FG_PRICE_CHANGE(0,-6AM)&lt;/Q&gt;&lt;R&gt;1&lt;/R&gt;&lt;C&gt;1&lt;/C&gt;&lt;D xsi:type="xsd:double"&gt;-0.80839396&lt;/D&gt;&lt;/FQL&gt;&lt;FQL&gt;&lt;Q&gt;USDNZD^FG_PRICE_CHANGE(0,-6AM)&lt;/Q&gt;&lt;R&gt;1&lt;/R&gt;&lt;C&gt;1&lt;/C&gt;&lt;D xsi:type="xsd:double"&gt;-4.9960732&lt;/D&gt;&lt;/FQL&gt;&lt;FQL&gt;&lt;Q&gt;EWC^FMA_EPS(NTMA,-20AY,0,CY,,"PORTAGG","MEANR")&lt;/Q&gt;&lt;R&gt;20&lt;/R&gt;&lt;C&gt;1&lt;/C&gt;&lt;D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xsi:type="xsd:double"&gt;2.07393919718227&lt;/D&gt;&lt;D xsi:type="xsd:double"&gt;1.95784087398727&lt;/D&gt;&lt;D xsi:type="xsd:double"&gt;2.66448337817763&lt;/D&gt;&lt;D xsi:type="xsd:double"&gt;2.74920456102042&lt;/D&gt;&lt;D xsi:type="xsd:double"&gt;2.68301216298059&lt;/D&gt;&lt;/FQL&gt;&lt;FQL&gt;&lt;Q&gt;ENZL^P_PRICE_RETURNS_PR('52W',2,-10AY,0,AM)&lt;/Q&gt;&lt;R&gt;121&lt;/R&gt;&lt;C&gt;1&lt;/C&gt;&lt;D xsi:type="xsd:double"&gt;5.305612&lt;/D&gt;&lt;D xsi:type="xsd:double"&gt;4.694617&lt;/D&gt;&lt;D xsi:type="xsd:double"&gt;9.857214&lt;/D&gt;&lt;D xsi:type="xsd:double"&gt;12.191319&lt;/D&gt;&lt;D xsi:type="xsd:double"&gt;9.03064&lt;/D&gt;&lt;D xsi:type="xsd:double"&gt;8.312106&lt;/D&gt;&lt;D xsi:type="xsd:double"&gt;0.83146095&lt;/D&gt;&lt;D xsi:type="xsd:double"&gt;-0.01706481&lt;/D&gt;&lt;D xsi:type="xsd:double"&gt;-4.3866396&lt;/D&gt;&lt;D xsi:type="xsd:double"&gt;-11.957497&lt;/D&gt;&lt;D xsi:type="xsd:double"&gt;-12.5478325&lt;/D&gt;&lt;D xsi:type="xsd:double"&gt;-15.242636&lt;/D&gt;&lt;D xsi:type="xsd:double"&gt;-12.495184&lt;/D&gt;&lt;D xsi:type="xsd:double"&gt;-2.967739&lt;/D&gt;&lt;D xsi:type="xsd:double"&gt;-7.555169&lt;/D&gt;&lt;D xsi:type="xsd:double"&gt;-1.5546441&lt;/D&gt;&lt;D xsi:type="xsd:double"&gt;-8.9463825&lt;/D&gt;&lt;D xsi:type="xsd:double"&gt;-6.431919&lt;/D&gt;&lt;D xsi:type="xsd:double"&gt;-0.41128397&lt;/D&gt;&lt;D xsi:type="xsd:double"&gt;5.4524183&lt;/D&gt;&lt;D xsi:type="xsd:double"&gt;12.448978&lt;/D&gt;&lt;D xsi:type="xsd:double"&gt;20.310616&lt;/D&gt;&lt;D xsi:type="xsd:double"&gt;35.789036&lt;/D&gt;&lt;D xsi:type="xsd:double"&gt;49.413906&lt;/D&gt;&lt;D xsi:type="xsd:double"&gt;46.66295&lt;/D&gt;&lt;D xsi:type="xsd:double"&gt;20.643974&lt;/D&gt;&lt;D xsi:type="xsd:double"&gt;22.404396&lt;/D&gt;&lt;D xsi:type="xsd:double"&gt;11.390961&lt;/D&gt;&lt;D xsi:type="xsd:double"&gt;32.269108&lt;/D&gt;&lt;D xsi:type="xsd:double"&gt;22.470879&lt;/D&gt;&lt;D xsi:type="xsd:double"&gt;10.8447075&lt;/D&gt;&lt;D xsi:type="xsd:double"&gt;8.954632&lt;/D&gt;&lt;D xsi:type="xsd:double"&gt;12.167358&lt;/D&gt;&lt;D xsi:type="xsd:double"&gt;18.328058&lt;/D&gt;&lt;D xsi:type="xsd:double"&gt;10.290074&lt;/D&gt;&lt;D xsi:type="xsd:double"&gt;4.4968367&lt;/D&gt;&lt;D xsi:type="xsd:double"&gt;7.8588843&lt;/D&gt;&lt;D xsi:type="xsd:double"&gt;12.532436&lt;/D&gt;&lt;D xsi:type="xsd:double"&gt;14.672351&lt;/D&gt;&lt;D xsi:type="xsd:double"&gt;24.242794&lt;/D&gt;&lt;D xsi:type="xsd:double"&gt;17.491758&lt;/D&gt;&lt;D xsi:type="xsd:double"&gt;18.291069&lt;/D&gt;&lt;D xsi:type="xsd:double"&gt;22.828472&lt;/D&gt;&lt;D xsi:type="xsd:double"&gt;17.193449&lt;/D&gt;&lt;D xsi:type="xsd:double"&gt;13.247908&lt;/D&gt;&lt;D xsi:type="xsd:double"&gt;9.958612&lt;/D&gt;&lt;D xsi:type="xsd:double"&gt;5.470836&lt;/D&gt;&lt;D xsi:type="xsd:double"&gt;8.1376915&lt;/D&gt;&lt;D xsi:type="xsd:double"&gt;6.715739&lt;/D&gt;&lt;D xsi:type="xsd:double"&gt;0.57024956&lt;/D&gt;&lt;D xsi:type="xsd:double"&gt;5.373609&lt;/D&gt;&lt;D xsi:type="xsd:double"&gt;1.6754746&lt;/D&gt;&lt;D xsi:type="xsd:double"&gt;3.4067392&lt;/D&gt;&lt;D xsi:type="xsd:double"&gt;5.664706&lt;/D&gt;&lt;D xsi:type="xsd:double"&gt;7.44251&lt;/D&gt;&lt;D xsi:type="xsd:double"&gt;13.34455&lt;/D&gt;&lt;D xsi:type="xsd:double"&gt;12.400699&lt;/D&gt;&lt;D xsi:type="xsd:double"&gt;12.461937&lt;/D&gt;&lt;D xsi:type="xsd:double"&gt;17.971062&lt;/D&gt;&lt;D xsi:type="xsd:double"&gt;6.816697&lt;/D&gt;&lt;D xsi:type="xsd:double"&gt;10.067833&lt;/D&gt;&lt;D xsi:type="xsd:double"&gt;21.70105&lt;/D&gt;&lt;D xsi:type="xsd:double"&gt;21.434475&lt;/D&gt;&lt;D xsi:type="xsd:double"&gt;29.2261&lt;/D&gt;&lt;D xsi:type="xsd:double"&gt;22.346449&lt;/D&gt;&lt;D xsi:type="xsd:double"&gt;13.189554&lt;/D&gt;&lt;D xsi:type="xsd:double"&gt;-12.229377&lt;/D&gt;&lt;D xsi:type="xsd:double"&gt;-1.7089784&lt;/D&gt;&lt;D xsi:type="xsd:double"&gt;2.7598262&lt;/D&gt;&lt;D xsi:type="xsd:double"&gt;4.7606587&lt;/D&gt;&lt;D xsi:type="xsd:double"&gt;10.289038&lt;/D&gt;&lt;D xsi:type="xsd:double"&gt;23.134972&lt;/D&gt;&lt;D xsi:type="xsd:double"&gt;14.211369&lt;/D&gt;&lt;D xsi:type="xsd:double"&gt;20.347618&lt;/D&gt;&lt;D xsi:type="xsd:double"&gt;23.804546&lt;/D&gt;&lt;D xsi:type="xsd:double"&gt;18.632067&lt;/D&gt;&lt;D xsi:type="xsd:double"&gt;21.184814&lt;/D&gt;&lt;D xsi:type="xsd:double"&gt;15.762925&lt;/D&gt;&lt;D xsi:type="xsd:double"&gt;35.993122&lt;/D&gt;&lt;D xsi:type="xsd:double"&gt;33.887146&lt;/D&gt;&lt;D xsi:type="xsd:double"&gt;22.469532&lt;/D&gt;&lt;D xsi:type="xsd:double"&gt;15.243173&lt;/D&gt;&lt;D xsi:type="xsd:double"&gt;4.6741366&lt;/D&gt;&lt;D xsi:type="xsd:double"&gt;5.7263017&lt;/D&gt;&lt;D xsi:type="xsd:double"&gt;11.433088&lt;/D&gt;&lt;D xsi:type="xsd:double"&gt;6.170535&lt;/D&gt;&lt;D xsi:type="xsd:double"&gt;-10.285175&lt;/D&gt;&lt;D xsi:type="xsd:double"&gt;-10.616934&lt;/D&gt;&lt;D xsi:type="xsd:double"&gt;-21.223969&lt;/D&gt;&lt;D xsi:type="xsd:double"&gt;-11.382747&lt;/D&gt;&lt;D xsi:type="xsd:double"&gt;-7.6077166&lt;/D&gt;&lt;D xsi:type="xsd:double"&gt;-20.363707&lt;/D&gt;&lt;D xsi:type="xsd:double"&gt;-21.01115&lt;/D&gt;&lt;D xsi:type="xsd:double"&gt;-24.505632&lt;/D&gt;&lt;D xsi:type="xsd:double"&gt;-20.274734&lt;/D&gt;&lt;D xsi:type="xsd:double"&gt;-23.400068&lt;/D&gt;&lt;D xsi:type="xsd:double"&gt;-31.768215&lt;/D&gt;&lt;D xsi:type="xsd:double"&gt;-31.130768&lt;/D&gt;&lt;D xsi:type="xsd:double"&gt;-18.835766&lt;/D&gt;&lt;D xsi:type="xsd:double"&gt;-16.259962&lt;/D&gt;&lt;D xsi:type="xsd:double"&gt;0.30043125&lt;/D&gt;&lt;D xsi:type="xsd:double"&gt;-9.735584&lt;/D&gt;&lt;D xsi:type="xsd:double"&gt;-11.7816925&lt;/D&gt;&lt;D xsi:type="xsd:double"&gt;-0.63702464&lt;/D&gt;&lt;D xsi:type="xsd:double"&gt;3.4167051&lt;/D&gt;&lt;D xsi:type="xsd:double"&gt;7.061982&lt;/D&gt;&lt;D xsi:type="xsd:double"&gt;5.9580684&lt;/D&gt;&lt;D xsi:type="xsd:double"&gt;-4.425478&lt;/D&gt;&lt;D xsi:type="xsd:double"&gt;7.3151827&lt;/D&gt;&lt;D xsi:type="xsd:double"&gt;-2.4090886&lt;/D&gt;&lt;D xsi:type="xsd:double"&gt;-2.7362466&lt;/D&gt;&lt;D xsi:type="xsd:double"&gt;3.006792&lt;/D&gt;&lt;D xsi:type="xsd:double"&gt;-7.9473734&lt;/D&gt;&lt;D xsi:type="xsd:double"&gt;-2.9182017&lt;/D&gt;&lt;D xsi:type="xsd:double"&gt;-2.6404977&lt;/D&gt;&lt;D xsi:type="xsd:double"&gt;-6.525427&lt;/D&gt;&lt;D xsi:type="xsd:double"&gt;-3.5455227&lt;/D&gt;&lt;D xsi:type="xsd:double"&gt;-2.5105953&lt;/D&gt;&lt;D xsi:type="xsd:double"&gt;-5.0525246&lt;/D&gt;&lt;D xsi:type="xsd:double"&gt;12.803698&lt;/D&gt;&lt;D xsi:type="xsd:double"&gt;15.587366&lt;/D&gt;&lt;/FQL&gt;&lt;FQL&gt;&lt;Q&gt;EWI^FMA_DIV_YLD(NTMA,-10AY,0,AM,"PORTAGG","MEANR")&lt;/Q&gt;&lt;R&gt;121&lt;/R&gt;&lt;C&gt;1&lt;/C&gt;&lt;D xsi:type="xsd:double"&gt;3.6034078742135&lt;/D&gt;&lt;D xsi:type="xsd:double"&gt;4.03181235488169&lt;/D&gt;&lt;D xsi:type="xsd:double"&gt;3.87450307442844&lt;/D&gt;&lt;D xsi:type="xsd:double"&gt;4.00401583903138&lt;/D&gt;&lt;D xsi:type="xsd:double"&gt;3.79518876230212&lt;/D&gt;&lt;D xsi:type="xsd:double"&gt;3.41457510831913&lt;/D&gt;&lt;D xsi:type="xsd:double"&gt;3.125377393635&lt;/D&gt;&lt;D xsi:type="xsd:double"&gt;3.08400187444487&lt;/D&gt;&lt;D xsi:type="xsd:double"&gt;3.12308917304756&lt;/D&gt;&lt;D xsi:type="xsd:double"&gt;3.20644966201649&lt;/D&gt;&lt;D xsi:type="xsd:double"&gt;3.30724267420271&lt;/D&gt;&lt;D xsi:type="xsd:double"&gt;3.33147697796049&lt;/D&gt;&lt;D xsi:type="xsd:double"&gt;3.52094113730961&lt;/D&gt;&lt;D xsi:type="xsd:double"&gt;3.57717489944532&lt;/D&gt;&lt;D xsi:type="xsd:double"&gt;3.5514159722485&lt;/D&gt;&lt;D xsi:type="xsd:double"&gt;3.82736698025053&lt;/D&gt;&lt;D xsi:type="xsd:double"&gt;4.38099848187408&lt;/D&gt;&lt;D xsi:type="xsd:double"&gt;4.53903714469403&lt;/D&gt;&lt;D xsi:type="xsd:double"&gt;4.35637891811441&lt;/D&gt;&lt;D xsi:type="xsd:double"&gt;4.28720531130955&lt;/D&gt;&lt;D xsi:type="xsd:double"&gt;4.46586461677135&lt;/D&gt;&lt;D xsi:type="xsd:double"&gt;5.40754921891877&lt;/D&gt;&lt;D xsi:type="xsd:double"&gt;4.74786921741495&lt;/D&gt;&lt;D xsi:type="xsd:double"&gt;4.72703655986063&lt;/D&gt;&lt;D xsi:type="xsd:double"&gt;5.05716506603981&lt;/D&gt;&lt;D xsi:type="xsd:double"&gt;4.69171662269465&lt;/D&gt;&lt;D xsi:type="xsd:double"&gt;4.87804919547708&lt;/D&gt;&lt;D xsi:type="xsd:double"&gt;4.26371264930623&lt;/D&gt;&lt;D xsi:type="xsd:double"&gt;4.35892248650116&lt;/D&gt;&lt;D xsi:type="xsd:double"&gt;4.31417449535046&lt;/D&gt;&lt;D xsi:type="xsd:double"&gt;3.97795384344144&lt;/D&gt;&lt;D xsi:type="xsd:double"&gt;3.91929190770615&lt;/D&gt;&lt;D xsi:type="xsd:double"&gt;3.83574998414522&lt;/D&gt;&lt;D xsi:type="xsd:double"&gt;3.8340421974653&lt;/D&gt;&lt;D xsi:type="xsd:double"&gt;3.73415572708703&lt;/D&gt;&lt;D xsi:type="xsd:double"&gt;3.77414331734819&lt;/D&gt;&lt;D xsi:type="xsd:double"&gt;3.68233100119549&lt;/D&gt;&lt;D xsi:type="xsd:double"&gt;3.80407245657845&lt;/D&gt;&lt;D xsi:type="xsd:double"&gt;3.91893394045375&lt;/D&gt;&lt;D xsi:type="xsd:double"&gt;3.91981505585937&lt;/D&gt;&lt;D xsi:type="xsd:double"&gt;3.715486927804&lt;/D&gt;&lt;D xsi:type="xsd:double"&gt;3.95666505887862&lt;/D&gt;&lt;D xsi:type="xsd:double"&gt;4.15888295141146&lt;/D&gt;&lt;D xsi:type="xsd:double"&gt;3.89973611984773&lt;/D&gt;&lt;D xsi:type="xsd:double"&gt;4.26631934256164&lt;/D&gt;&lt;D xsi:type="xsd:double"&gt;4.51003187768346&lt;/D&gt;&lt;D xsi:type="xsd:double"&gt;4.3825683159902&lt;/D&gt;&lt;D xsi:type="xsd:double"&gt;4.63820286950876&lt;/D&gt;&lt;D xsi:type="xsd:double"&gt;4.53045036471157&lt;/D&gt;&lt;D xsi:type="xsd:double"&gt;5.15511531246389&lt;/D&gt;&lt;D xsi:type="xsd:double"&gt;5.11962505017665&lt;/D&gt;&lt;D xsi:type="xsd:double"&gt;5.52186284688018&lt;/D&gt;&lt;D xsi:type="xsd:double"&gt;5.06744206787671&lt;/D&gt;&lt;D xsi:type="xsd:double"&gt;4.85503421588429&lt;/D&gt;&lt;D xsi:type="xsd:double"&gt;4.69204287133314&lt;/D&gt;&lt;D xsi:type="xsd:double"&gt;4.64846280292744&lt;/D&gt;&lt;D xsi:type="xsd:double"&gt;4.97363434926526&lt;/D&gt;&lt;D xsi:type="xsd:double"&gt;4.87060323028534&lt;/D&gt;&lt;D xsi:type="xsd:double"&gt;4.72456656508602&lt;/D&gt;&lt;D xsi:type="xsd:double"&gt;4.94675223982859&lt;/D&gt;&lt;D xsi:type="xsd:double"&gt;4.74352820058867&lt;/D&gt;&lt;D xsi:type="xsd:double"&gt;4.65200918698422&lt;/D&gt;&lt;D xsi:type="xsd:double"&gt;4.52978251901181&lt;/D&gt;&lt;D xsi:type="xsd:double"&gt;4.44693216965644&lt;/D&gt;&lt;D xsi:type="xsd:double"&gt;4.57553662755997&lt;/D&gt;&lt;D xsi:type="xsd:double"&gt;4.8156562918044&lt;/D&gt;&lt;D xsi:type="xsd:double"&gt;6.32249178308411&lt;/D&gt;&lt;D xsi:type="xsd:double"&gt;5.45839086777592&lt;/D&gt;&lt;D xsi:type="xsd:double"&gt;4.72869237183712&lt;/D&gt;&lt;D xsi:type="xsd:double"&gt;4.4130319974048&lt;/D&gt;&lt;D xsi:type="xsd:double"&gt;4.30354727735673&lt;/D&gt;&lt;D xsi:type="xsd:double"&gt;3.99999960273501&lt;/D&gt;&lt;D xsi:type="xsd:double"&gt;4.26252641022604&lt;/D&gt;&lt;D xsi:type="xsd:double"&gt;4.33104176499957&lt;/D&gt;&lt;D xsi:type="xsd:double"&gt;3.87059193919859&lt;/D&gt;&lt;D xsi:type="xsd:double"&gt;3.94607956638372&lt;/D&gt;&lt;D xsi:type="xsd:double"&gt;4.14924732849893&lt;/D&gt;&lt;D xsi:type="xsd:double"&gt;4.12158272097112&lt;/D&gt;&lt;D xsi:type="xsd:double"&gt;4.03481708851624&lt;/D&gt;&lt;D xsi:type="xsd:double"&gt;4.13310659384603&lt;/D&gt;&lt;D xsi:type="xsd:double"&gt;4.14946809030414&lt;/D&gt;&lt;D xsi:type="xsd:double"&gt;4.08211992081178&lt;/D&gt;&lt;D xsi:type="xsd:double"&gt;4.24728780217718&lt;/D&gt;&lt;D xsi:type="xsd:double"&gt;4.39015084236153&lt;/D&gt;&lt;D xsi:type="xsd:double"&gt;4.47394253756122&lt;/D&gt;&lt;D xsi:type="xsd:double"&gt;4.36742936930013&lt;/D&gt;&lt;D xsi:type="xsd:double"&gt;4.61918034586619&lt;/D&gt;&lt;D xsi:type="xsd:double"&gt;4.61145309751165&lt;/D&gt;&lt;D xsi:type="xsd:double"&gt;4.75276366463175&lt;/D&gt;&lt;D xsi:type="xsd:double"&gt;4.99940541160563&lt;/D&gt;&lt;D xsi:type="xsd:double"&gt;5.17303198721776&lt;/D&gt;&lt;D xsi:type="xsd:double"&gt;5.2121292040534&lt;/D&gt;&lt;D xsi:type="xsd:double"&gt;5.09435706025578&lt;/D&gt;&lt;D xsi:type="xsd:double"&gt;5.78212601775157&lt;/D&gt;&lt;D xsi:type="xsd:double"&gt;6.00142526310493&lt;/D&gt;&lt;D xsi:type="xsd:double"&gt;5.8092080616023&lt;/D&gt;&lt;D xsi:type="xsd:double"&gt;6.12111876292823&lt;/D&gt;&lt;D xsi:type="xsd:double"&gt;5.74580991770986&lt;/D&gt;&lt;D xsi:type="xsd:double"&gt;5.4363335847015&lt;/D&gt;&lt;D xsi:type="xsd:double"&gt;5.88646889379179&lt;/D&gt;&lt;D xsi:type="xsd:double"&gt;5.42929540805749&lt;/D&gt;&lt;D xsi:type="xsd:double"&gt;5.56984118303037&lt;/D&gt;&lt;D xsi:type="xsd:double"&gt;5.601744657698&lt;/D&gt;&lt;D xsi:type="xsd:double"&gt;5.38486729724578&lt;/D&gt;&lt;D xsi:type="xsd:double"&gt;5.68716740384613&lt;/D&gt;&lt;D xsi:type="xsd:double"&gt;5.44255292279175&lt;/D&gt;&lt;D xsi:type="xsd:double"&gt;5.21404585848491&lt;/D&gt;&lt;D xsi:type="xsd:double"&gt;5.58027187068958&lt;/D&gt;&lt;D xsi:type="xsd:double"&gt;5.56567042349983&lt;/D&gt;&lt;D xsi:type="xsd:double"&gt;5.81248357827925&lt;/D&gt;&lt;D xsi:type="xsd:double"&gt;5.54458253350214&lt;/D&gt;&lt;D xsi:type="xsd:double"&gt;5.46763573168316&lt;/D&gt;&lt;D xsi:type="xsd:double"&gt;5.43406890767703&lt;/D&gt;&lt;D xsi:type="xsd:double"&gt;5.29729219629956&lt;/D&gt;&lt;D xsi:type="xsd:double"&gt;5.0770869062263&lt;/D&gt;&lt;D xsi:type="xsd:double"&gt;5.24226208945742&lt;/D&gt;&lt;D xsi:type="xsd:double"&gt;5.24529211541414&lt;/D&gt;&lt;D xsi:type="xsd:double"&gt;5.4824651561346&lt;/D&gt;&lt;D xsi:type="xsd:double"&gt;5.30934138032778&lt;/D&gt;&lt;D xsi:type="xsd:double"&gt;5.36917951453736&lt;/D&gt;&lt;D xsi:type="xsd:double"&gt;5.35429241806803&lt;/D&gt;&lt;/FQL&gt;&lt;FQL&gt;&lt;Q&gt;EWN^FMA_PE(NTMA,-10AY,0,AM,"PORTAGG","MEANR")&lt;/Q&gt;&lt;R&gt;121&lt;/R&gt;&lt;C&gt;1&lt;/C&gt;&lt;D xsi:type="xsd:double"&gt;14.6043634602116&lt;/D&gt;&lt;D xsi:type="xsd:double"&gt;13.8857805061764&lt;/D&gt;&lt;D xsi:type="xsd:double"&gt;15.0521252976918&lt;/D&gt;&lt;D xsi:type="xsd:double"&gt;14.8835903560663&lt;/D&gt;&lt;D xsi:type="xsd:double"&gt;15.7541309878819&lt;/D&gt;&lt;D xsi:type="xsd:double"&gt;16.9244555464129&lt;/D&gt;&lt;D xsi:type="xsd:double"&gt;17.0369201402442&lt;/D&gt;&lt;D xsi:type="xsd:double"&gt;17.6717553604259&lt;/D&gt;&lt;D xsi:type="xsd:double"&gt;17.3144734845597&lt;/D&gt;&lt;D xsi:type="xsd:double"&gt;16.9223364397987&lt;/D&gt;&lt;D xsi:type="xsd:double"&gt;16.5034942095125&lt;/D&gt;&lt;D xsi:type="xsd:double"&gt;14.978361181898&lt;/D&gt;&lt;D xsi:type="xsd:double"&gt;14.4592718267605&lt;/D&gt;&lt;D xsi:type="xsd:double"&gt;15.67324466187&lt;/D&gt;&lt;D xsi:type="xsd:double"&gt;16.5384330968825&lt;/D&gt;&lt;D xsi:type="xsd:double"&gt;15.6414498098419&lt;/D&gt;&lt;D xsi:type="xsd:double"&gt;14.8208751237447&lt;/D&gt;&lt;D xsi:type="xsd:double"&gt;14.7354410919535&lt;/D&gt;&lt;D xsi:type="xsd:double"&gt;15.2427230567229&lt;/D&gt;&lt;D xsi:type="xsd:double"&gt;15.2010692349735&lt;/D&gt;&lt;D xsi:type="xsd:double"&gt;15.3805035896872&lt;/D&gt;&lt;D xsi:type="xsd:double"&gt;13.3256695813706&lt;/D&gt;&lt;D xsi:type="xsd:double"&gt;14.8551874918959&lt;/D&gt;&lt;D xsi:type="xsd:double"&gt;14.9229762715567&lt;/D&gt;&lt;D xsi:type="xsd:double"&gt;14.7438460931618&lt;/D&gt;&lt;D xsi:type="xsd:double"&gt;14.7521713194752&lt;/D&gt;&lt;D xsi:type="xsd:double"&gt;14.7121136384034&lt;/D&gt;&lt;D xsi:type="xsd:double"&gt;15.0879303283179&lt;/D&gt;&lt;D xsi:type="xsd:double"&gt;15.1461186354191&lt;/D&gt;&lt;D xsi:type="xsd:double"&gt;15.4797338235582&lt;/D&gt;&lt;D xsi:type="xsd:double"&gt;15.8957361604131&lt;/D&gt;&lt;D xsi:type="xsd:double"&gt;16.367510539699&lt;/D&gt;&lt;D xsi:type="xsd:double"&gt;16.3547968889701&lt;/D&gt;&lt;D xsi:type="xsd:double"&gt;15.9668160936693&lt;/D&gt;&lt;D xsi:type="xsd:double"&gt;16.1519668529052&lt;/D&gt;&lt;D xsi:type="xsd:double"&gt;15.6955542007074&lt;/D&gt;&lt;D xsi:type="xsd:double"&gt;15.8187706525756&lt;/D&gt;&lt;D xsi:type="xsd:double"&gt;16.2565971851708&lt;/D&gt;&lt;D xsi:type="xsd:double"&gt;15.9591989523976&lt;/D&gt;&lt;D xsi:type="xsd:double"&gt;16.0072447914826&lt;/D&gt;&lt;D xsi:type="xsd:double"&gt;16.3819912514202&lt;/D&gt;&lt;D xsi:type="xsd:double"&gt;15.6572035847256&lt;/D&gt;&lt;D xsi:type="xsd:double"&gt;15.3066244880089&lt;/D&gt;&lt;D xsi:type="xsd:double"&gt;15.677400198192&lt;/D&gt;&lt;D xsi:type="xsd:double"&gt;15.9930823957064&lt;/D&gt;&lt;D xsi:type="xsd:double"&gt;15.5192752835164&lt;/D&gt;&lt;D xsi:type="xsd:double"&gt;16.0704301945225&lt;/D&gt;&lt;D xsi:type="xsd:double"&gt;15.6085846804704&lt;/D&gt;&lt;D xsi:type="xsd:double"&gt;15.0773059590103&lt;/D&gt;&lt;D xsi:type="xsd:double"&gt;13.7349906754253&lt;/D&gt;&lt;D xsi:type="xsd:double"&gt;14.1219955351945&lt;/D&gt;&lt;D xsi:type="xsd:double"&gt;12.7760364784078&lt;/D&gt;&lt;D xsi:type="xsd:double"&gt;14.0451196547722&lt;/D&gt;&lt;D xsi:type="xsd:double"&gt;14.8145905089576&lt;/D&gt;&lt;D xsi:type="xsd:double"&gt;15.0392840923921&lt;/D&gt;&lt;D xsi:type="xsd:double"&gt;15.6817720931421&lt;/D&gt;&lt;D xsi:type="xsd:double"&gt;14.9981420579935&lt;/D&gt;&lt;D xsi:type="xsd:double"&gt;15.3447167536234&lt;/D&gt;&lt;D xsi:type="xsd:double"&gt;15.98423343854&lt;/D&gt;&lt;D xsi:type="xsd:double"&gt;15.1377477596435&lt;/D&gt;&lt;D xsi:type="xsd:double"&gt;16.184677901641&lt;/D&gt;&lt;D xsi:type="xsd:double"&gt;16.2680887885585&lt;/D&gt;&lt;D xsi:type="xsd:double"&gt;16.7645426154781&lt;/D&gt;&lt;D xsi:type="xsd:double"&gt;17.1821495250251&lt;/D&gt;&lt;D xsi:type="xsd:double"&gt;16.9640895140998&lt;/D&gt;&lt;D xsi:type="xsd:double"&gt;16.1577352687821&lt;/D&gt;&lt;D xsi:type="xsd:double"&gt;13.7338412928161&lt;/D&gt;&lt;D xsi:type="xsd:double"&gt;16.8008186208297&lt;/D&gt;&lt;D xsi:type="xsd:double"&gt;18.2474585258574&lt;/D&gt;&lt;D xsi:type="xsd:double"&gt;19.4000913770864&lt;/D&gt;&lt;D xsi:type="xsd:double"&gt;20.033684537633&lt;/D&gt;&lt;D xsi:type="xsd:double"&gt;20.0609761275421&lt;/D&gt;&lt;D xsi:type="xsd:double"&gt;18.9268974344031&lt;/D&gt;&lt;D xsi:type="xsd:double"&gt;19.0481676225509&lt;/D&gt;&lt;D xsi:type="xsd:double"&gt;20.734021447468&lt;/D&gt;&lt;D xsi:type="xsd:double"&gt;20.6811930402565&lt;/D&gt;&lt;D xsi:type="xsd:double"&gt;20.9232730234866&lt;/D&gt;&lt;D xsi:type="xsd:double"&gt;21.4166993700112&lt;/D&gt;&lt;D xsi:type="xsd:double"&gt;22.289181552451&lt;/D&gt;&lt;D xsi:type="xsd:double"&gt;22.3076581691319&lt;/D&gt;&lt;D xsi:type="xsd:double"&gt;21.3915319473179&lt;/D&gt;&lt;D xsi:type="xsd:double"&gt;21.383178000184&lt;/D&gt;&lt;D xsi:type="xsd:double"&gt;21.075290502293&lt;/D&gt;&lt;D xsi:type="xsd:double"&gt;21.9161825784566&lt;/D&gt;&lt;D xsi:type="xsd:double"&gt;21.2079420380182&lt;/D&gt;&lt;D xsi:type="xsd:double"&gt;21.24104104823&lt;/D&gt;&lt;D xsi:type="xsd:double"&gt;20.2241606212676&lt;/D&gt;&lt;D xsi:type="xsd:double"&gt;20.5520676098218&lt;/D&gt;&lt;D xsi:type="xsd:double"&gt;18.4325694930423&lt;/D&gt;&lt;D xsi:type="xsd:double"&gt;17.4708942220691&lt;/D&gt;&lt;D xsi:type="xsd:double"&gt;18.2016794422796&lt;/D&gt;&lt;D xsi:type="xsd:double"&gt;16.9071670549423&lt;/D&gt;&lt;D xsi:type="xsd:double"&gt;17.2613078155288&lt;/D&gt;&lt;D xsi:type="xsd:double"&gt;16.4038497802477&lt;/D&gt;&lt;D xsi:type="xsd:double"&gt;17.6028276335757&lt;/D&gt;&lt;D xsi:type="xsd:double"&gt;16.7172590051053&lt;/D&gt;&lt;D xsi:type="xsd:double"&gt;14.4712714513109&lt;/D&gt;&lt;D xsi:type="xsd:double"&gt;15.2325822403307&lt;/D&gt;&lt;D xsi:type="xsd:double"&gt;16.5681348623734&lt;/D&gt;&lt;D xsi:type="xsd:double"&gt;15.502408965125&lt;/D&gt;&lt;D xsi:type="xsd:double"&gt;17.131947211805&lt;/D&gt;&lt;D xsi:type="xsd:double"&gt;16.5789135907768&lt;/D&gt;&lt;D xsi:type="xsd:double"&gt;15.9795411155815&lt;/D&gt;&lt;D xsi:type="xsd:double"&gt;15.7875826901017&lt;/D&gt;&lt;D xsi:type="xsd:double"&gt;15.9876793315927&lt;/D&gt;&lt;D xsi:type="xsd:double"&gt;15.5086088909362&lt;/D&gt;&lt;D xsi:type="xsd:double"&gt;16.1746395759404&lt;/D&gt;&lt;D xsi:type="xsd:double"&gt;14.5038525997559&lt;/D&gt;&lt;D xsi:type="xsd:double"&gt;13.4372472606206&lt;/D&gt;&lt;D xsi:type="xsd:double"&gt;13.1268538228727&lt;/D&gt;&lt;D xsi:type="xsd:double"&gt;14.6828451974722&lt;/D&gt;&lt;D xsi:type="xsd:double"&gt;15.1382701398947&lt;/D&gt;&lt;D xsi:type="xsd:double"&gt;15.767419379366&lt;/D&gt;&lt;D xsi:type="xsd:double"&gt;16.3848453411957&lt;/D&gt;&lt;D xsi:type="xsd:double"&gt;16.3655677905865&lt;/D&gt;&lt;D xsi:type="xsd:double"&gt;15.7723527811648&lt;/D&gt;&lt;D xsi:type="xsd:double"&gt;16.3879043271632&lt;/D&gt;&lt;D xsi:type="xsd:double"&gt;16.2455283632419&lt;/D&gt;&lt;D xsi:type="xsd:double"&gt;15.5054093267863&lt;/D&gt;&lt;D xsi:type="xsd:double"&gt;15.134568951524&lt;/D&gt;&lt;D xsi:type="xsd:double"&gt;14.8996198446453&lt;/D&gt;&lt;/FQL&gt;&lt;FQL&gt;&lt;Q&gt;EWI^FMA_ROE(NTMA,-20AY,NOW,FY,"PORTAGG","MEANR")&lt;/Q&gt;&lt;R&gt;20&lt;/R&gt;&lt;C&gt;1&lt;/C&gt;&lt;D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xsi:type="xsd:double"&gt;1.211&lt;/D&gt;&lt;/FQL&gt;&lt;FQL&gt;&lt;Q&gt;TRYNZ10Y-FDS^PCTCHG(FG_YIELD(0,,,,"YTM"),FG_YIELD(-3AM,,,,"YTM"))&lt;/Q&gt;&lt;R&gt;1&lt;/R&gt;&lt;C&gt;1&lt;/C&gt;&lt;D xsi:type="xsd:double"&gt;-9.244743&lt;/D&gt;&lt;/FQL&gt;&lt;FQL&gt;&lt;Q&gt;EWU^FMA_ROE(NTMA,-20AY,NOW,FY,"PORTAGG","MEANR")&lt;/Q&gt;&lt;R&gt;20&lt;/R&gt;&lt;C&gt;1&lt;/C&gt;&lt;D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xsi:type="xsd:double"&gt;12.870966472555&lt;/D&gt;&lt;D xsi:type="xsd:double"&gt;11.2077122027496&lt;/D&gt;&lt;D xsi:type="xsd:double"&gt;13.9227366843934&lt;/D&gt;&lt;D xsi:type="xsd:double"&gt;15.8583479057593&lt;/D&gt;&lt;D xsi:type="xsd:double"&gt;14.7202942014685&lt;/D&gt;&lt;/FQL&gt;&lt;FQL&gt;&lt;Q&gt;USDCAD^STD(FG_PRICE_CHANGE(0,-3AY,M))&lt;/Q&gt;&lt;R&gt;1&lt;/R&gt;&lt;C&gt;1&lt;/C&gt;&lt;D xsi:type="xsd:double"&gt;1.83420331354053&lt;/D&gt;&lt;/FQL&gt;&lt;FQL&gt;&lt;Q&gt;QQQ^FMA_DIV_YLD(NTMA,-10AY,0,AM,"PORTAGG","MEANR")&lt;/Q&gt;&lt;R&gt;121&lt;/R&gt;&lt;C&gt;1&lt;/C&gt;&lt;D xsi:type="xsd:double"&gt;1.23977901612741&lt;/D&gt;&lt;D xsi:type="xsd:double"&gt;1.25733327829193&lt;/D&gt;&lt;D xsi:type="xsd:double"&gt;1.19435301390254&lt;/D&gt;&lt;D xsi:type="xsd:double"&gt;1.20604910691553&lt;/D&gt;&lt;D xsi:type="xsd:double"&gt;1.23713606275638&lt;/D&gt;&lt;D xsi:type="xsd:double"&gt;1.21346631716943&lt;/D&gt;&lt;D xsi:type="xsd:double"&gt;1.27610806340731&lt;/D&gt;&lt;D xsi:type="xsd:double"&gt;1.22977971195639&lt;/D&gt;&lt;D xsi:type="xsd:double"&gt;1.22749629067572&lt;/D&gt;&lt;D xsi:type="xsd:double"&gt;1.25071044263818&lt;/D&gt;&lt;D xsi:type="xsd:double"&gt;1.27303194925717&lt;/D&gt;&lt;D xsi:type="xsd:double"&gt;1.34606413281061&lt;/D&gt;&lt;D xsi:type="xsd:double"&gt;1.38453052301931&lt;/D&gt;&lt;D xsi:type="xsd:double"&gt;1.27342525641647&lt;/D&gt;&lt;D xsi:type="xsd:double"&gt;1.27662096760661&lt;/D&gt;&lt;D xsi:type="xsd:double"&gt;1.28806714741264&lt;/D&gt;&lt;D xsi:type="xsd:double"&gt;1.40993245051603&lt;/D&gt;&lt;D xsi:type="xsd:double"&gt;1.40380815075737&lt;/D&gt;&lt;D xsi:type="xsd:double"&gt;1.35566808567272&lt;/D&gt;&lt;D xsi:type="xsd:double"&gt;1.36653421451944&lt;/D&gt;&lt;D xsi:type="xsd:double"&gt;1.34470187579383&lt;/D&gt;&lt;D xsi:type="xsd:double"&gt;1.4329811257499&lt;/D&gt;&lt;D xsi:type="xsd:double"&gt;1.29848416508957&lt;/D&gt;&lt;D xsi:type="xsd:double"&gt;1.28464100681007&lt;/D&gt;&lt;D xsi:type="xsd:double"&gt;1.26140970159382&lt;/D&gt;&lt;D xsi:type="xsd:double"&gt;1.27491316984801&lt;/D&gt;&lt;D xsi:type="xsd:double"&gt;1.27908001327562&lt;/D&gt;&lt;D xsi:type="xsd:double"&gt;1.27529876322362&lt;/D&gt;&lt;D xsi:type="xsd:double"&gt;1.23257209950237&lt;/D&gt;&lt;D xsi:type="xsd:double"&gt;1.21926244885977&lt;/D&gt;&lt;D xsi:type="xsd:double"&gt;1.21832730280887&lt;/D&gt;&lt;D xsi:type="xsd:double"&gt;1.19094667421548&lt;/D&gt;&lt;D xsi:type="xsd:double"&gt;1.15696651354697&lt;/D&gt;&lt;D xsi:type="xsd:double"&gt;1.19227739669948&lt;/D&gt;&lt;D xsi:type="xsd:double"&gt;1.1665800537444&lt;/D&gt;&lt;D xsi:type="xsd:double"&gt;1.19196192365798&lt;/D&gt;&lt;D xsi:type="xsd:double"&gt;1.17057271460103&lt;/D&gt;&lt;D xsi:type="xsd:double"&gt;1.1226420873206&lt;/D&gt;&lt;D xsi:type="xsd:double"&gt;1.09629727121038&lt;/D&gt;&lt;D xsi:type="xsd:double"&gt;1.09394759599823&lt;/D&gt;&lt;D xsi:type="xsd:double"&gt;1.01808631419683&lt;/D&gt;&lt;D xsi:type="xsd:double"&gt;1.05714342493833&lt;/D&gt;&lt;D xsi:type="xsd:double"&gt;1.13013008253234&lt;/D&gt;&lt;D xsi:type="xsd:double"&gt;1.11922655516481&lt;/D&gt;&lt;D xsi:type="xsd:double"&gt;1.08412595675409&lt;/D&gt;&lt;D xsi:type="xsd:double"</t>
        </r>
      </text>
    </comment>
    <comment ref="A9" authorId="0" shapeId="0" xr:uid="{5E1B3DF9-3ED0-43EF-864D-8B3D770ED002}">
      <text>
        <r>
          <rPr>
            <b/>
            <sz val="9"/>
            <color indexed="81"/>
            <rFont val="Tahoma"/>
            <charset val="1"/>
          </rPr>
          <t>&gt;1.08590842049598&lt;/D&gt;&lt;D xsi:type="xsd:double"&gt;1.09273382555311&lt;/D&gt;&lt;D xsi:type="xsd:double"&gt;1.06065433975846&lt;/D&gt;&lt;D xsi:type="xsd:double"&gt;1.05988057173237&lt;/D&gt;&lt;D xsi:type="xsd:double"&gt;1.20064949466148&lt;/D&gt;&lt;D xsi:type="xsd:double"&gt;1.23347641034823&lt;/D&gt;&lt;D xsi:type="xsd:double"&gt;1.32764550806957&lt;/D&gt;&lt;D xsi:type="xsd:double"&gt;1.23850912599102&lt;/D&gt;&lt;D xsi:type="xsd:double"&gt;1.17455148459093&lt;/D&gt;&lt;D xsi:type="xsd:double"&gt;1.14942800975148&lt;/D&gt;&lt;D xsi:type="xsd:double"&gt;1.08623572906665&lt;/D&gt;&lt;D xsi:type="xsd:double"&gt;1.16801979339755&lt;/D&gt;&lt;D xsi:type="xsd:double"&gt;1.1157634525217&lt;/D&gt;&lt;D xsi:type="xsd:double"&gt;1.07165789970463&lt;/D&gt;&lt;D xsi:type="xsd:double"&gt;1.13587552958511&lt;/D&gt;&lt;D xsi:type="xsd:double"&gt;1.14646994178483&lt;/D&gt;&lt;D xsi:type="xsd:double"&gt;1.11049851546795&lt;/D&gt;&lt;D xsi:type="xsd:double"&gt;1.08693862259618&lt;/D&gt;&lt;D xsi:type="xsd:double"&gt;1.06307968249669&lt;/D&gt;&lt;D xsi:type="xsd:double"&gt;1.04754550324398&lt;/D&gt;&lt;D xsi:type="xsd:double"&gt;1.11980824073349&lt;/D&gt;&lt;D xsi:type="xsd:double"&gt;1.24822689425736&lt;/D&gt;&lt;D xsi:type="xsd:double"&gt;1.06667458469911&lt;/D&gt;&lt;D xsi:type="xsd:double"&gt;0.98232473773604&lt;/D&gt;&lt;D xsi:type="xsd:double"&gt;0.941075982058985&lt;/D&gt;&lt;D xsi:type="xsd:double"&gt;0.871115588566035&lt;/D&gt;&lt;D xsi:type="xsd:double"&gt;0.780857212361005&lt;/D&gt;&lt;D xsi:type="xsd:double"&gt;0.837723790377976&lt;/D&gt;&lt;D xsi:type="xsd:double"&gt;0.81794807015557&lt;/D&gt;&lt;D xsi:type="xsd:double"&gt;0.77352551801385&lt;/D&gt;&lt;D xsi:type="xsd:double"&gt;0.790034554134236&lt;/D&gt;&lt;D xsi:type="xsd:double"&gt;0.771486811279131&lt;/D&gt;&lt;D xsi:type="xsd:double"&gt;0.791864702828513&lt;/D&gt;&lt;D xsi:type="xsd:double"&gt;0.79007808429917&lt;/D&gt;&lt;D xsi:type="xsd:double"&gt;0.740199295738312&lt;/D&gt;&lt;D xsi:type="xsd:double"&gt;0.758052790670077&lt;/D&gt;&lt;D xsi:type="xsd:double"&gt;0.729069506825143&lt;/D&gt;&lt;D xsi:type="xsd:double"&gt;0.716733052814005&lt;/D&gt;&lt;D xsi:type="xsd:double"&gt;0.699504586082019&lt;/D&gt;&lt;D xsi:type="xsd:double"&gt;0.715618056081533&lt;/D&gt;&lt;D xsi:type="xsd:double"&gt;0.7024572119047&lt;/D&gt;&lt;D xsi:type="xsd:double"&gt;0.69484636538465&lt;/D&gt;&lt;D xsi:type="xsd:double"&gt;0.676797542555796&lt;/D&gt;&lt;D xsi:type="xsd:double"&gt;0.808261473307925&lt;/D&gt;&lt;D xsi:type="xsd:double"&gt;0.813365471954702&lt;/D&gt;&lt;D xsi:type="xsd:double"&gt;0.785105404211916&lt;/D&gt;&lt;D xsi:type="xsd:double"&gt;0.896896493262573&lt;/D&gt;&lt;D xsi:type="xsd:double"&gt;0.924342584381017&lt;/D&gt;&lt;D xsi:type="xsd:double"&gt;0.983609665113459&lt;/D&gt;&lt;D xsi:type="xsd:double"&gt;0.942510058908135&lt;/D&gt;&lt;D xsi:type="xsd:double"&gt;0.948370375884715&lt;/D&gt;&lt;D xsi:type="xsd:double"&gt;1.06965887003135&lt;/D&gt;&lt;D xsi:type="xsd:double"&gt;1.08660782119819&lt;/D&gt;&lt;D xsi:type="xsd:double"&gt;1.03826267264138&lt;/D&gt;&lt;D xsi:type="xsd:double"&gt;1.0784975943428&lt;/D&gt;&lt;D xsi:type="xsd:double"&gt;0.969996406311385&lt;/D&gt;&lt;D xsi:type="xsd:double"&gt;0.987367744978505&lt;/D&gt;&lt;D xsi:type="xsd:double"&gt;0.9440749933126&lt;/D&gt;&lt;D xsi:type="xsd:double"&gt;0.912542964300311&lt;/D&gt;&lt;D xsi:type="xsd:double"&gt;0.826871216758235&lt;/D&gt;&lt;D xsi:type="xsd:double"&gt;0.796673757740078&lt;/D&gt;&lt;D xsi:type="xsd:double"&gt;0.899479498740142&lt;/D&gt;&lt;D xsi:type="xsd:double"&gt;0.933794460927143&lt;/D&gt;&lt;D xsi:type="xsd:double"&gt;0.971540702206892&lt;/D&gt;&lt;D xsi:type="xsd:double"&gt;1.0173914169681&lt;/D&gt;&lt;D xsi:type="xsd:double"&gt;0.916756215038281&lt;/D&gt;&lt;D xsi:type="xsd:double"&gt;0.941296053534784&lt;/D&gt;&lt;D xsi:type="xsd:double"&gt;0.912914786408263&lt;/D&gt;&lt;D xsi:type="xsd:double"&gt;0.911936393857449&lt;/D&gt;&lt;D xsi:type="xsd:double"&gt;0.906379282420103&lt;/D&gt;&lt;D xsi:type="xsd:double"&gt;0.919452087297324&lt;/D&gt;&lt;D xsi:type="xsd:double"&gt;0.883182973843391&lt;/D&gt;&lt;D xsi:type="xsd:double"&gt;0.83952230566411&lt;/D&gt;&lt;D xsi:type="xsd:double"&gt;0.867059762310044&lt;/D&gt;&lt;D xsi:type="xsd:double"&gt;0.835560585372713&lt;/D&gt;&lt;D xsi:type="xsd:double"&gt;0.814431759780729&lt;/D&gt;&lt;/FQL&gt;&lt;FQL&gt;&lt;Q&gt;COPP-FDS^FG_PRICE_MAVG(0,,,,30)&lt;/Q&gt;&lt;R&gt;1&lt;/R&gt;&lt;C&gt;1&lt;/C&gt;&lt;D xsi:type="xsd:double"&gt;4.2013335&lt;/D&gt;&lt;/FQL&gt;&lt;FQL&gt;&lt;Q&gt;EWN^FG_PRICE_MAVG(0,,,,200)&lt;/Q&gt;&lt;R&gt;1&lt;/R&gt;&lt;C&gt;1&lt;/C&gt;&lt;D xsi:type="xsd:double"&gt;48.51076&lt;/D&gt;&lt;/FQL&gt;&lt;FQL&gt;&lt;Q&gt;EWG^FG_PRICE(0)&lt;/Q&gt;&lt;R&gt;1&lt;/R&gt;&lt;C&gt;1&lt;/C&gt;&lt;D xsi:type="xsd:double"&gt;33.7&lt;/D&gt;&lt;/FQL&gt;&lt;FQL&gt;&lt;Q&gt;VWO^PERCENT_CHANGE(FMA_EPS(+1,0,,,,"PORTAGG","MEAN"),FMA_EPS(+1,-3AM,,,,"PORTAGG","MEAN"))&lt;/Q&gt;&lt;R&gt;1&lt;/R&gt;&lt;C&gt;1&lt;/C&gt;&lt;D xsi:type="xsd:double"&gt;-1.45313880728309&lt;/D&gt;&lt;/FQL&gt;&lt;FQL&gt;&lt;Q&gt;EWD^PERCENT_CHANGE(FMA_EPS(+1,0,,,,"PORTAGG","MEAN"),FMA_EPS(+1,-1AM,,,,"PORTAGG","MEAN"))&lt;/Q&gt;&lt;R&gt;1&lt;/R&gt;&lt;C&gt;1&lt;/C&gt;&lt;D xsi:type="xsd:double"&gt;-3.1215609743816&lt;/D&gt;&lt;/FQL&gt;&lt;FQL&gt;&lt;Q&gt;SPY^FG_TOTAL_RETURNC(0,-3AM)&lt;/Q&gt;&lt;R&gt;1&lt;/R&gt;&lt;C&gt;1&lt;/C&gt;&lt;D xsi:type="xsd:double"&gt;5.0676227&lt;/D&gt;&lt;/FQL&gt;&lt;FQL&gt;&lt;Q&gt;SPY^FMA_COS_UP("EPS","1M",+1,0,,,"PORTAGG","MEANR")&lt;/Q&gt;&lt;R&gt;1&lt;/R&gt;&lt;C&gt;1&lt;/C&gt;&lt;D xsi:type="xsd:double"&gt;153&lt;/D&gt;&lt;/FQL&gt;&lt;FQL&gt;&lt;Q&gt;EWD^FG_ROE(0)&lt;/Q&gt;&lt;R&gt;1&lt;/R&gt;&lt;C&gt;1&lt;/C&gt;&lt;D xsi:type="xsd:double"&gt;16.9937618845633&lt;/D&gt;&lt;/FQL&gt;&lt;FQL&gt;&lt;Q&gt;TRYIT10Y-FDS^PCTCHG(FG_YIELD(0,,,,"YTM"),FG_YIELD(-1AM,,,,"YTM"))&lt;/Q&gt;&lt;R&gt;0&lt;/R&gt;&lt;C&gt;0&lt;/C&gt;&lt;/FQL&gt;&lt;FQL&gt;&lt;Q&gt;TRYCA10Y-FDS^FG_YIELD(0,,,,"YTM")&lt;/Q&gt;&lt;R&gt;0&lt;/R&gt;&lt;C&gt;0&lt;/C&gt;&lt;/FQL&gt;&lt;FQL&gt;&lt;Q&gt;VWO^FG_PE(0)&lt;/Q&gt;&lt;R&gt;1&lt;/R&gt;&lt;C&gt;1&lt;/C&gt;&lt;D xsi:type="xsd:double"&gt;15.2683799095772&lt;/D&gt;&lt;/FQL&gt;&lt;FQL&gt;&lt;Q&gt;EWD^FMA_PE(LTM,0,,,"PORTAGG","MEANR")&lt;/Q&gt;&lt;R&gt;1&lt;/R&gt;&lt;C&gt;1&lt;/C&gt;&lt;D xsi:type="xsd:double"&gt;15.1792608202104&lt;/D&gt;&lt;/FQL&gt;&lt;FQL&gt;&lt;Q&gt;SPY^FMA_PE(LTM,0,,,"PORTAGG","MEANR")&lt;/Q&gt;&lt;R&gt;1&lt;/R&gt;&lt;C&gt;1&lt;/C&gt;&lt;D xsi:type="xsd:double"&gt;26.8407566613544&lt;/D&gt;&lt;/FQL&gt;&lt;FQL&gt;&lt;Q&gt;EWA^FMA_EVAL_EBITDA(NTMA,0,,,"PORTAGG","MEANR")&lt;/Q&gt;&lt;R&gt;1&lt;/R&gt;&lt;C&gt;1&lt;/C&gt;&lt;D xsi:type="xsd:double"&gt;9.09406730004516&lt;/D&gt;&lt;/FQL&gt;&lt;FQL&gt;&lt;Q&gt;UUP^P_PRICE(0)/P_PRICE_HIGH_PR(0,,,USD,,,"PRICE","INTRA","52W")&lt;/Q&gt;&lt;R&gt;1&lt;/R&gt;&lt;C&gt;1&lt;/C&gt;&lt;D xsi:type="xsd:double"&gt;0.9308801&lt;/D&gt;&lt;/FQL&gt;&lt;FQL&gt;&lt;Q&gt;VWO^JULIAN(FMA_DIV_YLD(NTMA,NOW,NOW,M,"PORTAGG","MEANR").DATES)&lt;/Q&gt;&lt;R&gt;1&lt;/R&gt;&lt;C&gt;1&lt;/C&gt;&lt;D xsi:type="xsd:long"&gt;45504&lt;/D&gt;&lt;/FQL&gt;&lt;FQL&gt;&lt;Q&gt;EWJ^FG_FCF_YIELD_NTM(0)&lt;/Q&gt;&lt;R&gt;1&lt;/R&gt;&lt;C&gt;1&lt;/C&gt;&lt;D xsi:type="xsd:double"&gt;4.15101639654628&lt;/D&gt;&lt;/FQL&gt;&lt;FQL&gt;&lt;Q&gt;EWA^FG_FCF_YIELD_NTM(0)&lt;/Q&gt;&lt;R&gt;1&lt;/R&gt;&lt;C&gt;1&lt;/C&gt;&lt;D xsi:type="xsd:double"&gt;4.54443087381649&lt;/D&gt;&lt;/FQL&gt;&lt;FQL&gt;&lt;Q&gt;TRYSE10Y-FDS^PCTCHG(FG_YIELD(0,,,,"YTM"),FG_YIELD(-3AM,,,,"YTM"))&lt;/Q&gt;&lt;R&gt;0&lt;/R&gt;&lt;C&gt;0&lt;/C&gt;&lt;/FQL&gt;&lt;FQL&gt;&lt;Q&gt;TRYCA10Y-FDS^FG_YIELD_NAME&lt;/Q&gt;&lt;R&gt;1&lt;/R&gt;&lt;C&gt;1&lt;/C&gt;&lt;D xsi:type="xsd:string"&gt;Canada Benchmark Bond - 10 Year&lt;/D&gt;&lt;/FQL&gt;&lt;FQL&gt;&lt;Q&gt;EWD^JULIAN(FMA_DIV_YLD(NTMA,NOW,NOW,M,"PORTAGG","MEANR").DATES)&lt;/Q&gt;&lt;R&gt;1&lt;/R&gt;&lt;C&gt;1&lt;/C&gt;&lt;D xsi:type="xsd:long"&gt;45534&lt;/D&gt;&lt;/FQL&gt;&lt;FQL&gt;&lt;Q&gt;SPY^JULIAN(FMA_DIV_YLD(NTMA,NOW,NOW,M,"PORTAGG","MEANR").DATES)&lt;/Q&gt;&lt;R&gt;1&lt;/R&gt;&lt;C&gt;1&lt;/C&gt;&lt;D xsi:type="xsd:long"&gt;45534&lt;/D&gt;&lt;/FQL&gt;&lt;FQL&gt;&lt;Q&gt;QQQ^JULIAN(FMA_DIV_YLD(NTMA,NOW,NOW,M,"PORTAGG","MEANR").DATES)&lt;/Q&gt;&lt;R&gt;1&lt;/R&gt;&lt;C&gt;1&lt;/C&gt;&lt;D xsi:type="xsd:long"&gt;45534&lt;/D&gt;&lt;/FQL&gt;&lt;FQL&gt;&lt;Q&gt;GLD^P_PRICE(0)/P_PRICE_HIGH_PR(0,,,USD,,,"PRICE","INTRA","52W")&lt;/Q&gt;&lt;R&gt;1&lt;/R&gt;&lt;C&gt;1&lt;/C&gt;&lt;D xsi:type="xsd:double"&gt;0.9984234&lt;/D&gt;&lt;/FQL&gt;&lt;FQL&gt;&lt;Q&gt;TRYMX10Y-FDS^FG_YIELD(-10AY,0,Y,,"YTM")&lt;/Q&gt;&lt;R&gt;10&lt;/R&gt;&lt;C&gt;1&lt;/C&gt;&lt;D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xsi:type="xsd:double"&gt;8.95&lt;/D&gt;&lt;/FQL&gt;&lt;FQL&gt;&lt;Q&gt;USDCAD^STD(FG_PRICE_CHANGE(0,-1AY,AM))&lt;/Q&gt;&lt;R&gt;1&lt;/R&gt;&lt;C&gt;1&lt;/C&gt;&lt;D xsi:type="xsd:double"&gt;1.65877353594337&lt;/D&gt;&lt;/FQL&gt;&lt;FQL&gt;&lt;Q&gt;DDR3512M-FDS^FG_PRICE_CHANGE(0,-3AM)&lt;/Q&gt;&lt;R&gt;1&lt;/R&gt;&lt;C&gt;1&lt;/C&gt;&lt;D xsi:type="xsd:double"&gt;-6.09745905699824&lt;/D&gt;&lt;/FQL&gt;&lt;FQL&gt;&lt;Q&gt;PLATI-FDS^FG_PRICE_CHANGE(0,-1AM)&lt;/Q&gt;&lt;R&gt;1&lt;/R&gt;&lt;C&gt;1&lt;/C&gt;&lt;D xsi:type="xsd:double"&gt;4.77178423236515&lt;/D&gt;&lt;/FQL&gt;&lt;FQL&gt;&lt;Q&gt;TIOS-FDS^FG_PRICE_CHANGE(0,-6AM)&lt;/Q&gt;&lt;R&gt;1&lt;/R&gt;&lt;C&gt;1&lt;/C&gt;&lt;D xsi:type="xsd:double"&gt;-15.7501820830299&lt;/D&gt;&lt;/FQL&gt;&lt;FQL&gt;&lt;Q&gt;SPY^FG_TOTAL_RETURNC(0,-1AM)&lt;/Q&gt;&lt;R&gt;1&lt;/R&gt;&lt;C&gt;1&lt;/C&gt;&lt;D xsi:type="xsd:double"&gt;2.2255898&lt;/D&gt;&lt;/FQL&gt;&lt;FQL&gt;&lt;Q&gt;EWL^PERCENT_CHANGE(FMA_EPS(+1,0,,,,"PORTAGG","MEAN"),FMA_EPS(+1,-3AM,,,,"PORTAGG","MEAN"))&lt;/Q&gt;&lt;R&gt;1&lt;/R&gt;&lt;C&gt;1&lt;/C&gt;&lt;D xsi:type="xsd:double"&gt;5.17665890380673&lt;/D&gt;&lt;/FQL&gt;&lt;FQL&gt;&lt;Q&gt;EWC^PERCENT_CHANGE(FMA_EPS(+1,0,,,,"PORTAGG","MEAN"),FMA_EPS(+1,-1AM,,,,"PORTAGG","MEAN"))&lt;/Q&gt;&lt;R&gt;1&lt;/R&gt;&lt;C&gt;1&lt;/C&gt;&lt;D xsi:type="xsd:double"&gt;-0.718928862048695&lt;/D&gt;&lt;/FQL&gt;&lt;FQL&gt;&lt;Q&gt;SPY^FMA_COS_DOWN("EPS","1M",+1,0,,,"PORTAGG","MEANR")&lt;/Q&gt;&lt;R&gt;1&lt;/R&gt;&lt;C&gt;1&lt;/C&gt;&lt;D xsi:type="xsd:double"&gt;162&lt;/D&gt;&lt;/FQL&gt;&lt;FQL&gt;&lt;Q&gt;QQQ^SIZE(FG_CONSTITUENTS)&lt;/Q&gt;&lt;R&gt;1&lt;/R&gt;&lt;C&gt;1&lt;/C&gt;&lt;D xsi:type="xsd:long"&gt;102&lt;/D&gt;&lt;/FQL&gt;&lt;FQL&gt;&lt;Q&gt;EWN^FG_ROE(0)&lt;/Q&gt;&lt;R&gt;1&lt;/R&gt;&lt;C&gt;1&lt;/C&gt;&lt;D xsi:type="xsd:double"&gt;11.012969402525&lt;/D&gt;&lt;/FQL&gt;&lt;FQL&gt;&lt;Q&gt;REFGBBANK-FDS^FG_YIELD(NOW,,,0)&lt;/Q&gt;&lt;R&gt;1&lt;/R&gt;&lt;C&gt;1&lt;/C&gt;&lt;D xsi:type="xsd:double"&gt;5&lt;/D&gt;&lt;/FQL&gt;&lt;FQL&gt;&lt;Q&gt;VWO^SIZE(FG_CONSTITUENTS)&lt;/Q&gt;&lt;R&gt;1&lt;/R&gt;&lt;C&gt;1&lt;/C&gt;&lt;D xsi:type="xsd:long"&gt;4847&lt;/D&gt;&lt;/FQL&gt;&lt;FQL&gt;&lt;Q&gt;EWA^FG_ROE(0)&lt;/Q&gt;&lt;R&gt;1&lt;/R&gt;&lt;C&gt;1&lt;/C&gt;&lt;D xsi:type="xsd:double"&gt;13.0938681579042&lt;/D&gt;&lt;/FQL&gt;&lt;FQL&gt;&lt;Q&gt;EWQ^FG_FCF_YIELD_NTM(0)&lt;/Q&gt;&lt;R&gt;1&lt;/R&gt;&lt;C&gt;1&lt;/C&gt;&lt;D xsi:type="xsd:double"&gt;5.86885229144588&lt;/D&gt;&lt;/FQL&gt;&lt;FQL&gt;&lt;Q&gt;SPY^FMA_EVAL_EBIT(LTMA,NOW,NOW,M,"PORTAGG","MEANR")&lt;/Q&gt;&lt;R&gt;1&lt;/R&gt;&lt;C&gt;1&lt;/C&gt;&lt;D xsi:type="xsd:double"&gt;21.0498660776373&lt;/D&gt;&lt;/FQL&gt;&lt;FQL&gt;&lt;Q&gt;QQQ^FG_TOTAL_RETURNC(0,-1AM)&lt;/Q&gt;&lt;R&gt;1&lt;/R&gt;&lt;C&gt;1&lt;/C&gt;&lt;D xsi:type="xsd:double"&gt;2.8097749&lt;/D&gt;&lt;/FQL&gt;&lt;FQL&gt;&lt;Q&gt;TRYPE10Y-FDS^FG_YIELD(-10AY,0,Y,,"YTM")&lt;/Q&gt;&lt;R&gt;10&lt;/R&gt;&lt;C&gt;1&lt;/C&gt;&lt;D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xsi:type="xsd:double"&gt;6.6087&lt;/D&gt;&lt;/FQL&gt;&lt;FQL&gt;&lt;Q&gt;EWL^FMA_DIV_YLD(NTMA,-10AY,0,AM,"PORTAGG","MEANR")&lt;/Q&gt;&lt;R&gt;121&lt;/R&gt;&lt;C&gt;1&lt;/C&gt;&lt;D xsi:type="xsd:double"&gt;3.3332329527283&lt;/D&gt;&lt;D xsi:type="xsd:double"&gt;3.43936836314616&lt;/D&gt;&lt;D xsi:type="xsd:double"&gt;3.22538166210818&lt;/D&gt;&lt;D xsi:type="xsd:double"&gt;3.27873766149703&lt;/D&gt;&lt;D xsi:type="xsd:double"&gt;3.38002006144074&lt;/D&gt;&lt;D xsi:type="xsd:double"&gt;3.15848356988339&lt;/D&gt;&lt;D xsi:type="xsd:double"&gt;3.14103229440832&lt;/D&gt;&lt;D xsi:type="xsd:double"&gt;3.02898946942902&lt;/D&gt;&lt;D xsi:type="xsd:double"&gt;3.07702200267925&lt;/D&gt;&lt;D xsi:type="xsd:double"&gt;3.21097543364718&lt;/D&gt;&lt;D xsi:type="xsd:double"&gt;3.18341023988394&lt;/D&gt;&lt;D xsi:type="xsd:double"&gt;3.31941313524025&lt;/D&gt;&lt;D xsi:type="xsd:double"&gt;3.46578287001677&lt;/D&gt;&lt;D xsi:type="xsd:double"&gt;3.29876083636428&lt;/D&gt;&lt;D xsi:type="xsd:double"&gt;3.24736124598495&lt;/D&gt;&lt;D xsi:type="xsd:double"&gt;3.28940463021131&lt;/D&gt;&lt;D xsi:type="xsd:double"&gt;3.48006053841721&lt;/D&gt;&lt;D xsi:type="xsd:double"&gt;3.53914648824197&lt;/D&gt;&lt;D xsi:type="xsd:double"&gt;3.56684385623282&lt;/D&gt;&lt;D xsi:type="xsd:double"&gt;3.46686600344022&lt;/D&gt;&lt;D xsi:type="xsd:double"&gt;3.42966137637841&lt;/D&gt;&lt;D xsi:type="xsd:double"&gt;3.76149359350168&lt;/D&gt;&lt;D xsi:type="xsd:double"&gt;3.48199561846764&lt;/D&gt;&lt;D xsi:type="xsd:double"&gt;3.46233135844259&lt;/D&gt;&lt;D xsi:type="xsd:double"&gt;3.48815204261845&lt;/D&gt;&lt;D xsi:type="xsd:double"&gt;3.61092828436115&lt;/D&gt;&lt;D xsi:type="xsd:double"&gt;3.65585487155425&lt;/D&gt;&lt;D xsi:type="xsd:double"&gt;3.5543316351851&lt;/D&gt;&lt;D xsi:type="xsd:double"&gt;3.46166022077229&lt;/D&gt;&lt;D xsi:type="xsd:double"&gt;3.3914719840833&lt;/D&gt;&lt;D xsi:type="xsd:double"&gt;3.35376178132036&lt;/D&gt;&lt;D xsi:type="xsd:double"&gt;3.33370718270211&lt;/D&gt;&lt;D xsi:type="xsd:double"&gt;3.28817822977732&lt;/D&gt;&lt;D xsi:type="xsd:double"&gt;3.23993540276746&lt;/D&gt;&lt;D xsi:type="xsd:double"&gt;3.28362178045656&lt;/D&gt;&lt;D xsi:type="xsd:double"&gt;3.32198138522609&lt;/D&gt;&lt;D xsi:type="xsd:double"&gt;3.3005881315188&lt;/D&gt;&lt;D xsi:type="xsd:double"&gt;3.26644535953982&lt;/D&gt;&lt;D xsi:type="xsd:double"&gt;3.24319725316873&lt;/D&gt;&lt;D xsi:type="xsd:double"&gt;3.21292611297764&lt;/D&gt;&lt;D xsi:type="xsd:double"&gt;3.14112421508042&lt;/D&gt;&lt;D xsi:type="xsd:double"&gt;3.3610739589181&lt;/D&gt;&lt;D xsi:type="xsd:double"&gt;3.52708167851004&lt;/D&gt;&lt;D xsi:type="xsd:double"&gt;3.47180095515981&lt;/D&gt;&lt;D xsi:type="xsd:double"&gt;3.49187449598824&lt;/D&gt;&lt;D xsi:type="xsd:double"&gt;3.60963793851174&lt;/D&gt;&lt;D xsi:type="xsd:double"&gt;3.36141438105834&lt;/D&gt;&lt;D xsi:type="xsd:double"&gt;3.39171190901097&lt;/D&gt;&lt;D xsi:type="xsd:double"&gt;3.39722946858266&lt;/D&gt;&lt;D xsi:type="xsd:double"&gt;3.6281172865429&lt;/D&gt;&lt;D xsi:type="xsd:double"&gt;3.56216523949535&lt;/D&gt;&lt;D xsi:type="xsd:double"&gt;3.80482062211712&lt;/D&gt;&lt;D xsi:type="xsd:double"&gt;3.48831391838875&lt;/D&gt;&lt;D xsi:type="xsd:double"&gt;3.33294111339183&lt;/D&gt;&lt;D xsi:type="xsd:double"&gt;3.35221700582251&lt;/D&gt;&lt;D xsi:type="xsd:double"&gt;3.25748672969272&lt;/D&gt;&lt;D xsi:type="xsd:double"&gt;3.28469838710662&lt;/D&gt;&lt;D xsi:type="xsd:double"&gt;3.23012019701033&lt;/D&gt;&lt;D xsi:type="xsd:double"&gt;3.21915329418587&lt;/D&gt;&lt;D xsi:type="xsd:double"&gt;3.27194583087993&lt;/D&gt;&lt;D xsi:type="xsd:double"&gt;3.20600759257504&lt;/D&gt;&lt;D xsi:type="xsd:double"&gt;3.17155605675422&lt;/D&gt;&lt;D xsi:type="xsd:double"&gt;3.08427872313246&lt;/D&gt;&lt;D xsi:type="xsd:double"&gt;3.01744949160882&lt;/D&gt;&lt;D xsi:type="xsd:double"&gt;3.01928598121248&lt;/D&gt;&lt;D xsi:type="xsd:double"&gt;3.1864049962021&lt;/D&gt;&lt;D xsi:type="xsd:double"&gt;3.60339583344938&lt;/D&gt;&lt;D xsi:type="xsd:double"&gt;3.2897836521314&lt;/D&gt;&lt;D xsi:type="xsd:double"&gt;3.21217805231297&lt;/D&gt;&lt;D xsi:type="xsd:double"&gt;3.09982957077826&lt;/D&gt;&lt;D xsi:type="xsd:double"&gt;2.94431382581554&lt;/D&gt;&lt;D xsi:type="xsd:double"&gt;2.93382437391774&lt;/D&gt;&lt;D xsi:type="xsd:double"&gt;2.98732995007788&lt;/D&gt;&lt;D xsi:type="xsd:double"&gt;3.04390505719643&lt;/D&gt;&lt;D xsi:type="xsd:double"&gt;2.88257072408931&lt;/D&gt;&lt;D xsi:type="xsd:double"&gt;2.89893863273824&lt;/D&gt;&lt;D xsi:type="xsd:double"&gt;2.80983464954297&lt;/D&gt;&lt;D xsi:type="xsd:double"&gt;2.91272826287135&lt;/D&gt;&lt;D xsi:type="xsd:double"&gt;2.79736953671182&lt;/D&gt;&lt;D xsi:type="xsd:double"&gt;2.75308666300471&lt;/D&gt;&lt;D xsi:type="xsd:double"&gt;2.72148993223004&lt;/D&gt;&lt;D xsi:type="xsd:double"&gt;2.6122531505003&lt;/D&gt;&lt;D xsi:type="xsd:double"&gt;2.61971631837001&lt;/D&gt;&lt;D xsi:type="xsd:double"&gt;2.55371204875654&lt;/D&gt;&lt;D xsi:type="xsd:double"&gt;2.73648954275058&lt;/D&gt;&lt;D xsi:type="xsd:double"&gt;2.66269714285215&lt;/D&gt;&lt;D xsi:type="xsd:double"&gt;2.6629902999122&lt;/D&gt;&lt;D xsi:type="xsd:double"&gt;2.53544456128732&lt;/D&gt;&lt;D xsi:type="xsd:double"&gt;2.74022417199192&lt;/D&gt;&lt;D xsi:type="xsd:double"&gt;2.81237262410996&lt;/D&gt;&lt;D xsi:type="xsd:double"&gt;2.79874861753998&lt;/D&gt;&lt;D xsi:type="xsd:double"&gt;2.8670103576506&lt;/D&gt;&lt;D xsi:type="xsd:double"&gt;2.94755010738307&lt;/D&gt;&lt;D xsi:type="xsd:double"&gt;3.1508898648133&lt;/D&gt;&lt;D xsi:type="xsd:double"&gt;3.10532969627565&lt;/D&gt;&lt;D xsi:type="xsd:double"&gt;3.17405100149736&lt;/D&gt;&lt;D xsi:type="xsd:double"&gt;3.47417280423289&lt;/D&gt;&lt;D xsi:type="xsd:double"&gt;3.29644500521228&lt;/D&gt;&lt;D xsi:type="xsd:double"&gt;3.0964002846403&lt;/D&gt;&lt;D xsi:type="xsd:double"&gt;3.20744578544457&lt;/D&gt;&lt;D xsi:type="xsd:double"&gt;3.05170334571278&lt;/D&gt;&lt;D xsi:type="xsd:double"&gt;3.09938890156895&lt;/D&gt;&lt;D xsi:type="xsd:double"&gt;3.24780891558055&lt;/D&gt;&lt;D xsi:type="xsd:double"&gt;3.09862727879625&lt;/D&gt;&lt;D xsi:type="xsd:double"&gt;3.11780046690485&lt;/D&gt;&lt;D xsi:type="xsd:double"&gt;3.20856067063344&lt;/D&gt;&lt;D xsi:type="xsd:double"&gt;3.11764833677674&lt;/D&gt;&lt;D xsi:type="xsd:double"&gt;3.28007999361524&lt;/D&gt;&lt;D xsi:type="xsd:double"&gt;3.38867947352484&lt;/D&gt;&lt;D xsi:type="xsd:double"&gt;3.5669739322742&lt;/D&gt;&lt;D xsi:type="xsd:double"&gt;3.38886925604999&lt;/D&gt;&lt;D xsi:type="xsd:double"&gt;3.28554439329625&lt;/D&gt;&lt;D xsi:type="xsd:double"&gt;3.2711620458416&lt;/D&gt;&lt;D xsi:type="xsd:double"&gt;3.28779691228861&lt;/D&gt;&lt;D xsi:type="xsd:double"&gt;3.27428499772389&lt;/D&gt;&lt;D xsi:type="xsd:double"&gt;3.38198003229751&lt;/D&gt;&lt;D xsi:type="xsd:double"&gt;3.22930668618676&lt;/D&gt;&lt;D xsi:type="xsd:double"&gt;3.23059391949378&lt;/D&gt;&lt;D xsi:type="xsd:double"&gt;3.16413677222174&lt;/D&gt;&lt;D xsi:type="xsd:double"&gt;3.11260714994676&lt;/D&gt;&lt;D xsi:type="xsd:double"&gt;3.17349137566336&lt;/D&gt;&lt;/FQL&gt;&lt;FQL&gt;&lt;Q&gt;PLATI-FDS^FG_PRICE_MAVG(0,,,,30)&lt;/Q&gt;&lt;R&gt;1&lt;/R&gt;&lt;C&gt;1&lt;/C&gt;&lt;D xsi:type="xsd:double"&gt;965.9&lt;/D&gt;&lt;/FQL&gt;&lt;FQL&gt;&lt;Q&gt;EWN^FG_PRICE_MAVG(0,,,,60)&lt;/Q&gt;&lt;R&gt;1&lt;/R&gt;&lt;C&gt;1&lt;/C&gt;&lt;D xsi:type="xsd:double"&gt;49.561165&lt;/D&gt;&lt;/FQL&gt;&lt;FQL&gt;&lt;Q&gt;EWC^FG_PRICE_MAVG(0,,,,200)&lt;/Q&gt;&lt;R&gt;1&lt;/R&gt;&lt;C&gt;1&lt;/C&gt;&lt;D xsi:type="xsd:double"&gt;37.74655&lt;/D&gt;&lt;/FQL&gt;&lt;FQL&gt;&lt;Q&gt;VWO^PERCENT_CHANGE(FMA_EPS(+1,0,,,,"PORTAGG","MEAN"),FMA_EPS(+1,-1AM,,,,"PORTAGG","MEAN"))&lt;/Q&gt;&lt;R&gt;1&lt;/R&gt;&lt;C&gt;1&lt;/C&gt;&lt;D xsi:type="xsd:double"&gt;0&lt;/D&gt;&lt;/FQL&gt;&lt;FQL&gt;&lt;Q&gt;EWD^FMA_PCT_ABOVE_MAVG(200,0,,,,"PORTAGG")&lt;/Q&gt;&lt;R&gt;1&lt;/R&gt;&lt;C&gt;1&lt;/C&gt;&lt;D xsi:type="xsd:double"&gt;73.3333333333333&lt;/D&gt;&lt;/FQL&gt;&lt;FQL&gt;&lt;Q&gt;EWL^PERCENT_CHANGE(FMA_EPS(+1,0,,,,"PORTAGG","MEAN"),FMA_EPS(+1,-1AM,,,,"PORTAGG","MEAN"))&lt;/Q&gt;&lt;R&gt;1&lt;/R&gt;&lt;C&gt;1&lt;/C&gt;&lt;D xsi:type="xsd:double"&gt;-0.248652329905012&lt;/D&gt;&lt;/FQL&gt;&lt;FQL&gt;&lt;Q&gt;EWL^FG_ROE(0)&lt;/Q&gt;&lt;R&gt;1&lt;/R&gt;&lt;C&gt;1&lt;/C&gt;&lt;D xsi:type="xsd:double"&gt;18.6922555012128&lt;/D&gt;&lt;/FQL&gt;&lt;FQL&gt;&lt;Q&gt;UUP^FG_TOTAL_RETURNC(0,-6AM)&lt;/Q&gt;&lt;R&gt;1&lt;/R&gt;&lt;C&gt;1&lt;/C&gt;&lt;D xsi:type="xsd:double"&gt;-0.74231625&lt;/D&gt;&lt;/FQL&gt;&lt;FQL&gt;&lt;Q&gt;UUP^FG_TOTAL_RETURNC(0,-1AM)&lt;/Q&gt;&lt;R&gt;1&lt;/R&gt;&lt;C&gt;1&lt;/C&gt;&lt;D xsi:type="xsd:double"&gt;0.5370498&lt;/D&gt;&lt;/FQL&gt;&lt;FQL&gt;&lt;Q&gt;EWA^FG_PRICE_MAVG(0,,,,200)&lt;/Q&gt;&lt;R&gt;1&lt;/R&gt;&lt;C&gt;1&lt;/C&gt;&lt;D xsi:type="xsd:double"&gt;24.4662&lt;/D&gt;&lt;/FQL&gt;&lt;FQL&gt;&lt;Q&gt;EWN^FG_FCF_YIELD_NTM(0)&lt;/Q&gt;&lt;R&gt;1&lt;/R&gt;&lt;C&gt;1&lt;/C&gt;&lt;D xsi:type="xsd:double"&gt;4.13365050179061&lt;/D&gt;&lt;/FQL&gt;&lt;FQL&gt;&lt;Q&gt;EWJ^FMA_PE(LTM,0,,,"PORTAGG","MEANR")&lt;/Q&gt;&lt;R&gt;1&lt;/R&gt;&lt;C&gt;1&lt;/C&gt;&lt;D xsi:type="xsd:double"&gt;17.3817970941414&lt;/D&gt;&lt;/FQL&gt;&lt;FQL&gt;&lt;Q&gt;EWA^FMA_PE(LTM,0,,,"PORTAGG","MEANR")&lt;/Q&gt;&lt;R&gt;1&lt;/R&gt;&lt;C&gt;1&lt;/C&gt;&lt;D xsi:type="xsd:double"&gt;19.5695958389893&lt;/D&gt;&lt;/FQL&gt;&lt;FQL&gt;&lt;Q&gt;EWA^JULIAN(FMA_DIV_YLD(NTMA,NOW,NOW,M,"PORTAGG","MEANR").DATES)&lt;/Q&gt;&lt;R&gt;1&lt;/R&gt;&lt;C&gt;1&lt;/C&gt;&lt;D xsi:type="xsd:long"&gt;45534&lt;/D&gt;&lt;/FQL&gt;&lt;FQL&gt;&lt;Q&gt;EWN^FMA_PE(LTM,0,,,"PORTAGG","MEANR")&lt;/Q&gt;&lt;R&gt;1&lt;/R&gt;&lt;C&gt;1&lt;/C&gt;&lt;D xsi:type="xsd:double"&gt;21.5020928933088&lt;/D&gt;&lt;/FQL&gt;&lt;FQL&gt;&lt;Q&gt;EWG^FG_FCF_YIELD_NTM(0)&lt;/Q&gt;&lt;R&gt;1&lt;/R&gt;&lt;C&gt;1&lt;/C&gt;&lt;D xsi:type="xsd:double"&gt;5.80881788303232&lt;/D&gt;&lt;/FQL&gt;&lt;FQL&gt;&lt;Q&gt;TRYTR7Y-FDS^FG_YIELD(-10AY,0,Y,,"YTM")&lt;/Q&gt;&lt;R&gt;10&lt;/R&gt;&lt;C&gt;1&lt;/C&gt;&lt;D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xsi:type="xsd:double"&gt;21.984322&lt;/D&gt;&lt;/FQL&gt;&lt;FQL&gt;&lt;Q&gt;USDAUD^STD(FG_PRICE_CHANGE(0,-1AY,AM))&lt;/Q&gt;&lt;R&gt;1&lt;/R&gt;&lt;C&gt;1&lt;/C&gt;&lt;D xsi:type="xsd:double"&gt;2.23507716992518&lt;/D&gt;&lt;/FQL&gt;&lt;FQL&gt;&lt;Q&gt;EWJ^FMA_DIV_YLD(NTMA,-10AY,0,AM,"PORTAGG","MEANR")&lt;/Q&gt;&lt;R&gt;121&lt;/R&gt;&lt;C&gt;1&lt;/C&gt;&lt;D xsi:type="xsd:double"&gt;2.0087800782742&lt;/D&gt;&lt;D xsi:type="xsd:double"&gt;2.15569845830442&lt;/D&gt;&lt;D xsi:type="xsd:double"&gt;1.95034048233183&lt;/D&gt;&lt;D xsi:type="xsd:double"&gt;1.93975170007768&lt;/D&gt;&lt;D xsi:type="xsd:double"&gt;1.98028355695776&lt;/D&gt;&lt;D xsi:type="xsd:double"&gt;1.87834190262488&lt;/D&gt;&lt;D xsi:type="xsd:double"&gt;1.86334318932593&lt;/D&gt;&lt;D xsi:type="xsd:double"&gt;1.81937439400501&lt;/D&gt;&lt;D xsi:type="xsd:double"&gt;1.83733424808274&lt;/D&gt;&lt;D xsi:type="xsd:double"&gt;1.8727507545403&lt;/D&gt;&lt;D xsi:type="xsd:double"&gt;1.92702166110916&lt;/D&gt;&lt;D xsi:type="xsd:double"&gt;2.11908704930176&lt;/D&gt;&lt;D xsi:type="xsd:double"&gt;2.20502416777028&lt;/D&gt;&lt;D xsi:type="xsd:double"&gt;2.0711387964616&lt;/D&gt;&lt;D xsi:type="xsd:double"&gt;2.01981949048267&lt;/D&gt;&lt;D xsi:type="xsd:double"&gt;2.12098222429426&lt;/D&gt;&lt;D xsi:type="xsd:double"&gt;2.3275764236506&lt;/D&gt;&lt;D xsi:type="xsd:double"&gt;2.46253262238801&lt;/D&gt;&lt;D xsi:type="xsd:double"&gt;2.38870174554736&lt;/D&gt;&lt;D xsi:type="xsd:double"&gt;2.31268324341516&lt;/D&gt;&lt;D xsi:type="xsd:double"&gt;2.36844391779497&lt;/D&gt;&lt;D xsi:type="xsd:double"&gt;2.58200324816756&lt;/D&gt;&lt;D xsi:type="xsd:double"&gt;2.381466159161&lt;/D&gt;&lt;D xsi:type="xsd:double"&gt;2.44418139191701&lt;/D&gt;&lt;D xsi:type="xsd:double"&gt;2.36198467296756&lt;/D&gt;&lt;D xsi:type="xsd:double"&gt;2.32050592512876&lt;/D&gt;&lt;D xsi:type="xsd:double"&gt;2.19356547532814&lt;/D&gt;&lt;D xsi:type="xsd:double"&gt;2.09503822794803&lt;/D&gt;&lt;D xsi:type="xsd:double"&gt;2.10091573860012&lt;/D&gt;&lt;D xsi:type="xsd:double"&gt;2.16122340169539&lt;/D&gt;&lt;D xsi:type="xsd:double"&gt;2.20254411814285&lt;/D&gt;&lt;D xsi:type="xsd:double"&gt;2.20114525235147&lt;/D&gt;&lt;D xsi:type="xsd:double"&gt;2.19172837721417&lt;/D&gt;&lt;D xsi:type="xsd:double"&gt;2.1588894612967&lt;/D&gt;&lt;D xsi:type="xsd:double"&gt;2.16230595590619&lt;/D&gt;&lt;D xsi:type="xsd:double"&gt;2.22814089173754&lt;/D&gt;&lt;D xsi:type="xsd:double"&gt;2.16461040785747&lt;/D&gt;&lt;D xsi:type="xsd:double"&gt;2.05531968888097&lt;/D&gt;&lt;D xsi:type="xsd:double"&gt;2.09130036412082&lt;/D&gt;&lt;D xsi:type="xsd:double"&gt;2.04532868695009&lt;/D&gt;&lt;D xsi:type="xsd:double"&gt;2.00458359395599&lt;/D&gt;&lt;D xsi:type="xsd:double"&gt;2.15561752069145&lt;/D&gt;&lt;D xsi:type="xsd:double"&gt;2.26586480560932&lt;/D&gt;&lt;D xsi:type="xsd:double"&gt;2.20675187675582&lt;/D&gt;&lt;D xsi:type="xsd:double"&gt;2.24272391317942&lt;/D&gt;&lt;D xsi:type="xsd:double"&gt;2.30084540155961&lt;/D&gt;&lt;D xsi:type="xsd:double"&gt;2.25156992187565&lt;/D&gt;&lt;D xsi:type="xsd:double"&gt;2.32067433319408&lt;/D&gt;&lt;D xsi:type="xsd:double"&gt;2.24156250136829&lt;/D&gt;&lt;D xsi:type="xsd:double"&gt;2.52971223094199&lt;/D&gt;&lt;D xsi:type="xsd:double"&gt;2.49323472782817&lt;/D&gt;&lt;D xsi:type="xsd:double"&gt;2.73812394913908&lt;/D&gt;&lt;D xsi:type="xsd:double"&gt;2.63228416905574&lt;/D&gt;&lt;D xsi:type="xsd:double"&gt;2.54745884754274&lt;/D&gt;&lt;D xsi:type="xsd:double"&gt;2.57128513702133&lt;/D&gt;&lt;D xsi:type="xsd:double"&gt;2.56408803888911&lt;/D&gt;&lt;D xsi:type="xsd:double"&gt;2.69499000610706&lt;/D&gt;&lt;D xsi:type="xsd:double"&gt;2.67953126986374&lt;/D&gt;&lt;D xsi:type="xsd:double"&gt;2.65698409724159&lt;/D&gt;&lt;D xsi:type="xsd:double"&gt;2.79281075766761&lt;/D&gt;&lt;D xsi:type="xsd:double"&gt;2.597275251738&lt;/D&gt;&lt;D xsi:type="xsd:double"&gt;2.5405221632792&lt;/D&gt;&lt;D xsi:type="xsd:double"&gt;2.45585994824273&lt;/D&gt;&lt;D xsi:type="xsd:double"&gt;2.42607937345393&lt;/D&gt;&lt;D xsi:type="xsd:double"&gt;2.47502529298301&lt;/D&gt;&lt;D xsi:type="xsd:double"&gt;2.66069348736959&lt;/D&gt;&lt;D xsi:type="xsd:double"&gt;2.87196509534093&lt;/D&gt;&lt;D xsi:type="xsd:double"&gt;2.83028760639165&lt;/D&gt;&lt;D xsi:type="xsd:double"&gt;2.6135683113946&lt;/D&gt;&lt;D xsi:type="xsd:double"&gt;2.47853650050502&lt;/D&gt;&lt;D xsi:type="xsd:double"&gt;2.47865549886099&lt;/D&gt;&lt;D xsi:type="xsd:double"&gt;2.38475128649672&lt;/D&gt;&lt;D xsi:type="xsd:double"&gt;2.38059250682507&lt;/D&gt;&lt;D xsi:type="xsd:double"&gt;2.40441452026054&lt;/D&gt;&lt;D xsi:type="xsd:double"&gt;2.16686416886771&lt;/D&gt;&lt;D xsi:type="xsd:double"&gt;2.17652973576338&lt;/D&gt;&lt;D xsi:type="xsd:double"&gt;2.08632780933426&lt;/D&gt;&lt;D xsi:type="xsd:double"&gt;2.12331496657383&lt;/D&gt;&lt;D xsi:type="xsd:double"&gt;2.04066602487386&lt;/D&gt;&lt;D xsi:type="xsd:double"&gt;2.14536295987959&lt;/D&gt;&lt;D xsi:type="xsd:double"&gt;2.18442222830859&lt;/D&gt;&lt;D xsi:type="xsd:double"&gt;2.16962085018037&lt;/D&gt;&lt;D xsi:type="xsd:double"&gt;2.2297799699127&lt;/D&gt;&lt;D xsi:type="xsd:double"&gt;2.28376227151313&lt;/D&gt;&lt;D xsi:type="xsd:double"&gt;2.14353922084697&lt;/D&gt;&lt;D xsi:type="xsd:double"&gt;2.23095570665361&lt;/D&gt;&lt;D xsi:type="xsd:double"&gt;2.2933435040116&lt;/D&gt;&lt;D xsi:type="xsd:double"&gt;2.32321794305078&lt;/D&gt;&lt;D xsi:type="xsd:double"&gt;2.52846418536387&lt;/D&gt;&lt;D xsi:type="xsd:double"&gt;2.5402369571307&lt;/D&gt;&lt;D xsi:type="xsd:double"&gt;2.46445997904461&lt;/D&gt;&lt;D xsi:type="xsd:double"&gt;2.64046007024119&lt;/D&gt;&lt;D xsi:type="xsd:double"&gt;2.63541945051566&lt;/D&gt;&lt;D xsi:type="xsd:double"&gt;2.67669201083419&lt;/D&gt;&lt;D xsi:type="xsd:double"&gt;2.59968891649943&lt;/D&gt;&lt;D xsi:type="xsd:double"&gt;2.57787645524004&lt;/D&gt;&lt;D xsi:type="xsd:double"&gt;2.75399249391801&lt;/D&gt;&lt;D xsi:type="xsd:double"&gt;2.71308892143141&lt;/D&gt;&lt;D xsi:type="xsd:double"&gt;2.56291522412643&lt;/D&gt;&lt;D xsi:type="xsd:double"&gt;2.73577807553974&lt;/D&gt;&lt;D xsi:type="xsd:double"&gt;2.61531946236751&lt;/D&gt;&lt;D xsi:type="xsd:double"&gt;2.6230509989704&lt;/D&gt;&lt;D xsi:type="xsd:double"&gt;2.67514528877751&lt;/D&gt;&lt;D xsi:type="xsd:double"&gt;2.58487129150197&lt;/D&gt;&lt;D xsi:type="xsd:double"&gt;2.46964499674181&lt;/D&gt;&lt;D xsi:type="xsd:double"&gt;2.36390440621031&lt;/D&gt;&lt;D xsi:type="xsd:double"&gt;2.3491157520931&lt;/D&gt;&lt;D xsi:type="xsd:double"&gt;2.42137724493223&lt;/D&gt;&lt;D xsi:type="xsd:double"&gt;2.33094010537934&lt;/D&gt;&lt;D xsi:type="xsd:double"&gt;2.47849822736187&lt;/D&gt;&lt;D xsi:type="xsd:double"&gt;2.37662797115134&lt;/D&gt;&lt;D xsi:type="xsd:double"&gt;2.42560129980446&lt;/D&gt;&lt;D xsi:type="xsd:double"&gt;2.31286332524635&lt;/D&gt;&lt;D xsi:type="xsd:double"&gt;2.1912577957958&lt;/D&gt;&lt;D xsi:type="xsd:double"&gt;2.122859097571&lt;/D&gt;&lt;D xsi:type="xsd:double"&gt;2.24791883796958&lt;/D&gt;&lt;D xsi:type="xsd:double"&gt;2.22948750802307&lt;/D&gt;&lt;D xsi:type="xsd:double"&gt;2.24830236824114&lt;/D&gt;&lt;D xsi:type="xsd:double"&gt;2.3598795554338&lt;/D&gt;&lt;D xsi:type="xsd:double"&gt;2.40540905722577&lt;/D&gt;&lt;D xsi:type="xsd:double"&gt;2.4516366575939&lt;/D&gt;&lt;/FQL&gt;&lt;FQL&gt;&lt;Q&gt;DDR3512M-FDS^FG_PRICE_CHANGE(0,-1AM)&lt;/Q&gt;&lt;R&gt;1&lt;/R&gt;&lt;C&gt;1&lt;/C&gt;&lt;D xsi:type="xsd:double"&gt;-1.45971751636385&lt;/D&gt;&lt;/FQL&gt;&lt;FQL&gt;&lt;Q&gt;CPALM-FDS^FG_PRICE_CHANGE(0,-6AM)&lt;/Q&gt;&lt;R&gt;1&lt;/R&gt;&lt;C&gt;1&lt;/C&gt;&lt;D xsi:type="xsd:double"&gt;-0.493421052631582&lt;/D&gt;&lt;/FQL&gt;&lt;FQL&gt;&lt;Q&gt;EWN^FG_PRICE_MAVG(0,,,,30)&lt;/Q&gt;&lt;R&gt;1&lt;/R&gt;&lt;C&gt;1&lt;/C&gt;&lt;D xsi:type="xsd:double"&gt;49.70067&lt;/D&gt;&lt;/FQL&gt;&lt;FQL&gt;&lt;Q&gt;SPY^PERCENT_CHANGE(FMA_EPS(+1,0,,,,"PORTAGG","MEAN"),FMA_EPS(+1,-3AM,,,,"PORTAGG","MEAN"))&lt;/Q&gt;&lt;R&gt;1&lt;/R&gt;&lt;C&gt;1&lt;/C&gt;&lt;D xsi:type="xsd:double"&gt;-1.25426322307386&lt;/D&gt;&lt;/FQL&gt;&lt;FQL&gt;&lt;Q&gt;VWO^FMA_PCT_ABOVE_MAVG(200,0,,,,"PORTAGG")&lt;/Q&gt;&lt;R&gt;1&lt;/R&gt;&lt;C&gt;1&lt;/C&gt;&lt;D xsi:type="xsd:double"&gt;40.8432708688245&lt;/D&gt;&lt;/FQL&gt;&lt;FQL&gt;&lt;Q&gt;EWC^FMA_PCT_ABOVE_MAVG(200,0,,,,"PORTAGG")&lt;/Q&gt;&lt;R&gt;1&lt;/R&gt;&lt;C&gt;1&lt;/C&gt;&lt;D xsi:type="xsd:double"&gt;73.2558139534884&lt;/D&gt;&lt;/FQL&gt;&lt;FQL&gt;&lt;Q&gt;URTH^FMA_COS_DOWN("EPS","1M",+1,0,,,"PORTAGG","MEANR")&lt;/Q&gt;&lt;R&gt;1&lt;/R&gt;&lt;C&gt;1&lt;/C&gt;&lt;D xsi:type="xsd:double"&gt;524&lt;/D&gt;&lt;/FQL&gt;&lt;FQL&gt;&lt;Q&gt;QQQ^FMA_COS_DOWN("EPS","1M",+1,0,,,"PORTAGG","MEANR")&lt;/Q&gt;&lt;R&gt;1&lt;/R&gt;&lt;C&gt;1&lt;/C&gt;&lt;D xsi:type="xsd:double"&gt;28&lt;/D&gt;&lt;/FQL&gt;&lt;FQL&gt;&lt;Q&gt;REFGBBANK-FDS^PROPER_NAME(0,,,"SECURITY","NAME")&lt;/Q&gt;&lt;R&gt;1&lt;/R&gt;&lt;C&gt;1&lt;/C&gt;&lt;D xsi:type="xsd:string"&gt;UK Bank Rate&lt;/D&gt;&lt;/FQL&gt;&lt;FQL&gt;&lt;Q&gt;TRYIT10Y-FDS^FG_YIELD(0,,,,"YTM")&lt;/Q&gt;&lt;R&gt;0&lt;/R&gt;&lt;C&gt;0&lt;/C&gt;&lt;/FQL&gt;&lt;FQL&gt;&lt;Q&gt;VGK^FMA_EVAL_EBIT(LTMA,NOW,NOW,M,"PORTAGG","MEANR")&lt;/Q&gt;&lt;R&gt;1&lt;/R&gt;&lt;C&gt;1&lt;/C&gt;&lt;D xsi:type="xsd:double"&gt;13.534157896406&lt;/D&gt;&lt;/FQL&gt;&lt;FQL&gt;&lt;Q&gt;EWJ^FMA_DIV_YLD(NTMA,NOW,NOW,M,"PORTAGG","MEANR")&lt;/Q&gt;&lt;R&gt;1&lt;/R&gt;&lt;C&gt;1&lt;/C&gt;&lt;D xsi:type="xsd:double"&gt;2.37520994994013&lt;/D&gt;&lt;/FQL&gt;&lt;FQL&gt;&lt;Q&gt;EWA^FMA_DIV_YLD(NTMA,NOW,NOW,M,"PORTAGG","MEANR")&lt;/Q&gt;&lt;R&gt;1&lt;/R&gt;&lt;C&gt;1&lt;/C&gt;&lt;D xsi:type="xsd:double"&gt;3.70434485279372&lt;/D&gt;&lt;/FQL&gt;&lt;FQL&gt;&lt;Q&gt;UUP^FG_TOTAL_RETURNC(0,-3AM)&lt;/Q&gt;&lt;R&gt;1&lt;/R&gt;&lt;C&gt;1&lt;/C&gt;&lt;D xsi:type="xsd:double"&gt;-3.6045313&lt;/D&gt;&lt;/FQL&gt;&lt;FQL&gt;&lt;Q&gt;TRYUS10Y-FDS^PCTCHG(FG_YIELD(0,,,,"YTM"),FG_YIELD(-1AM,,,,"YTM"))&lt;/Q&gt;&lt;R&gt;0&lt;/R&gt;&lt;C&gt;0&lt;/C&gt;&lt;/FQL&gt;&lt;FQL&gt;&lt;Q&gt;TRYNL10Y-FDS^FG_YIELD(0,,,,"YTM")&lt;/Q&gt;&lt;R&gt;0&lt;/R&gt;&lt;C&gt;0&lt;/C&gt;&lt;/FQL&gt;&lt;FQL&gt;&lt;Q&gt;TLT^FG_TOTAL_RETURNC(0,-6AM)&lt;/Q&gt;&lt;R&gt;1&lt;/R&gt;&lt;C&gt;1&lt;/C&gt;&lt;D xsi:type="xsd:double"&gt;5.631864&lt;/D&gt;&lt;/FQL&gt;&lt;FQL&gt;&lt;Q&gt;GLD^FG_TOTAL_RETURNC(0,-1AM)&lt;/Q&gt;&lt;R&gt;1&lt;/R&gt;&lt;C&gt;1&lt;/C&gt;&lt;D xsi:type="xsd:double"&gt;5.822873&lt;/D&gt;&lt;/FQL&gt;&lt;FQL&gt;&lt;Q&gt;EWU^FG_FCF_YIELD_NTM(0)&lt;/Q&gt;&lt;R&gt;1&lt;/R&gt;&lt;C&gt;1&lt;/C&gt;&lt;D xsi:type="xsd:double"&gt;6.08099146476996&lt;/D&gt;&lt;/FQL&gt;&lt;FQL&gt;&lt;Q&gt;FXI^FMA_COS_UP("EPS","1M",+1,0,,,"PORTAGG","MEANR")&lt;/Q&gt;&lt;R&gt;1&lt;/R&gt;&lt;C&gt;1&lt;/C&gt;&lt;D xsi:type="xsd:double"&gt;24&lt;/D&gt;&lt;/FQL&gt;&lt;FQL&gt;&lt;Q&gt;USDAUD^FG_PRICE_CHANGE(0,-6AM)&lt;/Q&gt;&lt;R&gt;1&lt;/R&gt;&lt;C&gt;1&lt;/C&gt;&lt;D xsi:type="xsd:double"&gt;-5.2924514&lt;/D&gt;&lt;/FQL&gt;&lt;FQL&gt;&lt;Q&gt;EWG^FMA_DIV_YLD(NTMA,-10AY,0,AM,"PORTAGG","MEANR")&lt;/Q&gt;&lt;R&gt;121&lt;/R&gt;&lt;C&gt;1&lt;/C&gt;&lt;D xsi:type="xsd:double"&gt;3.182935331377&lt;/D&gt;&lt;D xsi:type="xsd:double"&gt;3.4157346223434&lt;/D&gt;&lt;D xsi:type="xsd:double"&gt;3.14250092386785&lt;/D&gt;&lt;D xsi:type="xsd:double"&gt;3.15223282195222&lt;/D&gt;&lt;D xsi:type="xsd:double"&gt;2.95605195676337&lt;/D&gt;&lt;D xsi:type="xsd:double"&gt;2.78173214454678&lt;/D&gt;&lt;D xsi:type="xsd:double"&gt;2.70153237687039&lt;/D&gt;&lt;D xsi:type="xsd:double"&gt;2.71092448723521&lt;/D&gt;&lt;D xsi:type="xsd:double"&gt;2.8415752094036&lt;/D&gt;&lt;D xsi:type="xsd:double"&gt;2.94388490543508&lt;/D&gt;&lt;D xsi:type="xsd:double"&gt;3.08379289845619&lt;/D&gt;&lt;D xsi:type="xsd:double"&gt;3.31241945295233&lt;/D&gt;&lt;D xsi:type="xsd:double"&gt;3.47393091041012&lt;/D&gt;&lt;D xsi:type="xsd:double"&gt;3.13571704208436&lt;/D&gt;&lt;D xsi:type="xsd:double"&gt;2.88268759826885&lt;/D&gt;&lt;D xsi:type="xsd:double"&gt;3.04073095866105&lt;/D&gt;&lt;D xsi:type="xsd:double"&gt;3.32202533287542&lt;/D&gt;&lt;D xsi:type="xsd:double"&gt;3.45753954486758&lt;/D&gt;&lt;D xsi:type="xsd:double"&gt;3.32974484077241&lt;/D&gt;&lt;D xsi:type="xsd:double"&gt;3.20103014332561&lt;/D&gt;&lt;D xsi:type="xsd:double"&gt;3.27075647027927&lt;/D&gt;&lt;D xsi:type="xsd:double"&gt;3.64545677346004&lt;/D&gt;&lt;D xsi:type="xsd:double"&gt;3.27070228639353&lt;/D&gt;&lt;D xsi:type="xsd:double"&gt;3.18279060008877&lt;/D&gt;&lt;D xsi:type="xsd:double"&gt;3.23658180543839&lt;/D&gt;&lt;D xsi:type="xsd:double"&gt;3.13433105021668&lt;/D&gt;&lt;D xsi:type="xsd:double"&gt;3.16809968362228&lt;/D&gt;&lt;D xsi:type="xsd:double"&gt;2.97364865754133&lt;/D&gt;&lt;D xsi:type="xsd:double"&gt;2.90539953181078&lt;/D&gt;&lt;D xsi:type="xsd:double"&gt;2.95653305296068&lt;/D&gt;&lt;D xsi:type="xsd:double"&gt;2.97629246471367&lt;/D&gt;&lt;D xsi:type="xsd:double"&gt;2.89373404341814&lt;/D&gt;&lt;D xsi:type="xsd:double"&gt;2.93556448903773&lt;/D&gt;&lt;D xsi:type="xsd:double"&gt;2.95404227722385&lt;/D&gt;&lt;D xsi:type="xsd:double"&gt;3.06495147523262&lt;/D&gt;&lt;D xsi:type="xsd:double"&gt;3.12322496558008&lt;/D&gt;&lt;D xsi:type="xsd:double"&gt;3.02824407657516&lt;/D&gt;&lt;D xsi:type="xsd:double"&gt;2.90485634173562&lt;/D&gt;&lt;D xsi:type="xsd:double"&gt;2.95184181764198&lt;/D&gt;&lt;D xsi:type="xsd:double"&gt;2.91703892062629&lt;/D&gt;&lt;D xsi:type="xsd:double"&gt;2.89208113356808&lt;/D&gt;&lt;D xsi:type="xsd:double"&gt;3.11846274003579&lt;/D&gt;&lt;D xsi:type="xsd:double"&gt;3.27428104169883&lt;/D&gt;&lt;D xsi:type="xsd:double"&gt;3.16382522416928&lt;/D&gt;&lt;D xsi:type="xsd:double"&gt;3.12474059873947&lt;/D&gt;&lt;D xsi:type="xsd:double"&gt;3.25844475765822&lt;/D&gt;&lt;D xsi:type="xsd:double"&gt;3.13887377399888&lt;/D&gt;&lt;D xsi:type="xsd:double"&gt;3.21426254773351&lt;/D&gt;&lt;D xsi:type="xsd:double"&gt;3.27628405078187&lt;/D&gt;&lt;D xsi:type="xsd:double"&gt;3.6315685407922&lt;/D&gt;&lt;D xsi:type="xsd:double"&gt;3.65662735376532&lt;/D&gt;&lt;D xsi:type="xsd:double"&gt;4.02641350344019&lt;/D&gt;&lt;D xsi:type="xsd:double"&gt;3.67356715145943&lt;/D&gt;&lt;D xsi:type="xsd:double"&gt;3.6226107385793&lt;/D&gt;&lt;D xsi:type="xsd:double"&gt;3.62821826851297&lt;/D&gt;&lt;D xsi:type="xsd:double"&gt;3.39101461211071&lt;/D&gt;&lt;D xsi:type="xsd:double"&gt;3.5962988092083&lt;/D&gt;&lt;D xsi:type="xsd:double"&gt;3.5264615824711&lt;/D&gt;&lt;D xsi:type="xsd:double"&gt;3.40772040183069&lt;/D&gt;&lt;D xsi:type="xsd:double"&gt;3.58212457847378&lt;/D&gt;&lt;D xsi:type="xsd:double"&gt;3.40266575427458&lt;/D&gt;&lt;D xsi:type="xsd:double"&gt;3.27408624526117&lt;/D&gt;&lt;D xsi:type="xsd:double"&gt;3.08445692780761&lt;/D&gt;&lt;D xsi:type="xsd:double"&gt;3.07735047874971&lt;/D&gt;&lt;D xsi:type="xsd:double"&gt;3.10666482917135&lt;/D&gt;&lt;D xsi:type="xsd:double"&gt;3.32025648237678&lt;/D&gt;&lt;D xsi:type="xsd:double"&gt;4.05034714806665&lt;/D&gt;&lt;D xsi:type="xsd:double"&gt;3.42122100979668&lt;/D&gt;&lt;D xsi:type="xsd:double"&gt;3.1014602770756&lt;/D&gt;&lt;D xsi:type="xsd:double"&gt;2.96999232310354&lt;/D&gt;&lt;D xsi:type="xsd:double"&gt;2.82853202987787&lt;/D&gt;&lt;D xsi:type="xsd:double"&gt;2.78165149142636&lt;/D&gt;&lt;D xsi:type="xsd:double"&gt;2.95437451677334&lt;/D&gt;&lt;D xsi:type="xsd:double"&gt;3.0554926208198&lt;/D&gt;&lt;D xsi:type="xsd:double"&gt;2.81345230526804&lt;/D&gt;&lt;D xsi:type="xsd:double"&gt;2.74037381499081&lt;/D&gt;&lt;D xsi:type="xsd:double"&gt;2.7757441513097&lt;/D&gt;&lt;D xsi:type="xsd:double"&gt;2.84200926461744&lt;/D&gt;&lt;D xsi:type="xsd:double"&gt;2.75160039071943&lt;/D&gt;&lt;D xsi:type="xsd:double"&gt;2.73212381306778&lt;/D&gt;&lt;D xsi:type="xsd:double"&gt;2.84375274883213&lt;/D&gt;&lt;D xsi:type="xsd:double"&gt;2.79086977642174&lt;/D&gt;&lt;D xsi:type="xsd:double"&gt;2.83349314052164&lt;/D&gt;&lt;D xsi:type="xsd:double"&gt;2.85217513372546&lt;/D&gt;&lt;D xsi:type="xsd:double"&gt;2.92215329839644&lt;/D&gt;&lt;D xsi:type="xsd:double"&gt;2.94139810095215&lt;/D&gt;&lt;D xsi:type="xsd:double"&gt;3.1229511994272&lt;/D&gt;&lt;D xsi:type="xsd:double"&gt;3.04025191266803&lt;/D&gt;&lt;D xsi:type="xsd:double"&gt;3.15925906972976&lt;/D&gt;&lt;D xsi:type="xsd:double"&gt;3.44573170131494&lt;/D&gt;&lt;D xsi:type="xsd:double"&gt;3.5598235181708&lt;/D&gt;&lt;D xsi:type="xsd:double"&gt;3.74121960399854&lt;/D&gt;&lt;D xsi:type="xsd:double"&gt;3.74348504500663&lt;/D&gt;&lt;D xsi:type="xsd:double"&gt;4.07366496082055&lt;/D&gt;&lt;D xsi:type="xsd:double"&gt;4.1223402726969&lt;/D&gt;&lt;D xsi:type="xsd:double"&gt;4.18329508575929&lt;/D&gt;&lt;D xsi:type="xsd:double"&gt;4.47280287023438&lt;/D&gt;&lt;D xsi:type="xsd:double"&gt;4.11769125512525&lt;/D&gt;&lt;D xsi:type="xsd:double"&gt;3.72220864372385&lt;/D&gt;&lt;D xsi:type="xsd:double"&gt;3.84145807845974&lt;/D&gt;&lt;D xsi:type="xsd:double"&gt;3.5015276919582&lt;/D&gt;&lt;D xsi:type="xsd:double"&gt;3.50940721812575&lt;/D&gt;&lt;D xsi:type="xsd:double"&gt;3.63496091131122&lt;/D&gt;&lt;D xsi:type="xsd:double"&gt;3.52161737235586&lt;/D&gt;&lt;D xsi:type="xsd:double"&gt;3.60675682757833&lt;/D&gt;&lt;D xsi:type="xsd:double"&gt;3.68476487814945&lt;/D&gt;&lt;D xsi:type="xsd:double"&gt;3.58552715012992&lt;/D&gt;&lt;D xsi:type="xsd:double"&gt;3.77656598235447&lt;/D&gt;&lt;D xsi:type="xsd:double"&gt;3.88958297107175&lt;/D&gt;&lt;D xsi:type="xsd:double"&gt;4.0682675227399&lt;/D&gt;&lt;D xsi:type="xsd:double"&gt;3.69874324069578&lt;/D&gt;&lt;D xsi:type="xsd:double"&gt;3.55261680347445&lt;/D&gt;&lt;D xsi:type="xsd:double"&gt;3.53190135389975&lt;/D&gt;&lt;D xsi:type="xsd:double"&gt;3.44834531229141&lt;/D&gt;&lt;D xsi:type="xsd:double"&gt;3.24987561704951&lt;/D&gt;&lt;D xsi:type="xsd:double"&gt;3.34150471980538&lt;/D&gt;&lt;D xsi:type="xsd:double"&gt;3.33672967467029&lt;/D&gt;&lt;D xsi:type="xsd:double"&gt;3.41442853180255&lt;/D&gt;&lt;D xsi:type="xsd:double"&gt;3.40364542843012&lt;/D&gt;&lt;D xsi:type="xsd:double"&gt;3.37988824350495&lt;/D&gt;&lt;D xsi:type="xsd:double"&gt;3.26975005211337&lt;/D&gt;&lt;/FQL&gt;&lt;FQL&gt;&lt;Q&gt;DDR3512M-FDS^FG_PRICE_MAVG(0,,,,30)&lt;/Q&gt;&lt;R&gt;1&lt;/R&gt;&lt;C&gt;1&lt;/C&gt;&lt;D xsi:type="xsd:double"&gt;0.88732684&lt;/D&gt;&lt;/FQL&gt;&lt;FQL&gt;&lt;Q&gt;TIOS-FDS^FG_PRICE_CHANGE(0,-1AM)&lt;/Q&gt;&lt;R&gt;1&lt;/R&gt;&lt;C&gt;1&lt;/C&gt;&lt;D xsi:type="xsd:double"&gt;-6.0030472320975&lt;/D&gt;&lt;/FQL&gt;&lt;FQL&gt;&lt;Q&gt;EWN^FG_PRICE(0)&lt;/Q&gt;&lt;R&gt;1&lt;/R&gt;&lt;C&gt;1&lt;/C&gt;&lt;D xsi:type="xsd:double"&gt;51.09&lt;/D&gt;&lt;/FQL&gt;&lt;FQL&gt;&lt;Q&gt;EWC^FG_PRICE_MAVG(0,,,,60)&lt;/Q&gt;&lt;R&gt;1&lt;/R&gt;&lt;C&gt;1&lt;/C&gt;&lt;D xsi:type="xsd:double"&gt;39.226166&lt;/D&gt;&lt;/FQL&gt;&lt;FQL&gt;&lt;Q&gt;EWN^FG_TOTAL_RETURNC(0,-12AM)&lt;/Q&gt;&lt;R&gt;1&lt;/R&gt;&lt;C&gt;1&lt;/C&gt;&lt;D xsi:type="xsd:double"&gt;39.33662&lt;/D&gt;&lt;/FQL&gt;&lt;FQL&gt;&lt;Q&gt;QQQ^P_PRICE(0)/P_PRICE_HIGH_PR(0,,,,,,"PRICE","INTRA","52W")&lt;/Q&gt;&lt;R&gt;1&lt;/R&gt;&lt;C&gt;1&lt;/C&gt;&lt;D xsi:type="xsd:double"&gt;0.97209644&lt;/D&gt;&lt;/FQL&gt;&lt;FQL&gt;&lt;Q&gt;EWL^FMA_PCT_ABOVE_MAVG(200,0,,,,"PORTAGG")&lt;/Q&gt;&lt;R&gt;1&lt;/R&gt;&lt;C&gt;1&lt;/C&gt;&lt;D xsi:type="xsd:double"&gt;58.695652173913&lt;/D&gt;&lt;/FQL&gt;&lt;FQL&gt;&lt;Q&gt;EWA^FG_TOTAL_RETURNC(0,-12AM)&lt;/Q&gt;&lt;R&gt;1&lt;/R&gt;&lt;C&gt;1&lt;/C&gt;&lt;D xsi:type="xsd:double"&gt;32.05664&lt;/D&gt;&lt;/FQL&gt;&lt;FQL&gt;&lt;Q&gt;EWJ^FG_ROE(0)&lt;/Q&gt;&lt;R&gt;1&lt;/R&gt;&lt;C&gt;1&lt;/C&gt;&lt;D xsi:type="xsd:double"&gt;8.70107222692936&lt;/D&gt;&lt;/FQL&gt;&lt;FQL&gt;&lt;Q&gt;TRYSE10Y-FDS^PCTCHG(FG_YIELD(0,,,,"YTM"),FG_YIELD(-1AM,,,,"YTM"))&lt;/Q&gt;&lt;R&gt;0&lt;/R&gt;&lt;C&gt;0&lt;/C&gt;&lt;/FQL&gt;&lt;FQL&gt;&lt;Q&gt;TRYAU10Y-FDS^FG_YIELD(0,,,,"YTM")&lt;/Q&gt;&lt;R&gt;1&lt;/R&gt;&lt;C&gt;1&lt;/C&gt;&lt;D xsi:type="xsd:double"&gt;3.961&lt;/D&gt;&lt;/FQL&gt;&lt;FQL&gt;&lt;Q&gt;EWN^FMA_EVAL_EBIT(LTMA,NOW,NOW,M,"PORTAGG","MEANR")&lt;/Q&gt;&lt;R&gt;1&lt;/R&gt;&lt;C&gt;1&lt;/C&gt;&lt;D xsi:type="xsd:double"&gt;21.3452483802701&lt;/D&gt;&lt;/FQL&gt;&lt;FQL&gt;&lt;Q&gt;QQQ^FMA_EVAL_EBIT(LTMA,NOW,NOW,M,"PORTAGG","MEANR")&lt;/Q&gt;&lt;R&gt;1&lt;/R&gt;&lt;C&gt;1&lt;/C&gt;&lt;D xsi:type="xsd:double"&gt;24.7790357957295&lt;/D&gt;&lt;/FQL&gt;&lt;FQL&gt;&lt;Q&gt;EWA^P_PRICE(0)/P_PRICE_HIGH_PR(0,,,,,,"PRICE","INTRA","52W")&lt;/Q&gt;&lt;R&gt;1&lt;/R&gt;&lt;C&gt;1&lt;/C&gt;&lt;D xsi:type="xsd:double"&gt;0.99704254&lt;/D&gt;&lt;/FQL&gt;&lt;FQL&gt;&lt;Q&gt;REFCHMPR-FDS^FG_YIELD(NOW,,,0)&lt;/Q&gt;&lt;R&gt;1&lt;/R&gt;&lt;C&gt;1&lt;/C&gt;&lt;D xsi:type="xsd:double"&gt;1&lt;/D&gt;&lt;/FQL&gt;&lt;FQL&gt;&lt;Q&gt;REFCHMPR-FDS^PROPER_NAME(0,,,"SECURITY","NAME")&lt;/Q&gt;&lt;R&gt;1&lt;/R&gt;&lt;C&gt;1&lt;/C&gt;&lt;D xsi:type="xsd:string"&gt;Swiss Policy Rate - Sight Deposit Rate&lt;/D&gt;&lt;/FQL&gt;&lt;FQL&gt;&lt;Q&gt;TRYNZ10Y-FDS^FG_YIELD(0,,,,"YTM")&lt;/Q&gt;&lt;R&gt;1&lt;/R&gt;&lt;C&gt;1&lt;/C&gt;&lt;D xsi:type="xsd:double"&gt;4.237&lt;/D&gt;&lt;/FQL&gt;&lt;FQL&gt;&lt;Q&gt;VWO^FMA_COS_DOWN("EPS","1M",+1,0,,,"PORTAGG","MEANR")&lt;/Q&gt;&lt;R&gt;1&lt;/R&gt;&lt;C&gt;1&lt;/C&gt;&lt;D xsi:type="xsd:double"&gt;1194&lt;/D&gt;&lt;/FQL&gt;&lt;FQL&gt;&lt;Q&gt;TRYSE10Y-FDS^FG_YIELD_NAME&lt;/Q&gt;&lt;R&gt;1&lt;/R&gt;&lt;C&gt;1&lt;/C&gt;&lt;D xsi:type="xsd:string"&gt;Sweden Benchmark Bond - 10 Year&lt;/D&gt;&lt;/FQL&gt;&lt;FQL&gt;&lt;Q&gt;EWN^FMA_DIV_YLD(NTMA,NOW,NOW,M,"PORTAGG","MEANR")&lt;/Q&gt;&lt;R&gt;1&lt;/R&gt;&lt;C&gt;1&lt;/C&gt;&lt;D xsi:type="xsd:double"&gt;2.56456470987506&lt;/D&gt;&lt;/FQL&gt;&lt;FQL&gt;&lt;Q&gt;GLD^FG_TOTAL_RETURNC(0,-6AM)&lt;/Q&gt;&lt;R&gt;1&lt;/R&gt;&lt;C&gt;1&lt;/C&gt;&lt;D xsi:type="xsd:double"&gt;21.60511&lt;/D&gt;&lt;/FQL&gt;&lt;FQL&gt;&lt;Q&gt;EWI^FG_TOTAL_RETURNC(0,-12AM)&lt;/Q&gt;&lt;R&gt;1&lt;/R&gt;&lt;C&gt;1&lt;/C&gt;&lt;D xsi:type="xsd:double"&gt;35.54466&lt;/D&gt;&lt;/FQL&gt;&lt;FQL&gt;&lt;Q&gt;SPY^FG_TOTAL_RETURNC(0,-6AM)&lt;/Q&gt;&lt;R&gt;1&lt;/R&gt;&lt;C&gt;1&lt;/C&gt;&lt;D xsi:type="xsd:double"&gt;10.081315&lt;/D&gt;&lt;/FQL&gt;&lt;FQL&gt;&lt;Q&gt;EWC^FMA_DIV_YLD(NTMA,-10AY,0,AM,"PORTAGG","MEANR")&lt;/Q&gt;&lt;R&gt;121&lt;/R&gt;&lt;C&gt;1&lt;/C&gt;&lt;D xsi:type="xsd:d</t>
        </r>
      </text>
    </comment>
    <comment ref="A10" authorId="0" shapeId="0" xr:uid="{A4DA0AFB-CEB0-44B5-8BD8-10A6B093B9EA}">
      <text>
        <r>
          <rPr>
            <b/>
            <sz val="9"/>
            <color indexed="81"/>
            <rFont val="Tahoma"/>
            <charset val="1"/>
          </rPr>
          <t>ouble"&gt;2.86050590112024&lt;/D&gt;&lt;D xsi:type="xsd:double"&gt;2.99948351811249&lt;/D&gt;&lt;D xsi:type="xsd:double"&gt;2.88979259049842&lt;/D&gt;&lt;D xsi:type="xsd:double"&gt;2.94504812585397&lt;/D&gt;&lt;D xsi:type="xsd:double"&gt;2.91676539928075&lt;/D&gt;&lt;D xsi:type="xsd:double"&gt;2.84975029796081&lt;/D&gt;&lt;D xsi:type="xsd:double"&gt;2.94880403440373&lt;/D&gt;&lt;D xsi:type="xsd:double"&gt;2.81390521263193&lt;/D&gt;&lt;D xsi:type="xsd:double"&gt;2.88072106087449&lt;/D&gt;&lt;D xsi:type="xsd:double"&gt;2.94861272083552&lt;/D&gt;&lt;D xsi:type="xsd:double"&gt;3.18048697901722&lt;/D&gt;&lt;D xsi:type="xsd:double"&gt;3.17466374576898&lt;/D&gt;&lt;D xsi:type="xsd:double"&gt;3.29264928750301&lt;/D&gt;&lt;D xsi:type="xsd:double"&gt;3.21962880596942&lt;/D&gt;&lt;D xsi:type="xsd:double"&gt;3.31381762917627&lt;/D&gt;&lt;D xsi:type="xsd:double"&gt;3.30919789529291&lt;/D&gt;&lt;D xsi:type="xsd:double"&gt;3.54385042477541&lt;/D&gt;&lt;D xsi:type="xsd:double"&gt;3.36571060286697&lt;/D&gt;&lt;D xsi:type="xsd:double"&gt;3.17782644059077&lt;/D&gt;&lt;D xsi:type="xsd:double"&gt;3.05983121330904&lt;/D&gt;&lt;D xsi:type="xsd:double"&gt;3.02661244899757&lt;/D&gt;&lt;D xsi:type="xsd:double"&gt;3.15970137576145&lt;/D&gt;&lt;D xsi:type="xsd:double"&gt;3.00906819699829&lt;/D&gt;&lt;D xsi:type="xsd:double"&gt;2.95890982860004&lt;/D&gt;&lt;D xsi:type="xsd:double"&gt;2.97037079834165&lt;/D&gt;&lt;D xsi:type="xsd:double"&gt;2.9142329704656&lt;/D&gt;&lt;D xsi:type="xsd:double"&gt;2.86683753643022&lt;/D&gt;&lt;D xsi:type="xsd:double"&gt;2.8295167464174&lt;/D&gt;&lt;D xsi:type="xsd:double"&gt;2.80252020523353&lt;/D&gt;&lt;D xsi:type="xsd:double"&gt;2.86298707644775&lt;/D&gt;&lt;D xsi:type="xsd:double"&gt;2.92355241915091&lt;/D&gt;&lt;D xsi:type="xsd:double"&gt;2.94726676583357&lt;/D&gt;&lt;D xsi:type="xsd:double"&gt;2.92460093336778&lt;/D&gt;&lt;D xsi:type="xsd:double"&gt;3.02932750615579&lt;/D&gt;&lt;D xsi:type="xsd:double"&gt;3.0366709332472&lt;/D&gt;&lt;D xsi:type="xsd:double"&gt;3.07831119683306&lt;/D&gt;&lt;D xsi:type="xsd:double"&gt;2.98637656407727&lt;/D&gt;&lt;D xsi:type="xsd:double"&gt;2.92549746889418&lt;/D&gt;&lt;D xsi:type="xsd:double"&gt;2.92674356210103&lt;/D&gt;&lt;D xsi:type="xsd:double"&gt;2.90678369262901&lt;/D&gt;&lt;D xsi:type="xsd:double"&gt;2.91942014895146&lt;/D&gt;&lt;D xsi:type="xsd:double"&gt;3.07745082866195&lt;/D&gt;&lt;D xsi:type="xsd:double"&gt;3.21948835826342&lt;/D&gt;&lt;D xsi:type="xsd:double"&gt;3.1393849930569&lt;/D&gt;&lt;D xsi:type="xsd:double"&gt;3.0784555797297&lt;/D&gt;&lt;D xsi:type="xsd:double"&gt;3.0777724049345&lt;/D&gt;&lt;D xsi:type="xsd:double"&gt;3.07079172608658&lt;/D&gt;&lt;D xsi:type="xsd:double"&gt;3.08260914808202&lt;/D&gt;&lt;D xsi:type="xsd:double"&gt;3.14360965621135&lt;/D&gt;&lt;D xsi:type="xsd:double"&gt;3.45289813058303&lt;/D&gt;&lt;D xsi:type="xsd:double"&gt;3.44837391146514&lt;/D&gt;&lt;D xsi:type="xsd:double"&gt;3.63967753063328&lt;/D&gt;&lt;D xsi:type="xsd:double"&gt;3.36165187742924&lt;/D&gt;&lt;D xsi:type="xsd:double"&gt;3.25195749621214&lt;/D&gt;&lt;D xsi:type="xsd:double"&gt;3.27972465324113&lt;/D&gt;&lt;D xsi:type="xsd:double"&gt;3.17756322093136&lt;/D&gt;&lt;D xsi:type="xsd:double"&gt;3.34245377693297&lt;/D&gt;&lt;D xsi:type="xsd:double"&gt;3.33593802867569&lt;/D&gt;&lt;D xsi:type="xsd:double"&gt;3.31833658638339&lt;/D&gt;&lt;D xsi:type="xsd:double"&gt;3.44066372604383&lt;/D&gt;&lt;D xsi:type="xsd:double"&gt;3.3268529779655&lt;/D&gt;&lt;D xsi:type="xsd:double"&gt;3.3696647402793&lt;/D&gt;&lt;D xsi:type="xsd:double"&gt;3.2310918925107&lt;/D&gt;&lt;D xsi:type="xsd:double"&gt;3.24160196727107&lt;/D&gt;&lt;D xsi:type="xsd:double"&gt;3.24814489729024&lt;/D&gt;&lt;D xsi:type="xsd:double"&gt;3.45445226296221&lt;/D&gt;&lt;D xsi:type="xsd:double"&gt;4.56688177031005&lt;/D&gt;&lt;D xsi:type="xsd:double"&gt;3.92655552868491&lt;/D&gt;&lt;D xsi:type="xsd:double"&gt;3.61549708412685&lt;/D&gt;&lt;D xsi:type="xsd:double"&gt;3.62799899372729&lt;/D&gt;&lt;D xsi:type="xsd:double"&gt;3.42016169639422&lt;/D&gt;&lt;D xsi:type="xsd:double"&gt;3.30173695438423&lt;/D&gt;&lt;D xsi:type="xsd:double"&gt;3.45705584137625&lt;/D&gt;&lt;D xsi:type="xsd:double"&gt;3.48980033382558&lt;/D&gt;&lt;D xsi:type="xsd:double"&gt;3.17236282210262&lt;/D&gt;&lt;D xsi:type="xsd:double"&gt;3.10128330682212&lt;/D&gt;&lt;D xsi:type="xsd:double"&gt;3.14400400856681&lt;/D&gt;&lt;D xsi:type="xsd:double"&gt;2.9804457227924&lt;/D&gt;&lt;D xsi:type="xsd:double"&gt;2.84886070745191&lt;/D&gt;&lt;D xsi:type="xsd:double"&gt;2.75840167084207&lt;/D&gt;&lt;D xsi:type="xsd:double"&gt;2.67029859682833&lt;/D&gt;&lt;D xsi:type="xsd:double"&gt;2.69773013206501&lt;/D&gt;&lt;D xsi:type="xsd:double"&gt;2.72041282367263&lt;/D&gt;&lt;D xsi:type="xsd:double"&gt;2.72646072094658&lt;/D&gt;&lt;D xsi:type="xsd:double"&gt;2.77791979184795&lt;/D&gt;&lt;D xsi:type="xsd:double"&gt;2.71968116458794&lt;/D&gt;&lt;D xsi:type="xsd:double"&gt;2.77010770374639&lt;/D&gt;&lt;D xsi:type="xsd:double"&gt;2.77607022646523&lt;/D&gt;&lt;D xsi:type="xsd:double"&gt;2.90552291778101&lt;/D&gt;&lt;D xsi:type="xsd:double"&gt;2.87360953383952&lt;/D&gt;&lt;D xsi:type="xsd:double"&gt;2.77375186643041&lt;/D&gt;&lt;D xsi:type="xsd:double"&gt;3.06375901840466&lt;/D&gt;&lt;D xsi:type="xsd:double"&gt;3.10288528098664&lt;/D&gt;&lt;D xsi:type="xsd:double"&gt;3.35734466094557&lt;/D&gt;&lt;D xsi:type="xsd:double"&gt;3.37377718380759&lt;/D&gt;&lt;D xsi:type="xsd:double"&gt;3.35268758842969&lt;/D&gt;&lt;D xsi:type="xsd:double"&gt;3.65987836471697&lt;/D&gt;&lt;D xsi:type="xsd:double"&gt;3.46192195921286&lt;/D&gt;&lt;D xsi:type="xsd:double"&gt;3.28327547881648&lt;/D&gt;&lt;D xsi:type="xsd:double"&gt;3.45073159405643&lt;/D&gt;&lt;D xsi:type="xsd:double"&gt;3.27844192565659&lt;/D&gt;&lt;D xsi:type="xsd:double"&gt;3.346984413301&lt;/D&gt;&lt;D xsi:type="xsd:double"&gt;3.44156089182549&lt;/D&gt;&lt;D xsi:type="xsd:double"&gt;3.24814699192868&lt;/D&gt;&lt;D xsi:type="xsd:double"&gt;3.3340590258903&lt;/D&gt;&lt;D xsi:type="xsd:double"&gt;3.32114270183244&lt;/D&gt;&lt;D xsi:type="xsd:double"&gt;3.17536179295792&lt;/D&gt;&lt;D xsi:type="xsd:double"&gt;3.58216302386281&lt;/D&gt;&lt;D xsi:type="xsd:double"&gt;3.65382363752579&lt;/D&gt;&lt;D xsi:type="xsd:double"&gt;3.80884660950414&lt;/D&gt;&lt;D xsi:type="xsd:double"&gt;3.52100873871898&lt;/D&gt;&lt;D xsi:type="xsd:double"&gt;3.35026934386443&lt;/D&gt;&lt;D xsi:type="xsd:double"&gt;3.3269854026054&lt;/D&gt;&lt;D xsi:type="xsd:double"&gt;3.26040598956913&lt;/D&gt;&lt;D xsi:type="xsd:double"&gt;3.11764153085471&lt;/D&gt;&lt;D xsi:type="xsd:double"&gt;3.10622974434161&lt;/D&gt;&lt;D xsi:type="xsd:double"&gt;3.12253622184713&lt;/D&gt;&lt;D xsi:type="xsd:double"&gt;3.33761589151437&lt;/D&gt;&lt;D xsi:type="xsd:double"&gt;3.22118734867474&lt;/D&gt;&lt;D xsi:type="xsd:double"&gt;3.16001329964855&lt;/D&gt;&lt;D xsi:type="xsd:double"&gt;3.06984803272899&lt;/D&gt;&lt;/FQL&gt;&lt;FQL&gt;&lt;Q&gt;WL-FDS^FG_PRICE_CHANGE(0,-6AM)&lt;/Q&gt;&lt;R&gt;1&lt;/R&gt;&lt;C&gt;1&lt;/C&gt;&lt;D xsi:type="xsd:double"&gt;-8.00805452292441&lt;/D&gt;&lt;/FQL&gt;&lt;FQL&gt;&lt;Q&gt;TIOS-FDS^FG_PRICE_MAVG(0,,,,30)&lt;/Q&gt;&lt;R&gt;1&lt;/R&gt;&lt;C&gt;1&lt;/C&gt;&lt;D xsi:type="xsd:double"&gt;94.614&lt;/D&gt;&lt;/FQL&gt;&lt;FQL&gt;&lt;Q&gt;EWQ^FG_PRICE_MAVG(0,,,,200)&lt;/Q&gt;&lt;R&gt;1&lt;/R&gt;&lt;C&gt;1&lt;/C&gt;&lt;D xsi:type="xsd:double"&gt;39.632824&lt;/D&gt;&lt;/FQL&gt;&lt;FQL&gt;&lt;Q&gt;EWC^FG_PRICE_MAVG(0,,,,30)&lt;/Q&gt;&lt;R&gt;1&lt;/R&gt;&lt;C&gt;1&lt;/C&gt;&lt;D xsi:type="xsd:double"&gt;40.337&lt;/D&gt;&lt;/FQL&gt;&lt;FQL&gt;&lt;Q&gt;VGK^FG_TOTAL_RETURNC(0,-12AM)&lt;/Q&gt;&lt;R&gt;1&lt;/R&gt;&lt;C&gt;1&lt;/C&gt;&lt;D xsi:type="xsd:double"&gt;29.058922&lt;/D&gt;&lt;/FQL&gt;&lt;FQL&gt;&lt;Q&gt;EWN^P_PRICE(0)/P_PRICE_LOW_PR(0,,,,,,"PRICE","INTRA","52W")-1&lt;/Q&gt;&lt;R&gt;1&lt;/R&gt;&lt;C&gt;1&lt;/C&gt;&lt;D xsi:type="xsd:double"&gt;0.40782583&lt;/D&gt;&lt;/FQL&gt;&lt;FQL&gt;&lt;Q&gt;EWA^P_PRICE(0)/P_PRICE_LOW_PR(0,,,,,,"PRICE","INTRA","52W")-1&lt;/Q&gt;&lt;R&gt;1&lt;/R&gt;&lt;C&gt;1&lt;/C&gt;&lt;D xsi:type="xsd:double"&gt;0.31818187&lt;/D&gt;&lt;/FQL&gt;&lt;FQL&gt;&lt;Q&gt;URTH^FMA_COS_UP("EPS","1M",+1,0,,,"PORTAGG","MEANR")&lt;/Q&gt;&lt;R&gt;1&lt;/R&gt;&lt;C&gt;1&lt;/C&gt;&lt;D xsi:type="xsd:double"&gt;465&lt;/D&gt;&lt;/FQL&gt;&lt;FQL&gt;&lt;Q&gt;QQQ^FMA_COS_UP("EPS","1M",+1,0,,,"PORTAGG","MEANR")&lt;/Q&gt;&lt;R&gt;1&lt;/R&gt;&lt;C&gt;1&lt;/C&gt;&lt;D xsi:type="xsd:double"&gt;36&lt;/D&gt;&lt;/FQL&gt;&lt;FQL&gt;&lt;Q&gt;REFCHMPR-FDS^(SUBARRAY(NOT_NA(NO_REPEAT_F(FG_YIELD(NOW,-10AY,D))),0,1)-SUBARRAY(NOT_NA(NO_REPEAT_F(FG_YIELD(NOW,-10AY,D))),1,1))*100&lt;/Q&gt;&lt;R&gt;1&lt;/R&gt;&lt;C&gt;1&lt;/C&gt;&lt;D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xsi:type="xsd:double"&gt;-25&lt;/D&gt;&lt;/FQL&gt;&lt;FQL&gt;&lt;Q&gt;TRYIT10Y-FDS^FG_YIELD_NAME&lt;/Q&gt;&lt;R&gt;1&lt;/R&gt;&lt;C&gt;1&lt;/C&gt;&lt;D xsi:type="xsd:string"&gt;Italy Benchmark Bond - 10 Year&lt;/D&gt;&lt;/FQL&gt;&lt;FQL&gt;&lt;Q&gt;VGK^FMA_EVAL_EBITDA(NTMA,0,,,"PORTAGG","MEANR")&lt;/Q&gt;&lt;R&gt;1&lt;/R&gt;&lt;C&gt;1&lt;/C&gt;&lt;D xsi:type="xsd:double"&gt;9.05793202229782&lt;/D&gt;&lt;/FQL&gt;&lt;FQL&gt;&lt;Q&gt;EWN^FMA_EVAL_EBITDA(NTMA,0,,,"PORTAGG","MEANR")&lt;/Q&gt;&lt;R&gt;1&lt;/R&gt;&lt;C&gt;1&lt;/C&gt;&lt;D xsi:type="xsd:double"&gt;11.8786567541242&lt;/D&gt;&lt;/FQL&gt;&lt;FQL&gt;&lt;Q&gt;QQQ^FMA_PE(NTMA,0,,,"PORTAGG","MEANR")&lt;/Q&gt;&lt;R&gt;1&lt;/R&gt;&lt;C&gt;1&lt;/C&gt;&lt;D xsi:type="xsd:double"&gt;26.5846133031004&lt;/D&gt;&lt;/FQL&gt;&lt;FQL&gt;&lt;Q&gt;EWJ^FMA_PE(NTMA,0,,,"PORTAGG","MEANR")&lt;/Q&gt;&lt;R&gt;1&lt;/R&gt;&lt;C&gt;1&lt;/C&gt;&lt;D xsi:type="xsd:double"&gt;14.1577403378745&lt;/D&gt;&lt;/FQL&gt;&lt;FQL&gt;&lt;Q&gt;EWA^FMA_PE(NTMA,0,,,"PORTAGG","MEANR")&lt;/Q&gt;&lt;R&gt;1&lt;/R&gt;&lt;C&gt;1&lt;/C&gt;&lt;D xsi:type="xsd:double"&gt;18.2511322643686&lt;/D&gt;&lt;/FQL&gt;&lt;FQL&gt;&lt;Q&gt;TRYAU10Y-FDS^FG_YIELD_NAME&lt;/Q&gt;&lt;R&gt;1&lt;/R&gt;&lt;C&gt;1&lt;/C&gt;&lt;D xsi:type="xsd:string"&gt;Australia Benchmark Bond - 10 Year&lt;/D&gt;&lt;/FQL&gt;&lt;FQL&gt;&lt;Q&gt;VGK^P_PRICE(0)/P_PRICE_LOW_PR(0,,,,,,"PRICE","INTRA","52W")-1&lt;/Q&gt;&lt;R&gt;1&lt;/R&gt;&lt;C&gt;1&lt;/C&gt;&lt;D xsi:type="xsd:double"&gt;0.30257905&lt;/D&gt;&lt;/FQL&gt;&lt;FQL&gt;&lt;Q&gt;TLT^P_PRICE(0)/P_PRICE_HIGH_PR(0,,,USD,,,"PRICE","INTRA","52W")&lt;/Q&gt;&lt;R&gt;1&lt;/R&gt;&lt;C&gt;1&lt;/C&gt;&lt;D xsi:type="xsd:double"&gt;0.96477765&lt;/D&gt;&lt;/FQL&gt;&lt;FQL&gt;&lt;Q&gt;VGK^P_PRICE(0)/P_PRICE_HIGH_PR(0,,,,,,"PRICE","INTRA","52W")&lt;/Q&gt;&lt;R&gt;1&lt;/R&gt;&lt;C&gt;1&lt;/C&gt;&lt;D xsi:type="xsd:double"&gt;0.9989554&lt;/D&gt;&lt;/FQL&gt;&lt;FQL&gt;&lt;Q&gt;EWN^FG_TOTAL_RETURNC(0,-3AM)&lt;/Q&gt;&lt;R&gt;1&lt;/R&gt;&lt;C&gt;1&lt;/C&gt;&lt;D xsi:type="xsd:double"&gt;1.4697194&lt;/D&gt;&lt;/FQL&gt;&lt;FQL&gt;&lt;Q&gt;VGK^FMA_DIV_YLD(NTMA,NOW,NOW,M,"PORTAGG","MEANR")&lt;/Q&gt;&lt;R&gt;1&lt;/R&gt;&lt;C&gt;1&lt;/C&gt;&lt;D xsi:type="xsd:double"&gt;3.4757708374086&lt;/D&gt;&lt;/FQL&gt;&lt;FQL&gt;&lt;Q&gt;EWU^FMA_EVAL_EBIT(LTMA,NOW,NOW,M,"PORTAGG","MEANR")&lt;/Q&gt;&lt;R&gt;1&lt;/R&gt;&lt;C&gt;1&lt;/C&gt;&lt;D xsi:type="xsd:double"&gt;10.9325126319324&lt;/D&gt;&lt;/FQL&gt;&lt;FQL&gt;&lt;Q&gt;ENZL^FMA_DIV_YLD(NTMA,NOW,NOW,M,"PORTAGG","MEANR")&lt;/Q&gt;&lt;R&gt;1&lt;/R&gt;&lt;C&gt;1&lt;/C&gt;&lt;D xsi:type="xsd:double"&gt;2.51244653093483&lt;/D&gt;&lt;/FQL&gt;&lt;FQL&gt;&lt;Q&gt;TRYGB10Y-FDS^PCTCHG(FG_YIELD(0,,,,"YTM"),FG_YIELD(-3AM,,,,"YTM"))&lt;/Q&gt;&lt;R&gt;0&lt;/R&gt;&lt;C&gt;0&lt;/C&gt;&lt;/FQL&gt;&lt;FQL&gt;&lt;Q&gt;USDNZD^STD(FG_PRICE_CHANGE(0,-3AY,M))&lt;/Q&gt;&lt;R&gt;1&lt;/R&gt;&lt;C&gt;1&lt;/C&gt;&lt;D xsi:type="xsd:double"&gt;3.59611459976247&lt;/D&gt;&lt;/FQL&gt;&lt;FQL&gt;&lt;Q&gt;CPALM-FDS^FG_PRICE_CHANGE(0,-1AM)&lt;/Q&gt;&lt;R&gt;1&lt;/R&gt;&lt;C&gt;1&lt;/C&gt;&lt;D xsi:type="xsd:double"&gt;5.74282147315854&lt;/D&gt;&lt;/FQL&gt;&lt;FQL&gt;&lt;Q&gt;TIOS-FDS^FG_PRICE(0)&lt;/Q&gt;&lt;R&gt;1&lt;/R&gt;&lt;C&gt;1&lt;/C&gt;&lt;D xsi:type="xsd:double"&gt;92.54&lt;/D&gt;&lt;/FQL&gt;&lt;FQL&gt;&lt;Q&gt;EWC^FG_PRICE(0)&lt;/Q&gt;&lt;R&gt;1&lt;/R&gt;&lt;C&gt;1&lt;/C&gt;&lt;D xsi:type="xsd:double"&gt;41.66&lt;/D&gt;&lt;/FQL&gt;&lt;FQL&gt;&lt;Q&gt;EWN^P_PRICE(0)/P_PRICE_HIGH_PR(0,,,,,,"PRICE","INTRA","52W")&lt;/Q&gt;&lt;R&gt;1&lt;/R&gt;&lt;C&gt;1&lt;/C&gt;&lt;D xsi:type="xsd:double"&gt;0.96341693&lt;/D&gt;&lt;/FQL&gt;&lt;FQL&gt;&lt;Q&gt;EWG^FG_ROE(0)&lt;/Q&gt;&lt;R&gt;1&lt;/R&gt;&lt;C&gt;1&lt;/C&gt;&lt;D xsi:type="xsd:double"&gt;10.8287884922483&lt;/D&gt;&lt;/FQL&gt;&lt;FQL&gt;&lt;Q&gt;TRYNL10Y-FDS^PCTCHG(FG_YIELD(0,,,,"YTM"),FG_YIELD(-3AM,,,,"YTM"))&lt;/Q&gt;&lt;R&gt;0&lt;/R&gt;&lt;C&gt;0&lt;/C&gt;&lt;/FQL&gt;&lt;FQL&gt;&lt;Q&gt;QQQ^FMA_PE(LTM,0,,,"PORTAGG","MEANR")&lt;/Q&gt;&lt;R&gt;1&lt;/R&gt;&lt;C&gt;1&lt;/C&gt;&lt;D xsi:type="xsd:double"&gt;36.421877902264&lt;/D&gt;&lt;/FQL&gt;&lt;FQL&gt;&lt;Q&gt;CPALM-FDS^FG_PRICE_MAVG(0,,,,30)&lt;/Q&gt;&lt;R&gt;1&lt;/R&gt;&lt;C&gt;1&lt;/C&gt;&lt;D xsi:type="xsd:double"&gt;3996.8333&lt;/D&gt;&lt;/FQL&gt;&lt;FQL&gt;&lt;Q&gt;TRYSE10Y-FDS^FG_YIELD(0,,,,"YTM")&lt;/Q&gt;&lt;R&gt;0&lt;/R&gt;&lt;C&gt;0&lt;/C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xsi:type="xsd:double"&gt;-60&lt;/D&gt;&lt;/FQL&gt;&lt;FQL&gt;&lt;Q&gt;CC_NL^IMF_IFS_RCPI_Q(0)&lt;/Q&gt;&lt;R&gt;1&lt;/R&gt;&lt;C&gt;1&lt;/C&gt;&lt;D xsi:type="xsd:double"&gt;2.888117&lt;/D&gt;&lt;/FQL&gt;&lt;FQL&gt;&lt;Q&gt;EWJ^JULIAN(FMA_DIV_YLD(NTMA,NOW,NOW,M,"PORTAGG","MEANR").DATES)&lt;/Q&gt;&lt;R&gt;1&lt;/R&gt;&lt;C&gt;1&lt;/C&gt;&lt;D xsi:type="xsd:long"&gt;45534&lt;/D&gt;&lt;/FQL&gt;&lt;FQL&gt;&lt;Q&gt;EWI^FMA_EVAL_EBITDA(NTMA,0,,,"PORTAGG","MEANR")&lt;/Q&gt;&lt;R&gt;1&lt;/R&gt;&lt;C&gt;1&lt;/C&gt;&lt;D xsi:type="xsd:double"&gt;7.46469530476459&lt;/D&gt;&lt;/FQL&gt;&lt;FQL&gt;&lt;Q&gt;SPY^FG_FCF_YIELD_NTM(0)&lt;/Q&gt;&lt;R&gt;1&lt;/R&gt;&lt;C&gt;1&lt;/C&gt;&lt;D xsi:type="xsd:double"&gt;3.97150201138035&lt;/D&gt;&lt;/FQL&gt;&lt;FQL&gt;&lt;Q&gt;SPY^SIZE(FG_CONSTITUENTS)&lt;/Q&gt;&lt;R&gt;1&lt;/R&gt;&lt;C&gt;1&lt;/C&gt;&lt;D xsi:type="xsd:long"&gt;503&lt;/D&gt;&lt;/FQL&gt;&lt;FQL&gt;&lt;Q&gt;USDNZD^STD(FG_PRICE_CHANGE(0,-1AY,AM))&lt;/Q&gt;&lt;R&gt;1&lt;/R&gt;&lt;C&gt;1&lt;/C&gt;&lt;D xsi:type="xsd:double"&gt;3.12105132037959&lt;/D&gt;&lt;/FQL&gt;&lt;FQL&gt;&lt;Q&gt;EWQ^FG_PRICE_MAVG(0,,,,60)&lt;/Q&gt;&lt;R&gt;1&lt;/R&gt;&lt;C&gt;1&lt;/C&gt;&lt;D xsi:type="xsd:double"&gt;38.919834&lt;/D&gt;&lt;/FQL&gt;&lt;FQL&gt;&lt;Q&gt;EWU^SIZE(FG_CONSTITUENTS)&lt;/Q&gt;&lt;R&gt;1&lt;/R&gt;&lt;C&gt;1&lt;/C&gt;&lt;D xsi:type="xsd:long"&gt;79&lt;/D&gt;&lt;/FQL&gt;&lt;FQL&gt;&lt;Q&gt;VGK^FG_FCF_YIELD_NTM(0)&lt;/Q&gt;&lt;R&gt;1&lt;/R&gt;&lt;C&gt;1&lt;/C&gt;&lt;D xsi:type="xsd:double"&gt;5.28323894400439&lt;/D&gt;&lt;/FQL&gt;&lt;FQL&gt;&lt;Q&gt;ENZL^FMA_PE(NTMA,0,,,"PORTAGG","MEANR")&lt;/Q&gt;&lt;R&gt;1&lt;/R&gt;&lt;C&gt;1&lt;/C&gt;&lt;D xsi:type="xsd:double"&gt;23.5953405267679&lt;/D&gt;&lt;/FQL&gt;&lt;FQL&gt;&lt;Q&gt;VGK^FMA_COS_DOWN("EPS","1M",+1,0,,,"PORTAGG","MEANR")&lt;/Q&gt;&lt;R&gt;1&lt;/R&gt;&lt;C&gt;1&lt;/C&gt;&lt;D xsi:type="xsd:double"&gt;600&lt;/D&gt;&lt;/FQL&gt;&lt;FQL&gt;&lt;Q&gt;TLT^FG_TOTAL_RETURNC(0,-1AM)&lt;/Q&gt;&lt;R&gt;1&lt;/R&gt;&lt;C&gt;1&lt;/C&gt;&lt;D xsi:type="xsd:double"&gt;0.41213036&lt;/D&gt;&lt;/FQL&gt;&lt;FQL&gt;&lt;Q&gt;EWU^FMA_PE(NTMA,0,,,"PORTAGG","MEANR")&lt;/Q&gt;&lt;R&gt;1&lt;/R&gt;&lt;C&gt;1&lt;/C&gt;&lt;D xsi:type="xsd:double"&gt;11.8107826788735&lt;/D&gt;&lt;/FQL&gt;&lt;FQL&gt;&lt;Q&gt;DBA^P_PRICE(0)/P_PRICE_HIGH_PR(0,,,USD,,,"PRICE","INTRA","52W")&lt;/Q&gt;&lt;R&gt;1&lt;/R&gt;&lt;C&gt;1&lt;/C&gt;&lt;D xsi:type="xsd:double"&gt;0.9756458&lt;/D&gt;&lt;/FQL&gt;&lt;FQL&gt;&lt;Q&gt;EWI^FMA_PE(NTMA,-10AY,0,AM,"PORTAGG","MEANR")&lt;/Q&gt;&lt;R&gt;121&lt;/R&gt;&lt;C&gt;1&lt;/C&gt;&lt;D xsi:type="xsd:double"&gt;13.7311671849196&lt;/D&gt;&lt;D xsi:type="xsd:double"&gt;12.2764178348872&lt;/D&gt;&lt;D xsi:type="xsd:double"&gt;12.9970710832341&lt;/D&gt;&lt;D xsi:type="xsd:double"&gt;12.5626614558153&lt;/D&gt;&lt;D xsi:type="xsd:double"&gt;13.9321761969586&lt;/D&gt;&lt;D xsi:type="xsd:double"&gt;15.5512236592378&lt;/D&gt;&lt;D xsi:type="xsd:double"&gt;15.6616611687816&lt;/D&gt;&lt;D xsi:type="xsd:double"&gt;16.1597186368042&lt;/D&gt;&lt;D xsi:type="xsd:double"&gt;16.0041943313555&lt;/D&gt;&lt;D xsi:type="xsd:double"&gt;15.5950772367398&lt;/D&gt;&lt;D xsi:type="xsd:double"&gt;14.7964986214104&lt;/D&gt;&lt;D xsi:type="xsd:double"&gt;14.5363566843596&lt;/D&gt;&lt;D xsi:type="xsd:double"&gt;13.9557592403111&lt;/D&gt;&lt;D xsi:type="xsd:double"&gt;14.6186826182386&lt;/D&gt;&lt;D xsi:type="xsd:double"&gt;15.0400503047353&lt;/D&gt;&lt;D xsi:type="xsd:double"&gt;14.148628497712&lt;/D&gt;&lt;D xsi:type="xsd:double"&gt;13.0619607037013&lt;/D&gt;&lt;D xsi:type="xsd:double"&gt;12.8578699581264&lt;/D&gt;&lt;D xsi:type="xsd:double"&gt;13.1931440220504&lt;/D&gt;&lt;D xsi:type="xsd:double"&gt;13.6265037750625&lt;/D&gt;&lt;D xsi:type="xsd:double"&gt;13.7815013289343&lt;/D&gt;&lt;D xsi:type="xsd:double"&gt;11.0073159352035&lt;/D&gt;&lt;D xsi:type="xsd:double"&gt;12.4913558828366&lt;/D&gt;&lt;D xsi:type="xsd:double"&gt;12.5575035375855&lt;/D&gt;&lt;D xsi:type="xsd:double"&gt;11.6084677379462&lt;/D&gt;&lt;D xsi:type="xsd:double"&gt;12.253041190476&lt;/D&gt;&lt;D xsi:type="xsd:double"&gt;11.5946242379158&lt;/D&gt;&lt;D xsi:type="xsd:double"&gt;13.7791090084959&lt;/D&gt;&lt;D xsi:type="xsd:double"&gt;13.0825952970425&lt;/D&gt;&lt;D xsi:type="xsd:double"&gt;12.7812528841563&lt;/D&gt;&lt;D xsi:type="xsd:double"&gt;13.4822035975096&lt;/D&gt;&lt;D xsi:type="xsd:double"&gt;13.4391598272113&lt;/D&gt;&lt;D xsi:type="xsd:double"&gt;13.5484967635559&lt;/D&gt;&lt;D xsi:type="xsd:double"&gt;13.1796757052393&lt;/D&gt;&lt;D xsi:type="xsd:double"&gt;13.5364217380163&lt;/D&gt;&lt;D xsi:type="xsd:double"&gt;13.2872041209754&lt;/D&gt;&lt;D xsi:type="xsd:double"&gt;13.5764392358976&lt;/D&gt;&lt;D xsi:type="xsd:double"&gt;13.5765474854277&lt;/D&gt;&lt;D xsi:type="xsd:double"&gt;13.1181095123255&lt;/D&gt;&lt;D xsi:type="xsd:double"&gt;13.1694302006135&lt;/D&gt;&lt;D xsi:type="xsd:double"&gt;13.4628376783266&lt;/D&gt;&lt;D xsi:type="xsd:double"&gt;12.5667726374013&lt;/D&gt;&lt;D xsi:type="xsd:double"&gt;12.2981398733133&lt;/D&gt;&lt;D xsi:type="xsd:double"&gt;13.0278504905678&lt;/D&gt;&lt;D xsi:type="xsd:double"&gt;11.778886222646&lt;/D&gt;&lt;D xsi:type="xsd:double"&gt;11.3484099570077&lt;/D&gt;&lt;D xsi:type="xsd:double"&gt;11.590095834428&lt;/D&gt;&lt;D xsi:type="xsd:double"&gt;10.8743785135577&lt;/D&gt;&lt;D xsi:type="xsd:double"&gt;11.0201782413345&lt;/D&gt;&lt;D xsi:type="xsd:double"&gt;9.59714379893144&lt;/D&gt;&lt;D xsi:type="xsd:double"&gt;9.63710437797269&lt;/D&gt;&lt;D xsi:type="xsd:double"&gt;9.04316633147439&lt;/D&gt;&lt;D xsi:type="xsd:double"&gt;9.8969749676626&lt;/D&gt;&lt;D xsi:type="xsd:double"&gt;10.5083408650835&lt;/D&gt;&lt;D xsi:type="xsd:double"&gt;10.7316166337319&lt;/D&gt;&lt;D xsi:type="xsd:double"&gt;10.8643545121416&lt;/D&gt;&lt;D xsi:type="xsd:double"&gt;10.1556415681396&lt;/D&gt;&lt;D xsi:type="xsd:double"&gt;10.4051244354096&lt;/D&gt;&lt;D xsi:type="xsd:double"&gt;10.7585131182568&lt;/D&gt;&lt;D xsi:type="xsd:double"&gt;10.3380974955346&lt;/D&gt;&lt;D xsi:type="xsd:double"&gt;10.779550435768&lt;/D&gt;&lt;D xsi:type="xsd:double"&gt;11.0901514356213&lt;/D&gt;&lt;D xsi:type="xsd:double"&gt;11.355849471257&lt;/D&gt;&lt;D xsi:type="xsd:double"&gt;11.5142226201628&lt;/D&gt;&lt;D xsi:type="xsd:double"&gt;11.2743143455392&lt;/D&gt;&lt;D xsi:type="xsd:double"&gt;10.9760764524994&lt;/D&gt;&lt;D xsi:type="xsd:double"&gt;9.44387654154973&lt;/D&gt;&lt;D xsi:type="xsd:double"&gt;12.7299471752445&lt;/D&gt;&lt;D xsi:type="xsd:double"&gt;15.6200602523654&lt;/D&gt;&lt;D xsi:type="xsd:double"&gt;17.1626935860264&lt;/D&gt;&lt;D xsi:type="xsd:double"&gt;17.4130751505231&lt;/D&gt;&lt;D xsi:type="xsd:double"&gt;15.9071435642293&lt;/D&gt;&lt;D xsi:type="xsd:double"&gt;14.6065815705757&lt;/D&gt;&lt;D xsi:type="xsd:double"&gt;13.9052358346162&lt;/D&gt;&lt;D xsi:type="xsd:double"&gt;15.1239107684721&lt;/D&gt;&lt;D xsi:type="xsd:double"&gt;14.8376441783332&lt;/D&gt;&lt;D xsi:type="xsd:double"&gt;13.3566729508972&lt;/D&gt;&lt;D xsi:type="xsd:double"&gt;13.701980133488&lt;/D&gt;&lt;D xsi:type="xsd:double"&gt;13.9292694660268&lt;/D&gt;&lt;D xsi:type="xsd:double"&gt;13.6709228981465&lt;/D&gt;&lt;D xsi:type="xsd:double"&gt;13.3948500936959&lt;/D&gt;&lt;D xsi:type="xsd:double"&gt;13.6286796464373&lt;/D&gt;&lt;D xsi:type="xsd:double"&gt;13.0285337307031&lt;/D&gt;&lt;D xsi:type="xsd:double"&gt;11.9968823855508&lt;/D&gt;&lt;D xsi:type="xsd:double"&gt;11.8068253061647&lt;/D&gt;&lt;D xsi:type="xsd:double"&gt;11.7870237161357&lt;/D&gt;&lt;D xsi:type="xsd:double"&gt;10.9811363781928&lt;/D&gt;&lt;D xsi:type="xsd:double"&gt;11.0279107160011&lt;/D&gt;&lt;D xsi:type="xsd:double"&gt;10.8187883946528&lt;/D&gt;&lt;D xsi:type="xsd:double"&gt;9.96708913223727&lt;/D&gt;&lt;D xsi:type="xsd:double"&gt;9.54851222988518&lt;/D&gt;&lt;D xsi:type="xsd:double"&gt;9.27392567045821&lt;/D&gt;&lt;D xsi:type="xsd:double"&gt;9.07744000110074&lt;/D&gt;&lt;D xsi:type="xsd:double"&gt;7.9363277923142&lt;/D&gt;&lt;D xsi:type="xsd:double"&gt;7.55457312018046&lt;/D&gt;&lt;D xsi:type="xsd:double"&gt;7.42976503025865&lt;/D&gt;&lt;D xsi:type="xsd:double"&gt;7.258388671857&lt;/D&gt;&lt;D xsi:type="xsd:double"&gt;7.8620360371915&lt;/D&gt;&lt;D xsi:type="xsd:double"&gt;8.23435169775619&lt;/D&gt;&lt;D xsi:type="xsd:double"&gt;7.67676631927802&lt;/D&gt;&lt;D xsi:type="xsd:double"&gt;8.42317401597186&lt;/D&gt;&lt;D xsi:type="xsd:double"&gt;8.25064658418255&lt;/D&gt;&lt;D xsi:type="xsd:double"&gt;8.19922238990407&lt;/D&gt;&lt;D xsi:type="xsd:double"&gt;8.61898761009709&lt;/D&gt;&lt;D xsi:type="xsd:double"&gt;8.12436312729496&lt;/D&gt;&lt;D xsi:type="xsd:double"&gt;8.5581311386011&lt;/D&gt;&lt;D xsi:type="xsd:double"&gt;8.80513846697204&lt;/D&gt;&lt;D xsi:type="xsd:double"&gt;8.23393236355014&lt;/D&gt;&lt;D xsi:type="xsd:double"&gt;8.19849670160045&lt;/D&gt;&lt;D xsi:type="xsd:double"&gt;7.78544513223225&lt;/D&gt;&lt;D xsi:type="xsd:double"&gt;8.2863258858548&lt;/D&gt;&lt;D xsi:type="xsd:double"&gt;8.9144314208552&lt;/D&gt;&lt;D xsi:type="xsd:double"&gt;8.95295433427642&lt;/D&gt;&lt;D xsi:type="xsd:double"&gt;9.27564113523134&lt;/D&gt;&lt;D xsi:type="xsd:double"&gt;9.80800963713393&lt;/D&gt;&lt;D xsi:type="xsd:double"&gt;9.57997279571212&lt;/D&gt;&lt;D xsi:type="xsd:double"&gt;9.71495700623428&lt;/D&gt;&lt;D xsi:type="xsd:double"&gt;9.31544731515518&lt;/D&gt;&lt;D xsi:type="xsd:double"&gt;9.68085197668138&lt;/D&gt;&lt;D xsi:type="xsd:double"&gt;9.72013889170407&lt;/D&gt;&lt;D xsi:type="xsd:double"&gt;9.93308884553532&lt;/D&gt;&lt;/FQL&gt;&lt;FQL&gt;&lt;Q&gt;WL-FDS^FG_PRICE_CHANGE(0,-1AM)&lt;/Q&gt;&lt;R&gt;1&lt;/R&gt;&lt;C&gt;1&lt;/C&gt;&lt;D xsi:type="xsd:double"&gt;8.37591240875912&lt;/D&gt;&lt;/FQL&gt;&lt;FQL&gt;&lt;Q&gt;CPALM-FDS^FG_PRICE(0)&lt;/Q&gt;&lt;R&gt;1&lt;/R&gt;&lt;C&gt;1&lt;/C&gt;&lt;D xsi:type="xsd:double"&gt;4235&lt;/D&gt;&lt;/FQL&gt;&lt;FQL&gt;&lt;Q&gt;EWQ^FG_PRICE_MAVG(0,,,,30)&lt;/Q&gt;&lt;R&gt;1&lt;/R&gt;&lt;C&gt;1&lt;/C&gt;&lt;D xsi:type="xsd:double"&gt;39.546333&lt;/D&gt;&lt;/FQL&gt;&lt;FQL&gt;&lt;Q&gt;EWN^FG_TOTAL_RETURNC(0,-6AM)&lt;/Q&gt;&lt;R&gt;1&lt;/R&gt;&lt;C&gt;1&lt;/C&gt;&lt;D xsi:type="xsd:double"&gt;3.851974&lt;/D&gt;&lt;/FQL&gt;&lt;FQL&gt;&lt;Q&gt;EWA^FG_TOTAL_RETURNC(0,-6AM)&lt;/Q&gt;&lt;R&gt;1&lt;/R&gt;&lt;C&gt;1&lt;/C&gt;&lt;D xsi:type="xsd:double"&gt;11.498523&lt;/D&gt;&lt;/FQL&gt;&lt;FQL&gt;&lt;Q&gt;EWU^FMA_COS_DOWN("EPS","1M",+1,0,,,"PORTAGG","MEANR")&lt;/Q&gt;&lt;R&gt;1&lt;/R&gt;&lt;C&gt;1&lt;/C&gt;&lt;D xsi:type="xsd:double"&gt;28&lt;/D&gt;&lt;/FQL&gt;&lt;FQL&gt;&lt;Q&gt;EWC^FG_ROE(0)&lt;/Q&gt;&lt;R&gt;1&lt;/R&gt;&lt;C&gt;1&lt;/C&gt;&lt;D xsi:type="xsd:double"&gt;10.7750928444931&lt;/D&gt;&lt;/FQL&gt;&lt;FQL&gt;&lt;Q&gt;REFJPTON-FDS^(SUBARRAY(NOT_NA(NO_REPEAT_F(FG_YIELD(NOW,-10AY,D))),0,1)-SUBARRAY(NOT_NA(NO_REPEAT_F(FG_YIELD(NOW,-10AY,D))),1,1))*100&lt;/Q&gt;&lt;R&gt;1&lt;/R&gt;&lt;C&gt;1&lt;/C&gt;&lt;D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xsi:type="xsd:double"&gt;15&lt;/D&gt;&lt;/FQL&gt;&lt;FQL&gt;&lt;Q&gt;EWG^FMA_EVAL_EBIT(LTMA,NOW,NOW,M,"PORTAGG","MEANR")&lt;/Q&gt;&lt;R&gt;1&lt;/R&gt;&lt;C&gt;1&lt;/C&gt;&lt;D xsi:type="xsd:double"&gt;13.8664754850983&lt;/D&gt;&lt;/FQL&gt;&lt;FQL&gt;&lt;Q&gt;VGK^FG_PE(0)&lt;/Q&gt;&lt;R&gt;1&lt;/R&gt;&lt;C&gt;1&lt;/C&gt;&lt;D xsi:type="xsd:double"&gt;15.5268195870201&lt;/D&gt;&lt;/FQL&gt;&lt;FQL&gt;&lt;Q&gt;ENZL^FMA_PE(LTM,0,,,"PORTAGG","MEANR")&lt;/Q&gt;&lt;R&gt;1&lt;/R&gt;&lt;C&gt;1&lt;/C&gt;&lt;D xsi:type="xsd:double"&gt;49.4624475867305&lt;/D&gt;&lt;/FQL&gt;&lt;FQL&gt;&lt;Q&gt;EWC^FG_TOTAL_RETURNC(0,-1AM)&lt;/Q&gt;&lt;R&gt;1&lt;/R&gt;&lt;C&gt;1&lt;/C&gt;&lt;D xsi:type="xsd:double"&gt;3.2465935&lt;/D&gt;&lt;/FQL&gt;&lt;FQL&gt;&lt;Q&gt;EWD^FMA_EPS(NTMA,-20AY,0,CY,,"PORTAGG","MEANR")&lt;/Q&gt;&lt;R&gt;20&lt;/R&gt;&lt;C&gt;1&lt;/C&gt;&lt;D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xsi:type="xsd:double"&gt;2.51009258677616&lt;/D&gt;&lt;/FQL&gt;&lt;FQL&gt;&lt;Q&gt;EWD^FMA_PE(NTMA,-10AY,0,AM,"PORTAGG","MEANR")&lt;/Q&gt;&lt;R&gt;121&lt;/R&gt;&lt;C&gt;1&lt;/C&gt;&lt;D xsi:type="xsd:double"&gt;14.6050360839399&lt;/D&gt;&lt;D xsi:type="xsd:double"&gt;14.1160740117779&lt;/D&gt;&lt;D xsi:type="xsd:double"&gt;15.6682014764798&lt;/D&gt;&lt;D xsi:type="xsd:double"&gt;15.7046229483106&lt;/D&gt;&lt;D xsi:type="xsd:double"&gt;16.2111089175988&lt;/D&gt;&lt;D xsi:type="xsd:double"&gt;17.3936140410266&lt;/D&gt;&lt;D xsi:type="xsd:double"&gt;16.9545597539632&lt;/D&gt;&lt;D xsi:type="xsd:double"&gt;16.8882713916781&lt;/D&gt;&lt;D xsi:type="xsd:double"&gt;16.6566424849725&lt;/D&gt;&lt;D xsi:type="xsd:double"&gt;16.0282338496078&lt;/D&gt;&lt;D xsi:type="xsd:double"&gt;15.6777192427571&lt;/D&gt;&lt;D xsi:type="xsd:double"&gt;14.9620756212983&lt;/D&gt;&lt;D xsi:type="xsd:double"&gt;14.119600017297&lt;/D&gt;&lt;D xsi:type="xsd:double"&gt;15.3408615135283&lt;/D&gt;&lt;D xsi:type="xsd:double"&gt;15.5641889758175&lt;/D&gt;&lt;D xsi:type="xsd:double"&gt;14.9834059643114&lt;/D&gt;&lt;D xsi:type="xsd:double"&gt;14.4595090768457&lt;/D&gt;&lt;D xsi:type="xsd:double"&gt;15.1124638352433&lt;/D&gt;&lt;D xsi:type="xsd:double"&gt;14.8304582920345&lt;/D&gt;&lt;D xsi:type="xsd:double"&gt;15.58757080213&lt;/D&gt;&lt;D xsi:type="xsd:double"&gt;15.0941833698299&lt;/D&gt;&lt;D xsi:type="xsd:double"&gt;13.6555700086476&lt;/D&gt;&lt;D xsi:type="xsd:double"&gt;15.2717592428273&lt;/D&gt;&lt;D xsi:type="xsd:double"&gt;15.4426152553483&lt;/D&gt;&lt;D xsi:type="xsd:double"&gt;15.443296941617&lt;/D&gt;&lt;D xsi:type="xsd:double"&gt;16.2604173202797&lt;/D&gt;&lt;D xsi:type="xsd:double"&gt;16.2791116851503&lt;/D&gt;&lt;D xsi:type="xsd:double"&gt;16.5845802738352&lt;/D&gt;&lt;D xsi:type="xsd:double"&gt;16.3948013417411&lt;/D&gt;&lt;D xsi:type="xsd:double"&gt;16.3357100595109&lt;/D&gt;&lt;D xsi:type="xsd:double"&gt;17.0304897841359&lt;/D&gt;&lt;D xsi:type="xsd:double"&gt;17.0655790393378&lt;/D&gt;&lt;D xsi:type="xsd:double"&gt;18.0171480827448&lt;/D&gt;&lt;D xsi:type="xsd:double"&gt;16.7085008873762&lt;/D&gt;&lt;D xsi:type="xsd:double"&gt;16.3084282445903&lt;/D&gt;&lt;D xsi:type="xsd:double"&gt;15.7196082429829&lt;/D&gt;&lt;D xsi:type="xsd:double"&gt;16.6085632427216&lt;/D&gt;&lt;D xsi:type="xsd:double"&gt;17.3207387816282&lt;/D&gt;&lt;D xsi:type="xsd:double"&gt;16.5644682485486&lt;/D&gt;&lt;D xsi:type="xsd:double"&gt;16.3140486550515&lt;/D&gt;&lt;D xsi:type="xsd:double"&gt;16.6833353702567&lt;/D&gt;&lt;D xsi:type="xsd:double"&gt;16.4451577902668&lt;/D&gt;&lt;D xsi:type="xsd:double"&gt;15.5820957259264&lt;/D&gt;&lt;D xsi:type="xsd:double"&gt;15.9748155896869&lt;/D&gt;&lt;D xsi:type="xsd:double"&gt;15.7591945336442&lt;/D&gt;&lt;D xsi:type="xsd:double"&gt;15.1607233780546&lt;/D&gt;&lt;D xsi:type="xsd:double"&gt;15.6151325209726&lt;/D&gt;&lt;D xsi:type="xsd:double"&gt;15.9229787249189&lt;/D&gt;&lt;D xsi:type="xsd:double"&gt;16.0184000544527&lt;/D&gt;&lt;D xsi:type="xsd:double"&gt;13.9171393119493&lt;/D&gt;&lt;D xsi:type="xsd:double"&gt;14.0179369362818&lt;/D&gt;&lt;D xsi:type="xsd:double"&gt;13.0785621842097&lt;/D&gt;&lt;D xsi:type="xsd:double"&gt;13.4976109215811&lt;/D&gt;&lt;D xsi:type="xsd:double"&gt;14.8060453311379&lt;/D&gt;&lt;D xsi:type="xsd:double"&gt;14.8203732515254&lt;/D&gt;&lt;D xsi:type="xsd:double"&gt;15.8891311389215&lt;/D&gt;&lt;D xsi:type="xsd:double"&gt;14.6740338549251&lt;/D&gt;&lt;D xsi:type="xsd:double"&gt;14.9986208798807&lt;/D&gt;&lt;D xsi:type="xsd:double"&gt;15.0298218518699&lt;/D&gt;&lt;D xsi:type="xsd:double"&gt;13.5734053831937&lt;/D&gt;&lt;D xsi:type="xsd:double"&gt;15.0453002048751&lt;/D&gt;&lt;D xsi:type="xsd:double"&gt;15.8094376818711&lt;/D&gt;&lt;D xsi:type="xsd:double"&gt;15.6862034689924&lt;/D&gt;&lt;D xsi:type="xsd:double"&gt;16.3488040699666&lt;/D&gt;&lt;D xsi:type="xsd:double"&gt;16.0667192397765&lt;/D&gt;&lt;D xsi:type="xsd:double"&gt;15.5083359290222&lt;/D&gt;&lt;D xsi:type="xsd:double"&gt;13.5125281930114&lt;/D&gt;&lt;D xsi:type="xsd:double"&gt;16.635963187188&lt;/D&gt;&lt;D xsi:type="xsd:double"&gt;18.475913171132&lt;/D&gt;&lt;D xsi:type="xsd:double"&gt;19.2204692405168&lt;/D&gt;&lt;D xsi:type="xsd:double"&gt;18.8023559700035&lt;/D&gt;&lt;D xsi:type="xsd:double"&gt;18.3776780990824&lt;/D&gt;&lt;D xsi:type="xsd:double"&gt;17.859413085237&lt;/D&gt;&lt;D xsi:type="xsd:double"&gt;16.6743312705885&lt;/D&gt;&lt;D xsi:type="xsd:double"&gt;17.5033495810956&lt;/D&gt;&lt;D xsi:type="xsd:double"&gt;17.076698830785&lt;/D&gt;&lt;D xsi:type="xsd:double"&gt;18.7759958465749&lt;/D&gt;&lt;D xsi:type="xsd:double"&gt;18.7197263433983&lt;/D&gt;&lt;D xsi:type="xsd:double"&gt;20.2493086934537&lt;/D&gt;&lt;D xsi:type="xsd:double"&gt;19.4052306602838&lt;/D&gt;&lt;D xsi:type="xsd:double"&gt;17.8374325903102&lt;/D&gt;&lt;D xsi:type="xsd:double"&gt;18.6648337951173&lt;/D&gt;&lt;D xsi:type="xsd:double"&gt;18.5055191641878&lt;/D&gt;&lt;D xsi:type="xsd:double"&gt;18.5375913756903&lt;/D&gt;&lt;D xsi:type="xsd:double"&gt;18.1797133488517&lt;/D&gt;&lt;D xsi:type="xsd:double"&gt;18.3068267746428&lt;/D&gt;&lt;D xsi:type="xsd:double"&gt;17.8354785772976&lt;/D&gt;&lt;D xsi:type="xsd:double"&gt;18.4887846061649&lt;/D&gt;&lt;D xsi:type="xsd:double"&gt;16.4607175496048&lt;/D&gt;&lt;D xsi:type="xsd:double"&gt;15.1580977838716&lt;/D&gt;&lt;D xsi:type="xsd:double"&gt;15.0101862994421&lt;/D&gt;&lt;D xsi:type="xsd:double"&gt;14.5558327399247&lt;/D&gt;&lt;D xsi:type="xsd:double"&gt;16.1191446210384&lt;/D&gt;&lt;D xsi:type="xsd:double"&gt;14.5465437044451&lt;/D&gt;&lt;D xsi:type="xsd:double"&gt;14.8810555069918&lt;/D&gt;&lt;D xsi:type="xsd:double"&gt;14.2163064277922&lt;/D&gt;&lt;D xsi:type="xsd:double"&gt;13.0110779688698&lt;/D&gt;&lt;D xsi:type="xsd:double"&gt;13.1887142713315&lt;/D&gt;&lt;D xsi:type="xsd:double"&gt;13.1333707215908&lt;/D&gt;&lt;D xsi:type="xsd:double"&gt;12.79150787312&lt;/D&gt;&lt;D xsi:type="xsd:double"&gt;14.0768479507097&lt;/D&gt;&lt;D xsi:type="xsd:double"&gt;14.1169383314229&lt;/D&gt;&lt;D xsi:type="xsd:double"&gt;13.1768418706789&lt;/D&gt;&lt;D xsi:type="xsd:double"&gt;13.8408678503331&lt;/D&gt;&lt;D xsi:type="xsd:double"&gt;13.539760546032&lt;/D&gt;&lt;D xsi:type="xsd:double"&gt;13.2670400712371&lt;/D&gt;&lt;D xsi:type="xsd:double"&gt;13.4086611968745&lt;/D&gt;&lt;D xsi:type="xsd:double"&gt;12.5295763876203&lt;/D&gt;&lt;D xsi:type="xsd:double"&gt;12.7287373495511&lt;/D&gt;&lt;D xsi:type="xsd:double"&gt;12.3913850859726&lt;/D&gt;&lt;D xsi:type="xsd:double"&gt;13.4353892877317&lt;/D&gt;&lt;D xsi:type="xsd:double"&gt;15.7174771892811&lt;/D&gt;&lt;D xsi:type="xsd:double"&gt;15.4849573842263&lt;/D&gt;&lt;D xsi:type="xsd:double"&gt;16.2040974594873&lt;/D&gt;&lt;D xsi:type="xsd:double"&gt;16.6610049916651&lt;/D&gt;&lt;D xsi:type="xsd:double"&gt;16.0387169731678&lt;/D&gt;&lt;D xsi:type="xsd:double"&gt;16.3815814933569&lt;/D&gt;&lt;D xsi:type="xsd:double"&gt;15.8736039305407&lt;/D&gt;&lt;D xsi:type="xsd:double"&gt;16.1397012933232&lt;/D&gt;&lt;D xsi:type="xsd:double"&gt;16.0728454336716&lt;/D&gt;&lt;D xsi:type="xsd:double"&gt;16.3572988597894&lt;/D&gt;&lt;/FQL&gt;&lt;FQL&gt;&lt;Q&gt;WL-FDS^FG_PRICE_MAVG(0,,,,30)&lt;/Q&gt;&lt;R&gt;1&lt;/R&gt;&lt;C&gt;1&lt;/C&gt;&lt;D xsi:type="xsd:double"&gt;544.82&lt;/D&gt;&lt;/FQL&gt;&lt;FQL&gt;&lt;Q&gt;W-FDS^MAX(FG_PRICE(0,-5AY))&lt;/Q&gt;&lt;R&gt;1&lt;/R&gt;&lt;C&gt;1&lt;/C&gt;&lt;D xsi:type="xsd:double"&gt;14.2525&lt;/D&gt;&lt;/FQL&gt;&lt;FQL&gt;&lt;Q&gt;EWQ^FG_PRICE(0)&lt;/Q&gt;&lt;R&gt;1&lt;/R&gt;&lt;C&gt;1&lt;/C&gt;&lt;D xsi:type="xsd:double"&gt;41.1&lt;/D&gt;&lt;/FQL&gt;&lt;FQL&gt;&lt;Q&gt;EWA^FG_PRICE_MAVG(0,,,,60)&lt;/Q&gt;&lt;R&gt;1&lt;/R&gt;&lt;C&gt;1&lt;/C&gt;&lt;D xsi:type="xsd:double"&gt;25.298334&lt;/D&gt;&lt;/FQL&gt;&lt;FQL&gt;&lt;Q&gt;EWL^FMA_EVAL_EBIT(LTMA,NOW,NOW,M,"PORTAGG","MEANR")&lt;/Q&gt;&lt;R&gt;1&lt;/R&gt;&lt;C&gt;1&lt;/C&gt;&lt;D xsi:type="xsd:double"&gt;17.1015615453685&lt;/D&gt;&lt;/FQL&gt;&lt;FQL&gt;&lt;Q&gt;EWN^FMA_EPS(NTMA,-20AY,0,CY,,"PORTAGG","MEANR")&lt;/Q&gt;&lt;R&gt;20&lt;/R&gt;&lt;C&gt;1&lt;/C&gt;&lt;D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xsi:type="xsd:double"&gt;2.95668122593824&lt;/D&gt;&lt;/FQL&gt;&lt;FQL&gt;&lt;Q&gt;EWL^FMA_PE(NTMA,-10AY,0,AM,"PORTAGG","MEANR")&lt;/Q&gt;&lt;R&gt;121&lt;/R&gt;&lt;C&gt;1&lt;/C&gt;&lt;D xsi:type="xsd:double"&gt;15.9554300229029&lt;/D&gt;&lt;D xsi:type="xsd:double"&gt;15.4212247696793&lt;/D&gt;&lt;D xsi:type="xsd:double"&gt;16.258124500329&lt;/D&gt;&lt;D xsi:type="xsd:double"&gt;15.8332272247873&lt;/D&gt;&lt;D xsi:type="xsd:double"&gt;16.2055406010806&lt;/D&gt;&lt;D xsi:type="xsd:double"&gt;17.6281338147808&lt;/D&gt;&lt;D xsi:type="xsd:double"&gt;17.627552240632&lt;/D&gt;&lt;D xsi:type="xsd:double"&gt;18.1962004450656&lt;/D&gt;&lt;D xsi:type="xsd:double"&gt;17.8804612214608&lt;/D&gt;&lt;D xsi:type="xsd:double"&gt;17.189865905726&lt;/D&gt;&lt;D xsi:type="xsd:double"&gt;17.3512640547447&lt;/D&gt;&lt;D xsi:type="xsd:double"&gt;16.5461375475815&lt;/D&gt;&lt;D xsi:type="xsd:double"&gt;15.9322030959026&lt;/D&gt;&lt;D xsi:type="xsd:double"&gt;16.8230174639366&lt;/D&gt;&lt;D xsi:type="xsd:double"&gt;16.9893104258978&lt;/D&gt;&lt;D xsi:type="xsd:double"&gt;16.8225317773215&lt;/D&gt;&lt;D xsi:type="xsd:double"&gt;16.1463592368604&lt;/D&gt;&lt;D xsi:type="xsd:double"&gt;16.3224517288575&lt;/D&gt;&lt;D xsi:type="xsd:double"&gt;16.2780732642842&lt;/D&gt;&lt;D xsi:type="xsd:double"&gt;16.9278381746798&lt;/D&gt;&lt;D xsi:type="xsd:double"&gt;17.2976131951892&lt;/D&gt;&lt;D xsi:type="xsd:double"&gt;15.797204407712&lt;/D&gt;&lt;D xsi:type="xsd:double"&gt;17.1716073221928&lt;/D&gt;&lt;D xsi:type="xsd:double"&gt;17.3150831259374&lt;/D&gt;&lt;D xsi:type="xsd:double"&gt;17.1627825135352&lt;/D&gt;&lt;D xsi:type="xsd:double"&gt;16.5853721866434&lt;/D&gt;&lt;D xsi:type="xsd:double"&gt;16.3602574345351&lt;/D&gt;&lt;D xsi:type="xsd:double"&gt;16.7904381465874&lt;/D&gt;&lt;D xsi:type="xsd:double"&gt;17.2085932255089&lt;/D&gt;&lt;D xsi:type="xsd:double"&gt;17.4746281649584&lt;/D&gt;&lt;D xsi:type="xsd:double"&gt;17.6031212225277&lt;/D&gt;&lt;D xsi:type="xsd:double"&gt;17.8443727182388&lt;/D&gt;&lt;D xsi:type="xsd:double"&gt;18.0706202636987&lt;/D&gt;&lt;D xsi:type="xsd:double"&gt;18.0144357769628&lt;/D&gt;&lt;D xsi:type="xsd:double"&gt;17.7765804036984&lt;/D&gt;&lt;D xsi:type="xsd:double"&gt;17.4953411413808&lt;/D&gt;&lt;D xsi:type="xsd:double"&gt;17.6117545568466&lt;/D&gt;&lt;D xsi:type="xsd:double"&gt;17.8056902577492&lt;/D&gt;&lt;D xsi:type="xsd:double"&gt;17.6793536520098&lt;/D&gt;&lt;D xsi:type="xsd:double"&gt;17.7045094992771&lt;/D&gt;&lt;D xsi:type="xsd:double"&gt;17.920254159191&lt;/D&gt;&lt;D xsi:type="xsd:double"&gt;16.7455528869248&lt;/D&gt;&lt;D xsi:type="xsd:double"&gt;15.920630096925&lt;/D&gt;&lt;D xsi:type="xsd:double"&gt;16.1471310380195&lt;/D&gt;&lt;D xsi:type="xsd:double"&gt;16.007548754669&lt;/D&gt;&lt;D xsi:type="xsd:double"&gt;15.41626037202&lt;/D&gt;&lt;D xsi:type="xsd:double"&gt;16.358453265246&lt;/D&gt;&lt;D xsi:type="xsd:double"&gt;16.1423948006775&lt;/D&gt;&lt;D xsi:type="xsd:double"&gt;16.10493851991&lt;/D&gt;&lt;D xsi:type="xsd:double"&gt;15.1076594589004&lt;/D&gt;&lt;D xsi:type="xsd:double"&gt;15.4671012646287&lt;/D&gt;&lt;D xsi:type="xsd:double"&gt;14.1155673779636&lt;/D&gt;&lt;D xsi:type="xsd:double"&gt;15.470504412874&lt;/D&gt;&lt;D xsi:type="xsd:double"&gt;16.2532634697254&lt;/D&gt;&lt;D xsi:type="xsd:double"&gt;16.4387424755348&lt;/D&gt;&lt;D xsi:type="xsd:double"&gt;16.9095820087618&lt;/D&gt;&lt;D xsi:type="xsd:double"&gt;16.7354551634956&lt;/D&gt;&lt;D xsi:type="xsd:double"&gt;17.0754732670169&lt;/D&gt;&lt;D xsi:type="xsd:double"&gt;17.0998394595519&lt;/D&gt;&lt;D xsi:type="xsd:double"&gt;16.8003501989111&lt;/D&gt;&lt;D xsi:type="xsd:double"&gt;17.1095214315649&lt;/D&gt;&lt;D xsi:type="xsd:double"&gt;17.2394694503154&lt;/D&gt;&lt;D xsi:type="xsd:double"&gt;17.6017802548495&lt;/D&gt;&lt;D xsi:type="xsd:double"&gt;17.9720331604033&lt;/D&gt;&lt;D xsi:type="xsd:double"&gt;17.9215248703509&lt;/D&gt;&lt;D xsi:type="xsd:double"&gt;17.0658006650109&lt;/D&gt;&lt;D xsi:type="xsd:double"&gt;15.3945458553283&lt;/D&gt;&lt;D xsi:type="xsd:double"&gt;18.3134777797503&lt;/D&gt;&lt;D xsi:type="xsd:double"&gt;18.7293055485164&lt;/D&gt;&lt;D xsi:type="xsd:double"&gt;19.2339199768474&lt;/D&gt;&lt;D xsi:type="xsd:double"&gt;19.7115733019686&lt;/D&gt;&lt;D xsi:type="xsd:double"&gt;19.5854548438928&lt;/D&gt;&lt;D xsi:type="xsd:double"&gt;18.8842584519426&lt;/D&gt;&lt;D xsi:type="xsd:double"&gt;18.1845460006281&lt;/D&gt;&lt;D xsi:type="xsd:double"&gt;18.8436571141205&lt;/D&gt;&lt;D xsi:type="xsd:double"&gt;18.4028477199364&lt;/D&gt;&lt;D xsi:type="xsd:double"&gt;18.8995814853727&lt;/D&gt;&lt;D xsi:type="xsd:double"&gt;18.2374865926649&lt;/D&gt;&lt;D xsi:type="xsd:double"&gt;18.7972947379431&lt;/D&gt;&lt;D xsi:type="xsd:double"&gt;18.4455474997093&lt;/D&gt;&lt;D xsi:type="xsd:double"&gt;19.2631460170395&lt;/D&gt;&lt;D xsi:type="xsd:double"&gt;19.9432397122847&lt;/D&gt;&lt;D xsi:type="xsd:double"&gt;19.5785285692902&lt;/D&gt;&lt;D xsi:type="xsd:double"&gt;19.9537018354844&lt;/D&gt;&lt;D xsi:type="xsd:double"&gt;18.491669552115&lt;/D&gt;&lt;D xsi:type="xsd:double"&gt;18.9094517905718&lt;/D&gt;&lt;D xsi:type="xsd:double"&gt;18.689155144724&lt;/D&gt;&lt;D xsi:type="xsd:double"&gt;19.7196169926678&lt;/D&gt;&lt;D xsi:type="xsd:double"&gt;18.1106136606809&lt;/D&gt;&lt;D xsi:type="xsd:double"&gt;18.0042634078872&lt;/D&gt;&lt;D xsi:type="xsd:double"&gt;18.2115737768216&lt;/D&gt;&lt;D xsi:type="xsd:double"&gt;17.7451036350756&lt;/D&gt;&lt;D xsi:type="xsd:double"&gt;17.1169805057366&lt;/D&gt;&lt;D xsi:type="xsd:double"&gt;15.9377613923491&lt;/D&gt;&lt;D xsi:type="xsd:double"&gt;16.5567479310567&lt;/D&gt;&lt;D xsi:type="xsd:double"&gt;16.2860181061379&lt;/D&gt;&lt;D xsi:type="xsd:double"&gt;14.7522959652628&lt;/D&gt;&lt;D xsi:type="xsd:double"&gt;15.71630055769&lt;/D&gt;&lt;D xsi:type="xsd:double"&gt;16.9603062088293&lt;/D&gt;&lt;D xsi:type="xsd:double"&gt;16.3440738337398&lt;/D&gt;&lt;D xsi:type="xsd:double"&gt;17.3376477123223&lt;/D&gt;&lt;D xsi:type="xsd:double"&gt;17.2309565612719&lt;/D&gt;&lt;D xsi:type="xsd:double"&gt;16.6777727084115&lt;/D&gt;&lt;D xsi:type="xsd:double"&gt;17.3664468442793&lt;/D&gt;&lt;D xsi:type="xsd:double"&gt;17.2005575242223&lt;/D&gt;&lt;D xsi:type="xsd:double"&gt;16.259625430841&lt;/D&gt;&lt;D xsi:type="xsd:double"&gt;17.0372058238929&lt;/D&gt;&lt;D xsi:type="xsd:double"&gt;16.3471486394983&lt;/D&gt;&lt;D xsi:type="xsd:double"&gt;16.0374051149602&lt;/D&gt;&lt;D xsi:type="xsd:double"&gt;15.2779235753588&lt;/D&gt;&lt;D xsi:type="xsd:double"&gt;16.2452108994158&lt;/D&gt;&lt;D xsi:type="xsd:double"&gt;16.7915438823824&lt;/D&gt;&lt;D xsi:type="xsd:double"&gt;17.2316319338719&lt;/D&gt;&lt;D xsi:type="xsd:double"&gt;17.5098650117229&lt;/D&gt;&lt;D xsi:type="xsd:double"&gt;17.6205848417801&lt;/D&gt;&lt;D xsi:type="xsd:double"&gt;16.820161580225&lt;/D&gt;&lt;D xsi:type="xsd:double"&gt;17.1996787265037&lt;/D&gt;&lt;D xsi:type="xsd:double"&gt;17.1253511693162&lt;/D&gt;&lt;D xsi:type="xsd:double"&gt;17.3722427097344&lt;/D&gt;&lt;D xsi:type="xsd:double"&gt;17.5664385531754&lt;/D&gt;&lt;D xsi:type="xsd:double"&gt;17.1578371748026&lt;/D&gt;&lt;/FQL&gt;&lt;FQL&gt;&lt;Q&gt;WL-FDS^FG_PRICE(0)&lt;/Q&gt;&lt;R&gt;1&lt;/R&gt;&lt;C&gt;1&lt;/C&gt;&lt;D xsi:type="xsd:double"&gt;593.9&lt;/D&gt;&lt;/FQL&gt;&lt;FQL&gt;&lt;Q&gt;EWA^FG_PRICE_MAVG(0,,,,30)&lt;/Q&gt;&lt;R&gt;1&lt;/R&gt;&lt;C&gt;1&lt;/C&gt;&lt;D xsi:type="xsd:double"&gt;25.931667&lt;/D&gt;&lt;/FQL&gt;&lt;FQL&gt;&lt;Q&gt;EWJ^PERCENT_CHANGE(FMA_EPS(+1,0,,,,"PORTAGG","MEAN"),FMA_EPS(+1,-1AM,,,,"PORTAGG","MEAN"))&lt;/Q&gt;&lt;R&gt;1&lt;/R&gt;&lt;C&gt;1&lt;/C&gt;&lt;D xsi:type="xsd:double"&gt;0.39244533269804&lt;/D&gt;&lt;/FQL&gt;&lt;FQL&gt;&lt;Q&gt;EWA^FG_TOTAL_RETURNC(0,-3AM)&lt;/Q&gt;&lt;R&gt;1&lt;/R&gt;&lt;C&gt;1&lt;/C&gt;&lt;D xsi:type="xsd:double"&gt;10.261655&lt;/D&gt;&lt;/FQL&gt;&lt;FQL&gt;&lt;Q&gt;VWO^FMA_COS_UP("EPS","1M",+1,0,,,"PORTAGG","MEANR")&lt;/Q&gt;&lt;R&gt;1&lt;/R&gt;&lt;C&gt;1&lt;/C&gt;&lt;D xsi:type="xsd:double"&gt;968&lt;/D&gt;&lt;/FQL&gt;&lt;FQL&gt;&lt;Q&gt;ENZL^FG_ROE(0)&lt;/Q&gt;&lt;R&gt;1&lt;/R&gt;&lt;C&gt;1&lt;/C&gt;&lt;D xsi:type="xsd:double"&gt;3.42797925259989&lt;/D&gt;&lt;/FQL&gt;&lt;FQL&gt;&lt;Q&gt;CC_FR^IMF_IFS_RCPI_Q(0)&lt;/Q&gt;&lt;R&gt;1&lt;/R&gt;&lt;C&gt;1&lt;/C&gt;&lt;D xsi:type="xsd:double"&gt;2.2093682&lt;/D&gt;&lt;/FQL&gt;&lt;FQL&gt;&lt;Q&gt;USDSEK^FG_PRICE_CHANGE(0,-6AM)&lt;/Q&gt;&lt;R&gt;1&lt;/R&gt;&lt;C&gt;1&lt;/C&gt;&lt;D xsi:type="xsd:double"&gt;-4.599971&lt;/D&gt;&lt;/FQL&gt;&lt;FQL&gt;&lt;Q&gt;SPY^FMA_EPS(NTMA,-20AY,0,CY,,"PORTAGG","MEANR")&lt;/Q&gt;&lt;R&gt;20&lt;/R&gt;&lt;C&gt;1&lt;/C&gt;&lt;D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</t>
        </r>
      </text>
    </comment>
    <comment ref="A11" authorId="0" shapeId="0" xr:uid="{CF55FEC8-66C2-4F42-85A5-D8AD25805407}">
      <text>
        <r>
          <rPr>
            <b/>
            <sz val="9"/>
            <color indexed="81"/>
            <rFont val="Tahoma"/>
            <charset val="1"/>
          </rPr>
          <t>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xsi:type="xsd:double"&gt;17.7294354280966&lt;/D&gt;&lt;D xsi:type="xsd:double"&gt;16.6617702931577&lt;/D&gt;&lt;D xsi:type="xsd:double"&gt;22.2767073415236&lt;/D&gt;&lt;D xsi:type="xsd:double"&gt;22.9687104404943&lt;/D&gt;&lt;D xsi:type="xsd:double"&gt;24.3449867555029&lt;/D&gt;&lt;/FQL&gt;&lt;FQL&gt;&lt;Q&gt;PASP-FDS^MAX(FG_PRICE(0,-5AY))&lt;/Q&gt;&lt;R&gt;1&lt;/R&gt;&lt;C&gt;1&lt;/C&gt;&lt;D xsi:type="xsd:double"&gt;3158.12&lt;/D&gt;&lt;/FQL&gt;&lt;FQL&gt;&lt;Q&gt;W-FDS^FG_PRICE(0)/MAX(FG_PRICE(0,-1AY))&lt;/Q&gt;&lt;R&gt;1&lt;/R&gt;&lt;C&gt;1&lt;/C&gt;&lt;D xsi:type="xsd:double"&gt;0.834344876829704&lt;/D&gt;&lt;/FQL&gt;&lt;FQL&gt;&lt;Q&gt;SPY^FG_PRICE_MAVG(0,,,,200)&lt;/Q&gt;&lt;R&gt;1&lt;/R&gt;&lt;C&gt;1&lt;/C&gt;&lt;D xsi:type="xsd:double"&gt;521.4927&lt;/D&gt;&lt;/FQL&gt;&lt;FQL&gt;&lt;Q&gt;EWA^FG_PRICE(0)&lt;/Q&gt;&lt;R&gt;1&lt;/R&gt;&lt;C&gt;1&lt;/C&gt;&lt;D xsi:type="xsd:double"&gt;26.97&lt;/D&gt;&lt;/FQL&gt;&lt;FQL&gt;&lt;Q&gt;VGK^FMA_PCT_ABOVE_MAVG(200,0,,,,"PORTAGG")&lt;/Q&gt;&lt;R&gt;1&lt;/R&gt;&lt;C&gt;1&lt;/C&gt;&lt;D xsi:type="xsd:double"&gt;63.370253164557&lt;/D&gt;&lt;/FQL&gt;&lt;FQL&gt;&lt;Q&gt;EWN^FG_TOTAL_RETURNC(0,-1AM)&lt;/Q&gt;&lt;R&gt;1&lt;/R&gt;&lt;C&gt;1&lt;/C&gt;&lt;D xsi:type="xsd:double"&gt;1.2886643&lt;/D&gt;&lt;/FQL&gt;&lt;FQL&gt;&lt;Q&gt;QQQ^PERCENT_CHANGE(FMA_EPS(+1,0,,,,"PORTAGG","MEAN"),FMA_EPS(+1,-3AM,,,,"PORTAGG","MEAN"))&lt;/Q&gt;&lt;R&gt;1&lt;/R&gt;&lt;C&gt;1&lt;/C&gt;&lt;D xsi:type="xsd:double"&gt;-2.65585680261825&lt;/D&gt;&lt;/FQL&gt;&lt;FQL&gt;&lt;Q&gt;VGK^SIZE(FG_CONSTITUENTS)&lt;/Q&gt;&lt;R&gt;1&lt;/R&gt;&lt;C&gt;1&lt;/C&gt;&lt;D xsi:type="xsd:long"&gt;1284&lt;/D&gt;&lt;/FQL&gt;&lt;FQL&gt;&lt;Q&gt;VGK^FG_PE_NTM(0,,,90,0)&lt;/Q&gt;&lt;R&gt;1&lt;/R&gt;&lt;C&gt;1&lt;/C&gt;&lt;D xsi:type="xsd:double"&gt;13.3765193620641&lt;/D&gt;&lt;/FQL&gt;&lt;FQL&gt;&lt;Q&gt;EWN^FMA_PE(NTMA,0,,,"PORTAGG","MEANR")&lt;/Q&gt;&lt;R&gt;1&lt;/R&gt;&lt;C&gt;1&lt;/C&gt;&lt;D xsi:type="xsd:double"&gt;14.8996198446453&lt;/D&gt;&lt;/FQL&gt;&lt;FQL&gt;&lt;Q&gt;EWN^PERCENT_CHANGE(FMA_EPS(+1,0,,,,"PORTAGG","MEAN"),FMA_EPS(+1,-3AM,,,,"PORTAGG","MEAN"))&lt;/Q&gt;&lt;R&gt;1&lt;/R&gt;&lt;C&gt;1&lt;/C&gt;&lt;D xsi:type="xsd:double"&gt;2.46505758300668&lt;/D&gt;&lt;/FQL&gt;&lt;FQL&gt;&lt;Q&gt;EWI^FG_PRICE_MAVG(0,,,,30)&lt;/Q&gt;&lt;R&gt;1&lt;/R&gt;&lt;C&gt;1&lt;/C&gt;&lt;D xsi:type="xsd:double"&gt;38.262665&lt;/D&gt;&lt;/FQL&gt;&lt;FQL&gt;&lt;Q&gt;W-FDS^FG_PRICE_CHANGE(0,-6AM)&lt;/Q&gt;&lt;R&gt;1&lt;/R&gt;&lt;C&gt;1&lt;/C&gt;&lt;D xsi:type="xsd:double"&gt;6.71232876712331&lt;/D&gt;&lt;/FQL&gt;&lt;FQL&gt;&lt;Q&gt;QQQ^PERCENT_CHANGE(FMA_EPS(+1,0,,,,"PORTAGG","MEAN"),FMA_EPS(+1,-1AM,,,,"PORTAGG","MEAN"))&lt;/Q&gt;&lt;R&gt;1&lt;/R&gt;&lt;C&gt;1&lt;/C&gt;&lt;D xsi:type="xsd:double"&gt;0.105578451845066&lt;/D&gt;&lt;/FQL&gt;&lt;FQL&gt;&lt;Q&gt;EWJ^FMA_PCT_ABOVE_MAVG(200,0,,,,"PORTAGG")&lt;/Q&gt;&lt;R&gt;1&lt;/R&gt;&lt;C&gt;1&lt;/C&gt;&lt;D xsi:type="xsd:double"&gt;49.2462311557789&lt;/D&gt;&lt;/FQL&gt;&lt;FQL&gt;&lt;Q&gt;EWA^FG_TOTAL_RETURNC(0,-1AM)&lt;/Q&gt;&lt;R&gt;1&lt;/R&gt;&lt;C&gt;1&lt;/C&gt;&lt;D xsi:type="xsd:double"&gt;4.4539094&lt;/D&gt;&lt;/FQL&gt;&lt;FQL&gt;&lt;Q&gt;REFJPTON-FDS^FG_YIELD(NOW,,,0)&lt;/Q&gt;&lt;R&gt;1&lt;/R&gt;&lt;C&gt;1&lt;/C&gt;&lt;D xsi:type="xsd:double"&gt;0.25&lt;/D&gt;&lt;/FQL&gt;&lt;FQL&gt;&lt;Q&gt;TRYNL10Y-FDS^FG_YIELD_NAME&lt;/Q&gt;&lt;R&gt;1&lt;/R&gt;&lt;C&gt;1&lt;/C&gt;&lt;D xsi:type="xsd:string"&gt;Netherlands Benchmark Bond - 10 Year&lt;/D&gt;&lt;/FQL&gt;&lt;FQL&gt;&lt;Q&gt;CC_US^IMF_IFS_RCPI_Q(0)&lt;/Q&gt;&lt;R&gt;1&lt;/R&gt;&lt;C&gt;1&lt;/C&gt;&lt;D xsi:type="xsd:double"&gt;3.19889&lt;/D&gt;&lt;/FQL&gt;&lt;FQL&gt;&lt;Q&gt;EWU^FMA_EVAL_EBITDA(NTMA,0,,,"PORTAGG","MEANR")&lt;/Q&gt;&lt;R&gt;1&lt;/R&gt;&lt;C&gt;1&lt;/C&gt;&lt;D xsi:type="xsd:double"&gt;7.67526080291296&lt;/D&gt;&lt;/FQL&gt;&lt;FQL&gt;&lt;Q&gt;EWG^FMA_EVAL_EBITDA(NTMA,0,,,"PORTAGG","MEANR")&lt;/Q&gt;&lt;R&gt;1&lt;/R&gt;&lt;C&gt;1&lt;/C&gt;&lt;D xsi:type="xsd:double"&gt;8.65663249182069&lt;/D&gt;&lt;/FQL&gt;&lt;FQL&gt;&lt;Q&gt;TLT^FG_TOTAL_RETURNC(0,-3AM)&lt;/Q&gt;&lt;R&gt;1&lt;/R&gt;&lt;C&gt;1&lt;/C&gt;&lt;D xsi:type="xsd:double"&gt;5.879283&lt;/D&gt;&lt;/FQL&gt;&lt;FQL&gt;&lt;Q&gt;GLD^FG_TOTAL_RETURNC(0,-3AM)&lt;/Q&gt;&lt;R&gt;1&lt;/R&gt;&lt;C&gt;1&lt;/C&gt;&lt;D xsi:type="xsd:double"&gt;14.879751&lt;/D&gt;&lt;/FQL&gt;&lt;FQL&gt;&lt;Q&gt;USO^FG_TOTAL_RETURNC(0,-6AM)&lt;/Q&gt;&lt;R&gt;1&lt;/R&gt;&lt;C&gt;1&lt;/C&gt;&lt;D xsi:type="xsd:double"&gt;-10.966325&lt;/D&gt;&lt;/FQL&gt;&lt;FQL&gt;&lt;Q&gt;USDANG^STD(FG_PRICE_CHANGE(0,-3AY,M))&lt;/Q&gt;&lt;R&gt;1&lt;/R&gt;&lt;C&gt;1&lt;/C&gt;&lt;D xsi:type="xsd:double"&gt;0.0594600681310969&lt;/D&gt;&lt;/FQL&gt;&lt;FQL&gt;&lt;Q&gt;EWJ^FMA_EPS(NTMA,-20AY,0,CY,,"PORTAGG","MEANR")&lt;/Q&gt;&lt;R&gt;20&lt;/R&gt;&lt;C&gt;1&lt;/C&gt;&lt;D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xsi:type="xsd:double"&gt;3.67789544317284&lt;/D&gt;&lt;D xsi:type="xsd:double"&gt;4.61613854439477&lt;/D&gt;&lt;D xsi:type="xsd:double"&gt;4.46089540048153&lt;/D&gt;&lt;D xsi:type="xsd:double"&gt;4.56673185665912&lt;/D&gt;&lt;/FQL&gt;&lt;FQL&gt;&lt;Q&gt;EWG^FMA_PE(NTMA,-10AY,0,AM,"PORTAGG","MEANR")&lt;/Q&gt;&lt;R&gt;121&lt;/R&gt;&lt;C&gt;1&lt;/C&gt;&lt;D xsi:type="xsd:double"&gt;12.509559707222&lt;/D&gt;&lt;D xsi:type="xsd:double"&gt;11.7582587615947&lt;/D&gt;&lt;D xsi:type="xsd:double"&gt;12.9911323075462&lt;/D&gt;&lt;D xsi:type="xsd:double"&gt;13.0047754445657&lt;/D&gt;&lt;D xsi:type="xsd:double"&gt;13.9164594422618&lt;/D&gt;&lt;D xsi:type="xsd:double"&gt;14.8213749994138&lt;/D&gt;&lt;D xsi:type="xsd:double"&gt;15.3290308983866&lt;/D&gt;&lt;D xsi:type="xsd:double"&gt;15.3891314285235&lt;/D&gt;&lt;D xsi:type="xsd:double"&gt;14.5727405736802&lt;/D&gt;&lt;D xsi:type="xsd:double"&gt;14.0313547471496&lt;/D&gt;&lt;D xsi:type="xsd:double"&gt;13.3853204229705&lt;/D&gt;&lt;D xsi:type="xsd:double"&gt;12.5204394382317&lt;/D&gt;&lt;D xsi:type="xsd:double"&gt;11.7849711983136&lt;/D&gt;&lt;D xsi:type="xsd:double"&gt;13.090258151858&lt;/D&gt;&lt;D xsi:type="xsd:double"&gt;14.0572703507699&lt;/D&gt;&lt;D xsi:type="xsd:double"&gt;13.3334512186569&lt;/D&gt;&lt;D xsi:type="xsd:double"&gt;12.4061913308085&lt;/D&gt;&lt;D xsi:type="xsd:double"&gt;12.1494381448621&lt;/D&gt;&lt;D xsi:type="xsd:double"&gt;12.5563692724635&lt;/D&gt;&lt;D xsi:type="xsd:double"&gt;13.0816966113751&lt;/D&gt;&lt;D xsi:type="xsd:double"&gt;12.7593261998522&lt;/D&gt;&lt;D xsi:type="xsd:double"&gt;11.4532883656352&lt;/D&gt;&lt;D xsi:type="xsd:double"&gt;12.7450302935418&lt;/D&gt;&lt;D xsi:type="xsd:double"&gt;12.9449339496852&lt;/D&gt;&lt;D xsi:type="xsd:double"&gt;12.6996435266399&lt;/D&gt;&lt;D xsi:type="xsd:double"&gt;12.9937936312694&lt;/D&gt;&lt;D xsi:type="xsd:double"&gt;12.863521034403&lt;/D&gt;&lt;D xsi:type="xsd:double"&gt;13.6422760690754&lt;/D&gt;&lt;D xsi:type="xsd:double"&gt;13.950952794594&lt;/D&gt;&lt;D xsi:type="xsd:double"&gt;13.6740424265999&lt;/D&gt;&lt;D xsi:type="xsd:double"&gt;13.7739526050404&lt;/D&gt;&lt;D xsi:type="xsd:double"&gt;13.9901571889823&lt;/D&gt;&lt;D xsi:type="xsd:double"&gt;13.7520887255524&lt;/D&gt;&lt;D xsi:type="xsd:double"&gt;13.6433809984953&lt;/D&gt;&lt;D xsi:type="xsd:double"&gt;13.1336973103925&lt;/D&gt;&lt;D xsi:type="xsd:double"&gt;13.0306237102773&lt;/D&gt;&lt;D xsi:type="xsd:double"&gt;13.4968466979558&lt;/D&gt;&lt;D xsi:type="xsd:double"&gt;14.0481847610663&lt;/D&gt;&lt;D xsi:type="xsd:double"&gt;13.7809001464367&lt;/D&gt;&lt;D xsi:type="xsd:double"&gt;13.9073955714943&lt;/D&gt;&lt;D xsi:type="xsd:double"&gt;14.0254595617577&lt;/D&gt;&lt;D xsi:type="xsd:double"&gt;13.1397657473331&lt;/D&gt;&lt;D xsi:type="xsd:double"&gt;12.6168341279337&lt;/D&gt;&lt;D xsi:type="xsd:double"&gt;13.1752751880771&lt;/D&gt;&lt;D xsi:type="xsd:double"&gt;13.2782878689112&lt;/D&gt;&lt;D xsi:type="xsd:double"&gt;12.7911282579786&lt;/D&gt;&lt;D xsi:type="xsd:double"&gt;13.2768399613465&lt;/D&gt;&lt;D xsi:type="xsd:double"&gt;13.0093281883098&lt;/D&gt;&lt;D xsi:type="xsd:double"&gt;12.8313579737342&lt;/D&gt;&lt;D xsi:type="xsd:double"&gt;11.670187331542&lt;/D&gt;&lt;D xsi:type="xsd:double"&gt;11.591912966799&lt;/D&gt;&lt;D xsi:type="xsd:double"&gt;10.7620841032786&lt;/D&gt;&lt;D xsi:type="xsd:double"&gt;11.883778961671&lt;/D&gt;&lt;D xsi:type="xsd:double"&gt;12.0727364765775&lt;/D&gt;&lt;D xsi:type="xsd:double"&gt;12.0995415394088&lt;/D&gt;&lt;D xsi:type="xsd:double"&gt;12.996511226303&lt;/D&gt;&lt;D xsi:type="xsd:double"&gt;12.3018855893723&lt;/D&gt;&lt;D xsi:type="xsd:double"&gt;12.6097873095109&lt;/D&gt;&lt;D xsi:type="xsd:double"&gt;13.0103525290126&lt;/D&gt;&lt;D xsi:type="xsd:double"&gt;12.416315070677&lt;/D&gt;&lt;D xsi:type="xsd:double"&gt;13.015560921491&lt;/D&gt;&lt;D xsi:type="xsd:double"&gt;13.5369346580929&lt;/D&gt;&lt;D xsi:type="xsd:double"&gt;14.1510919036298&lt;/D&gt;&lt;D xsi:type="xsd:double"&gt;14.1887287403125&lt;/D&gt;&lt;D xsi:type="xsd:double"&gt;14.0337479527938&lt;/D&gt;&lt;D xsi:type="xsd:double"&gt;13.132431694889&lt;/D&gt;&lt;D xsi:type="xsd:double"&gt;11.5721298812413&lt;/D&gt;&lt;D xsi:type="xsd:double"&gt;14.4749763569442&lt;/D&gt;&lt;D xsi:type="xsd:double"&gt;16.6918716678053&lt;/D&gt;&lt;D xsi:type="xsd:double"&gt;17.3644500058966&lt;/D&gt;&lt;D xsi:type="xsd:double"&gt;18.182508683782&lt;/D&gt;&lt;D xsi:type="xsd:double"&gt;18.0178519929626&lt;/D&gt;&lt;D xsi:type="xsd:double"&gt;16.5187691366732&lt;/D&gt;&lt;D xsi:type="xsd:double"&gt;15.286789860672&lt;/D&gt;&lt;D xsi:type="xsd:double"&gt;16.1996170361077&lt;/D&gt;&lt;D xsi:type="xsd:double"&gt;16.0013570519306&lt;/D&gt;&lt;D xsi:type="xsd:double"&gt;15.6016144760826&lt;/D&gt;&lt;D xsi:type="xsd:double"&gt;15.3083667940233&lt;/D&gt;&lt;D xsi:type="xsd:double"&gt;15.9046684397728&lt;/D&gt;&lt;D xsi:type="xsd:double"&gt;15.482602561094&lt;/D&gt;&lt;D xsi:type="xsd:double"&gt;14.7348846499868&lt;/D&gt;&lt;D xsi:type="xsd:double"&gt;14.8550789378823&lt;/D&gt;&lt;D xsi:type="xsd:double"&gt;14.3689335216793&lt;/D&gt;&lt;D xsi:type="xsd:double"&gt;14.2402664861022&lt;/D&gt;&lt;D xsi:type="xsd:double"&gt;13.8267623483991&lt;/D&gt;&lt;D xsi:type="xsd:double"&gt;13.7960666973417&lt;/D&gt;&lt;D xsi:type="xsd:double"&gt;12.9842836133738&lt;/D&gt;&lt;D xsi:type="xsd:double"&gt;13.3687337952045&lt;/D&gt;&lt;D xsi:type="xsd:double"&gt;12.9423122091279&lt;/D&gt;&lt;D xsi:type="xsd:double"&gt;11.9246212459917&lt;/D&gt;&lt;D xsi:type="xsd:double"&gt;11.540451202558&lt;/D&gt;&lt;D xsi:type="xsd:double"&gt;10.9911092145766&lt;/D&gt;&lt;D xsi:type="xsd:double"&gt;10.9876829322855&lt;/D&gt;&lt;D xsi:type="xsd:double"&gt;10.0334789960755&lt;/D&gt;&lt;D xsi:type="xsd:double"&gt;10.0568020565242&lt;/D&gt;&lt;D xsi:type="xsd:double"&gt;9.64247887614002&lt;/D&gt;&lt;D xsi:type="xsd:double"&gt;9.02054822102379&lt;/D&gt;&lt;D xsi:type="xsd:double"&gt;9.84908847903074&lt;/D&gt;&lt;D xsi:type="xsd:double"&gt;10.8239952070708&lt;/D&gt;&lt;D xsi:type="xsd:double"&gt;10.4938153887908&lt;/D&gt;&lt;D xsi:type="xsd:double"&gt;11.5453013536818&lt;/D&gt;&lt;D xsi:type="xsd:double"&gt;11.5363843536064&lt;/D&gt;&lt;D xsi:type="xsd:double"&gt;11.0888315671303&lt;/D&gt;&lt;D xsi:type="xsd:double"&gt;11.3605784303582&lt;/D&gt;&lt;D xsi:type="xsd:double"&gt;10.9150254299427&lt;/D&gt;&lt;D xsi:type="xsd:double"&gt;10.6617804430451&lt;/D&gt;&lt;D xsi:type="xsd:double"&gt;11.0117762719649&lt;/D&gt;&lt;D xsi:type="xsd:double"&gt;10.4781078203806&lt;/D&gt;&lt;D xsi:type="xsd:double"&gt;10.227252164667&lt;/D&gt;&lt;D xsi:type="xsd:double"&gt;9.79618831409456&lt;/D&gt;&lt;D xsi:type="xsd:double"&gt;10.7897968887657&lt;/D&gt;&lt;D xsi:type="xsd:double"&gt;11.175954211865&lt;/D&gt;&lt;D xsi:type="xsd:double"&gt;11.5174449838852&lt;/D&gt;&lt;D xsi:type="xsd:double"&gt;11.9525406122281&lt;/D&gt;&lt;D xsi:type="xsd:double"&gt;12.3821969120599&lt;/D&gt;&lt;D xsi:type="xsd:double"&gt;12.0376776303342&lt;/D&gt;&lt;D xsi:type="xsd:double"&gt;12.0237313969261&lt;/D&gt;&lt;D xsi:type="xsd:double"&gt;11.7235384137803&lt;/D&gt;&lt;D xsi:type="xsd:double"&gt;11.8374522539594&lt;/D&gt;&lt;D xsi:type="xsd:double"&gt;11.9542415275622&lt;/D&gt;&lt;D xsi:type="xsd:double"&gt;12.4655541418536&lt;/D&gt;&lt;/FQL&gt;&lt;FQL&gt;&lt;Q&gt;PASP-FDS^FG_PRICE(0)/MAX(FG_PRICE(0,-1AY))&lt;/Q&gt;&lt;R&gt;1&lt;/R&gt;&lt;C&gt;1&lt;/C&gt;&lt;D xsi:type="xsd:double"&gt;0.817344589409056&lt;/D&gt;&lt;/FQL&gt;&lt;FQL&gt;&lt;Q&gt;SPY^FG_PRICE_MAVG(0,,,,60)&lt;/Q&gt;&lt;R&gt;1&lt;/R&gt;&lt;C&gt;1&lt;/C&gt;&lt;D xsi:type="xsd:double"&gt;552.81&lt;/D&gt;&lt;/FQL&gt;&lt;FQL&gt;&lt;Q&gt;ENZL^FG_PRICE_MAVG(0,,,,200)&lt;/Q&gt;&lt;R&gt;1&lt;/R&gt;&lt;C&gt;1&lt;/C&gt;&lt;D xsi:type="xsd:double"&gt;46.425564&lt;/D&gt;&lt;/FQL&gt;&lt;FQL&gt;&lt;Q&gt;EWL^FG_FCF_YIELD_NTM(0)&lt;/Q&gt;&lt;R&gt;1&lt;/R&gt;&lt;C&gt;1&lt;/C&gt;&lt;D xsi:type="xsd:double"&gt;4.71854595302581&lt;/D&gt;&lt;/FQL&gt;&lt;FQL&gt;&lt;Q&gt;REFNZOCR-FDS^PROPER_NAME(0,,,"SECURITY","NAME")&lt;/Q&gt;&lt;R&gt;1&lt;/R&gt;&lt;C&gt;1&lt;/C&gt;&lt;D xsi:type="xsd:string"&gt;New Zealand Official Cash Rate&lt;/D&gt;&lt;/FQL&gt;&lt;FQL&gt;&lt;Q&gt;EWG^FMA_EPS(NTMA,-20AY,0,CY,,"PORTAGG","MEANR")&lt;/Q&gt;&lt;R&gt;20&lt;/R&gt;&lt;C&gt;1&lt;/C&gt;&lt;D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xsi:type="xsd:double"&gt;2.65638349123077&lt;/D&gt;&lt;/FQL&gt;&lt;FQL&gt;&lt;Q&gt;EWC^FMA_PE(NTMA,-10AY,0,AM,"PORTAGG","MEANR")&lt;/Q&gt;&lt;R&gt;121&lt;/R&gt;&lt;C&gt;1&lt;/C&gt;&lt;D xsi:type="xsd:double"&gt;14.5606650456939&lt;/D&gt;&lt;D xsi:type="xsd:double"&gt;14.1127374606288&lt;/D&gt;&lt;D xsi:type="xsd:double"&gt;14.8652368524019&lt;/D&gt;&lt;D xsi:type="xsd:double"&gt;15.4116897729477&lt;/D&gt;&lt;D xsi:type="xsd:double"&gt;16.4244268052953&lt;/D&gt;&lt;D xsi:type="xsd:double"&gt;17.5003578800495&lt;/D&gt;&lt;D xsi:type="xsd:double"&gt;16.9096580819672&lt;/D&gt;&lt;D xsi:type="xsd:double"&gt;17.4105230323077&lt;/D&gt;&lt;D xsi:type="xsd:double"&gt;16.6758148588652&lt;/D&gt;&lt;D xsi:type="xsd:double"&gt;16.1806781809928&lt;/D&gt;&lt;D xsi:type="xsd:double"&gt;15.0845179577679&lt;/D&gt;&lt;D xsi:type="xsd:double"&gt;14.8122830298435&lt;/D&gt;&lt;D xsi:type="xsd:double"&gt;14.5021462210472&lt;/D&gt;&lt;D xsi:type="xsd:double"&gt;14.8963445317242&lt;/D&gt;&lt;D xsi:type="xsd:double"&gt;14.5163637920177&lt;/D&gt;&lt;D xsi:type="xsd:double"&gt;14.6176224630052&lt;/D&gt;&lt;D xsi:type="xsd:double"&gt;13.7715343718427&lt;/D&gt;&lt;D xsi:type="xsd:double"&gt;14.839457177931&lt;/D&gt;&lt;D xsi:type="xsd:double"&gt;15.9227504424342&lt;/D&gt;&lt;D xsi:type="xsd:double"&gt;16.5581501303618&lt;/D&gt;&lt;D xsi:type="xsd:double"&gt;16.6590359121926&lt;/D&gt;&lt;D xsi:type="xsd:double"&gt;15.8938860838818&lt;/D&gt;&lt;D xsi:type="xsd:double"&gt;16.4182651820509&lt;/D&gt;&lt;D xsi:type="xsd:double"&gt;16.3162743176698&lt;/D&gt;&lt;D xsi:type="xsd:double"&gt;15.9284260784714&lt;/D&gt;&lt;D xsi:type="xsd:double"&gt;15.940080600714&lt;/D&gt;&lt;D xsi:type="xsd:double"&gt;16.0255070001572&lt;/D&gt;&lt;D xsi:type="xsd:double"&gt;15.8669615814805&lt;/D&gt;&lt;D xsi:type="xsd:double"&gt;16.167178844355&lt;/D&gt;&lt;D xsi:type="xsd:double"&gt;15.9021530127775&lt;/D&gt;&lt;D xsi:type="xsd:double"&gt;15.8371499898643&lt;/D&gt;&lt;D xsi:type="xsd:double"&gt;15.6046828476111&lt;/D&gt;&lt;D xsi:type="xsd:double"&gt;15.7326574806776&lt;/D&gt;&lt;D xsi:type="xsd:double"&gt;15.2873340968111&lt;/D&gt;&lt;D xsi:type="xsd:double"&gt;15.6458626006305&lt;/D&gt;&lt;D xsi:type="xsd:double"&gt;15.4477280413113&lt;/D&gt;&lt;D xsi:type="xsd:double"&gt;15.7680585732818&lt;/D&gt;&lt;D xsi:type="xsd:double"&gt;15.8883441224396&lt;/D&gt;&lt;D xsi:type="xsd:double"&gt;15.8364362883819&lt;/D&gt;&lt;D xsi:type="xsd:double"&gt;15.9214450674394&lt;/D&gt;&lt;D xsi:type="xsd:double"&gt;15.4945469758738&lt;/D&gt;&lt;D xsi:type="xsd:double"&gt;14.6429066440567&lt;/D&gt;&lt;D xsi:type="xsd:double"&gt;14.0366583778577&lt;/D&gt;&lt;D xsi:type="xsd:double"&gt;14.2224557326043&lt;/D&gt;&lt;D xsi:type="xsd:double"&gt;14.1538899581057&lt;/D&gt;&lt;D xsi:type="xsd:double"&gt;14.258013947317&lt;/D&gt;&lt;D xsi:type="xsd:double"&gt;14.1865297614449&lt;/D&gt;&lt;D xsi:type="xsd:double"&gt;13.9992275475893&lt;/D&gt;&lt;D xsi:type="xsd:double"&gt;13.6928999249827&lt;/D&gt;&lt;D xsi:type="xsd:double"&gt;12.428995998694&lt;/D&gt;&lt;D xsi:type="xsd:double"&gt;12.4739003179637&lt;/D&gt;&lt;D xsi:type="xsd:double"&gt;11.9969910892318&lt;/D&gt;&lt;D xsi:type="xsd:double"&gt;13.5128194772534&lt;/D&gt;&lt;D xsi:type="xsd:double"&gt;14.1681415444552&lt;/D&gt;&lt;D xsi:type="xsd:double"&gt;14.1303077292164&lt;/D&gt;&lt;D xsi:type="xsd:double"&gt;13.9518569273026&lt;/D&gt;&lt;D xsi:type="xsd:double"&gt;13.4828062029352&lt;/D&gt;&lt;D xsi:type="xsd:double"&gt;13.6104043145885&lt;/D&gt;&lt;D xsi:type="xsd:double"&gt;13.741239514338&lt;/D&gt;&lt;D xsi:type="xsd:double"&gt;13.4570786401537&lt;/D&gt;&lt;D xsi:type="xsd:double"&gt;13.9521813679657&lt;/D&gt;&lt;D xsi:type="xsd:double"&gt;13.865887683561&lt;/D&gt;&lt;D xsi:type="xsd:double"&gt;14.4573253792407&lt;/D&gt;&lt;D xsi:type="xsd:double"&gt;14.5184964660452&lt;/D&gt;&lt;D xsi:type="xsd:double"&gt;14.5847540153017&lt;/D&gt;&lt;D xsi:type="xsd:double"&gt;14.0728972285703&lt;/D&gt;&lt;D xsi:type="xsd:double"&gt;12.3404217780512&lt;/D&gt;&lt;D xsi:type="xsd:double"&gt;15.9651771879571&lt;/D&gt;&lt;D xsi:type="xsd:double"&gt;18.72388624977&lt;/D&gt;&lt;D xsi:type="xsd:double"&gt;17.3640115573926&lt;/D&gt;&lt;D xsi:type="xsd:double"&gt;17.4635157432789&lt;/D&gt;&lt;D xsi:type="xsd:double"&gt;17.4514030677715&lt;/D&gt;&lt;D xsi:type="xsd:double"&gt;16.236707615585&lt;/D&gt;&lt;D xsi:type="xsd:double"&gt;15.6385448415393&lt;/D&gt;&lt;D xsi:type="xsd:double"&gt;16.3081555104496&lt;/D&gt;&lt;D xsi:type="xsd:double"&gt;16.0225614829409&lt;/D&gt;&lt;D xsi:type="xsd:double"&gt;15.5191512861834&lt;/D&gt;&lt;D xsi:type="xsd:double"&gt;15.1177284599745&lt;/D&gt;&lt;D xsi:type="xsd:double"&gt;15.3703180252238&lt;/D&gt;&lt;D xsi:type="xsd:double"&gt;15.5301762265322&lt;/D&gt;&lt;D xsi:type="xsd:double"&gt;15.2598765510898&lt;/D&gt;&lt;D xsi:type="xsd:double"&gt;15.6918917921394&lt;/D&gt;&lt;D xsi:type="xsd:double"&gt;15.1635719508373&lt;/D&gt;&lt;D xsi:type="xsd:double"&gt;14.9317314841787&lt;/D&gt;&lt;D xsi:type="xsd:double"&gt;14.6377182914961&lt;/D&gt;&lt;D xsi:type="xsd:double"&gt;14.8797882284568&lt;/D&gt;&lt;D xsi:type="xsd:double"&gt;14.5341285799261&lt;/D&gt;&lt;D xsi:type="xsd:double"&gt;14.4494908669228&lt;/D&gt;&lt;D xsi:type="xsd:double"&gt;13.7378583986601&lt;/D&gt;&lt;D xsi:type="xsd:double"&gt;13.9203451815443&lt;/D&gt;&lt;D xsi:type="xsd:double"&gt;13.7049784168976&lt;/D&gt;&lt;D xsi:type="xsd:double"&gt;12.6101865700062&lt;/D&gt;&lt;D xsi:type="xsd:double"&gt;12.4983161589908&lt;/D&gt;&lt;D xsi:type="xsd:double"&gt;11.4174888783755&lt;/D&gt;&lt;D xsi:type="xsd:double"&gt;11.3518231970426&lt;/D&gt;&lt;D xsi:type="xsd:double"&gt;11.6703099684881&lt;/D&gt;&lt;D xsi:type="xsd:double"&gt;10.680734373476&lt;/D&gt;&lt;D xsi:type="xsd:double"&gt;11.4604106701497&lt;/D&gt;&lt;D xsi:type="xsd:double"&gt;12.1693714035588&lt;/D&gt;&lt;D xsi:type="xsd:double"&gt;11.96965036764&lt;/D&gt;&lt;D xsi:type="xsd:double"&gt;13.0053447453915&lt;/D&gt;&lt;D xsi:type="xsd:double"&gt;12.6775499588287&lt;/D&gt;&lt;D xsi:type="xsd:double"&gt;12.4369341969769&lt;/D&gt;&lt;D xsi:type="xsd:double"&gt;13.0099300800297&lt;/D&gt;&lt;D xsi:type="xsd:double"&gt;12.843166475262&lt;/D&gt;&lt;D xsi:type="xsd:double"&gt;12.7583198308965&lt;/D&gt;&lt;D xsi:type="xsd:double"&gt;13.4133611567096&lt;/D&gt;&lt;D xsi:type="xsd:double"&gt;12.8303911703836&lt;/D&gt;&lt;D xsi:type="xsd:double"&gt;12.5014695147999&lt;/D&gt;&lt;D xsi:type="xsd:double"&gt;12.0004294186304&lt;/D&gt;&lt;D xsi:type="xsd:double"&gt;12.7389448120956&lt;/D&gt;&lt;D xsi:type="xsd:double"&gt;13.7080744594597&lt;/D&gt;&lt;D xsi:type="xsd:double"&gt;13.879807729278&lt;/D&gt;&lt;D xsi:type="xsd:double"&gt;14.1547041334415&lt;/D&gt;&lt;D xsi:type="xsd:double"&gt;14.6068351036267&lt;/D&gt;&lt;D xsi:type="xsd:double"&gt;14.2897129849808&lt;/D&gt;&lt;D xsi:type="xsd:double"&gt;14.3921265571365&lt;/D&gt;&lt;D xsi:type="xsd:double"&gt;13.9828241599112&lt;/D&gt;&lt;D xsi:type="xsd:double"&gt;14.3746965406199&lt;/D&gt;&lt;D xsi:type="xsd:double"&gt;14.5621490675737&lt;/D&gt;&lt;D xsi:type="xsd:double"&gt;15.0475020481594&lt;/D&gt;&lt;/FQL&gt;&lt;FQL&gt;&lt;Q&gt;PASP-FDS^FG_PRICE_CHANGE(0,-6AM)&lt;/Q&gt;&lt;R&gt;1&lt;/R&gt;&lt;C&gt;1&lt;/C&gt;&lt;D xsi:type="xsd:double"&gt;8.67346938775511&lt;/D&gt;&lt;/FQL&gt;&lt;FQL&gt;&lt;Q&gt;W-FDS^FG_PRICE_CHANGE(0,-3AM)&lt;/Q&gt;&lt;R&gt;1&lt;/R&gt;&lt;C&gt;1&lt;/C&gt;&lt;D xsi:type="xsd:double"&gt;4.37695399732023&lt;/D&gt;&lt;/FQL&gt;&lt;FQL&gt;&lt;Q&gt;SPY^FG_PRICE_MAVG(0,,,,30)&lt;/Q&gt;&lt;R&gt;1&lt;/R&gt;&lt;C&gt;1&lt;/C&gt;&lt;D xsi:type="xsd:double"&gt;560.00464&lt;/D&gt;&lt;/FQL&gt;&lt;FQL&gt;&lt;Q&gt;QQQ^FMA_PCT_ABOVE_MAVG(200,0,,,,"PORTAGG")&lt;/Q&gt;&lt;R&gt;1&lt;/R&gt;&lt;C&gt;1&lt;/C&gt;&lt;D xsi:type="xsd:double"&gt;60.7843137254902&lt;/D&gt;&lt;/FQL&gt;&lt;FQL&gt;&lt;Q&gt;EWG^FG_TOTAL_RETURNC(0,-12AM)&lt;/Q&gt;&lt;R&gt;1&lt;/R&gt;&lt;C&gt;1&lt;/C&gt;&lt;D xsi:type="xsd:double"&gt;33.53847&lt;/D&gt;&lt;/FQL&gt;&lt;FQL&gt;&lt;Q&gt;EWA^PERCENT_CHANGE(FMA_EPS(+1,0,,,,"PORTAGG","MEAN"),FMA_EPS(+1,-3AM,,,,"PORTAGG","MEAN"))&lt;/Q&gt;&lt;R&gt;1&lt;/R&gt;&lt;C&gt;1&lt;/C&gt;&lt;D xsi:type="xsd:double"&gt;0.180615731026348&lt;/D&gt;&lt;/FQL&gt;&lt;FQL&gt;&lt;Q&gt;VGK^FMA_COS_UP("EPS","1M",+1,0,,,"PORTAGG","MEANR")&lt;/Q&gt;&lt;R&gt;1&lt;/R&gt;&lt;C&gt;1&lt;/C&gt;&lt;D xsi:type="xsd:double"&gt;427&lt;/D&gt;&lt;/FQL&gt;&lt;FQL&gt;&lt;Q&gt;REFSEREPO-FDS^(SUBARRAY(NOT_NA(NO_REPEAT_F(FG_YIELD(NOW,-10AY,D))),0,1)-SUBARRAY(NOT_NA(NO_REPEAT_F(FG_YIELD(NOW,-10AY,D))),1,1))*100&lt;/Q&gt;&lt;R&gt;1&lt;/R&gt;&lt;C&gt;1&lt;/C&gt;&lt;D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xsi:type="xsd:double"&gt;-25&lt;/D&gt;&lt;/FQL&gt;&lt;FQL&gt;&lt;Q&gt;REFJPTON-FDS^PROPER_NAME(0,,,"SECURITY","NAME")&lt;/Q&gt;&lt;R&gt;1&lt;/R&gt;&lt;C&gt;1&lt;/C&gt;&lt;D xsi:type="xsd:string"&gt;Japan Policy Rate&lt;/D&gt;&lt;/FQL&gt;&lt;FQL&gt;&lt;Q&gt;TRYFR10Y-FDS^FG_YIELD(0,,,,"YTM")&lt;/Q&gt;&lt;R&gt;0&lt;/R&gt;&lt;C&gt;0&lt;/C&gt;&lt;/FQL&gt;&lt;FQL&gt;&lt;Q&gt;VGK^JULIAN(FMA_DIV_YLD(NTMA,NOW,NOW,M,"PORTAGG","MEANR").DATES)&lt;/Q&gt;&lt;R&gt;1&lt;/R&gt;&lt;C&gt;1&lt;/C&gt;&lt;D xsi:type="xsd:long"&gt;45504&lt;/D&gt;&lt;/FQL&gt;&lt;FQL&gt;&lt;Q&gt;EWG^FMA_PE(NTMA,0,,,"PORTAGG","MEANR")&lt;/Q&gt;&lt;R&gt;1&lt;/R&gt;&lt;C&gt;1&lt;/C&gt;&lt;D xsi:type="xsd:double"&gt;12.4655541418536&lt;/D&gt;&lt;/FQL&gt;&lt;FQL&gt;&lt;Q&gt;CC_NZ^IMF_IFS_RCPI_Q(0)&lt;/Q&gt;&lt;R&gt;1&lt;/R&gt;&lt;C&gt;1&lt;/C&gt;&lt;D xsi:type="xsd:double"&gt;3.330626&lt;/D&gt;&lt;/FQL&gt;&lt;FQL&gt;&lt;Q&gt;EWJ^FMA_EVAL_EBIT(LTMA,NOW,NOW,M,"PORTAGG","MEANR")&lt;/Q&gt;&lt;R&gt;1&lt;/R&gt;&lt;C&gt;1&lt;/C&gt;&lt;D xsi:type="xsd:double"&gt;17.0940352465206&lt;/D&gt;&lt;/FQL&gt;&lt;FQL&gt;&lt;Q&gt;USDCHF^FG_PRICE_CHANGE(0,-6AM)&lt;/Q&gt;&lt;R&gt;1&lt;/R&gt;&lt;C&gt;1&lt;/C&gt;&lt;D xsi:type="xsd:double"&gt;-6.8362894&lt;/D&gt;&lt;/FQL&gt;&lt;FQL&gt;&lt;Q&gt;EWA^FMA_PE(NTMA,-10AY,0,AM,"PORTAGG","MEANR")&lt;/Q&gt;&lt;R&gt;121&lt;/R&gt;&lt;C&gt;1&lt;/C&gt;&lt;D xsi:type="xsd:double"&gt;13.9043161430432&lt;/D&gt;&lt;D xsi:type="xsd:double"&gt;14.4566699338967&lt;/D&gt;&lt;D xsi:type="xsd:double"&gt;14.1513824576626&lt;/D&gt;&lt;D xsi:type="xsd:double"&gt;14.3533535242629&lt;/D&gt;&lt;D xsi:type="xsd:double"&gt;15.198022844884&lt;/D&gt;&lt;D xsi:type="xsd:double"&gt;16.3202924327073&lt;/D&gt;&lt;D xsi:type="xsd:double"&gt;16.3355477603444&lt;/D&gt;&lt;D xsi:type="xsd:double"&gt;16.7465339807117&lt;/D&gt;&lt;D xsi:type="xsd:double"&gt;15.8798232798569&lt;/D&gt;&lt;D xsi:type="xsd:double"&gt;15.3132454893494&lt;/D&gt;&lt;D xsi:type="xsd:double"&gt;15.3577341010548&lt;/D&gt;&lt;D xsi:type="xsd:double"&gt;14.6121692640181&lt;/D&gt;&lt;D xsi:type="xsd:double"&gt;14.1964293388636&lt;/D&gt;&lt;D xsi:type="xsd:double"&gt;15.2933597955941&lt;/D&gt;&lt;D xsi:type="xsd:double"&gt;15.1108691793716&lt;/D&gt;&lt;D xsi:type="xsd:double"&gt;15.4374158399116&lt;/D&gt;&lt;D xsi:type="xsd:double"&gt;14.974616468104&lt;/D&gt;&lt;D xsi:type="xsd:double"&gt;15.077202287216&lt;/D&gt;&lt;D xsi:type="xsd:double"&gt;15.7665172006967&lt;/D&gt;&lt;D xsi:type="xsd:double"&gt;15.9758129188681&lt;/D&gt;&lt;D xsi:type="xsd:double"&gt;16.5798765196975&lt;/D&gt;&lt;D xsi:type="xsd:double"&gt;15.6313625618418&lt;/D&gt;&lt;D xsi:type="xsd:double"&gt;16.7510124677563&lt;/D&gt;&lt;D xsi:type="xsd:double"&gt;16.7436373869721&lt;/D&gt;&lt;D xsi:type="xsd:double"&gt;16.2246665979159&lt;/D&gt;&lt;D xsi:type="xsd:double"&gt;15.6461758535283&lt;/D&gt;&lt;D xsi:type="xsd:double"&gt;16.0899706638585&lt;/D&gt;&lt;D xsi:type="xsd:double"&gt;15.7020406029126&lt;/D&gt;&lt;D xsi:type="xsd:double"&gt;15.8237933512267&lt;/D&gt;&lt;D xsi:type="xsd:double"&gt;15.7823135388415&lt;/D&gt;&lt;D xsi:type="xsd:double"&gt;15.5228663749749&lt;/D&gt;&lt;D xsi:type="xsd:double"&gt;15.9426516862035&lt;/D&gt;&lt;D xsi:type="xsd:double"&gt;15.3746191871798&lt;/D&gt;&lt;D xsi:type="xsd:double"&gt;15.3253328260902&lt;/D&gt;&lt;D xsi:type="xsd:double"&gt;15.8453319312946&lt;/D&gt;&lt;D xsi:type="xsd:double"&gt;15.7824154832613&lt;/D&gt;&lt;D xsi:type="xsd:double"&gt;15.3704122610318&lt;/D&gt;&lt;D xsi:type="xsd:double"&gt;15.7763962109535&lt;/D&gt;&lt;D xsi:type="xsd:double"&gt;15.9429864310487&lt;/D&gt;&lt;D xsi:type="xsd:double"&gt;15.992142499655&lt;/D&gt;&lt;D xsi:type="xsd:double"&gt;15.825534674446&lt;/D&gt;&lt;D xsi:type="xsd:double"&gt;15.675672700233&lt;/D&gt;&lt;D xsi:type="xsd:double"&gt;14.8946438324574&lt;/D&gt;&lt;D xsi:type="xsd:double"&gt;15.1145864306011&lt;/D&gt;&lt;D xsi:type="xsd:double"&gt;15.2549722770613&lt;/D&gt;&lt;D xsi:type="xsd:double"&gt;15.451193557835&lt;/D&gt;&lt;D xsi:type="xsd:double"&gt;15.6759553130813&lt;/D&gt;&lt;D xsi:type="xsd:double"&gt;15.6049309022443&lt;/D&gt;&lt;D xsi:type="xsd:double"&gt;15.2178680791569&lt;/D&gt;&lt;D xsi:type="xsd:double"&gt;13.8735515723673&lt;/D&gt;&lt;D xsi:type="xsd:double"&gt;14.2234315588263&lt;/D&gt;&lt;D xsi:type="xsd:double"&gt;13.8269229480626&lt;/D&gt;&lt;D xsi:type="xsd:double"&gt;14.7696178694428&lt;/D&gt;&lt;D xsi:type="xsd:double"&gt;15.3379678024131&lt;/D&gt;&lt;D xsi:type="xsd:double"&gt;15.1716858151161&lt;/D&gt;&lt;D xsi:type="xsd:double"&gt;15.5430077856131&lt;/D&gt;&lt;D xsi:type="xsd:double"&gt;15.6744808786086&lt;/D&gt;&lt;D xsi:type="xsd:double"&gt;16.29815378831&lt;/D&gt;&lt;D xsi:type="xsd:double"&gt;16.3887207137146&lt;/D&gt;&lt;D xsi:type="xsd:double"&gt;15.8740979403228&lt;/D&gt;&lt;D xsi:type="xsd:double"&gt;16.7449982633798&lt;/D&gt;&lt;D xsi:type="xsd:double"&gt;16.994818098306&lt;/D&gt;&lt;D xsi:type="xsd:double"&gt;17.4205192171702&lt;/D&gt;&lt;D xsi:type="xsd:double"&gt;17.4933476678855&lt;/D&gt;&lt;D xsi:type="xsd:double"&gt;18.0940250755238&lt;/D&gt;&lt;D xsi:type="xsd:double"&gt;17.1217617506614&lt;/D&gt;&lt;D xsi:type="xsd:double"&gt;13.2649218761222&lt;/D&gt;&lt;D xsi:type="xsd:double"&gt;16.5885660506773&lt;/D&gt;&lt;D xsi:type="xsd:double"&gt;18.6176504048205&lt;/D&gt;&lt;D xsi:type="xsd:double"&gt;18.8234789611662&lt;/D&gt;&lt;D xsi:type="xsd:double"&gt;19.3746011546462&lt;/D&gt;&lt;D xsi:type="xsd:double"&gt;19.6625015340609&lt;/D&gt;&lt;D xsi:type="xsd:double"&gt;18.471502179878&lt;/D&gt;&lt;D xsi:type="xsd:double"&gt;18.2950423501556&lt;/D&gt;&lt;D xsi:type="xsd:double"&gt;19.6073741761342&lt;/D&gt;&lt;D xsi:type="xsd:double"&gt;19.2405379110187&lt;/D&gt;&lt;D xsi:type="xsd:double"&gt;19.1547324688891&lt;/D&gt;&lt;D xsi:type="xsd:double"&gt;17.9550506901397&lt;/D&gt;&lt;D xsi:type="xsd:double"&gt;17.7369305706919&lt;/D&gt;&lt;D xsi:type="xsd:double"&gt;17.9885773563214&lt;/D&gt;&lt;D xsi:type="xsd:double"&gt;17.8052819760396&lt;/D&gt;&lt;D xsi:type="xsd:double"&gt;17.7415095024165&lt;/D&gt;&lt;D xsi:type="xsd:double"&gt;16.9373407718088&lt;/D&gt;&lt;D xsi:type="xsd:double"&gt;17.2124065777298&lt;/D&gt;&lt;D xsi:type="xsd:double"&gt;17.1403597265277&lt;/D&gt;&lt;D xsi:type="xsd:double"&gt;17.6717700532768&lt;/D&gt;&lt;D xsi:type="xsd:double"&gt;16.9111747813273&lt;/D&gt;&lt;D xsi:type="xsd:double"&gt;17.4467529537819&lt;/D&gt;&lt;D xsi:type="xsd:double"&gt;15.80984144379&lt;/D&gt;&lt;D xsi:type="xsd:double"&gt;15.3303438290753&lt;/D&gt;&lt;D xsi:type="xsd:double"&gt;16.2078788959082&lt;/D&gt;&lt;D xsi:type="xsd:double"&gt;14.685714032219&lt;/D&gt;&lt;D xsi:type="xsd:double"&gt;14.2416960535531&lt;/D&gt;&lt;D xsi:type="xsd:double"&gt;12.8803714605896&lt;/D&gt;&lt;D xsi:type="xsd:double"&gt;13.5511722172213&lt;/D&gt;&lt;D xsi:type="xsd:double"&gt;14.2317782331331&lt;/D&gt;&lt;D xsi:type="xsd:double"&gt;12.6328724529608&lt;/D&gt;&lt;D xsi:type="xsd:double"&gt;13.3985222783614&lt;/D&gt;&lt;D xsi:type="xsd:double"&gt;14.6000012130907&lt;/D&gt;&lt;D xsi:type="xsd:double"&gt;14.2593563157512&lt;/D&gt;&lt;D xsi:type="xsd:double"&gt;14.9980664475796&lt;/D&gt;&lt;D xsi:type="xsd:double"&gt;14.4003830411861&lt;/D&gt;&lt;D xsi:type="xsd:double"&gt;13.7828925769658&lt;/D&gt;&lt;D xsi:type="xsd:double"&gt;14.552445192751&lt;/D&gt;&lt;D xsi:type="xsd:double"&gt;14.1902734950577&lt;/D&gt;&lt;D xsi:type="xsd:double"&gt;14.7587139488847&lt;/D&gt;&lt;D xsi:type="xsd:double"&gt;15.8252995105016&lt;/D&gt;&lt;D xsi:type="xsd:double"&gt;15.0249232458851&lt;/D&gt;&lt;D xsi:type="xsd:double"&gt;14.7699510162023&lt;/D&gt;&lt;D xsi:type="xsd:double"&gt;14.3833890488939&lt;/D&gt;&lt;D xsi:type="xsd:double"&gt;15.0582128778828&lt;/D&gt;&lt;D xsi:type="xsd:double"&gt;16.4139569789864&lt;/D&gt;&lt;D xsi:type="xsd:double"&gt;16.331120244022&lt;/D&gt;&lt;D xsi:type="xsd:double"&gt;16.5329407270724&lt;/D&gt;&lt;D xsi:type="xsd:double"&gt;16.6620376942463&lt;/D&gt;&lt;D xsi:type="xsd:double"&gt;16.2522086199286&lt;/D&gt;&lt;D xsi:type="xsd:double"&gt;16.6238225245876&lt;/D&gt;&lt;D xsi:type="xsd:double"&gt;16.8454744323834&lt;/D&gt;&lt;D xsi:type="xsd:double"&gt;17.2012934798485&lt;/D&gt;&lt;D xsi:type="xsd:double"&gt;17.8614997926898&lt;/D&gt;&lt;D xsi:type="xsd:double"&gt;18.2511322643686&lt;/D&gt;&lt;/FQL&gt;&lt;FQL&gt;&lt;Q&gt;QQQ^FG_PRICE(0)&lt;/Q&gt;&lt;R&gt;1&lt;/R&gt;&lt;C&gt;1&lt;/C&gt;&lt;D xsi:type="xsd:double"&gt;489.47&lt;/D&gt;&lt;/FQL&gt;&lt;FQL&gt;&lt;Q&gt;ENZL^FG_PRICE_MAVG(0,,,,60)&lt;/Q&gt;&lt;R&gt;1&lt;/R&gt;&lt;C&gt;1&lt;/C&gt;&lt;D xsi:type="xsd:double"&gt;47.699284&lt;/D&gt;&lt;/FQL&gt;&lt;FQL&gt;&lt;Q&gt;URTH^FG_TOTAL_RETURNC(0,-12AM)&lt;/Q&gt;&lt;R&gt;1&lt;/R&gt;&lt;C&gt;1&lt;/C&gt;&lt;D xsi:type="xsd:double"&gt;33.551407&lt;/D&gt;&lt;/FQL&gt;&lt;FQL&gt;&lt;Q&gt;EWI^P_PRICE(0)/P_PRICE_LOW_PR(0,,,,,,"PRICE","INTRA","52W")-1&lt;/Q&gt;&lt;R&gt;1&lt;/R&gt;&lt;C&gt;1&lt;/C&gt;&lt;D xsi:type="xsd:double"&gt;0.35550582&lt;/D&gt;&lt;/FQL&gt;&lt;FQL&gt;&lt;Q&gt;EWN^PERCENT_CHANGE(FMA_EPS(+1,0,,,,"PORTAGG","MEAN"),FMA_EPS(+1,-1AM,,,,"PORTAGG","MEAN"))&lt;/Q&gt;&lt;R&gt;1&lt;/R&gt;&lt;C&gt;1&lt;/C&gt;&lt;D xsi:type="xsd:double"&gt;-1.97216231396556&lt;/D&gt;&lt;/FQL&gt;&lt;FQL&gt;&lt;Q&gt;EWU^FG_TOTAL_RETURNC(0,-12AM)&lt;/Q&gt;&lt;R&gt;1&lt;/R&gt;&lt;C&gt;1&lt;/C&gt;&lt;D xsi:type="xsd:double"&gt;24.703121&lt;/D&gt;&lt;/FQL&gt;&lt;FQL&gt;&lt;Q&gt;EWA^PERCENT_CHANGE(FMA_EPS(+1,0,,,,"PORTAGG","MEAN"),FMA_EPS(+1,-1AM,,,,"PORTAGG","MEAN"))&lt;/Q&gt;&lt;R&gt;1&lt;/R&gt;&lt;C&gt;1&lt;/C&gt;&lt;D xsi:type="xsd:double"&gt;0.231860978055777&lt;/D&gt;&lt;/FQL&gt;&lt;FQL&gt;&lt;Q&gt;EWG^SIZE(FG_CONSTITUENTS)&lt;/Q&gt;&lt;R&gt;1&lt;/R&gt;&lt;C&gt;1&lt;/C&gt;&lt;D xsi:type="xsd:long"&gt;57&lt;/D&gt;&lt;/FQL&gt;&lt;FQL&gt;&lt;Q&gt;SPY^FMA_RBICS_REV_CURRENT(30, LOC, "PORTAGG")&lt;/Q&gt;&lt;R&gt;1&lt;/R&gt;&lt;C&gt;1&lt;/C&gt;&lt;D xsi:type="xsd:double"&gt;12.8044634335906&lt;/D&gt;&lt;/FQL&gt;&lt;FQL&gt;&lt;Q&gt;REFSEREPO-FDS^FG_YIELD(NOW,,,0)&lt;/Q&gt;&lt;R&gt;1&lt;/R&gt;&lt;C&gt;1&lt;/C&gt;&lt;D xsi:type="xsd:double"&gt;3.5&lt;/D&gt;&lt;/FQL&gt;&lt;FQL&gt;&lt;Q&gt;TRYGB10Y-FDS^PCTCHG(FG_YIELD(0,,,,"YTM"),FG_YIELD(-1AM,,,,"YTM"))&lt;/Q&gt;&lt;R&gt;0&lt;/R&gt;&lt;C&gt;0&lt;/C&gt;&lt;/FQL&gt;&lt;FQL&gt;&lt;Q&gt;EWQ^FMA_DIV_YLD(NTMA,NOW,NOW,M,"PORTAGG","MEANR")&lt;/Q&gt;&lt;R&gt;1&lt;/R&gt;&lt;C&gt;1&lt;/C&gt;&lt;D xsi:type="xsd:double"&gt;3.34581744387374&lt;/D&gt;&lt;/FQL&gt;&lt;FQL&gt;&lt;Q&gt;ENZL^JULIAN(FMA_DIV_YLD(NTMA,NOW,NOW,M,"PORTAGG","MEANR").DATES)&lt;/Q&gt;&lt;R&gt;1&lt;/R&gt;&lt;C&gt;1&lt;/C&gt;&lt;D xsi:type="xsd:long"&gt;45534&lt;/D&gt;&lt;/FQL&gt;&lt;FQL&gt;&lt;Q&gt;SPY^P_PRICE(0)/P_PRICE_HIGH_PR(0,,,USD,,,"PRICE","INTRA","52W")&lt;/Q&gt;&lt;R&gt;1&lt;/R&gt;&lt;C&gt;1&lt;/C&gt;&lt;D xsi:type="xsd:double"&gt;0.9958065&lt;/D&gt;&lt;/FQL&gt;&lt;FQL&gt;&lt;Q&gt;PASP-FDS^FG_PRICE_CHANGE(0,-3AM)&lt;/Q&gt;&lt;R&gt;1&lt;/R&gt;&lt;C&gt;1&lt;/C&gt;&lt;D xsi:type="xsd:double"&gt;12.1052631578947&lt;/D&gt;&lt;/FQL&gt;&lt;FQL&gt;&lt;Q&gt;TRYFR10Y-FDS^FG_YIELD_NAME&lt;/Q&gt;&lt;R&gt;1&lt;/R&gt;&lt;C&gt;1&lt;/C&gt;&lt;D xsi:type="xsd:string"&gt;France Benchmark Bond - 10 Year&lt;/D&gt;&lt;/FQL&gt;&lt;FQL&gt;&lt;Q&gt;COPP-FDS^FG_PRICE_CHANGE(0,-3AM)&lt;/Q&gt;&lt;R&gt;1&lt;/R&gt;&lt;C&gt;1&lt;/C&gt;&lt;D xsi:type="xsd:double"&gt;5.83342959454778&lt;/D&gt;&lt;/FQL&gt;&lt;FQL&gt;&lt;Q&gt;EWQ^P_PRICE_RETURNS_PR('52W',2,-10AY,0,AM)&lt;/Q&gt;&lt;R&gt;121&lt;/R&gt;&lt;C&gt;1&lt;/C&gt;&lt;D xsi:type="xsd:double"&gt;1.2621164&lt;/D&gt;&lt;D xsi:type="xsd:double"&gt;-8.929926&lt;/D&gt;&lt;D xsi:type="xsd:double"&gt;-2.5709093&lt;/D&gt;&lt;D xsi:type="xsd:double"&gt;-6.560552&lt;/D&gt;&lt;D xsi:type="xsd:double"&gt;-3.8537204&lt;/D&gt;&lt;D xsi:type="xsd:double"&gt;-5.814022&lt;/D&gt;&lt;D xsi:type="xsd:double"&gt;-6.195468&lt;/D&gt;&lt;D xsi:type="xsd:double"&gt;-4.631871&lt;/D&gt;&lt;D xsi:type="xsd:double"&gt;-6.2515855&lt;/D&gt;&lt;D xsi:type="xsd:double"&gt;-4.712981&lt;/D&gt;&lt;D xsi:type="xsd:double"&gt;-4.0297866&lt;/D&gt;&lt;D xsi:type="xsd:double"&gt;-6.5433145&lt;/D&gt;&lt;D xsi:type="xsd:double"&gt;-6.9287596&lt;/D&gt;&lt;D xsi:type="xsd:double"&gt;5.582571&lt;/D&gt;&lt;D xsi:type="xsd:double"&gt;-2.4861157&lt;/D&gt;&lt;D xsi:type="xsd:double"&gt;-1.2538731&lt;/D&gt;&lt;D xsi:type="xsd:double"&gt;-8.269512&lt;/D&gt;&lt;D xsi:type="xsd:double"&gt;-11.910761&lt;/D&gt;&lt;D xsi:type="xsd:double"&gt;-9.138287&lt;/D&gt;&lt;D xsi:type="xsd:double"&gt;-6.8120537&lt;/D&gt;&lt;D xsi:type="xsd:double"&gt;-8.011097&lt;/D&gt;&lt;D xsi:type="xsd:double"&gt;-18.800896&lt;/D&gt;&lt;D xsi:type="xsd:double"&gt;-7.0614815&lt;/D&gt;&lt;D xsi:type="xsd:double"&gt;-1.7810464&lt;/D&gt;&lt;D xsi:type="xsd:double"&gt;2.4798393&lt;/D&gt;&lt;D xsi:type="xsd:double"&gt;-4.6307507&lt;/D&gt;&lt;D xsi:type="xsd:double"&gt;-3.52996&lt;/D&gt;&lt;D xsi:type="xsd:double"&gt;2.3847342&lt;/D&gt;&lt;D xsi:type="xsd:double"&gt;13.413107&lt;/D&gt;&lt;D xsi:type="xsd:double"&gt;12.626541&lt;/D&gt;&lt;D xsi:type="xsd:double"&gt;15.07119&lt;/D&gt;&lt;D xsi:type="xsd:double"&gt;14.923286&lt;/D&gt;&lt;D xsi:type="xsd:double"&gt;21.672153&lt;/D&gt;&lt;D xsi:type="xsd:double"&gt;38.608013&lt;/D&gt;&lt;D xsi:type="xsd:double"&gt;27.370167&lt;/D&gt;&lt;D xsi:type="xsd:double"&gt;26.977957&lt;/D&gt;&lt;D xsi:type="xsd:double"&gt;29.996693&lt;/D&gt;&lt;D xsi:type="xsd:double"&gt;33.27824&lt;/D&gt;&lt;D xsi:type="xsd:double"&gt;36.781345&lt;/D&gt;&lt;D xsi:type="xsd:double"&gt;30.280102&lt;/D&gt;&lt;D xsi:type="xsd:double"&gt;36.68573&lt;/D&gt;&lt;D xsi:type="xsd:double"&gt;30.477692&lt;/D&gt;&lt;D xsi:type="xsd:double"&gt;19.147253&lt;/D&gt;&lt;D xsi:type="xsd:double"&gt;19.372236&lt;/D&gt;&lt;D xsi:type="xsd:double"&gt;11.922873&lt;/D&gt;&lt;D xsi:type="xsd:double"&gt;6.383884&lt;/D&gt;&lt;D xsi:type="xsd:double"&gt;9.299922&lt;/D&gt;&lt;D xsi:type="xsd:double"&gt;8.870292&lt;/D&gt;&lt;D xsi:type="xsd:double"&gt;6.49935&lt;/D&gt;&lt;D xsi:type="xsd:double"&gt;-7.850456&lt;/D&gt;&lt;D xsi:type="xsd:double"&gt;-8.785772&lt;/D&gt;&lt;D xsi:type="xsd:double"&gt;-13.8942&lt;/D&gt;&lt;D xsi:type="xsd:double"&gt;-15.093237&lt;/D&gt;&lt;D xsi:type="xsd:double"&gt;-5.977291&lt;/D&gt;&lt;D xsi:type="xsd:double"&gt;-2.5826752&lt;/D&gt;&lt;D xsi:type="xsd:double"&gt;-3.9221764&lt;/D&gt;&lt;D xsi:type="xsd:double"&gt;-6.7821503&lt;/D&gt;&lt;D xsi:type="xsd:double"&gt;3.8380742&lt;/D&gt;&lt;D xsi:type="xsd:double"&gt;-0.13406277&lt;/D&gt;&lt;D xsi:type="xsd:double"&gt;-5.4466486&lt;/D&gt;&lt;D xsi:type="xsd:double"&gt;-2.7668357&lt;/D&gt;&lt;D xsi:type="xsd:double"&gt;12.840855&lt;/D&gt;&lt;D xsi:type="xsd:double"&gt;17.420816&lt;/D&gt;&lt;D xsi:type="xsd:double"&gt;27.961004&lt;/D&gt;&lt;D xsi:type="xsd:double"&gt;17.352985&lt;/D&gt;&lt;D xsi:type="xsd:double"&gt;2.662623&lt;/D&gt;&lt;D xsi:type="xsd:double"&gt;-17.338234&lt;/D&gt;&lt;D xsi:type="xsd:double"&gt;-19.26083&lt;/D&gt;&lt;D xsi:type="xsd:double"&gt;-11.300135&lt;/D&gt;&lt;D xsi:type="xsd:double"&gt;-10.546261&lt;/D&gt;&lt;D xsi:type="xsd:double"&gt;-4.634762&lt;/D&gt;&lt;D xsi:type="xsd:double"&gt;1.7357588&lt;/D&gt;&lt;D xsi:type="xsd:double"&gt;-7.197648&lt;/D&gt;&lt;D xsi:type="xsd:double"&gt;-9.70186&lt;/D&gt;&lt;D xsi:type="xsd:double"&gt;5.1167727&lt;/D&gt;&lt;D xsi:type="xsd:double"&gt;3.7100315&lt;/D&gt;&lt;D xsi:type="xsd:double"&gt;4.1332483&lt;/D&gt;&lt;D xsi:type="xsd:double"&gt;14.276338&lt;/D&gt;&lt;D xsi:type="xsd:double"&gt;43.02441&lt;/D&gt;&lt;D xsi:type="xsd:double"&gt;57.01456&lt;/D&gt;&lt;D xsi:type="xsd:double"&gt;53.426434&lt;/D&gt;&lt;D xsi:type="xsd:double"&gt;43.14628&lt;/D&gt;&lt;D xsi:type="xsd:double"&gt;33.75937&lt;/D&gt;&lt;D xsi:type="xsd:double"&gt;33.594154&lt;/D&gt;&lt;D xsi:type="xsd:double"&gt;42.26459&lt;/D&gt;&lt;D xsi:type="xsd:double"&gt;42.257248&lt;/D&gt;&lt;D xsi:type="xsd:double"&gt;16.438711&lt;/D&gt;&lt;D xsi:type="xsd:double"&gt;21.608496&lt;/D&gt;&lt;D xsi:type="xsd:double"&gt;19.495047&lt;/D&gt;&lt;D xsi:type="xsd:double"&gt;11.128891&lt;/D&gt;&lt;D xsi:type="xsd:double"&gt;5.058527&lt;/D&gt;&lt;D xsi:type="xsd:double"&gt;-8.018976&lt;/D&gt;&lt;D xsi:type="xsd:double"&gt;-7.539564&lt;/D&gt;&lt;D xsi:type="xsd:double"&gt;-15.915007&lt;/D&gt;&lt;D xsi:type="xsd:double"&gt;-13.283396&lt;/D&gt;&lt;D xsi:type="xsd:double"&gt;-16.952484&lt;/D&gt;&lt;D xsi:type="xsd:double"&gt;-27.205753&lt;/D&gt;&lt;D xsi:type="xsd:double"&gt;-18.802048&lt;/D&gt;&lt;D xsi:type="xsd:double"&gt;-9.289211&lt;/D&gt;&lt;D xsi:type="xsd:double"&gt;-11.526436&lt;/D&gt;&lt;D xsi:type="xsd:double"&gt;1.9378304&lt;/D&gt;&lt;D xsi:type="xsd:double"&gt;3.8846493&lt;/D&gt;&lt;D xsi:type="xsd:double"&gt;8.118343&lt;/D&gt;&lt;D xsi:type="xsd:double"&gt;24.461222&lt;/D&gt;&lt;D xsi:type="xsd:double"&gt;15.52471&lt;/D&gt;&lt;D xsi:type="xsd:double"&gt;26.359451&lt;/D&gt;&lt;D xsi:type="xsd:double"&gt;28.090202&lt;/D&gt;&lt;D xsi:type="xsd:double"&gt;23.576582&lt;/D&gt;&lt;D xsi:type="xsd:double"&gt;36.031197&lt;/D&gt;&lt;D xsi:type="xsd:double"&gt;16.47358&lt;/D&gt;&lt;D xsi:type="xsd:double"&gt;15.403091&lt;/D&gt;&lt;D xsi:type="xsd:double"&gt;22.054577&lt;/D&gt;&lt;D xsi:type="xsd:double"&gt;8.550239&lt;/D&gt;&lt;D xsi:type="xsd:double"&gt;12.839901&lt;/D&gt;&lt;D xsi:type="xsd:double"&gt;17.247414&lt;/D&gt;&lt;D xsi:type="xsd:double"&gt;6.651473&lt;/D&gt;&lt;D xsi:type="xsd:double"&gt;14.70853&lt;/D&gt;&lt;D xsi:type="xsd:double"&gt;3.3979893&lt;/D&gt;&lt;D xsi:type="xsd:double"&gt;2.8565645&lt;/D&gt;&lt;D xsi:type="xsd:double"&gt;10.567141&lt;/D&gt;&lt;D xsi:type="xsd:double"&gt;20.525885&lt;/D&gt;&lt;/FQL&gt;&lt;FQL&gt;&lt;Q&gt;ENZL^FMA_PE(NTMA,-10AY,0,AM,"PORTAGG","MEANR")&lt;/Q&gt;&lt;R&gt;121&lt;/R&gt;&lt;C&gt;1&lt;/C&gt;&lt;D xsi:type="xsd:double"&gt;17.1408424546592&lt;/D&gt;&lt;D xsi:type="xsd:double"&gt;17.4486459174445&lt;/D&gt;&lt;D xsi:type="xsd:double"&gt;17.8424087900628&lt;/D&gt;&lt;D xsi:type="xsd:double"&gt;18.1954516012937&lt;/D&gt;&lt;D xsi:type="xsd:double"&gt;18.9905810520048&lt;/D&gt;&lt;D xsi:type="xsd:double"&gt;19.3006254187479&lt;/D&gt;&lt;D xsi:type="xsd:double"&gt;18.1043931296327&lt;/D&gt;&lt;D xsi:type="xsd:double"&gt;18.1320264629741&lt;/D&gt;&lt;D xsi:type="xsd:double"&gt;18.1271241493136&lt;/D&gt;&lt;D xsi:type="xsd:double"&gt;17.7680574031836&lt;/D&gt;&lt;D xsi:type="xsd:double"&gt;18.1940156154748&lt;/D&gt;&lt;D xsi:type="xsd:double"&gt;17.4444293283172&lt;/D&gt;&lt;D xsi:type="xsd:double"&gt;17.2374354113022&lt;/D&gt;&lt;D xsi:type="xsd:double"&gt;18.140187553285&lt;/D&gt;&lt;D xsi:type="xsd:double"&gt;18.1379607697507&lt;/D&gt;&lt;D xsi:type="xsd:double"&gt;18.1928563698572&lt;/D&gt;&lt;D xsi:type="xsd:double"&gt;17.581296349703&lt;/D&gt;&lt;D xsi:type="xsd:double"&gt;17.5566851825032&lt;/D&gt;&lt;D xsi:type="xsd:double"&gt;18.0157819667919&lt;/D&gt;&lt;D xsi:type="xsd:double"&gt;18.6234298646544&lt;/D&gt;&lt;D xsi:type="xsd:double"&gt;19.331173304405&lt;/D&gt;&lt;D xsi:type="xsd:double"&gt;18.4730561282071&lt;/D&gt;&lt;D xsi:type="xsd:double"&gt;20.1705412880731&lt;/D&gt;&lt;D xsi:type="xsd:double"&gt;20.4256231036991&lt;/D&gt;&lt;D xsi:type="xsd:double"&gt;20.0055658345189&lt;/D&gt;&lt;D xsi:type="xsd:double"&gt;19.0671860032638&lt;/D&gt;&lt;D xsi:type="xsd:double"&gt;18.8039193501757&lt;/D&gt;&lt;D xsi:type="xsd:double"&gt;18.5204374115071&lt;/D&gt;&lt;D xsi:type="xsd:double"&gt;19.1948752259908&lt;/D&gt;&lt;D xsi:type="xsd:double"&gt;18.1125402325845&lt;/D&gt;&lt;D xsi:type="xsd:double"&gt;18.6604979369901&lt;/D&gt;&lt;D xsi:type="xsd:double"&gt;19.4520468483775&lt;/D&gt;&lt;D xsi:type="xsd:double"&gt;19.5714607692372&lt;/D&gt;&lt;D xsi:type="xsd:double"&gt;19.7628031337501&lt;/D&gt;&lt;D xsi:type="xsd:double"&gt;19.7475231592952&lt;/D&gt;&lt;D xsi:type="xsd:double"&gt;20.0801776141778&lt;/D&gt;&lt;D xsi:type="xsd:double"&gt;19.8858756392556&lt;/D&gt;&lt;D xsi:type="xsd:double"&gt;20.3723595613449</t>
        </r>
      </text>
    </comment>
    <comment ref="A12" authorId="0" shapeId="0" xr:uid="{01B3B605-8CA0-49D0-84B9-3AC39C3359C3}">
      <text>
        <r>
          <rPr>
            <b/>
            <sz val="9"/>
            <color indexed="81"/>
            <rFont val="Tahoma"/>
            <charset val="1"/>
          </rPr>
          <t>&lt;/D&gt;&lt;D xsi:type="xsd:double"&gt;20.224502320122&lt;/D&gt;&lt;D xsi:type="xsd:double"&gt;20.8635918861093&lt;/D&gt;&lt;D xsi:type="xsd:double"&gt;20.5716325762325&lt;/D&gt;&lt;D xsi:type="xsd:double"&gt;20.8321711249762&lt;/D&gt;&lt;D xsi:type="xsd:double"&gt;20.4953803530541&lt;/D&gt;&lt;D xsi:type="xsd:double"&gt;19.9113535617366&lt;/D&gt;&lt;D xsi:type="xsd:double"&gt;20.4308952815634&lt;/D&gt;&lt;D xsi:type="xsd:double"&gt;21.3335418695831&lt;/D&gt;&lt;D xsi:type="xsd:double"&gt;21.1629539138984&lt;/D&gt;&lt;D xsi:type="xsd:double"&gt;21.8200505264478&lt;/D&gt;&lt;D xsi:type="xsd:double"&gt;21.3380392266907&lt;/D&gt;&lt;D xsi:type="xsd:double"&gt;19.6196262571414&lt;/D&gt;&lt;D xsi:type="xsd:double"&gt;19.6398107166439&lt;/D&gt;&lt;D xsi:type="xsd:double"&gt;20.0313925971307&lt;/D&gt;&lt;D xsi:type="xsd:double"&gt;20.634905232582&lt;/D&gt;&lt;D xsi:type="xsd:double"&gt;21.3974718689721&lt;/D&gt;&lt;D xsi:type="xsd:double"&gt;22.0682110116012&lt;/D&gt;&lt;D xsi:type="xsd:double"&gt;22.6562418835128&lt;/D&gt;&lt;D xsi:type="xsd:double"&gt;23.3460849436391&lt;/D&gt;&lt;D xsi:type="xsd:double"&gt;23.5360326758055&lt;/D&gt;&lt;D xsi:type="xsd:double"&gt;24.4550517156695&lt;/D&gt;&lt;D xsi:type="xsd:double"&gt;25.374977006805&lt;/D&gt;&lt;D xsi:type="xsd:double"&gt;25.2725234863641&lt;/D&gt;&lt;D xsi:type="xsd:double"&gt;24.7609536236028&lt;/D&gt;&lt;D xsi:type="xsd:double"&gt;25.5694693550293&lt;/D&gt;&lt;D xsi:type="xsd:double"&gt;26.0858022951486&lt;/D&gt;&lt;D xsi:type="xsd:double"&gt;26.3952717326092&lt;/D&gt;&lt;D xsi:type="xsd:double"&gt;26.3074428809608&lt;/D&gt;&lt;D xsi:type="xsd:double"&gt;24.0640069291665&lt;/D&gt;&lt;D xsi:type="xsd:double"&gt;28.5011189002913&lt;/D&gt;&lt;D xsi:type="xsd:double"&gt;32.3153347524337&lt;/D&gt;&lt;D xsi:type="xsd:double"&gt;30.42766345727&lt;/D&gt;&lt;D xsi:type="xsd:double"&gt;31.8851619399311&lt;/D&gt;&lt;D xsi:type="xsd:double"&gt;33.342435406785&lt;/D&gt;&lt;D xsi:type="xsd:double"&gt;31.7262486568135&lt;/D&gt;&lt;D xsi:type="xsd:double"&gt;33.0899826289219&lt;/D&gt;&lt;D xsi:type="xsd:double"&gt;32.1588818109295&lt;/D&gt;&lt;D xsi:type="xsd:double"&gt;34.3697682298684&lt;/D&gt;&lt;D xsi:type="xsd:double"&gt;34.1794497457238&lt;/D&gt;&lt;D xsi:type="xsd:double"&gt;31.507983403909&lt;/D&gt;&lt;D xsi:type="xsd:double"&gt;31.9761781309518&lt;/D&gt;&lt;D xsi:type="xsd:double"&gt;32.2452000777093&lt;/D&gt;&lt;D xsi:type="xsd:double"&gt;31.9106663575761&lt;/D&gt;&lt;D xsi:type="xsd:double"&gt;33.6499530399348&lt;/D&gt;&lt;D xsi:type="xsd:double"&gt;33.6932150831145&lt;/D&gt;&lt;D xsi:type="xsd:double"&gt;34.7672165856944&lt;/D&gt;&lt;D xsi:type="xsd:double"&gt;34.5639937395361&lt;/D&gt;&lt;D xsi:type="xsd:double"&gt;33.5385247423111&lt;/D&gt;&lt;D xsi:type="xsd:double"&gt;31.6186486578242&lt;/D&gt;&lt;D xsi:type="xsd:double"&gt;32.1700640150089&lt;/D&gt;&lt;D xsi:type="xsd:double"&gt;29.8589538741236&lt;/D&gt;&lt;D xsi:type="xsd:double"&gt;28.9088433922533&lt;/D&gt;&lt;D xsi:type="xsd:double"&gt;29.1736298449636&lt;/D&gt;&lt;D xsi:type="xsd:double"&gt;28.2312582861009&lt;/D&gt;&lt;D xsi:type="xsd:double"&gt;26.780744768853&lt;/D&gt;&lt;D xsi:type="xsd:double"&gt;25.9677744334383&lt;/D&gt;&lt;D xsi:type="xsd:double"&gt;25.5172262612957&lt;/D&gt;&lt;D xsi:type="xsd:double"&gt;27.5940406505861&lt;/D&gt;&lt;D xsi:type="xsd:double"&gt;24.4873431125088&lt;/D&gt;&lt;D xsi:type="xsd:double"&gt;23.3577670480098&lt;/D&gt;&lt;D xsi:type="xsd:double"&gt;23.3867751362217&lt;/D&gt;&lt;D xsi:type="xsd:double"&gt;23.1656803707773&lt;/D&gt;&lt;D xsi:type="xsd:double"&gt;24.0290819403296&lt;/D&gt;&lt;D xsi:type="xsd:double"&gt;23.8268693422686&lt;/D&gt;&lt;D xsi:type="xsd:double"&gt;22.8928129826179&lt;/D&gt;&lt;D xsi:type="xsd:double"&gt;23.3694298096013&lt;/D&gt;&lt;D xsi:type="xsd:double"&gt;23.4845394606897&lt;/D&gt;&lt;D xsi:type="xsd:double"&gt;20.4428902065766&lt;/D&gt;&lt;D xsi:type="xsd:double"&gt;20.9668247943327&lt;/D&gt;&lt;D xsi:type="xsd:double"&gt;20.048441417843&lt;/D&gt;&lt;D xsi:type="xsd:double"&gt;20.2661482101171&lt;/D&gt;&lt;D xsi:type="xsd:double"&gt;19.1494814094559&lt;/D&gt;&lt;D xsi:type="xsd:double"&gt;20.1285605995555&lt;/D&gt;&lt;D xsi:type="xsd:double"&gt;22.7147757921902&lt;/D&gt;&lt;D xsi:type="xsd:double"&gt;22.4560944144431&lt;/D&gt;&lt;D xsi:type="xsd:double"&gt;22.334690405232&lt;/D&gt;&lt;D xsi:type="xsd:double"&gt;25.2666910120451&lt;/D&gt;&lt;D xsi:type="xsd:double"&gt;24.9748671395893&lt;/D&gt;&lt;D xsi:type="xsd:double"&gt;25.1517492019093&lt;/D&gt;&lt;D xsi:type="xsd:double"&gt;24.1835720189913&lt;/D&gt;&lt;D xsi:type="xsd:double"&gt;25.4044270466134&lt;/D&gt;&lt;D xsi:type="xsd:double"&gt;26.7652298797179&lt;/D&gt;&lt;D xsi:type="xsd:double"&gt;23.5953405267679&lt;/D&gt;&lt;/FQL&gt;&lt;FQL&gt;&lt;Q&gt;W-FDS^FG_PRICE_CHANGE(0,-1AM)&lt;/Q&gt;&lt;R&gt;1&lt;/R&gt;&lt;C&gt;1&lt;/C&gt;&lt;D xsi:type="xsd:double"&gt;14.9532710280374&lt;/D&gt;&lt;/FQL&gt;&lt;FQL&gt;&lt;Q&gt;ENZL^FG_PRICE_MAVG(0,,,,30)&lt;/Q&gt;&lt;R&gt;1&lt;/R&gt;&lt;C&gt;1&lt;/C&gt;&lt;D xsi:type="xsd:double"&gt;49.20238&lt;/D&gt;&lt;/FQL&gt;&lt;FQL&gt;&lt;Q&gt;URTH^P_PRICE(0)/P_PRICE_LOW_PR(0,,,,,,"PRICE","INTRA","52W")-1&lt;/Q&gt;&lt;R&gt;1&lt;/R&gt;&lt;C&gt;1&lt;/C&gt;&lt;D xsi:type="xsd:double"&gt;0.36966002&lt;/D&gt;&lt;/FQL&gt;&lt;FQL&gt;&lt;Q&gt;EWN^FMA_PCT_ABOVE_MAVG(200,0,,,,"PORTAGG")&lt;/Q&gt;&lt;R&gt;1&lt;/R&gt;&lt;C&gt;1&lt;/C&gt;&lt;D xsi:type="xsd:double"&gt;51.8518518518518&lt;/D&gt;&lt;/FQL&gt;&lt;FQL&gt;&lt;Q&gt;EWG^P_PRICE(0)/P_PRICE_LOW_PR(0,,,,,,"PRICE","INTRA","52W")-1&lt;/Q&gt;&lt;R&gt;1&lt;/R&gt;&lt;C&gt;1&lt;/C&gt;&lt;D xsi:type="xsd:double"&gt;0.3640964&lt;/D&gt;&lt;/FQL&gt;&lt;FQL&gt;&lt;Q&gt;ENZL^FG_TOTAL_RETURNC(0,-6AM)&lt;/Q&gt;&lt;R&gt;1&lt;/R&gt;&lt;C&gt;1&lt;/C&gt;&lt;D xsi:type="xsd:double"&gt;9.804285&lt;/D&gt;&lt;/FQL&gt;&lt;FQL&gt;&lt;Q&gt;EWI^SIZE(FG_CONSTITUENTS)&lt;/Q&gt;&lt;R&gt;1&lt;/R&gt;&lt;C&gt;1&lt;/C&gt;&lt;D xsi:type="xsd:long"&gt;27&lt;/D&gt;&lt;/FQL&gt;&lt;FQL&gt;&lt;Q&gt;EWG^FMA_COS_DOWN("EPS","1M",+1,0,,,"PORTAGG","MEANR")&lt;/Q&gt;&lt;R&gt;1&lt;/R&gt;&lt;C&gt;1&lt;/C&gt;&lt;D xsi:type="xsd:double"&gt;27&lt;/D&gt;&lt;/FQL&gt;&lt;FQL&gt;&lt;Q&gt;REFSEREPO-FDS^PROPER_NAME(0,,,"SECURITY","NAME")&lt;/Q&gt;&lt;R&gt;1&lt;/R&gt;&lt;C&gt;1&lt;/C&gt;&lt;D xsi:type="xsd:string"&gt;Sweden Repo Rate&lt;/D&gt;&lt;/FQL&gt;&lt;FQL&gt;&lt;Q&gt;CC_GB^IMF_IFS_RCPI_Q(0)&lt;/Q&gt;&lt;R&gt;1&lt;/R&gt;&lt;C&gt;1&lt;/C&gt;&lt;D xsi:type="xsd:double"&gt;2.8697004&lt;/D&gt;&lt;/FQL&gt;&lt;FQL&gt;&lt;Q&gt;EWI^FMA_EVAL_EBIT(LTMA,NOW,NOW,M,"PORTAGG","MEANR")&lt;/Q&gt;&lt;R&gt;1&lt;/R&gt;&lt;C&gt;1&lt;/C&gt;&lt;D xsi:type="xsd:double"&gt;11.4842402050919&lt;/D&gt;&lt;/FQL&gt;&lt;FQL&gt;&lt;Q&gt;EWU^FMA_DIV_YLD(NTMA,NOW,NOW,M,"PORTAGG","MEANR")&lt;/Q&gt;&lt;R&gt;1&lt;/R&gt;&lt;C&gt;1&lt;/C&gt;&lt;D xsi:type="xsd:double"&gt;3.8107962887261&lt;/D&gt;&lt;/FQL&gt;&lt;FQL&gt;&lt;Q&gt;EWG^FMA_DIV_YLD(NTMA,NOW,NOW,M,"PORTAGG","MEANR")&lt;/Q&gt;&lt;R&gt;1&lt;/R&gt;&lt;C&gt;1&lt;/C&gt;&lt;D xsi:type="xsd:double"&gt;3.33287521874897&lt;/D&gt;&lt;/FQL&gt;&lt;FQL&gt;&lt;Q&gt;USO^P_PRICE(0)/P_PRICE_HIGH_PR(0,,,USD,,,"PRICE","INTRA","52W")&lt;/Q&gt;&lt;R&gt;1&lt;/R&gt;&lt;C&gt;1&lt;/C&gt;&lt;D xsi:type="xsd:double"&gt;0.82735884&lt;/D&gt;&lt;/FQL&gt;&lt;FQL&gt;&lt;Q&gt;DBA^FG_TOTAL_RETURNC(0,-3AM)&lt;/Q&gt;&lt;R&gt;1&lt;/R&gt;&lt;C&gt;1&lt;/C&gt;&lt;D xsi:type="xsd:double"&gt;11.844337&lt;/D&gt;&lt;/FQL&gt;&lt;FQL&gt;&lt;Q&gt;PLATI-FDS^FG_PRICE_CHANGE(0,-6AM)&lt;/Q&gt;&lt;R&gt;1&lt;/R&gt;&lt;C&gt;1&lt;/C&gt;&lt;D xsi:type="xsd:double"&gt;12.8491620111732&lt;/D&gt;&lt;/FQL&gt;&lt;FQL&gt;&lt;Q&gt;SPY^P_PRICE_RETURNS_PR('52W',2,-10AY,0,AM)&lt;/Q&gt;&lt;R&gt;121&lt;/R&gt;&lt;C&gt;1&lt;/C&gt;&lt;D xsi:type="xsd:double"&gt;18.890142&lt;/D&gt;&lt;D xsi:type="xsd:double"&gt;13.65211&lt;/D&gt;&lt;D xsi:type="xsd:double"&gt;17.154049&lt;/D&gt;&lt;D xsi:type="xsd:double"&gt;15.585554&lt;/D&gt;&lt;D xsi:type="xsd:double"&gt;16.11625&lt;/D&gt;&lt;D xsi:type="xsd:double"&gt;15.581285&lt;/D&gt;&lt;D xsi:type="xsd:double"&gt;13.639652&lt;/D&gt;&lt;D xsi:type="xsd:double"&gt;15.349317&lt;/D&gt;&lt;D xsi:type="xsd:double"&gt;13.226784&lt;/D&gt;&lt;D xsi:type="xsd:double"&gt;9.4649315&lt;/D&gt;&lt;D xsi:type="xsd:double"&gt;6.6400766&lt;/D&gt;&lt;D xsi:type="xsd:double"&gt;1.463759&lt;/D&gt;&lt;D xsi:type="xsd:double"&gt;0.21094084&lt;/D&gt;&lt;D xsi:type="xsd:double"&gt;7.4543715&lt;/D&gt;&lt;D xsi:type="xsd:double"&gt;2.9678464&lt;/D&gt;&lt;D xsi:type="xsd:double"&gt;1.054573&lt;/D&gt;&lt;D xsi:type="xsd:double"&gt;-5.2748322&lt;/D&gt;&lt;D xsi:type="xsd:double"&gt;-5.7858586&lt;/D&gt;&lt;D xsi:type="xsd:double"&gt;-0.6346524&lt;/D&gt;&lt;D xsi:type="xsd:double"&gt;1.4655471&lt;/D&gt;&lt;D xsi:type="xsd:double"&gt;0.9723067&lt;/D&gt;&lt;D xsi:type="xsd:double"&gt;-2.7895093&lt;/D&gt;&lt;D xsi:type="xsd:double"&gt;6.996119&lt;/D&gt;&lt;D xsi:type="xsd:double"&gt;14.184963&lt;/D&gt;&lt;D xsi:type="xsd:double"&gt;14.202297&lt;/D&gt;&lt;D xsi:type="xsd:double"&gt;5.4148674&lt;/D&gt;&lt;D xsi:type="xsd:double"&gt;8.120573&lt;/D&gt;&lt;D xsi:type="xsd:double"&gt;12.376511&lt;/D&gt;&lt;D xsi:type="xsd:double"&gt;24.325752&lt;/D&gt;&lt;D xsi:type="xsd:double"&gt;24.153019&lt;/D&gt;&lt;D xsi:type="xsd:double"&gt;17.398369&lt;/D&gt;&lt;D xsi:type="xsd:double"&gt;16.332806&lt;/D&gt;&lt;D xsi:type="xsd:double"&gt;17.854774&lt;/D&gt;&lt;D xsi:type="xsd:double"&gt;23.36899&lt;/D&gt;&lt;D xsi:type="xsd:double"&gt;16.49456&lt;/D&gt;&lt;D xsi:type="xsd:double"&gt;14.625764&lt;/D&gt;&lt;D xsi:type="xsd:double"&gt;18.343174&lt;/D&gt;&lt;D xsi:type="xsd:double"&gt;23.341692&lt;/D&gt;&lt;D xsi:type="xsd:double"&gt;19.853043&lt;/D&gt;&lt;D xsi:type="xsd:double"&gt;20.433855&lt;/D&gt;&lt;D xsi:type="xsd:double"&gt;27.388168&lt;/D&gt;&lt;D xsi:type="xsd:double"&gt;17.984735&lt;/D&gt;&lt;D xsi:type="xsd:double"&gt;13.67197&lt;/D&gt;&lt;D xsi:type="xsd:double"&gt;13.844895&lt;/D&gt;&lt;D xsi:type="xsd:double"&gt;14.713049&lt;/D&gt;&lt;D xsi:type="xsd:double"&gt;13.691961&lt;/D&gt;&lt;D xsi:type="xsd:double"&gt;15.965986&lt;/D&gt;&lt;D xsi:type="xsd:double"&gt;20.699942&lt;/D&gt;&lt;D xsi:type="xsd:double"&gt;18.37057&lt;/D&gt;&lt;D xsi:type="xsd:double"&gt;5.6895256&lt;/D&gt;&lt;D xsi:type="xsd:double"&gt;5.0184608&lt;/D&gt;&lt;D xsi:type="xsd:double"&gt;-5.4266033&lt;/D&gt;&lt;D xsi:type="xsd:double"&gt;-4.3903055&lt;/D&gt;&lt;D xsi:type="xsd:double"&gt;3.6836028&lt;/D&gt;&lt;D xsi:type="xsd:double"&gt;9.403825&lt;/D&gt;&lt;D xsi:type="xsd:double"&gt;12.325811&lt;/D&gt;&lt;D xsi:type="xsd:double"&gt;5.680883&lt;/D&gt;&lt;D xsi:type="xsd:double"&gt;10.3762865&lt;/D&gt;&lt;D xsi:type="xsd:double"&gt;8.7095375&lt;/D&gt;&lt;D xsi:type="xsd:double"&gt;0.96502304&lt;/D&gt;&lt;D xsi:type="xsd:double"&gt;3.652966&lt;/D&gt;&lt;D xsi:type="xsd:double"&gt;13.904345&lt;/D&gt;&lt;D xsi:type="xsd:double"&gt;19.892132&lt;/D&gt;&lt;D xsi:type="xsd:double"&gt;32.611073&lt;/D&gt;&lt;D xsi:type="xsd:double"&gt;24.020016&lt;/D&gt;&lt;D xsi:type="xsd:double"&gt;8.574045&lt;/D&gt;&lt;D xsi:type="xsd:double"&gt;-7.5033245&lt;/D&gt;&lt;D xsi:type="xsd:double"&gt;-0.14204383&lt;/D&gt;&lt;D xsi:type="xsd:double"&gt;9.560251&lt;/D&gt;&lt;D xsi:type="xsd:double"&gt;5.39037&lt;/D&gt;&lt;D xsi:type="xsd:double"&gt;9.190666&lt;/D&gt;&lt;D xsi:type="xsd:double"&gt;23.88376&lt;/D&gt;&lt;D xsi:type="xsd:double"&gt;12.624121&lt;/D&gt;&lt;D xsi:type="xsd:double"&gt;14.34629&lt;/D&gt;&lt;D xsi:type="xsd:double"&gt;17.541122&lt;/D&gt;&lt;D xsi:type="xsd:double"&gt;17.057276&lt;/D&gt;&lt;D xsi:type="xsd:double"&gt;17.940056&lt;/D&gt;&lt;D xsi:type="xsd:double"&gt;24.429953&lt;/D&gt;&lt;D xsi:type="xsd:double"&gt;54.04619&lt;/D&gt;&lt;D xsi:type="xsd:double"&gt;47.798695&lt;/D&gt;&lt;D xsi:type="xsd:double"&gt;40.366615&lt;/D&gt;&lt;D xsi:type="xsd:double"&gt;40.886116&lt;/D&gt;&lt;D xsi:type="xsd:double"&gt;37.862633&lt;/D&gt;&lt;D xsi:type="xsd:double"&gt;31.199825&lt;/D&gt;&lt;D xsi:type="xsd:double"&gt;36.561775&lt;/D&gt;&lt;D xsi:type="xsd:double"&gt;36.11846&lt;/D&gt;&lt;D xsi:type="xsd:double"&gt;28.351952&lt;/D&gt;&lt;D xsi:type="xsd:double"&gt;31.0794&lt;/D&gt;&lt;D xsi:type="xsd:double"&gt;16.728628&lt;/D&gt;&lt;D xsi:type="xsd:double"&gt;16.036224&lt;/D&gt;&lt;D xsi:type="xsd:double"&gt;17.702675&lt;/D&gt;&lt;D xsi:type="xsd:double"&gt;1.2641549&lt;/D&gt;&lt;D xsi:type="xsd:double"&gt;0.35094023&lt;/D&gt;&lt;D xsi:type="xsd:double"&gt;-7.613933&lt;/D&gt;&lt;D xsi:type="xsd:double"&gt;-7.347065&lt;/D&gt;&lt;D xsi:type="xsd:double"&gt;-7.8818502&lt;/D&gt;&lt;D xsi:type="xsd:double"&gt;-16.661083&lt;/D&gt;&lt;D xsi:type="xsd:double"&gt;-15.023309&lt;/D&gt;&lt;D xsi:type="xsd:double"&gt;-12.995881&lt;/D&gt;&lt;D xsi:type="xsd:double"&gt;-18.785358&lt;/D&gt;&lt;D xsi:type="xsd:double"&gt;-4.3966293&lt;/D&gt;&lt;D xsi:type="xsd:double"&gt;-7.664031&lt;/D&gt;&lt;D xsi:type="xsd:double"&gt;-10.91972&lt;/D&gt;&lt;D xsi:type="xsd:double"&gt;0.5222678&lt;/D&gt;&lt;D xsi:type="xsd:double"&gt;5.3981185&lt;/D&gt;&lt;D xsi:type="xsd:double"&gt;14.093971&lt;/D&gt;&lt;D xsi:type="xsd:double"&gt;14.68848&lt;/D&gt;&lt;D xsi:type="xsd:double"&gt;6.6054106&lt;/D&gt;&lt;D xsi:type="xsd:double"&gt;19.110918&lt;/D&gt;&lt;D xsi:type="xsd:double"&gt;9.798109&lt;/D&gt;&lt;D xsi:type="xsd:double"&gt;14.758385&lt;/D&gt;&lt;D xsi:type="xsd:double"&gt;26.849806&lt;/D&gt;&lt;D xsi:type="xsd:double"&gt;22.26609&lt;/D&gt;&lt;D xsi:type="xsd:double"&gt;29.407084&lt;/D&gt;&lt;D xsi:type="xsd:double"&gt;33.87252&lt;/D&gt;&lt;D xsi:type="xsd:double"&gt;27.52596&lt;/D&gt;&lt;D xsi:type="xsd:double"&gt;30.665434&lt;/D&gt;&lt;D xsi:type="xsd:double"&gt;27.02713&lt;/D&gt;&lt;D xsi:type="xsd:double"&gt;21.204163&lt;/D&gt;&lt;D xsi:type="xsd:double"&gt;29.431068&lt;/D&gt;&lt;D xsi:type="xsd:double"&gt;36.14843&lt;/D&gt;&lt;/FQL&gt;&lt;FQL&gt;&lt;Q&gt;W-FDS^FG_PRICE_MAVG(0,,,,30)&lt;/Q&gt;&lt;R&gt;1&lt;/R&gt;&lt;C&gt;1&lt;/C&gt;&lt;D xsi:type="xsd:double"&gt;5.5095&lt;/D&gt;&lt;/FQL&gt;&lt;FQL&gt;&lt;Q&gt;EWU^FG_PRICE_MAVG(0,,,,200)&lt;/Q&gt;&lt;R&gt;1&lt;/R&gt;&lt;C&gt;1&lt;/C&gt;&lt;D xsi:type="xsd:double"&gt;34.66395&lt;/D&gt;&lt;/FQL&gt;&lt;FQL&gt;&lt;Q&gt;EWI^P_PRICE(0)/P_PRICE_HIGH_PR(0,,,,,,"PRICE","INTRA","52W")&lt;/Q&gt;&lt;R&gt;1&lt;/R&gt;&lt;C&gt;1&lt;/C&gt;&lt;D xsi:type="xsd:double"&gt;0.9975904&lt;/D&gt;&lt;/FQL&gt;&lt;FQL&gt;&lt;Q&gt;EWQ^FG_TOTAL_RETURNC(0,-3AM)&lt;/Q&gt;&lt;R&gt;1&lt;/R&gt;&lt;C&gt;1&lt;/C&gt;&lt;D xsi:type="xsd:double"&gt;8.243346&lt;/D&gt;&lt;/FQL&gt;&lt;FQL&gt;&lt;Q&gt;EWU^P_PRICE(0)/P_PRICE_LOW_PR(0,,,,,,"PRICE","INTRA","52W")-1&lt;/Q&gt;&lt;R&gt;1&lt;/R&gt;&lt;C&gt;1&lt;/C&gt;&lt;D xsi:type="xsd:double"&gt;0.2495023&lt;/D&gt;&lt;/FQL&gt;&lt;FQL&gt;&lt;Q&gt;EWG^P_PRICE(0)/P_PRICE_HIGH_PR(0,,,,,,"PRICE","INTRA","52W")&lt;/Q&gt;&lt;R&gt;1&lt;/R&gt;&lt;C&gt;1&lt;/C&gt;&lt;D xsi:type="xsd:double"&gt;0.99881446&lt;/D&gt;&lt;/FQL&gt;&lt;FQL&gt;&lt;Q&gt;EWG^FMA_COS_UP("EPS","1M",+1,0,,,"PORTAGG","MEANR")&lt;/Q&gt;&lt;R&gt;1&lt;/R&gt;&lt;C&gt;1&lt;/C&gt;&lt;D xsi:type="xsd:double"&gt;22&lt;/D&gt;&lt;/FQL&gt;&lt;FQL&gt;&lt;Q&gt;QQQ^FMA_RBICS_REV_CURRENT(30, LOC, "PORTAGG")&lt;/Q&gt;&lt;R&gt;1&lt;/R&gt;&lt;C&gt;1&lt;/C&gt;&lt;D xsi:type="xsd:double"&gt;0.923896032260943&lt;/D&gt;&lt;/FQL&gt;&lt;FQL&gt;&lt;Q&gt;REFCATARG-FDS^PROPER_NAME(0,,,"SECURITY","NAME")&lt;/Q&gt;&lt;R&gt;1&lt;/R&gt;&lt;C&gt;1&lt;/C&gt;&lt;D xsi:type="xsd:string"&gt;Canada Target Rate&lt;/D&gt;&lt;/FQL&gt;&lt;FQL&gt;&lt;Q&gt;TRYCH10Y-FDS^PCTCHG(FG_YIELD(0,,,,"YTM"),FG_YIELD(-3AM,,,,"YTM"))&lt;/Q&gt;&lt;R&gt;0&lt;/R&gt;&lt;C&gt;0&lt;/C&gt;&lt;/FQL&gt;&lt;FQL&gt;&lt;Q&gt;EWQ^FMA_PE(NTMA,0,,,"PORTAGG","MEANR")&lt;/Q&gt;&lt;R&gt;1&lt;/R&gt;&lt;C&gt;1&lt;/C&gt;&lt;D xsi:type="xsd:double"&gt;13.7811864182033&lt;/D&gt;&lt;/FQL&gt;&lt;FQL&gt;&lt;Q&gt;CC_CH^IMF_IFS_RCPI_Q(0)&lt;/Q&gt;&lt;R&gt;1&lt;/R&gt;&lt;C&gt;1&lt;/C&gt;&lt;D xsi:type="xsd:double"&gt;1.3619826&lt;/D&gt;&lt;/FQL&gt;&lt;FQL&gt;&lt;Q&gt;EWJ^FMA_EVAL_EBITDA(NTMA,0,,,"PORTAGG","MEANR")&lt;/Q&gt;&lt;R&gt;1&lt;/R&gt;&lt;C&gt;1&lt;/C&gt;&lt;D xsi:type="xsd:double"&gt;9.99305290820544&lt;/D&gt;&lt;/FQL&gt;&lt;FQL&gt;&lt;Q&gt;QQQ^P_PRICE_RETURNS_PR('52W',2,-10AY,0,AM)&lt;/Q&gt;&lt;R&gt;121&lt;/R&gt;&lt;C&gt;1&lt;/C&gt;&lt;D xsi:type="xsd:double"&gt;26.608444&lt;/D&gt;&lt;D xsi:type="xsd:double"&gt;20.801662&lt;/D&gt;&lt;D xsi:type="xsd:double"&gt;26.52161&lt;/D&gt;&lt;D xsi:type="xsd:double"&gt;21.549511&lt;/D&gt;&lt;D xsi:type="xsd:double"&gt;19.89807&lt;/D&gt;&lt;D xsi:type="xsd:double"&gt;21.192778&lt;/D&gt;&lt;D xsi:type="xsd:double"&gt;22.804749&lt;/D&gt;&lt;D xsi:type="xsd:double"&gt;29.34699&lt;/D&gt;&lt;D xsi:type="xsd:double"&gt;23.286486&lt;/D&gt;&lt;D xsi:type="xsd:double"&gt;18.322432&lt;/D&gt;&lt;D xsi:type="xsd:double"&gt;15.114653&lt;/D&gt;&lt;D xsi:type="xsd:double"&gt;7.2882056&lt;/D&gt;&lt;D xsi:type="xsd:double"&gt;6.4388633&lt;/D&gt;&lt;D xsi:type="xsd:double"&gt;15.820492&lt;/D&gt;&lt;D xsi:type="xsd:double"&gt;9.502053&lt;/D&gt;&lt;D xsi:type="xsd:double"&gt;9.051704&lt;/D&gt;&lt;D xsi:type="xsd:double"&gt;0.16577244&lt;/D&gt;&lt;D xsi:type="xsd:double"&gt;-4.0344477&lt;/D&gt;&lt;D xsi:type="xsd:double"&gt;0.46263933&lt;/D&gt;&lt;D xsi:type="xsd:double"&gt;-1.3669312&lt;/D&gt;&lt;D xsi:type="xsd:double"&gt;0.3340006&lt;/D&gt;&lt;D xsi:type="xsd:double"&gt;-5.3963065&lt;/D&gt;&lt;D xsi:type="xsd:double"&gt;5.166924&lt;/D&gt;&lt;D xsi:type="xsd:double"&gt;14.6246195&lt;/D&gt;&lt;D xsi:type="xsd:double"&gt;16.441525&lt;/D&gt;&lt;D xsi:type="xsd:double"&gt;5.3892374&lt;/D&gt;&lt;D xsi:type="xsd:double"&gt;5.2518845&lt;/D&gt;&lt;D xsi:type="xsd:double"&gt;8.508503&lt;/D&gt;&lt;D xsi:type="xsd:double"&gt;26.471817&lt;/D&gt;&lt;D xsi:type="xsd:double"&gt;27.503597&lt;/D&gt;&lt;D xsi:type="xsd:double"&gt;23.238695&lt;/D&gt;&lt;D xsi:type="xsd:double"&gt;27.483105&lt;/D&gt;&lt;D xsi:type="xsd:double"&gt;30.223274&lt;/D&gt;&lt;D xsi:type="xsd:double"&gt;36.427677&lt;/D&gt;&lt;D xsi:type="xsd:double"&gt;26.939833&lt;/D&gt;&lt;D xsi:type="xsd:double"&gt;23.00582&lt;/D&gt;&lt;D xsi:type="xsd:double"&gt;23.128712&lt;/D&gt;&lt;D xsi:type="xsd:double"&gt;29.62954&lt;/D&gt;&lt;D xsi:type="xsd:double"&gt;32.790447&lt;/D&gt;&lt;D xsi:type="xsd:double"&gt;30.746603&lt;/D&gt;&lt;D xsi:type="xsd:double"&gt;37.376022&lt;/D&gt;&lt;D xsi:type="xsd:double"&gt;30.214119&lt;/D&gt;&lt;D xsi:type="xsd:double"&gt;22.640514&lt;/D&gt;&lt;D xsi:type="xsd:double"&gt;20.441269&lt;/D&gt;&lt;D xsi:type="xsd:double"&gt;21.440971&lt;/D&gt;&lt;D xsi:type="xsd:double"&gt;23.96128&lt;/D&gt;&lt;D xsi:type="xsd:double"&gt;24.380123&lt;/D&gt;&lt;D xsi:type="xsd:double"&gt;30.895256&lt;/D&gt;&lt;D xsi:type="xsd:double"&gt;29.62693&lt;/D&gt;&lt;D xsi:type="xsd:double"&gt;14.277113&lt;/D&gt;&lt;D xsi:type="xsd:double"&gt;5.4465055&lt;/D&gt;&lt;D xsi:type="xsd:double"&gt;-1.3935506&lt;/D&gt;&lt;D xsi:type="xsd:double"&gt;-1.0620892&lt;/D&gt;&lt;D xsi:type="xsd:double"&gt;4.031229&lt;/D&gt;&lt;D xsi:type="xsd:double"&gt;12.804866&lt;/D&gt;&lt;D xsi:type="xsd:double"&gt;18.717861&lt;/D&gt;&lt;D xsi:type="xsd:double"&gt;5.9936643&lt;/D&gt;&lt;D xsi:type="xsd:double"&gt;10.844934&lt;/D&gt;&lt;D xsi:type="xsd:double"&gt;9.416413&lt;/D&gt;&lt;D xsi:type="xsd:double"&gt;0.9270668&lt;/D&gt;&lt;D xsi:type="xsd:double"&gt;1.5518546&lt;/D&gt;&lt;D xsi:type="xsd:double"&gt;15.398884&lt;/D&gt;&lt;D xsi:type="xsd:double"&gt;27.199566&lt;/D&gt;&lt;D xsi:type="xsd:double"&gt;40.717113&lt;/D&gt;&lt;D xsi:type="xsd:double"&gt;33.14836&lt;/D&gt;&lt;D xsi:type="xsd:double"&gt;19.437742&lt;/D&gt;&lt;D xsi:type="xsd:double"&gt;5.0492406&lt;/D&gt;&lt;D xsi:type="xsd:double"&gt;14.031494&lt;/D&gt;&lt;D xsi:type="xsd:double"&gt;30.364191&lt;/D&gt;&lt;D xsi:type="xsd:double"&gt;30.337166&lt;/D&gt;&lt;D xsi:type="xsd:double"&gt;34.26882&lt;/D&gt;&lt;D xsi:type="xsd:double"&gt;59.080685&lt;/D&gt;&lt;D xsi:type="xsd:double"&gt;43.934788&lt;/D&gt;&lt;D xsi:type="xsd:double"&gt;45.56036&lt;/D&gt;&lt;D xsi:type="xsd:double"&gt;46.20781&lt;/D&gt;&lt;D xsi:type="xsd:double"&gt;47.11615&lt;/D&gt;&lt;D xsi:type="xsd:double"&gt;47.50526&lt;/D&gt;&lt;D xsi:type="xsd:double"&gt;46.148014&lt;/D&gt;&lt;D xsi:type="xsd:double"&gt;65.69682&lt;/D&gt;&lt;D xsi:type="xsd:double"&gt;58.783127&lt;/D&gt;&lt;D xsi:type="xsd:double"&gt;45.45033&lt;/D&gt;&lt;D xsi:type="xsd:double"&gt;42.845142&lt;/D&gt;&lt;D xsi:type="xsd:double"&gt;40.895283&lt;/D&gt;&lt;D xsi:type="xsd:double"&gt;29.933918&lt;/D&gt;&lt;D xsi:type="xsd:double"&gt;37.1084&lt;/D&gt;&lt;D xsi:type="xsd:double"&gt;35.15644&lt;/D&gt;&lt;D xsi:type="xsd:double"&gt;32.74374&lt;/D&gt;&lt;D xsi:type="xsd:double"&gt;30.968391&lt;/D&gt;&lt;D xsi:type="xsd:double"&gt;7.2989106&lt;/D&gt;&lt;D xsi:type="xsd:double"&gt;11.062706&lt;/D&gt;&lt;D xsi:type="xsd:double"&gt;15.98078&lt;/D&gt;&lt;D xsi:type="xsd:double"&gt;-6.4272823&lt;/D&gt;&lt;D xsi:type="xsd:double"&gt;-6.6959143&lt;/D&gt;&lt;D xsi:type="xsd:double"&gt;-15.849352&lt;/D&gt;&lt;D xsi:type="xsd:double"&gt;-15.343809&lt;/D&gt;&lt;D xsi:type="xsd:double"&gt;-16.989946&lt;/D&gt;&lt;D xsi:type="xsd:double"&gt;-25.426674&lt;/D&gt;&lt;D xsi:type="xsd:double"&gt;-27.746761&lt;/D&gt;&lt;D xsi:type="xsd:double"&gt;-27.6007&lt;/D&gt;&lt;D xsi:type="xsd:double"&gt;-34.19343&lt;/D&gt;&lt;D xsi:type="xsd:double"&gt;-12.507635&lt;/D&gt;&lt;D xsi:type="xsd:double"&gt;-14.365214&lt;/D&gt;&lt;D xsi:type="xsd:double"&gt;-13.420653&lt;/D&gt;&lt;D xsi:type="xsd:double"&gt;1.907301&lt;/D&gt;&lt;D xsi:type="xsd:double"&gt;17.284012&lt;/D&gt;&lt;D xsi:type="xsd:double"&gt;25.296724&lt;/D&gt;&lt;D xsi:type="xsd:double"&gt;23.63081&lt;/D&gt;&lt;D xsi:type="xsd:double"&gt;14.36199&lt;/D&gt;&lt;D xsi:type="xsd:double"&gt;30.230713&lt;/D&gt;&lt;D xsi:type="xsd:double"&gt;27.409018&lt;/D&gt;&lt;D xsi:type="xsd:double"&gt;36.56057&lt;/D&gt;&lt;D xsi:type="xsd:double"&gt;57.19526&lt;/D&gt;&lt;D xsi:type="xsd:double"&gt;45.472862&lt;/D&gt;&lt;D xsi:type="xsd:double"&gt;49.899662&lt;/D&gt;&lt;D xsi:type="xsd:double"&gt;45.028793&lt;/D&gt;&lt;D xsi:type="xsd:double"&gt;39.118492&lt;/D&gt;&lt;D xsi:type="xsd:double"&gt;39.001442&lt;/D&gt;&lt;D xsi:type="xsd:double"&gt;33.2844&lt;/D&gt;&lt;D xsi:type="xsd:double"&gt;23.479605&lt;/D&gt;&lt;D xsi:type="xsd:double"&gt;31.873299&lt;/D&gt;&lt;D xsi:type="xsd:double"&gt;38.807274&lt;/D&gt;&lt;/FQL&gt;&lt;FQL&gt;&lt;Q&gt;PASP-FDS^FG_PRICE_CHANGE(0,-1AM)&lt;/Q&gt;&lt;R&gt;1&lt;/R&gt;&lt;C&gt;1&lt;/C&gt;&lt;D xsi:type="xsd:double"&gt;9.23076923076922&lt;/D&gt;&lt;/FQL&gt;&lt;FQL&gt;&lt;Q&gt;BRENT-FDS^FG_PRICE_CHANGE(0,-6AM)&lt;/Q&gt;&lt;R&gt;1&lt;/R&gt;&lt;C&gt;1&lt;/C&gt;&lt;D xsi:type="xsd:double"&gt;0&lt;/D&gt;&lt;/FQL&gt;&lt;FQL&gt;&lt;Q&gt;FXI^FG_TOTAL_RETURNC(0,-12AM)&lt;/Q&gt;&lt;R&gt;1&lt;/R&gt;&lt;C&gt;1&lt;/C&gt;&lt;D xsi:type="xsd:double"&gt;24.46537&lt;/D&gt;&lt;/FQL&gt;&lt;FQL&gt;&lt;Q&gt;URTH^P_PRICE(0)/P_PRICE_HIGH_PR(0,,,,,,"PRICE","INTRA","52W")&lt;/Q&gt;&lt;R&gt;1&lt;/R&gt;&lt;C&gt;1&lt;/C&gt;&lt;D xsi:type="xsd:double"&gt;0.998436&lt;/D&gt;&lt;/FQL&gt;&lt;FQL&gt;&lt;Q&gt;EWI^FG_TOTAL_RETURNC(0,-6AM)&lt;/Q&gt;&lt;R&gt;1&lt;/R&gt;&lt;C&gt;1&lt;/C&gt;&lt;D xsi:type="xsd:double"&gt;6.202948&lt;/D&gt;&lt;/FQL&gt;&lt;FQL&gt;&lt;Q&gt;EWG^FG_TOTAL_RETURNC(0,-6AM)&lt;/Q&gt;&lt;R&gt;1&lt;/R&gt;&lt;C&gt;1&lt;/C&gt;&lt;D xsi:type="xsd:double"&gt;8.350301&lt;/D&gt;&lt;/FQL&gt;&lt;FQL&gt;&lt;Q&gt;ENZL^FG_TOTAL_RETURNC(0,-3AM)&lt;/Q&gt;&lt;R&gt;1&lt;/R&gt;&lt;C&gt;1&lt;/C&gt;&lt;D xsi:type="xsd:double"&gt;9.569526&lt;/D&gt;&lt;/FQL&gt;&lt;FQL&gt;&lt;Q&gt;EWI^FMA_COS_DOWN("EPS","1M",+1,0,,,"PORTAGG","MEANR")&lt;/Q&gt;&lt;R&gt;1&lt;/R&gt;&lt;C&gt;1&lt;/C&gt;&lt;D xsi:type="xsd:double"&gt;9&lt;/D&gt;&lt;/FQL&gt;&lt;FQL&gt;&lt;Q&gt;EWD^P_PRICE(0)/P_PRICE_LOW_PR(0,,,,,,"PRICE","INTRA","52W")-1&lt;/Q&gt;&lt;R&gt;1&lt;/R&gt;&lt;C&gt;1&lt;/C&gt;&lt;D xsi:type="xsd:double"&gt;0.42838526&lt;/D&gt;&lt;/FQL&gt;&lt;FQL&gt;&lt;Q&gt;TRYNZ10Y-FDS^PCTCHG(FG_YIELD(0,,,,"YTM"),FG_YIELD(-1AM,,,,"YTM"))&lt;/Q&gt;&lt;R&gt;1&lt;/R&gt;&lt;C&gt;1&lt;/C&gt;&lt;D xsi:type="xsd:double"&gt;0.39094883&lt;/D&gt;&lt;/FQL&gt;&lt;FQL&gt;&lt;Q&gt;EWU^P_PRICE_RETURNS_PR('52W',2,-10AY,0,AM)&lt;/Q&gt;&lt;R&gt;121&lt;/R&gt;&lt;C&gt;1&lt;/C&gt;&lt;D xsi:type="xsd:double"&gt;5.0327897&lt;/D&gt;&lt;D xsi:type="xsd:double"&gt;-3.4748137&lt;/D&gt;&lt;D xsi:type="xsd:double"&gt;1.2912393&lt;/D&gt;&lt;D xsi:type="xsd:double"&gt;-4.47762&lt;/D&gt;&lt;D xsi:type="xsd:double"&gt;-2.16918&lt;/D&gt;&lt;D xsi:type="xsd:double"&gt;-3.8355708&lt;/D&gt;&lt;D xsi:type="xsd:double"&gt;-3.9558291&lt;/D&gt;&lt;D xsi:type="xsd:double"&gt;-1.5881896&lt;/D&gt;&lt;D xsi:type="xsd:double"&gt;-4.117596&lt;/D&gt;&lt;D xsi:type="xsd:double"&gt;-5.6070566&lt;/D&gt;&lt;D xsi:type="xsd:double"&gt;-10.609645&lt;/D&gt;&lt;D xsi:type="xsd:double"&gt;-13.751019&lt;/D&gt;&lt;D xsi:type="xsd:double"&gt;-12.846577&lt;/D&gt;&lt;D xsi:type="xsd:double"&gt;-2.8522253&lt;/D&gt;&lt;D xsi:type="xsd:double"&gt;-7.8596115&lt;/D&gt;&lt;D xsi:type="xsd:double"&gt;-7.439107&lt;/D&gt;&lt;D xsi:type="xsd:double"&gt;-16.600721&lt;/D&gt;&lt;D xsi:type="xsd:double"&gt;-19.012112&lt;/D&gt;&lt;D xsi:type="xsd:double"&gt;-14.38998&lt;/D&gt;&lt;D xsi:type="xsd:double"&gt;-12.212742&lt;/D&gt;&lt;D xsi:type="xsd:double"&gt;-12.646228&lt;/D&gt;&lt;D xsi:type="xsd:double"&gt;-22.637754&lt;/D&gt;&lt;D xsi:type="xsd:double"&gt;-9.227395&lt;/D&gt;&lt;D xsi:type="xsd:double"&gt;-1.7695725&lt;/D&gt;&lt;D xsi:type="xsd:double"&gt;-0.43895245&lt;/D&gt;&lt;D xsi:type="xsd:double"&gt;-9.9887905&lt;/D&gt;&lt;D xsi:type="xsd:double"&gt;-7.812476&lt;/D&gt;&lt;D xsi:type="xsd:double"&gt;-3.5293877&lt;/D&gt;&lt;D xsi:type="xsd:double"&gt;10.536957&lt;/D&gt;&lt;D xsi:type="xsd:double"&gt;11.411535&lt;/D&gt;&lt;D xsi:type="xsd:double"&gt;9.793032&lt;/D&gt;&lt;D xsi:type="xsd:double"&gt;5.2492976&lt;/D&gt;&lt;D xsi:type="xsd:double"&gt;8.743418&lt;/D&gt;&lt;D xsi:type="xsd:double"&gt;22.88649&lt;/D&gt;&lt;D xsi:type="xsd:double"&gt;13.03401&lt;/D&gt;&lt;D xsi:type="xsd:double"&gt;9.530031&lt;/D&gt;&lt;D xsi:type="xsd:double"&gt;14.236283&lt;/D&gt;&lt;D xsi:type="xsd:double"&gt;19.670057&lt;/D&gt;&lt;D xsi:type="xsd:double"&gt;18.956125&lt;/D&gt;&lt;D xsi:type="xsd:double"&gt;21.354914&lt;/D&gt;&lt;D xsi:type="xsd:double"&gt;24.759626&lt;/D&gt;&lt;D xsi:type="xsd:double"&gt;14.631521&lt;/D&gt;&lt;D xsi:type="xsd:double"&gt;10.003352&lt;/D&gt;&lt;D xsi:type="xsd:double"&gt;13.993299499999999&lt;/D&gt;&lt;D xsi:type="xsd:double"&gt;8.583033&lt;/D&gt;&lt;D xsi:type="xsd:double"&gt;7.740891&lt;/D&gt;&lt;D xsi:type="xsd:double"&gt;6.7061186&lt;/D&gt;&lt;D xsi:type="xsd:double"&gt;6.4254045&lt;/D&gt;&lt;D xsi:type="xsd:double"&gt;3.981042&lt;/D&gt;&lt;D xsi:type="xsd:double"&gt;-6.073099&lt;/D&gt;&lt;D xsi:type="xsd:double"&gt;-5.3499937&lt;/D&gt;&lt;D xsi:type="xsd:double"&gt;-14.442086&lt;/D&gt;&lt;D xsi:type="xsd:double"&gt;-13.956475&lt;/D&gt;&lt;D xsi:type="xsd:double"&gt;-2.7264&lt;/D&gt;&lt;D xsi:type="xsd:double"&gt;0.96194744&lt;/D&gt;&lt;D xsi:type="xsd:double"&gt;-3.58122&lt;/D&gt;&lt;D xsi:type="xsd:double"&gt;-7.2364388&lt;/D&gt;&lt;D xsi:type="xsd:double"&gt;-1.8300176&lt;/D&gt;&lt;D xsi:type="xsd:double"&gt;-3.2537282&lt;/D&gt;&lt;D xsi:type="xsd:double"&gt;-8.468503&lt;/D&gt;&lt;D xsi:type="xsd:double"&gt;-4.5010924&lt;/D&gt;&lt;D xsi:type="xsd:double"&gt;8.346581&lt;/D&gt;&lt;D xsi:type="xsd:double"&gt;10.291457&lt;/D&gt;&lt;D xsi:type="xsd:double"&gt;22.283459&lt;/D&gt;&lt;D xsi:type="xsd:double"&gt;11.2856865&lt;/D&gt;&lt;D xsi:type="xsd:double"&gt;-6.0040474&lt;/D&gt;&lt;D xsi:type="xsd:double"&gt;-26.490122&lt;/D&gt;&lt;D xsi:type="xsd:double"&gt;-22.538006&lt;/D&gt;&lt;D xsi:type="xsd:double"&gt;-16.800308&lt;/D&gt;&lt;D xsi:type="xsd:double"&gt;-18.136566&lt;/D&gt;&lt;D xsi:type="xsd:double"&gt;-14.567148&lt;/D&gt;&lt;D xsi:type="xsd:double"&gt;-7.7887774&lt;/D&gt;&lt;D xsi:type="xsd:double"&gt;-16.370684&lt;/D&gt;&lt;D xsi:type="xsd:double"&gt;-20.032137&lt;/D&gt;&lt;D xsi:type="xsd:double"&gt;-9.933597&lt;/D&gt;&lt;D xsi:type="xsd:double"&gt;-10.277873&lt;/D&gt;&lt;D xsi:type="xsd:double"&gt;-6.8878174&lt;/D&gt;&lt;D xsi:type="xsd:double"&gt;1.8073559&lt;/D&gt;&lt;D xsi:type="xsd:double"&gt;33.575726&lt;/D&gt;&lt;D xsi:type="xsd:double"&gt;34.662937&lt;/D&gt;&lt;D xsi:type="xsd:double"&gt;34.67914&lt;/D&gt;&lt;D xsi:type="xsd:double"&gt;31.698513&lt;/D&gt;&lt;D xsi:type="xsd:double"&gt;26.763666&lt;/D&gt;&lt;D xsi:type="xsd:double"&gt;27.846468&lt;/D&gt;&lt;D xsi:type="xsd:double"&gt;33.523632&lt;/D&gt;&lt;D xsi:type="xsd:double"&gt;38.29938&lt;/D&gt;&lt;D xsi:type="xsd:double"&gt;13.896513&lt;/D&gt;&lt;D xsi:type="xsd:double"&gt;18.300259&lt;/D&gt;&lt;D xsi:type="xsd:double"&gt;18.162214&lt;/D&gt;&lt;D xsi:type="xsd:double"&gt;15.342485&lt;/D&gt;&lt;D xsi:type="xsd:double"&gt;13.835287&lt;/D&gt;&lt;D xsi:type="xsd:double"&gt;2.5357246&lt;/D&gt;&lt;D xsi:type="xsd:double"&gt;2.42275&lt;/D&gt;&lt;D xsi:type="xsd:double"&gt;-4.489785&lt;/D&gt;&lt;D xsi:type="xsd:double"&gt;-1.9606233&lt;/D&gt;&lt;D xsi:type="xsd:double"&gt;-5.376214&lt;/D&gt;&lt;D xsi:type="xsd:double"&gt;-18.05271&lt;/D&gt;&lt;D xsi:type="xsd:double"&gt;-13.166941&lt;/D&gt;&lt;D xsi:type="xsd:double"&gt;-1.6162038&lt;/D&gt;&lt;D xsi:type="xsd:double"&gt;-4.3643475&lt;/D&gt;&lt;D xsi:type="xsd:double"&gt;-0.34154058&lt;/D&gt;&lt;D xsi:type="xsd:double"&gt;-1.442796&lt;/D&gt;&lt;D xsi:type="xsd:double"&gt;-3.7832797&lt;/D&gt;&lt;D xsi:type="xsd:double"&gt;8.911837&lt;/D&gt;&lt;D xsi:type="xsd:double"&gt;1.4520168&lt;/D&gt;&lt;D xsi:type="xsd:double"&gt;9.742821&lt;/D&gt;&lt;D xsi:type="xsd:double"&gt;11.718285&lt;/D&gt;&lt;D xsi:type="xsd:double"&gt;7.002926&lt;/D&gt;&lt;D xsi:type="xsd:double"&gt;27.115393&lt;/D&gt;&lt;D xsi:type="xsd:double"&gt;11.475205&lt;/D&gt;&lt;D xsi:type="xsd:double"&gt;7.521546&lt;/D&gt;&lt;D xsi:type="xsd:double"&gt;12.374151&lt;/D&gt;&lt;D xsi:type="xsd:double"&gt;3.9708734&lt;/D&gt;&lt;D xsi:type="xsd:double"&gt;5.2482605&lt;/D&gt;&lt;D xsi:type="xsd:double"&gt;12.792719&lt;/D&gt;&lt;D xsi:type="xsd:double"&gt;8.624434&lt;/D&gt;&lt;D xsi:type="xsd:double"&gt;16.899384&lt;/D&gt;&lt;D xsi:type="xsd:double"&gt;13.186777&lt;/D&gt;&lt;D xsi:type="xsd:double"&gt;11.8846655&lt;/D&gt;&lt;D xsi:type="xsd:double"&gt;24.61667&lt;/D&gt;&lt;D xsi:type="xsd:double"&gt;24.703121&lt;/D&gt;&lt;/FQL&gt;&lt;FQL&gt;&lt;Q&gt;PASP-FDS^FG_PRICE_MAVG(0,,,,30)&lt;/Q&gt;&lt;R&gt;1&lt;/R&gt;&lt;C&gt;1&lt;/C&gt;&lt;D xsi:type="xsd:double"&gt;1009.1667&lt;/D&gt;&lt;/FQL&gt;&lt;FQL&gt;&lt;Q&gt;EWU^FG_PRICE_MAVG(0,,,,60)&lt;/Q&gt;&lt;R&gt;1&lt;/R&gt;&lt;C&gt;1&lt;/C&gt;&lt;D xsi:type="xsd:double"&gt;36.331833&lt;/D&gt;&lt;/FQL&gt;&lt;FQL&gt;&lt;Q&gt;FXI^FG_TOTAL_RETURNC(0,-1AM)&lt;/Q&gt;&lt;R&gt;1&lt;/R&gt;&lt;C&gt;1&lt;/C&gt;&lt;D xsi:type="xsd:double"&gt;20.180725&lt;/D&gt;&lt;/FQL&gt;&lt;FQL&gt;&lt;Q&gt;EWI^FG_TOTAL_RETURNC(0,-3AM)&lt;/Q&gt;&lt;R&gt;1&lt;/R&gt;&lt;C&gt;1&lt;/C&gt;&lt;D xsi:type="xsd:double"&gt;9.615385&lt;/D&gt;&lt;/FQL&gt;&lt;FQL&gt;&lt;Q&gt;EWQ^FG_TOTAL_RETURNC(0,-1AM)&lt;/Q&gt;&lt;R&gt;1&lt;/R&gt;&lt;C&gt;1&lt;/C&gt;&lt;D xsi:type="xsd:double"&gt;2.8013945&lt;/D&gt;&lt;/FQL&gt;&lt;FQL&gt;&lt;Q&gt;EWU^P_PRICE(0)/P_PRICE_HIGH_PR(0,,,,,,"PRICE","INTRA","52W")&lt;/Q&gt;&lt;R&gt;1&lt;/R&gt;&lt;C&gt;1&lt;/C&gt;&lt;D xsi:type="xsd:double"&gt;0.99840665&lt;/D&gt;&lt;/FQL&gt;&lt;FQL&gt;&lt;Q&gt;EWC^SIZE(FG_CONSTITUENTS)&lt;/Q&gt;&lt;R&gt;1&lt;/R&gt;&lt;C&gt;1&lt;/C&gt;&lt;D xsi:type="xsd:long"&gt;86&lt;/D&gt;&lt;/FQL&gt;&lt;FQL&gt;&lt;Q&gt;EWU^FMA_RBICS_REV_CURRENT(30, LOC, "PORTAGG")&lt;/Q&gt;&lt;R&gt;1&lt;/R&gt;&lt;C&gt;1&lt;/C&gt;&lt;D xsi:type="xsd:double"&gt;19.2590072352383&lt;/D&gt;&lt;/FQL&gt;&lt;FQL&gt;&lt;Q&gt;REFAUCASH-FDS^(SUBARRAY(NOT_NA(NO_REPEAT_F(FG_YIELD(NOW,-10AY,D))),0,1)-SUBARRAY(NOT_NA(NO_REPEAT_F(FG_YIELD(NOW,-10AY,D))),1,1))*100&lt;/Q&gt;&lt;R&gt;1&lt;/R&gt;&lt;C&gt;1&lt;/C&gt;&lt;D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CH10Y-FDS^PCTCHG(FG_YIELD(0,,,,"YTM"),FG_YIELD(-1AM,,,,"YTM"))&lt;/Q&gt;&lt;R&gt;0&lt;/R&gt;&lt;C&gt;0&lt;/C&gt;&lt;/FQL&gt;&lt;FQL&gt;&lt;Q&gt;EWQ^FMA_PE(LTM,0,,,"PORTAGG","MEANR")&lt;/Q&gt;&lt;R&gt;1&lt;/R&gt;&lt;C&gt;1&lt;/C&gt;&lt;D xsi:type="xsd:double"&gt;16.9631221578371&lt;/D&gt;&lt;/FQL&gt;&lt;FQL&gt;&lt;Q&gt;EWU^FMA_PE(LTM,0,,,"PORTAGG","MEANR")&lt;/Q&gt;&lt;R&gt;1&lt;/R&gt;&lt;C&gt;1&lt;/C&gt;&lt;D xsi:type="xsd:double"&gt;14.1439599684003&lt;/D&gt;&lt;/FQL&gt;&lt;FQL&gt;&lt;Q&gt;EWC^FMA_EVAL_EBITDA(NTMA,0,,,"PORTAGG","MEANR")&lt;/Q&gt;&lt;R&gt;1&lt;/R&gt;&lt;C&gt;1&lt;/C&gt;&lt;D xsi:type="xsd:double"&gt;9.89950801647893&lt;/D&gt;&lt;/FQL&gt;&lt;FQL&gt;&lt;Q&gt;EWI^FG_FCF_YIELD_NTM(0)&lt;/Q&gt;&lt;R&gt;1&lt;/R&gt;&lt;C&gt;1&lt;/C&gt;&lt;D xsi:type="xsd:double"&gt;5.42465579730859&lt;/D&gt;&lt;/FQL&gt;&lt;FQL&gt;&lt;Q&gt;EWC^FG_FCF_YIELD_NTM(0)&lt;/Q&gt;&lt;R&gt;1&lt;/R&gt;&lt;C&gt;1&lt;/C&gt;&lt;D xsi:type="xsd:double"&gt;4.79646978815664&lt;/D&gt;&lt;/FQL&gt;&lt;FQL&gt;&lt;Q&gt;USO^FG_TOTAL_RETURNC(0,-3AM)&lt;/Q&gt;&lt;R&gt;1&lt;/R&gt;&lt;C&gt;1&lt;/C&gt;&lt;D xsi:type="xsd:double"&gt;-13.651144&lt;/D&gt;&lt;/FQL&gt;&lt;FQL&gt;&lt;Q&gt;EWC^P_PRICE_RETURNS_PR('52W',2,-10AY,0,AM)&lt;/Q&gt;&lt;R&gt;121&lt;/R&gt;&lt;C&gt;1&lt;/C&gt;&lt;D xsi:type="xsd:double"&gt;11.436188&lt;/D&gt;&lt;D xsi:type="xsd:double"&gt;3.2026052&lt;/D&gt;&lt;D xsi:type="xsd:double"&gt;8.468294&lt;/D&gt;&lt;D xsi:type="xsd:double"&gt;1.4654279&lt;/D&gt;&lt;D xsi:type="xsd:double"&gt;0.84433556&lt;/D&gt;&lt;D xsi:type="xsd:double"&gt;-1.3864279&lt;/D&gt;&lt;D xsi:type="xsd:double"&gt;-5.4143133&lt;/D&gt;&lt;D xsi:type="xsd:double"&gt;-0.15104413&lt;/D&gt;&lt;D xsi:type="xsd:double"&gt;-7.1699677&lt;/D&gt;&lt;D xsi:type="xsd:double"&gt;-11.723078&lt;/D&gt;&lt;D xsi:type="xsd:double"&gt;-22.55761&lt;/D&gt;&lt;D xsi:type="xsd:double"&gt;-25.237148&lt;/D&gt;&lt;D xsi:type="xsd:double"&gt;-23.42044&lt;/D&gt;&lt;D xsi:type="xsd:double"&gt;-17.698538&lt;/D&gt;&lt;D xsi:type="xsd:double"&gt;-23.69265&lt;/D&gt;&lt;D xsi:type="xsd:double"&gt;-21.940105&lt;/D&gt;&lt;D xsi:type="xsd:double"&gt;-25.195438&lt;/D&gt;&lt;D xsi:type="xsd:double"&gt;-20.985186&lt;/D&gt;&lt;D xsi:type="xsd:double"&gt;-15.196824&lt;/D&gt;&lt;D xsi:type="xsd:double"&gt;-12.193733&lt;/D&gt;&lt;D xsi:type="xsd:double"&gt;-9.596163&lt;/D&gt;&lt;D xsi:type="xsd:double"&gt;-12.346851&lt;/D&gt;&lt;D xsi:type="xsd:double"&gt;2.9886127&lt;/D&gt;&lt;D xsi:type="xsd:double"&gt;12.731624&lt;/D&gt;&lt;D xsi:type="xsd:double"&gt;11.458647&lt;/D&gt;&lt;D xsi:type="xsd:double"&gt;9.182215&lt;/D&gt;&lt;D xsi:type="xsd:double"&gt;13.768482&lt;/D&gt;&lt;D xsi:type="xsd:double"&gt;20.744205&lt;/D&gt;&lt;D xsi:type="xsd:double"&gt;38.34003&lt;/D&gt;&lt;D xsi:type="xsd:double"&gt;27.875126&lt;/D&gt;&lt;D xsi:type="xsd:double"&gt;17.364597&lt;/D&gt;&lt;D xsi:type="xsd:double"&gt;5.9654355&lt;/D&gt;&lt;D xsi:type="xsd:double"&gt;8.600044&lt;/D&gt;&lt;D xsi:type="xsd:double"&gt;14.421045&lt;/D&gt;&lt;D xsi:type="xsd:double"&gt;13.341832&lt;/D&gt;&lt;D xsi:type="xsd:double"&gt;9.878838&lt;/D&gt;&lt;D xsi:type="xsd:double"&gt;16.593372&lt;/D&gt;&lt;D xsi:type="xsd:double"&gt;15.085101&lt;/D&gt;&lt;D xsi:type="xsd:double"&gt;14.73825&lt;/D&gt;&lt;D xsi:type="xsd:double"&gt;15.081286&lt;/D&gt;&lt;D xsi:type="xsd:double"&gt;12.710535&lt;/D&gt;&lt;D xsi:type="xsd:double"&gt;6.4757943&lt;/D&gt;&lt;D xsi:type="xsd:double"&gt;4.2642355&lt;/D&gt;&lt;D xsi:type="xsd:double"&gt;9.908188&lt;/D&gt;&lt;D xsi:type="xsd:double"&gt;11.625147&lt;/D&gt;&lt;D xsi:type="xsd:double"&gt;7.5468183&lt;/D&gt;&lt;D xsi:type="xsd:double"&gt;6.7534924&lt;/D&gt;&lt;D xsi:type="xsd:double"&gt;7.9772115&lt;/D&gt;&lt;D xsi:type="xsd:double"&gt;1.8724084&lt;/D&gt;&lt;D xsi:type="xsd:double"&gt;-6.4311085&lt;/D&gt;&lt;D xsi:type="xsd:double"&gt;-8.452707&lt;/D&gt;&lt;D xsi:type="xsd:double"&gt;-17.296154&lt;/D&gt;&lt;D xsi:type="xsd:double"&gt;-9.666866&lt;/D&gt;&lt;D xsi:type="xsd:double"&gt;1.2878776&lt;/D&gt;&lt;D xsi:type="xsd:double"&gt;3.7258744&lt;/D&gt;&lt;D xsi:type="xsd:double"&gt;3.8315058&lt;/D&gt;&lt;D xsi:type="xsd:double"&gt;-1.5511334&lt;/D&gt;&lt;D xsi:type="xsd:double"&gt;4.506302&lt;/D&gt;&lt;D xsi:type="xsd:double"&gt;1.0836959&lt;/D&gt;&lt;D xsi:type="xsd:double"&gt;-3.0706108&lt;/D&gt;&lt;D xsi:type="xsd:double"&gt;2.9904604&lt;/D&gt;&lt;D xsi:type="xsd:double"&gt;12.52327&lt;/D&gt;&lt;D xsi:type="xsd:double"&gt;16.369486&lt;/D&gt;&lt;D xsi:type="xsd:double"&gt;28.563427&lt;/D&gt;&lt;D xsi:type="xsd:double"&gt;15.354431&lt;/D&gt;&lt;D xsi:type="xsd:double"&gt;2.1094918&lt;/D&gt;&lt;D xsi:type="xsd:double"&gt;-23.206097&lt;/D&gt;&lt;D xsi:type="xsd:double"&gt;-14.487606&lt;/D&gt;&lt;D xsi:type="xsd:double"&gt;-6.5627217&lt;/D&gt;&lt;D xsi:type="xsd:double"&gt;-9.617114&lt;/D&gt;&lt;D xsi:type="xsd:double"&gt;-2.424091&lt;/D&gt;&lt;D xsi:type="xsd:double"&gt;6.9737554&lt;/D&gt;&lt;D xsi:type="xsd:double"&gt;-3.9960265&lt;/D&gt;&lt;D xsi:type="xsd:double"&gt;-2.6017964&lt;/D&gt;&lt;D xsi:type="xsd:double"&gt;5.253637&lt;/D&gt;&lt;D xsi:type="xsd:double"&gt;7.098031&lt;/D&gt;&lt;D xsi:type="xsd:double"&gt;4.8249006&lt;/D&gt;&lt;D xsi:type="xsd:double"&gt;13.449931&lt;/D&gt;&lt;D xsi:type="xsd:double"&gt;60.214676&lt;/D&gt;&lt;D xsi:type="xsd:double"&gt;52.245842&lt;/D&gt;&lt;D xsi:type="xsd:double"&gt;52.05878&lt;/D&gt;&lt;D xsi:type="xsd:double"&gt;49.675705&lt;/D&gt;&lt;D xsi:type="xsd:double"&gt;37.02452&lt;/D&gt;&lt;D xsi:type="xsd:double"&gt;32.173264&lt;/D&gt;&lt;D xsi:type="xsd:double"&gt;39.27753&lt;/D&gt;&lt;D xsi:type="xsd:double"&gt;44.424416&lt;/D&gt;&lt;D xsi:type="xsd:double"&gt;27.98016&lt;/D&gt;&lt;D xsi:type="xsd:double"&gt;25.707508&lt;/D&gt;&lt;D xsi:type="xsd:double"&gt;22.645844&lt;/D&gt;&lt;D xsi:type="xsd:double"&gt;18.325256&lt;/D&gt;&lt;D xsi:type="xsd:double"&gt;22.428167&lt;/D&gt;&lt;D xsi:type="xsd:double"&gt;6.6930532&lt;/D&gt;&lt;D xsi:type="xsd:double"&gt;1.4057398&lt;/D&gt;&lt;D xsi:type="xsd:double"&gt;-7.0456505&lt;/D&gt;&lt;D xsi:type="xsd:double"&gt;-4.1899624&lt;/D&gt;&lt;D xsi:type="xsd:double"&gt;-3.759116&lt;/D&gt;&lt;D xsi:type="xsd:double"&gt;-15.726882&lt;/D&gt;&lt;D xsi:type="xsd:double"&gt;-13.676601&lt;/D&gt;&lt;D xsi:type="xsd:double"&gt;-8.282673&lt;/D&gt;&lt;D xsi:type="xsd:double"&gt;-11.873942&lt;/D&gt;&lt;D xsi:type="xsd:double"&gt;-1.5671492&lt;/D&gt;&lt;D xsi:type="xsd:double"&gt;-8.15528&lt;/D&gt;&lt;D xsi:type="xsd:double"&gt;-16.924828&lt;/D&gt;&lt;D xsi:type="xsd:double"&gt;-3.95962&lt;/D&gt;&lt;D xsi:type="xsd:double"&gt;-6.7575035&lt;/D&gt;&lt;D xsi:type="xsd:double"&gt;2.843225&lt;/D&gt;&lt;D xsi:type="xsd:double"&gt;5.451381&lt;/D&gt;&lt;D xsi:type="xsd:double"&gt;-3.837967&lt;/D&gt;&lt;D xsi:type="xsd:double"&gt;11.392498&lt;/D&gt;&lt;D xsi:type="xsd:double"&gt;-2.205801&lt;/D&gt;&lt;D xsi:type="xsd:double"&gt;-0.09662509&lt;/D&gt;&lt;D xsi:type="xsd:double"&gt;14.293098&lt;/D&gt;&lt;D xsi:type="xsd:double"&gt;4.832852&lt;/D&gt;&lt;D xsi:type="xsd:double"&gt;9.796929&lt;/D&gt;&lt;D xsi:type="xsd:double"&gt;18.156075&lt;/D&gt;&lt;D xsi:type="xsd:double"&gt;11.873341&lt;/D&gt;&lt;D xsi:type="xsd:double"&gt;15.774954&lt;/D&gt;&lt;D xsi:type="xsd:double"&gt;10.5175495&lt;/D&gt;&lt;D xsi:type="xsd:double"&gt;9.309137&lt;/D&gt;&lt;D xsi:type="xsd:double"&gt;22.841476&lt;/D&gt;&lt;D xsi:type="xsd:double"&gt;27.665318&lt;/D&gt;&lt;/FQL&gt;&lt;FQL&gt;&lt;Q&gt;BRENT-FDS^FG_PRICE_CHANGE(0,-1AM)&lt;/Q&gt;&lt;R&gt;1&lt;/R&gt;&lt;C&gt;1&lt;/C&gt;&lt;D xsi:type="xsd:double"&gt;0&lt;/D&gt;&lt;/FQL&gt;&lt;FQL&gt;&lt;Q&gt;EWQ^PERCENT_CHANGE(FMA_EPS(+1,0,,,,"PORTAGG","MEAN"),FMA_EPS(+1,-3AM,,,,"PORTAGG","MEAN"))&lt;/Q&gt;&lt;R&gt;1&lt;/R&gt;&lt;C&gt;1&lt;/C&gt;&lt;D xsi:type="xsd:double"&gt;0.465107565191695&lt;/D&gt;&lt;/FQL&gt;&lt;FQL&gt;&lt;Q&gt;EWU^FG_TOTAL_RETURNC(0,-6AM)&lt;/Q&gt;&lt;R&gt;1&lt;/R&gt;&lt;C&gt;1&lt;/C&gt;&lt;D xsi:type="xsd:double"&gt;12.635696&lt;/D&gt;&lt;/FQL&gt;&lt;FQL&gt;&lt;Q&gt;EWG^FG_TOTAL_RETURNC(0,-1AM)&lt;/Q&gt;&lt;R&gt;1&lt;/R&gt;&lt;C&gt;1&lt;/C&gt;&lt;D xsi:type="xsd:double"&gt;3.62854&lt;/D&gt;&lt;/FQL&gt;&lt;FQL&gt;&lt;Q&gt;USO^FG_TOTAL_RETURNC(0,-1AM)&lt;/Q&gt;&lt;R&gt;1&lt;/R&gt;&lt;C&gt;1&lt;/C&gt;&lt;D xsi:type="xsd:double"&gt;-9.779048&lt;/D&gt;&lt;/FQL&gt;&lt;FQL&gt;&lt;Q&gt;BRENT-FDS^FG_PRICE(0)&lt;/Q&gt;&lt;R&gt;1&lt;/R&gt;&lt;C&gt;1&lt;/C&gt;&lt;D xsi:type="xsd:double"&gt;85.86&lt;/D&gt;&lt;/FQL&gt;&lt;FQL&gt;&lt;Q&gt;EWQ^PERCENT_CHANGE(FMA_EPS(+1,0,,,,"PORTAGG","MEAN"),FMA_EPS(+1,-1AM,,,,"PORTAGG","MEAN"))&lt;/Q&gt;&lt;R&gt;1&lt;/R&gt;&lt;C&gt;1&lt;/C&gt;&lt;D xsi:type="xsd:double"&gt;-1.12884177367926&lt;/D&gt;&lt;/FQL&gt;&lt;FQL&gt;&lt;Q&gt;CC_CA^IMF_IFS_RCPI_Q(0)&lt;/Q&gt;&lt;R&gt;1&lt;/R&gt;&lt;C&gt;1&lt;/C&gt;&lt;D xsi:type="xsd:double"&gt;2.7411842&lt;/D&gt;&lt;/FQL&gt;&lt;FQL&gt;&lt;Q&gt;EWL^FG_TOTAL_RETURNC(0,-6AM)&lt;/Q&gt;&lt;R&gt;1&lt;/R&gt;&lt;C&gt;1&lt;/C&gt;&lt;D xsi:type="xsd:double"&gt;12.764335&lt;/D&gt;&lt;/FQL&gt;&lt;FQL&gt;&lt;Q&gt;EWN^FMA_PE(LTMA,-10AY,0,AM,"PORTAGG","MEANR")&lt;/Q&gt;&lt;R&gt;121&lt;/R&gt;&lt;C&gt;1&lt;/C&gt;&lt;D xsi:type="xsd:double"&gt;16.7587827406305&lt;/D&gt;&lt;D xsi:type="xsd:double"&gt;16.0057000567213&lt;/D&gt;&lt;D xsi:type="xsd:double"&gt;17.7461626791649&lt;/D&gt;&lt;D xsi:type="xsd:double"&gt;17.6644900500192&lt;/D&gt;&lt;D xsi:type="xsd:double"&gt;18.7524851857556&lt;/D&gt;&lt;D xsi:type="xsd:double"&gt;20.1223054586507&lt;/D&gt;&lt;D xsi:type="xsd:double"&gt;19.9157582397055&lt;/D&gt;&lt;D xsi:type="xsd:double"&gt;19.9104621494925&lt;/D&gt;&lt;D xsi:type="xsd:double"&gt;19.6294685731537&lt;/D&gt;&lt;D xsi:type="xsd:double"&gt;19.2686697328413&lt;/D&gt;&lt;D xsi:type="xsd:double"&gt;18.8417744982468&lt;/D&gt;&lt;D xsi:type="xsd:double"&gt;17.5569938860401&lt;/D&gt;&lt;D xsi:type="xsd:double"&gt;16.7641690361841&lt;/D&gt;&lt;D xsi:type="xsd:double"&gt;17.4631290005181&lt;/D&gt;&lt;D xsi:type="xsd:double"&gt;18.2517716650076&lt;/D&gt;&lt;D xsi:type="xsd:double"&gt;17.254760592399&lt;/D&gt;&lt;D xsi:type="xsd:double"&gt;16.1312568944003&lt;/D&gt;&lt;D xsi:type="xsd:double"&gt;16.2192761305052&lt;/D&gt;&lt;D xsi:type="xsd:double"&gt;16.387204622321&lt;/D&gt;&lt;D xsi:type="xsd:double"&gt;16.325704416075&lt;/D&gt;&lt;D xsi:type="xsd:double"&gt;16.3849644431134&lt;/D&gt;&lt;D xsi:type="xsd:double"&gt;15.3696800760603&lt;/D&gt;&lt;D xsi:type="xsd:double"&gt;16.1644115943872&lt;/D&gt;&lt;D xsi:type="xsd:double"&gt;16.143297624822&lt;/D&gt;&lt;D xsi:type="xsd:double"&gt;15.981668392565&lt;/D&gt;&lt;D xsi:type="xsd:double"&gt;15.8795046152784&lt;/D&gt;&lt;D xsi:type="xsd:double"&gt;15.6955777490254&lt;/D&gt;&lt;D xsi:type="xsd:double"&gt;16.3390138701925&lt;/D&gt;&lt;D xsi:type="xsd:double"&gt;16.3436329511664&lt;/D&gt;&lt;D xsi:type="xsd:double"&gt;16.4363128842318&lt;/D&gt;&lt;D xsi:type="xsd:double"&gt;16.468927102148&lt;/D&gt;&lt;D xsi:type="xsd:double"&gt;16.6562023797993&lt;/D&gt;&lt;D xsi:type="xsd:double"&gt;16.7272567607889&lt;/D&gt;&lt;D xsi:type="xsd:double"&gt;16.6363852974621&lt;/D&gt;&lt;D xsi:type="xsd:double"&gt;16.8149404200518&lt;/D&gt;&lt;D xsi:type="xsd:double"&gt;16.5735436172616&lt;/D&gt;&lt;D xsi:type="xsd:double"&gt;16.8478108468986&lt;/D&gt;&lt;D xsi:type="xsd:double"&gt;17.2696013624524&lt;/D&gt;&lt;D xsi:type="xsd:double"&gt;17.2025845382146&lt;/D&gt;&lt;D xsi:type="xsd:double"&gt;17.3301869926745&lt;/D&gt;&lt;D xsi:type="xsd:double"&gt;17.5240262691346&lt;/D&gt;&lt;D xsi:type="xsd:double"&gt;16.7251660757298&lt;/D&gt;&lt;D xsi:type="xsd:double"&gt;16.5464794750136&lt;/D&gt;&lt;D xsi:type="xsd:double"&gt;16.5902275298072&lt;/D&gt;&lt;D xsi:type="xsd:double"&gt;16.7124678648962&lt;/D&gt;&lt;D xsi:type="xsd:double"&gt;16.5065053951958&lt;/D&gt;&lt;D xsi:type="xsd:double"&gt;16.8681212405149&lt;/D&gt;&lt;D xsi:type="xsd:double"&gt;16.6823761190427&lt;/D&gt;&lt;D xsi:type="xsd:double"&gt;16.4014001026731&lt;/D&gt;&lt;D xsi:type="xsd:double"&gt;15.2369517361537&lt;/D&gt;&lt;D xsi:type="xsd:double"&gt;15.4098652413337&lt;/D&gt;&lt;D xsi:type="xsd:double"&gt;13.9350804572737&lt;/D&gt;&lt;D xsi:type="xsd:double"&gt;15.2333356268761&lt;/D&gt;&lt;D xsi:type="xsd:double"&gt;16.10118503134&lt;/D&gt;&lt;D xsi:type="xsd:double"&gt;16.1247919281578&lt;/D&gt;&lt;D xsi:type="xsd:double"&gt;16.3134571546665&lt;/D&gt;&lt;D xsi:type="xsd:double"&gt;16.0774015851863&lt;/D&gt;&lt;D xsi:type="xsd:double"&gt;16.3162485633006&lt;/D&gt;&lt;D xsi:type="xsd:double"&gt;16.7684398174934&lt;/D&gt;&lt;D xsi:type="xsd:double"&gt;16.3186262652732&lt;/D&gt;&lt;D xsi:type="xsd:double"&gt;17.043682883514&lt;/D&gt;&lt;D xsi:type="xsd:double"&gt;17.4059442860764&lt;/D&gt;&lt;D xsi:type="xsd:double"&gt;18.0938151975424&lt;/D&gt;&lt;D xsi:type="xsd:double"&gt;18.7883981766724&lt;/D&gt;&lt;D xsi:type="xsd:double"&gt;18.1928385557699&lt;/D&gt;&lt;D xsi:type=</t>
        </r>
      </text>
    </comment>
    <comment ref="A13" authorId="0" shapeId="0" xr:uid="{83339C54-1758-40D7-A82B-04F7FECBFF17}">
      <text>
        <r>
          <rPr>
            <b/>
            <sz val="9"/>
            <color indexed="81"/>
            <rFont val="Tahoma"/>
            <charset val="1"/>
          </rPr>
          <t>"xsd:double"&gt;17.874727847011&lt;/D&gt;&lt;D xsi:type="xsd:double"&gt;16.7781881219891&lt;/D&gt;&lt;D xsi:type="xsd:double"&gt;17.664338947055&lt;/D&gt;&lt;D xsi:type="xsd:double"&gt;18.4462987562169&lt;/D&gt;&lt;D xsi:type="xsd:double"&gt;19.4286033317722&lt;/D&gt;&lt;D xsi:type="xsd:double"&gt;20.3887178874487&lt;/D&gt;&lt;D xsi:type="xsd:double"&gt;21.4295825472195&lt;/D&gt;&lt;D xsi:type="xsd:double"&gt;21.4444945067962&lt;/D&gt;&lt;D xsi:type="xsd:double"&gt;22.0675357104942&lt;/D&gt;&lt;D xsi:type="xsd:double"&gt;25.2124997430295&lt;/D&gt;&lt;D xsi:type="xsd:double"&gt;27.0911621164959&lt;/D&gt;&lt;D xsi:type="xsd:double"&gt;27.2888395191036&lt;/D&gt;&lt;D xsi:type="xsd:double"&gt;28.9833052381028&lt;/D&gt;&lt;D xsi:type="xsd:double"&gt;28.6240768907173&lt;/D&gt;&lt;D xsi:type="xsd:double"&gt;28.0948902840671&lt;/D&gt;&lt;D xsi:type="xsd:double"&gt;27.2189442199008&lt;/D&gt;&lt;D xsi:type="xsd:double"&gt;26.7174645129231&lt;/D&gt;&lt;D xsi:type="xsd:double"&gt;26.0824913961624&lt;/D&gt;&lt;D xsi:type="xsd:double"&gt;26.0662196061201&lt;/D&gt;&lt;D xsi:type="xsd:double"&gt;25.0080238742422&lt;/D&gt;&lt;D xsi:type="xsd:double"&gt;24.723435076481&lt;/D&gt;&lt;D xsi:type="xsd:double"&gt;22.9560332613628&lt;/D&gt;&lt;D xsi:type="xsd:double"&gt;22.8388404518674&lt;/D&gt;&lt;D xsi:type="xsd:double"&gt;20.304187070565&lt;/D&gt;&lt;D xsi:type="xsd:double"&gt;18.3295860616793&lt;/D&gt;&lt;D xsi:type="xsd:double"&gt;18.5012321813857&lt;/D&gt;&lt;D xsi:type="xsd:double"&gt;18.202610053897&lt;/D&gt;&lt;D xsi:type="xsd:double"&gt;18.5096848993216&lt;/D&gt;&lt;D xsi:type="xsd:double"&gt;18.2965980939591&lt;/D&gt;&lt;D xsi:type="xsd:double"&gt;19.3830138468364&lt;/D&gt;&lt;D xsi:type="xsd:double"&gt;18.9947858568893&lt;/D&gt;&lt;D xsi:type="xsd:double"&gt;17.3234222348492&lt;/D&gt;&lt;D xsi:type="xsd:double"&gt;18.1347890370486&lt;/D&gt;&lt;D xsi:type="xsd:double"&gt;18.7200734612796&lt;/D&gt;&lt;D xsi:type="xsd:double"&gt;17.8447327294933&lt;/D&gt;&lt;D xsi:type="xsd:double"&gt;19.5801267691276&lt;/D&gt;&lt;D xsi:type="xsd:double"&gt;20.8345882862979&lt;/D&gt;&lt;D xsi:type="xsd:double"&gt;20.2579124541028&lt;/D&gt;&lt;D xsi:type="xsd:double"&gt;19.8522797533572&lt;/D&gt;&lt;D xsi:type="xsd:double"&gt;19.6212473800492&lt;/D&gt;&lt;D xsi:type="xsd:double"&gt;19.0832037832445&lt;/D&gt;&lt;D xsi:type="xsd:double"&gt;19.1648638075448&lt;/D&gt;&lt;D xsi:type="xsd:double"&gt;17.6997024820434&lt;/D&gt;&lt;D xsi:type="xsd:double"&gt;16.6062763109092&lt;/D&gt;&lt;D xsi:type="xsd:double"&gt;15.7191842540295&lt;/D&gt;&lt;D xsi:type="xsd:double"&gt;16.4729049665372&lt;/D&gt;&lt;D xsi:type="xsd:double"&gt;16.7003898396048&lt;/D&gt;&lt;D xsi:type="xsd:double"&gt;17.3871611394679&lt;/D&gt;&lt;D xsi:type="xsd:double"&gt;17.8590133979324&lt;/D&gt;&lt;D xsi:type="xsd:double"&gt;18.4591591012432&lt;/D&gt;&lt;D xsi:type="xsd:double"&gt;18.1866125099362&lt;/D&gt;&lt;D xsi:type="xsd:double"&gt;18.3599883505791&lt;/D&gt;&lt;D xsi:type="xsd:double"&gt;18.2980536704641&lt;/D&gt;&lt;D xsi:type="xsd:double"&gt;17.8843817913562&lt;/D&gt;&lt;D xsi:type="xsd:double"&gt;17.6057221577219&lt;/D&gt;&lt;D xsi:type="xsd:double"&gt;17.5264428921162&lt;/D&gt;&lt;/FQL&gt;&lt;FQL&gt;&lt;Q&gt;NI-FDS^FG_PRICE_CHANGE(0,-6AM)&lt;/Q&gt;&lt;R&gt;1&lt;/R&gt;&lt;C&gt;1&lt;/C&gt;&lt;D xsi:type="xsd:double"&gt;1.37783221065524&lt;/D&gt;&lt;/FQL&gt;&lt;FQL&gt;&lt;Q&gt;FC0000NZ^FG_PRICE(0)&lt;/Q&gt;&lt;R&gt;1&lt;/R&gt;&lt;C&gt;1&lt;/C&gt;&lt;D xsi:type="xsd:double"&gt;419.7472&lt;/D&gt;&lt;/FQL&gt;&lt;FQL&gt;&lt;Q&gt;EWU^FG_PRICE_MAVG(0,,,,30)&lt;/Q&gt;&lt;R&gt;1&lt;/R&gt;&lt;C&gt;1&lt;/C&gt;&lt;D xsi:type="xsd:double"&gt;37.07567&lt;/D&gt;&lt;/FQL&gt;&lt;FQL&gt;&lt;Q&gt;URTH^FG_TOTAL_RETURNC(0,-6AM)&lt;/Q&gt;&lt;R&gt;1&lt;/R&gt;&lt;C&gt;1&lt;/C&gt;&lt;D xsi:type="xsd:double"&gt;9.295427&lt;/D&gt;&lt;/FQL&gt;&lt;FQL&gt;&lt;Q&gt;EWG^FG_TOTAL_RETURNC(0,-3AM)&lt;/Q&gt;&lt;R&gt;1&lt;/R&gt;&lt;C&gt;1&lt;/C&gt;&lt;D xsi:type="xsd:double"&gt;10.310972&lt;/D&gt;&lt;/FQL&gt;&lt;FQL&gt;&lt;Q&gt;ENZL^FG_TOTAL_RETURNC(0,-1AM)&lt;/Q&gt;&lt;R&gt;1&lt;/R&gt;&lt;C&gt;1&lt;/C&gt;&lt;D xsi:type="xsd:double"&gt;0.8934021&lt;/D&gt;&lt;/FQL&gt;&lt;FQL&gt;&lt;Q&gt;EWI^FMA_COS_UP("EPS","1M",+1,0,,,"PORTAGG","MEANR")&lt;/Q&gt;&lt;R&gt;1&lt;/R&gt;&lt;C&gt;1&lt;/C&gt;&lt;D xsi:type="xsd:double"&gt;7&lt;/D&gt;&lt;/FQL&gt;&lt;FQL&gt;&lt;Q&gt;EWC^FMA_COS_DOWN("EPS","1M",+1,0,,,"PORTAGG","MEANR")&lt;/Q&gt;&lt;R&gt;1&lt;/R&gt;&lt;C&gt;1&lt;/C&gt;&lt;D xsi:type="xsd:double"&gt;38&lt;/D&gt;&lt;/FQL&gt;&lt;FQL&gt;&lt;Q&gt;TRYJP10Y-FDS^PCTCHG(FG_YIELD(0,,,,"YTM"),FG_YIELD(-3AM,,,,"YTM"))&lt;/Q&gt;&lt;R&gt;1&lt;/R&gt;&lt;C&gt;1&lt;/C&gt;&lt;D xsi:type="xsd:double"&gt;-24.595709&lt;/D&gt;&lt;/FQL&gt;&lt;FQL&gt;&lt;Q&gt;CC_JP^IMF_IFS_RCPI_Q(0)&lt;/Q&gt;&lt;R&gt;1&lt;/R&gt;&lt;C&gt;1&lt;/C&gt;&lt;D xsi:type="xsd:double"&gt;2.7266946&lt;/D&gt;&lt;/FQL&gt;&lt;FQL&gt;&lt;Q&gt;FXI^PERCENT_CHANGE(FMA_EPS(+1,0,,,,"PORTAGG","MEAN"),FMA_EPS(+1,-3AM,,,,"PORTAGG","MEAN"))&lt;/Q&gt;&lt;R&gt;1&lt;/R&gt;&lt;C&gt;1&lt;/C&gt;&lt;D xsi:type="xsd:double"&gt;8.2194704179792&lt;/D&gt;&lt;/FQL&gt;&lt;FQL&gt;&lt;Q&gt;EWI^FG_TOTAL_RETURNC(0,-1AM)&lt;/Q&gt;&lt;R&gt;1&lt;/R&gt;&lt;C&gt;1&lt;/C&gt;&lt;D xsi:type="xsd:double"&gt;1.9968867&lt;/D&gt;&lt;/FQL&gt;&lt;FQL&gt;&lt;Q&gt;EWD^SIZE(FG_CONSTITUENTS)&lt;/Q&gt;&lt;R&gt;1&lt;/R&gt;&lt;C&gt;1&lt;/C&gt;&lt;D xsi:type="xsd:long"&gt;46&lt;/D&gt;&lt;/FQL&gt;&lt;FQL&gt;&lt;Q&gt;EWU^JULIAN(FMA_DIV_YLD(NTMA,NOW,NOW,M,"PORTAGG","MEANR").DATES)&lt;/Q&gt;&lt;R&gt;1&lt;/R&gt;&lt;C&gt;1&lt;/C&gt;&lt;D xsi:type="xsd:long"&gt;45534&lt;/D&gt;&lt;/FQL&gt;&lt;FQL&gt;&lt;Q&gt;EWG^PERCENT_CHANGE(FMA_EPS(+1,0,,,,"PORTAGG","MEAN"),FMA_EPS(+1,-3AM,,,,"PORTAGG","MEAN"))&lt;/Q&gt;&lt;R&gt;1&lt;/R&gt;&lt;C&gt;1&lt;/C&gt;&lt;D xsi:type="xsd:double"&gt;-1.77711281390241&lt;/D&gt;&lt;/FQL&gt;&lt;FQL&gt;&lt;Q&gt;EWG^FMA_RBICS_REV_CURRENT(30, LOC, "PORTAGG")&lt;/Q&gt;&lt;R&gt;1&lt;/R&gt;&lt;C&gt;1&lt;/C&gt;&lt;D xsi:type="xsd:double"&gt;23.4666496440462&lt;/D&gt;&lt;/FQL&gt;&lt;FQL&gt;&lt;Q&gt;VWO^FMA_EVAL_EBITDA(NTMA,0,,,"PORTAGG","MEANR")&lt;/Q&gt;&lt;R&gt;1&lt;/R&gt;&lt;C&gt;1&lt;/C&gt;&lt;D xsi:type="xsd:double"&gt;9.00030611740051&lt;/D&gt;&lt;/FQL&gt;&lt;FQL&gt;&lt;Q&gt;USDGBP^STD(FG_PRICE_CHANGE(0,-3AY,M))&lt;/Q&gt;&lt;R&gt;1&lt;/R&gt;&lt;C&gt;1&lt;/C&gt;&lt;D xsi:type="xsd:double"&gt;2.38683145915514&lt;/D&gt;&lt;/FQL&gt;&lt;FQL&gt;&lt;Q&gt;EWQ^FMA_PE(LTMA,-10AY,0,AM,"PORTAGG","MEANR")&lt;/Q&gt;&lt;R&gt;121&lt;/R&gt;&lt;C&gt;1&lt;/C&gt;&lt;D xsi:type="xsd:double"&gt;15.3731192448609&lt;/D&gt;&lt;D xsi:type="xsd:double"&gt;14.602554015543&lt;/D&gt;&lt;D xsi:type="xsd:double"&gt;15.3873170855164&lt;/D&gt;&lt;D xsi:type="xsd:double"&gt;15.1233756070699&lt;/D&gt;&lt;D xsi:type="xsd:double"&gt;16.2703900339817&lt;/D&gt;&lt;D xsi:type="xsd:double"&gt;17.5590988431393&lt;/D&gt;&lt;D xsi:type="xsd:double"&gt;17.5399411741343&lt;/D&gt;&lt;D xsi:type="xsd:double"&gt;17.7067900284557&lt;/D&gt;&lt;D xsi:type="xsd:double"&gt;17.6088292193664&lt;/D&gt;&lt;D xsi:type="xsd:double"&gt;17.3969752417282&lt;/D&gt;&lt;D xsi:type="xsd:double"&gt;17.0506845502788&lt;/D&gt;&lt;D xsi:type="xsd:double"&gt;16.1733290333261&lt;/D&gt;&lt;D xsi:type="xsd:double"&gt;15.6218848909774&lt;/D&gt;&lt;D xsi:type="xsd:double"&gt;16.2772743798392&lt;/D&gt;&lt;D xsi:type="xsd:double"&gt;16.3796450807112&lt;/D&gt;&lt;D xsi:type="xsd:double"&gt;15.5101637970271&lt;/D&gt;&lt;D xsi:type="xsd:double"&gt;14.5704385875315&lt;/D&gt;&lt;D xsi:type="xsd:double"&gt;15.0134818455844&lt;/D&gt;&lt;D xsi:type="xsd:double"&gt;15.0998828661815&lt;/D&gt;&lt;D xsi:type="xsd:double"&gt;15.3052087753707&lt;/D&gt;&lt;D xsi:type="xsd:double"&gt;15.2619188509632&lt;/D&gt;&lt;D xsi:type="xsd:double"&gt;14.385324906393&lt;/D&gt;&lt;D xsi:type="xsd:double"&gt;15.1361988655008&lt;/D&gt;&lt;D xsi:type="xsd:double"&gt;14.9344542492125&lt;/D&gt;&lt;D xsi:type="xsd:double"&gt;14.7614054107742&lt;/D&gt;&lt;D xsi:type="xsd:double"&gt;15.0577791653817&lt;/D&gt;&lt;D xsi:type="xsd:double"&gt;14.9037204180646&lt;/D&gt;&lt;D xsi:type="xsd:double"&gt;15.7213443307987&lt;/D&gt;&lt;D xsi:type="xsd:double"&gt;15.6889412314576&lt;/D&gt;&lt;D xsi:type="xsd:double"&gt;15.544985164034&lt;/D&gt;&lt;D xsi:type="xsd:double"&gt;15.6176635058418&lt;/D&gt;&lt;D xsi:type="xsd:double"&gt;15.774105917935&lt;/D&gt;&lt;D xsi:type="xsd:double"&gt;15.805845667154&lt;/D&gt;&lt;D xsi:type="xsd:double"&gt;15.6964732649685&lt;/D&gt;&lt;D xsi:type="xsd:double"&gt;15.6824394335987&lt;/D&gt;&lt;D xsi:type="xsd:double"&gt;15.4639147536811&lt;/D&gt;&lt;D xsi:type="xsd:double"&gt;15.8024762135841&lt;/D&gt;&lt;D xsi:type="xsd:double"&gt;16.2793605653617&lt;/D&gt;&lt;D xsi:type="xsd:double"&gt;16.013991929172&lt;/D&gt;&lt;D xsi:type="xsd:double"&gt;16.1119053812231&lt;/D&gt;&lt;D xsi:type="xsd:double"&gt;16.6075926058874&lt;/D&gt;&lt;D xsi:type="xsd:double"&gt;15.6892882721802&lt;/D&gt;&lt;D xsi:type="xsd:double"&gt;15.4452372214826&lt;/D&gt;&lt;D xsi:type="xsd:double"&gt;15.5943383349066&lt;/D&gt;&lt;D xsi:type="xsd:double"&gt;15.5509828623392&lt;/D&gt;&lt;D xsi:type="xsd:double"&gt;15.1867242809926&lt;/D&gt;&lt;D xsi:type="xsd:double"&gt;15.3473106547823&lt;/D&gt;&lt;D xsi:type="xsd:double"&gt;15.1632906618333&lt;/D&gt;&lt;D xsi:type="xsd:double"&gt;15.192203577869&lt;/D&gt;&lt;D xsi:type="xsd:double"&gt;13.9018180370076&lt;/D&gt;&lt;D xsi:type="xsd:double"&gt;13.7359982795191&lt;/D&gt;&lt;D xsi:type="xsd:double"&gt;12.6020921090285&lt;/D&gt;&lt;D xsi:type="xsd:double"&gt;13.5598785205876&lt;/D&gt;&lt;D xsi:type="xsd:double"&gt;14.5176591720485&lt;/D&gt;&lt;D xsi:type="xsd:double"&gt;14.5177372578066&lt;/D&gt;&lt;D xsi:type="xsd:double"&gt;14.6781481223226&lt;/D&gt;&lt;D xsi:type="xsd:double"&gt;14.4388714231198&lt;/D&gt;&lt;D xsi:type="xsd:double"&gt;14.619782815534&lt;/D&gt;&lt;D xsi:type="xsd:double"&gt;14.9554047587309&lt;/D&gt;&lt;D xsi:type="xsd:double"&gt;14.6146870996539&lt;/D&gt;&lt;D xsi:type="xsd:double"&gt;15.1225834848552&lt;/D&gt;&lt;D xsi:type="xsd:double"&gt;15.5516527890922&lt;/D&gt;&lt;D xsi:type="xsd:double"&gt;16.1378360318384&lt;/D&gt;&lt;D xsi:type="xsd:double"&gt;16.6222658331181&lt;/D&gt;&lt;D xsi:type="xsd:double"&gt;16.1746068209519&lt;/D&gt;&lt;D xsi:type="xsd:double"&gt;15.1533115614096&lt;/D&gt;&lt;D xsi:type="xsd:double"&gt;14.3441610217297&lt;/D&gt;&lt;D xsi:type="xsd:double"&gt;15.6237076124649&lt;/D&gt;&lt;D xsi:type="xsd:double"&gt;16.7692671584887&lt;/D&gt;&lt;D xsi:type="xsd:double"&gt;18.2904883040773&lt;/D&gt;&lt;D xsi:type="xsd:double"&gt;20.3229675191149&lt;/D&gt;&lt;D xsi:type="xsd:double"&gt;22.6040302483774&lt;/D&gt;&lt;D xsi:type="xsd:double"&gt;22.51480676611&lt;/D&gt;&lt;D xsi:type="xsd:double"&gt;23.6028964365699&lt;/D&gt;&lt;D xsi:type="xsd:double"&gt;28.156052575796&lt;/D&gt;&lt;D xsi:type="xsd:double"&gt;28.4644671517806&lt;/D&gt;&lt;D xsi:type="xsd:double"&gt;27.662914903154&lt;/D&gt;&lt;D xsi:type="xsd:double"&gt;27.0710572177567&lt;/D&gt;&lt;D xsi:type="xsd:double"&gt;26.4099334526035&lt;/D&gt;&lt;D xsi:type="xsd:double"&gt;25.6108024790816&lt;/D&gt;&lt;D xsi:type="xsd:double"&gt;24.6760974948226&lt;/D&gt;&lt;D xsi:type="xsd:double"&gt;23.994255919082&lt;/D&gt;&lt;D xsi:type="xsd:double"&gt;22.5120513822887&lt;/D&gt;&lt;D xsi:type="xsd:double"&gt;21.1628647549407&lt;/D&gt;&lt;D xsi:type="xsd:double"&gt;20.0227315970558&lt;/D&gt;&lt;D xsi:type="xsd:double"&gt;18.9098116671398&lt;/D&gt;&lt;D xsi:type="xsd:double"&gt;17.3750006480565&lt;/D&gt;&lt;D xsi:type="xsd:double"&gt;17.2907502730345&lt;/D&gt;&lt;D xsi:type="xsd:double"&gt;16.4604024085714&lt;/D&gt;&lt;D xsi:type="xsd:double"&gt;15.6958185141866&lt;/D&gt;&lt;D xsi:type="xsd:double"&gt;15.2428178181554&lt;/D&gt;&lt;D xsi:type="xsd:double"&gt;14.8665668663&lt;/D&gt;&lt;D xsi:type="xsd:double"&gt;14.4411733568777&lt;/D&gt;&lt;D xsi:type="xsd:double"&gt;13.7404655762232&lt;/D&gt;&lt;D xsi:type="xsd:double"&gt;13.4115936493128&lt;/D&gt;&lt;D xsi:type="xsd:double"&gt;12.7282791080579&lt;/D&gt;&lt;D xsi:type="xsd:double"&gt;11.5292905513786&lt;/D&gt;&lt;D xsi:type="xsd:double"&gt;11.8493092517399&lt;/D&gt;&lt;D xsi:type="xsd:double"&gt;12.2363999413787&lt;/D&gt;&lt;D xsi:type="xsd:double"&gt;11.6778011120558&lt;/D&gt;&lt;D xsi:type="xsd:double"&gt;12.8782828090318&lt;/D&gt;&lt;D xsi:type="xsd:double"&gt;12.9518559226976&lt;/D&gt;&lt;D xsi:type="xsd:double"&gt;12.8670886115135&lt;/D&gt;&lt;D xsi:type="xsd:double"&gt;13.2120624654947&lt;/D&gt;&lt;D xsi:type="xsd:double"&gt;13.1063165466755&lt;/D&gt;&lt;D xsi:type="xsd:double"&gt;13.1641043497878&lt;/D&gt;&lt;D xsi:type="xsd:double"&gt;13.4351649709968&lt;/D&gt;&lt;D xsi:type="xsd:double"&gt;13.1364251779138&lt;/D&gt;&lt;D xsi:type="xsd:double"&gt;12.8862972290602&lt;/D&gt;&lt;D xsi:type="xsd:double"&gt;12.4938024981756&lt;/D&gt;&lt;D xsi:type="xsd:double"&gt;13.3159858745248&lt;/D&gt;&lt;D xsi:type="xsd:double"&gt;14.1226285877638&lt;/D&gt;&lt;D xsi:type="xsd:double"&gt;14.4774339663085&lt;/D&gt;&lt;D xsi:type="xsd:double"&gt;15.5486383732936&lt;/D&gt;&lt;D xsi:type="xsd:double"&gt;15.5320553001403&lt;/D&gt;&lt;D xsi:type="xsd:double"&gt;15.4554193882825&lt;/D&gt;&lt;D xsi:type="xsd:double"&gt;15.4303698128106&lt;/D&gt;&lt;D xsi:type="xsd:double"&gt;14.9189975890108&lt;/D&gt;&lt;D xsi:type="xsd:double"&gt;14.9886609144129&lt;/D&gt;&lt;D xsi:type="xsd:double"&gt;14.9944193573598&lt;/D&gt;&lt;D xsi:type="xsd:double"&gt;15.0041790984051&lt;/D&gt;&lt;/FQL&gt;&lt;FQL&gt;&lt;Q&gt;EWU^FG_PRICE(0)&lt;/Q&gt;&lt;R&gt;1&lt;/R&gt;&lt;C&gt;1&lt;/C&gt;&lt;D xsi:type="xsd:double"&gt;37.66&lt;/D&gt;&lt;/FQL&gt;&lt;FQL&gt;&lt;Q&gt;EWL^FMA_RBICS_REV_CURRENT(30, LOC, "PORTAGG")&lt;/Q&gt;&lt;R&gt;1&lt;/R&gt;&lt;C&gt;1&lt;/C&gt;&lt;D xsi:type="xsd:double"&gt;17.5284373745121&lt;/D&gt;&lt;/FQL&gt;&lt;FQL&gt;&lt;Q&gt;REFAUCASH-FDS^FG_YIELD(NOW,,,0)&lt;/Q&gt;&lt;R&gt;1&lt;/R&gt;&lt;C&gt;1&lt;/C&gt;&lt;D xsi:type="xsd:double"&gt;4.35&lt;/D&gt;&lt;/FQL&gt;&lt;FQL&gt;&lt;Q&gt;TRYCH10Y-FDS^FG_YIELD(0,,,,"YTM")&lt;/Q&gt;&lt;R&gt;0&lt;/R&gt;&lt;C&gt;0&lt;/C&gt;&lt;/FQL&gt;&lt;FQL&gt;&lt;Q&gt;EWQ^JULIAN(FMA_DIV_YLD(NTMA,NOW,NOW,M,"PORTAGG","MEANR").DATES)&lt;/Q&gt;&lt;R&gt;1&lt;/R&gt;&lt;C&gt;1&lt;/C&gt;&lt;D xsi:type="xsd:long"&gt;45534&lt;/D&gt;&lt;/FQL&gt;&lt;FQL&gt;&lt;Q&gt;URTH^FG_TOTAL_RETURNC(0,-1AM)&lt;/Q&gt;&lt;R&gt;1&lt;/R&gt;&lt;C&gt;1&lt;/C&gt;&lt;D xsi:type="xsd:double"&gt;2.2853136&lt;/D&gt;&lt;/FQL&gt;&lt;FQL&gt;&lt;Q&gt;EWA^P_PRICE_RETURNS_PR('52W',2,-10AY,0,AM)&lt;/Q&gt;&lt;R&gt;121&lt;/R&gt;&lt;C&gt;1&lt;/C&gt;&lt;D xsi:type="xsd:double"&gt;-2.333337&lt;/D&gt;&lt;D xsi:type="xsd:double"&gt;-4.0365877&lt;/D&gt;&lt;D xsi:type="xsd:double"&gt;-1.6968906&lt;/D&gt;&lt;D xsi:type="xsd:double"&gt;-4.3179154&lt;/D&gt;&lt;D xsi:type="xsd:double"&gt;0.75052977&lt;/D&gt;&lt;D xsi:type="xsd:double"&gt;-0.88799596&lt;/D&gt;&lt;D xsi:type="xsd:double"&gt;-4.1344585&lt;/D&gt;&lt;D xsi:type="xsd:double"&gt;-4.7774076&lt;/D&gt;&lt;D xsi:type="xsd:double"&gt;-10.285986&lt;/D&gt;&lt;D xsi:type="xsd:double"&gt;-14.214373&lt;/D&gt;&lt;D xsi:type="xsd:double"&gt;-20.164442&lt;/D&gt;&lt;D xsi:type="xsd:double"&gt;-24.936653&lt;/D&gt;&lt;D xsi:type="xsd:double"&gt;-21.644514&lt;/D&gt;&lt;D xsi:type="xsd:double"&gt;-17.070055&lt;/D&gt;&lt;D xsi:type="xsd:double"&gt;-16.71241&lt;/D&gt;&lt;D xsi:type="xsd:double"&gt;-10.891843&lt;/D&gt;&lt;D xsi:type="xsd:double"&gt;-18.65741&lt;/D&gt;&lt;D xsi:type="xsd:double"&gt;-22.559196&lt;/D&gt;&lt;D xsi:type="xsd:double"&gt;-16.026323&lt;/D&gt;&lt;D xsi:type="xsd:double"&gt;-13.277751&lt;/D&gt;&lt;D xsi:type="xsd:double"&gt;-9.4662075&lt;/D&gt;&lt;D xsi:type="xsd:double"&gt;-10.726166&lt;/D&gt;&lt;D xsi:type="xsd:double"&gt;5.638695&lt;/D&gt;&lt;D xsi:type="xsd:double"&gt;14.13393&lt;/D&gt;&lt;D xsi:type="xsd:double"&gt;20.185995&lt;/D&gt;&lt;D xsi:type="xsd:double"&gt;8.036125&lt;/D&gt;&lt;D xsi:type="xsd:double"&gt;13.336563&lt;/D&gt;&lt;D xsi:type="xsd:double"&gt;11.968565&lt;/D&gt;&lt;D xsi:type="xsd:double"&gt;30.390549&lt;/D&gt;&lt;D xsi:type="xsd:double"&gt;32.78036&lt;/D&gt;&lt;D xsi:type="xsd:double"&gt;20.049631&lt;/D&gt;&lt;D xsi:type="xsd:double"&gt;17.743778&lt;/D&gt;&lt;D xsi:type="xsd:double"&gt;15.362465&lt;/D&gt;&lt;D xsi:type="xsd:double"&gt;21.791304&lt;/D&gt;&lt;D xsi:type="xsd:double"&gt;16.272581&lt;/D&gt;&lt;D xsi:type="xsd:double"&gt;13.696575&lt;/D&gt;&lt;D xsi:type="xsd:double"&gt;13.279379&lt;/D&gt;&lt;D xsi:type="xsd:double"&gt;18.086672&lt;/D&gt;&lt;D xsi:type="xsd:double"&gt;15.006435&lt;/D&gt;&lt;D xsi:type="xsd:double"&gt;20.05328&lt;/D&gt;&lt;D xsi:type="xsd:double"&gt;18.307507&lt;/D&gt;&lt;D xsi:type="xsd:double"&gt;9.6518755&lt;/D&gt;&lt;D xsi:type="xsd:double"&gt;3.1092405&lt;/D&gt;&lt;D xsi:type="xsd:double"&gt;4.6216607&lt;/D&gt;&lt;D xsi:type="xsd:double"&gt;8.508146&lt;/D&gt;&lt;D xsi:type="xsd:double"&gt;8.780336&lt;/D&gt;&lt;D xsi:type="xsd:double"&gt;4.833567&lt;/D&gt;&lt;D xsi:type="xsd:double"&gt;4.6504617&lt;/D&gt;&lt;D xsi:type="xsd:double"&gt;3.2066345&lt;/D&gt;&lt;D xsi:type="xsd:double"&gt;-8.102739&lt;/D&gt;&lt;D xsi:type="xsd:double"&gt;-4.82257&lt;/D&gt;&lt;D xsi:type="xsd:double"&gt;-12.361479&lt;/D&gt;&lt;D xsi:type="xsd:double"&gt;-8.696413&lt;/D&gt;&lt;D xsi:type="xsd:double"&gt;-2.3145854&lt;/D&gt;&lt;D xsi:type="xsd:double"&gt;2.8833747&lt;/D&gt;&lt;D xsi:type="xsd:double"&gt;4.367888&lt;/D&gt;&lt;D xsi:type="xsd:double"&gt;2.5846362&lt;/D&gt;&lt;D xsi:type="xsd:double"&gt;7.891488&lt;/D&gt;&lt;D xsi:type="xsd:double"&gt;5.8410525&lt;/D&gt;&lt;D xsi:type="xsd:double"&gt;-1.1961997&lt;/D&gt;&lt;D xsi:type="xsd:double"&gt;6.7955613&lt;/D&gt;&lt;D xsi:type="xsd:double"&gt;19.74963&lt;/D&gt;&lt;D xsi:type="xsd:double"&gt;17.037737&lt;/D&gt;&lt;D xsi:type="xsd:double"&gt;23.908197&lt;/D&gt;&lt;D xsi:type="xsd:double"&gt;15.337837&lt;/D&gt;&lt;D xsi:type="xsd:double"&gt;1.0546803&lt;/D&gt;&lt;D xsi:type="xsd:double"&gt;-28.844786&lt;/D&gt;&lt;D xsi:type="xsd:double"&gt;-21.16658&lt;/D&gt;&lt;D xsi:type="xsd:double"&gt;-13.161892&lt;/D&gt;&lt;D xsi:type="xsd:double"&gt;-13.325387&lt;/D&gt;&lt;D xsi:type="xsd:double"&gt;-7.07711&lt;/D&gt;&lt;D xsi:type="xsd:double"&gt;1.6559601&lt;/D&gt;&lt;D xsi:type="xsd:double"&gt;-7.804412&lt;/D&gt;&lt;D xsi:type="xsd:double"&gt;-7.2957873&lt;/D&gt;&lt;D xsi:type="xsd:double"&gt;4.9984455&lt;/D&gt;&lt;D xsi:type="xsd:double"&gt;8.172512&lt;/D&gt;&lt;D xsi:type="xsd:double"&gt;9.361517&lt;/D&gt;&lt;D xsi:type="xsd:double"&gt;18.37864&lt;/D&gt;&lt;D xsi:type="xsd:double"&gt;63.501835&lt;/D&gt;&lt;D xsi:type="xsd:double"&gt;61.617947&lt;/D&gt;&lt;D xsi:type="xsd:double"&gt;48.893894&lt;/D&gt;&lt;D xsi:type="xsd:double"&gt;41.04769&lt;/D&gt;&lt;D xsi:type="xsd:double"&gt;29.927147&lt;/D&gt;&lt;D xsi:type="xsd:double"&gt;27.744114&lt;/D&gt;&lt;D xsi:type="xsd:double"&gt;31.058228&lt;/D&gt;&lt;D xsi:type="xsd:double"&gt;33.589386&lt;/D&gt;&lt;D xsi:type="xsd:double"&gt;7.185817&lt;/D&gt;&lt;D xsi:type="xsd:double"&gt;9.527278&lt;/D&gt;&lt;D xsi:type="xsd:double"&gt;-2.8650463&lt;/D&gt;&lt;D xsi:type="xsd:double"&gt;0.88214874&lt;/D&gt;&lt;D xsi:type="xsd:double"&gt;13.067794&lt;/D&gt;&lt;D xsi:type="xsd:double"&gt;-1.3613164&lt;/D&gt;&lt;D xsi:type="xsd:double"&gt;-1.9457042&lt;/D&gt;&lt;D xsi:type="xsd:double"&gt;-12.48988&lt;/D&gt;&lt;D xsi:type="xsd:double"&gt;-7.5650873&lt;/D&gt;&lt;D xsi:type="xsd:double"&gt;-6.3238087&lt;/D&gt;&lt;D xsi:type="xsd:double"&gt;-17.613787&lt;/D&gt;&lt;D xsi:type="xsd:double"&gt;-16.371513&lt;/D&gt;&lt;D xsi:type="xsd:double"&gt;-2.4784625&lt;/D&gt;&lt;D xsi:type="xsd:double"&gt;-5.5559635&lt;/D&gt;&lt;D xsi:type="xsd:double"&gt;16.711891&lt;/D&gt;&lt;D xsi:type="xsd:double"&gt;-0.100302696&lt;/D&gt;&lt;D xsi:type="xsd:double"&gt;-12.147654&lt;/D&gt;&lt;D xsi:type="xsd:double"&gt;-1.2535572&lt;/D&gt;&lt;D xsi:type="xsd:double"&gt;-3.4985542&lt;/D&gt;&lt;D xsi:type="xsd:double"&gt;7.638645&lt;/D&gt;&lt;D xsi:type="xsd:double"&gt;7.966876&lt;/D&gt;&lt;D xsi:type="xsd:double"&gt;-2.3389876&lt;/D&gt;&lt;D xsi:type="xsd:double"&gt;12.410009&lt;/D&gt;&lt;D xsi:type="xsd:double"&gt;2.7376413&lt;/D&gt;&lt;D xsi:type="xsd:double"&gt;-0.71722865&lt;/D&gt;&lt;D xsi:type="xsd:double"&gt;13.966131&lt;/D&gt;&lt;D xsi:type="xsd:double"&gt;-1.5383601&lt;/D&gt;&lt;D xsi:type="xsd:double"&gt;8.418381&lt;/D&gt;&lt;D xsi:type="xsd:double"&gt;15.825653&lt;/D&gt;&lt;D xsi:type="xsd:double"&gt;7.9960465&lt;/D&gt;&lt;D xsi:type="xsd:double"&gt;15.331221&lt;/D&gt;&lt;D xsi:type="xsd:double"&gt;13.821125&lt;/D&gt;&lt;D xsi:type="xsd:double"&gt;9.413374&lt;/D&gt;&lt;D xsi:type="xsd:double"&gt;24.839556&lt;/D&gt;&lt;D xsi:type="xsd:double"&gt;32.05664&lt;/D&gt;&lt;/FQL&gt;&lt;FQL&gt;&lt;Q&gt;SPY^FMA_PE(LTMA,-10AY,0,AM,"PORTAGG","MEANR")&lt;/Q&gt;&lt;R&gt;121&lt;/R&gt;&lt;C&gt;1&lt;/C&gt;&lt;D xsi:type="xsd:double"&gt;16.4333048698529&lt;/D&gt;&lt;D xsi:type="xsd:double"&gt;16.3646379510624&lt;/D&gt;&lt;D xsi:type="xsd:double"&gt;17.1484068274009&lt;/D&gt;&lt;D xsi:type="xsd:double"&gt;17.5230511247465&lt;/D&gt;&lt;D xsi:type="xsd:double"&gt;17.0666627025492&lt;/D&gt;&lt;D xsi:type="xsd:double"&gt;17.59103730002&lt;/D&gt;&lt;D xsi:type="xsd:double"&gt;17.494488374599&lt;/D&gt;&lt;D xsi:type="xsd:double"&gt;17.5816914779194&lt;/D&gt;&lt;D xsi:type="xsd:double"&gt;17.5685207893461&lt;/D&gt;&lt;D xsi:type="xsd:double"&gt;17.484466481276&lt;/D&gt;&lt;D xsi:type="xsd:double"&gt;17.3576507358622&lt;/D&gt;&lt;D xsi:type="xsd:double"&gt;16.909155638849&lt;/D&gt;&lt;D xsi:type="xsd:double"&gt;16.5299320850738&lt;/D&gt;&lt;D xsi:type="xsd:double"&gt;17.3942604683829&lt;/D&gt;&lt;D xsi:type="xsd:double"&gt;17.4962548504994&lt;/D&gt;&lt;D xsi:type="xsd:double"&gt;17.267833301201&lt;/D&gt;&lt;D xsi:type="xsd:double"&gt;15.8025716307363&lt;/D&gt;&lt;D xsi:type="xsd:double"&gt;16.2966838906097&lt;/D&gt;&lt;D xsi:type="xsd:double"&gt;16.18819342752&lt;/D&gt;&lt;D xsi:type="xsd:double"&gt;16.4452153070474&lt;/D&gt;&lt;D xsi:type="xsd:double"&gt;16.7505275257683&lt;/D&gt;&lt;D xsi:type="xsd:double"&gt;16.4781191425266&lt;/D&gt;&lt;D xsi:type="xsd:double"&gt;17.3246041656764&lt;/D&gt;&lt;D xsi:type="xsd:double"&gt;17.5168705731979&lt;/D&gt;&lt;D xsi:type="xsd:double"&gt;17.6824179490346&lt;/D&gt;&lt;D xsi:type="xsd:double"&gt;17.5790223125763&lt;/D&gt;&lt;D xsi:type="xsd:double"&gt;18.338937061288&lt;/D&gt;&lt;D xsi:type="xsd:double"&gt;19.0199229002768&lt;/D&gt;&lt;D xsi:type="xsd:double"&gt;19.0923490355538&lt;/D&gt;&lt;D xsi:type="xsd:double"&gt;19.53701145499&lt;/D&gt;&lt;D xsi:type="xsd:double"&gt;19.3259656597596&lt;/D&gt;&lt;D xsi:type="xsd:double"&gt;19.2538634574887&lt;/D&gt;&lt;D xsi:type="xsd:double"&gt;19.1914525240663&lt;/D&gt;&lt;D xsi:type="xsd:double"&gt;19.078941971826&lt;/D&gt;&lt;D xsi:type="xsd:double"&gt;19.19772641715&lt;/D&gt;&lt;D xsi:type="xsd:double"&gt;18.9556526650034&lt;/D&gt;&lt;D xsi:type="xsd:double"&gt;19.240118668902&lt;/D&gt;&lt;D xsi:type="xsd:double"&gt;19.6519421968673&lt;/D&gt;&lt;D xsi:type="xsd:double"&gt;19.7104774056405&lt;/D&gt;&lt;D xsi:type="xsd:double"&gt;20.3052544652292&lt;/D&gt;&lt;D xsi:type="xsd:double"&gt;21.4535182086338&lt;/D&gt;&lt;D xsi:type="xsd:double"&gt;20.0313079633711&lt;/D&gt;&lt;D xsi:type="xsd:double"&gt;19.4192442867092&lt;/D&gt;&lt;D xsi:type="xsd:double"&gt;19.1526422058075&lt;/D&gt;&lt;D xsi:type="xsd:double"&gt;18.9513526310138&lt;/D&gt;&lt;D xsi:type="xsd:double"&gt;18.576379972966&lt;/D&gt;&lt;D xsi:type="xsd:double"&gt;18.6682207451327&lt;/D&gt;&lt;D xsi:type="xsd:double"&gt;18.7046132669716&lt;/D&gt;&lt;D xsi:type="xsd:double"&gt;18.6022016994231&lt;/D&gt;&lt;D xsi:type="xsd:double"&gt;17.0772898744462&lt;/D&gt;&lt;D xsi:type="xsd:double"&gt;16.8519437994536&lt;/D&gt;&lt;D xsi:type="xsd:double"&gt;15.4321104911256&lt;/D&gt;&lt;D xsi:type="xsd:double"&gt;16.46892501174&lt;/D&gt;&lt;D xsi:type="xsd:double"&gt;17.1603880554566&lt;/D&gt;&lt;D xsi:type="xsd:double"&gt;17.0972842351824&lt;/D&gt;&lt;D xsi:type="xsd:double"&gt;17.3057946397782&lt;/D&gt;&lt;D xsi:type="xsd:double"&gt;17.0593342108554&lt;/D&gt;&lt;D xsi:type="xsd:double"&gt;17.3490383476681&lt;/D&gt;&lt;D xsi:type="xsd:double"&gt;17.7995704828345&lt;/D&gt;&lt;D xsi:type="xsd:double"&gt;17.2992977294723&lt;/D&gt;&lt;D xsi:type="xsd:double"&gt;17.7948497822911&lt;/D&gt;&lt;D xsi:type="xsd:double"&gt;18.2364589268353&lt;/D&gt;&lt;D xsi:type="xsd:double"&gt;19.1487916367366&lt;/D&gt;&lt;D xsi:type="xsd:double"&gt;19.9048224943562&lt;/D&gt;&lt;D xsi:type="xsd:double"&gt;19.8275177006345&lt;/D&gt;&lt;D xsi:type="xsd:double"&gt;18.0548683056548&lt;/D&gt;&lt;D xsi:type="xsd:double"&gt;17.5178035616774&lt;/D&gt;&lt;D xsi:type="xsd:double"&gt;19.1031589950143&lt;/D&gt;&lt;D xsi:type="xsd:double"&gt;20.3704426476526&lt;/D&gt;&lt;D xsi:type="xsd:double"&gt;20.8154241315527&lt;/D&gt;&lt;D xsi:type="xsd:double"&gt;22.1885890500971&lt;/D&gt;&lt;D xsi:type="xsd:double"&gt;23.5127155874158&lt;/D&gt;&lt;D xsi:type="xsd:double"&gt;23.1042741263234&lt;/D&gt;&lt;D xsi:type="xsd:double"&gt;23.8812176862407&lt;/D&gt;&lt;D xsi:type="xsd:double"&gt;25.3770064798861&lt;/D&gt;&lt;D xsi:type="xsd:double"&gt;26.8775225913598&lt;/D&gt;&lt;D xsi:type="xsd:double"&gt;26.752570812137&lt;/D&gt;&lt;D xsi:type="xsd:double"&gt;26.2931694473799&lt;/D&gt;&lt;D xsi:type="xsd:double"&gt;26.0763066121878&lt;/D&gt;&lt;D xsi:type="xsd:double"&gt;25.8108316749371&lt;/D&gt;&lt;D xsi:type="xsd:double"&gt;25.1305899193803&lt;/D&gt;&lt;D xsi:type="xsd:double"&gt;24.8647699563105&lt;/D&gt;&lt;D xsi:type="xsd:double"&gt;24.4586317926586&lt;/D&gt;&lt;D xsi:type="xsd:double"&gt;24.0129850181294&lt;/D&gt;&lt;D xsi:type="xsd:double"&gt;23.4419742387813&lt;/D&gt;&lt;D xsi:type="xsd:double"&gt;23.1727377573406&lt;/D&gt;&lt;D xsi:type="xsd:double"&gt;22.826410561866&lt;/D&gt;&lt;D xsi:type="xsd:double"&gt;23.4030236946808&lt;/D&gt;&lt;D xsi:type="xsd:double"&gt;20.9133500613727&lt;/D&gt;&lt;D xsi:type="xsd:double"&gt;20.7936650057992&lt;/D&gt;&lt;D xsi:type="xsd:double"&gt;20.7434119503555&lt;/D&gt;&lt;D xsi:type="xsd:double"&gt;20.078754943938&lt;/D&gt;&lt;D xsi:type="xsd:double"&gt;19.8217812173825&lt;/D&gt;&lt;D xsi:type="xsd:double"&gt;19.0168397158485&lt;/D&gt;&lt;D xsi:type="xsd:double"&gt;19.0786656309452&lt;/D&gt;&lt;D xsi:type="xsd:double"&gt;18.9991269270234&lt;/D&gt;&lt;D xsi:type="xsd:double"&gt;17.4891820320783&lt;/D&gt;&lt;D xsi:type="xsd:double"&gt;17.8753616728081&lt;/D&gt;&lt;D xsi:type="xsd:double"&gt;18.4783846094145&lt;/D&gt;&lt;D xsi:type="xsd:double"&gt;17.3932659456205&lt;/D&gt;&lt;D xsi:type="xsd:double"&gt;18.4998907487468&lt;/D&gt;&lt;D xsi:type="xsd:double"&gt;18.1123683350622&lt;/D&gt;&lt;D xsi:type="xsd:double"&gt;18.0606958054273&lt;/D&gt;&lt;D xsi:type="xsd:double"&gt;18.2892362667733&lt;/D&gt;&lt;D xsi:type="xsd:double"&gt;18.4393232118107&lt;/D&gt;&lt;D xsi:type="xsd:double"&gt;18.9516025873095&lt;/D&gt;&lt;D xsi:type="xsd:double"&gt;19.5645965269149&lt;/D&gt;&lt;D xsi:type="xsd:double"&gt;19.2110322387595&lt;/D&gt;&lt;D xsi:type="xsd:double"&gt;18.9887065870125&lt;/D&gt;&lt;D xsi:type="xsd:double"&gt;18.5609168153974&lt;/D&gt;&lt;D xsi:type="xsd:double"&gt;20.3561918922744&lt;/D&gt;&lt;D xsi:type="xsd:double"&gt;21.7474787706849&lt;/D&gt;&lt;D xsi:type="xsd:double"&gt;22.2767169340949&lt;/D&gt;&lt;D xsi:type="xsd:double"&gt;22.7099054051948&lt;/D&gt;&lt;D xsi:type="xsd:double"&gt;22.7664131324302&lt;/D&gt;&lt;D xsi:type="xsd:double"&gt;22.4334768306284&lt;/D&gt;&lt;D xsi:type="xsd:double"&gt;22.5662989738348&lt;/D&gt;&lt;D xsi:type="xsd:double"&gt;22.8189986672052&lt;/D&gt;&lt;D xsi:type="xsd:double"&gt;22.7645246351003&lt;/D&gt;&lt;D xsi:type="xsd:double"&gt;23.1816978903924&lt;/D&gt;&lt;D xsi:type="xsd:double"&gt;23.5887563420304&lt;/D&gt;&lt;/FQL&gt;&lt;FQL&gt;&lt;Q&gt;BRENT-FDS^FG_PRICE_MAVG(0,,,,30)&lt;/Q&gt;&lt;R&gt;1&lt;/R&gt;&lt;C&gt;1&lt;/C&gt;&lt;D xsi:type="xsd:double"&gt;85.86&lt;/D&gt;&lt;/FQL&gt;&lt;FQL&gt;&lt;Q&gt;EWL^FG_PRICE_MAVG(0,,,,200)&lt;/Q&gt;&lt;R&gt;1&lt;/R&gt;&lt;C&gt;1&lt;/C&gt;&lt;D xsi:type="xsd:double"&gt;48.4422&lt;/D&gt;&lt;/FQL&gt;&lt;FQL&gt;&lt;Q&gt;URTH^FG_TOTAL_RETURNC(0,-3AM)&lt;/Q&gt;&lt;R&gt;1&lt;/R&gt;&lt;C&gt;1&lt;/C&gt;&lt;D xsi:type="xsd:double"&gt;6.335449&lt;/D&gt;&lt;/FQL&gt;&lt;FQL&gt;&lt;Q&gt;EWI^PERCENT_CHANGE(FMA_EPS(+1,0,,,,"PORTAGG","MEAN"),FMA_EPS(+1,-3AM,,,,"PORTAGG","MEAN"))&lt;/Q&gt;&lt;R&gt;1&lt;/R&gt;&lt;C&gt;1&lt;/C&gt;&lt;D xsi:type="xsd:double"&gt;-0.589216101644248&lt;/D&gt;&lt;/FQL&gt;&lt;FQL&gt;&lt;Q&gt;EWU^FG_TOTAL_RETURNC(0,-3AM)&lt;/Q&gt;&lt;R&gt;1&lt;/R&gt;&lt;C&gt;1&lt;/C&gt;&lt;D xsi:type="xsd:double"&gt;7.8465104&lt;/D&gt;&lt;/FQL&gt;&lt;FQL&gt;&lt;Q&gt;ENZL^PERCENT_CHANGE(FMA_EPS(+1,0,,,,"PORTAGG","MEAN"),FMA_EPS(+1,-3AM,,,,"PORTAGG","MEAN"))&lt;/Q&gt;&lt;R&gt;1&lt;/R&gt;&lt;C&gt;1&lt;/C&gt;&lt;D xsi:type="xsd:double"&gt;13.0658949117307&lt;/D&gt;&lt;/FQL&gt;&lt;FQL&gt;&lt;Q&gt;EWN^FMA_COS_UP("EPS","1M",+1,0,,,"PORTAGG","MEANR")&lt;/Q&gt;&lt;R&gt;1&lt;/R&gt;&lt;C&gt;1&lt;/C&gt;&lt;D xsi:type="xsd:double"&gt;16&lt;/D&gt;&lt;/FQL&gt;&lt;FQL&gt;&lt;Q&gt;EWC^FMA_COS_UP("EPS","1M",+1,0,,,"PORTAGG","MEANR")&lt;/Q&gt;&lt;R&gt;1&lt;/R&gt;&lt;C&gt;1&lt;/C&gt;&lt;D xsi:type="xsd:double"&gt;15&lt;/D&gt;&lt;/FQL&gt;&lt;FQL&gt;&lt;Q&gt;EWJ^FMA_RBICS_REV_CURRENT(30, LOC, "PORTAGG")&lt;/Q&gt;&lt;R&gt;1&lt;/R&gt;&lt;C&gt;1&lt;/C&gt;&lt;D xsi:type="xsd:double"&gt;18.4737986742214&lt;/D&gt;&lt;/FQL&gt;&lt;FQL&gt;&lt;Q&gt;TRYJP10Y-FDS^PCTCHG(FG_YIELD(0,,,,"YTM"),FG_YIELD(-1AM,,,,"YTM"))&lt;/Q&gt;&lt;R&gt;1&lt;/R&gt;&lt;C&gt;1&lt;/C&gt;&lt;D xsi:type="xsd:double"&gt;-9.521661&lt;/D&gt;&lt;/FQL&gt;&lt;FQL&gt;&lt;Q&gt;CC_DE^IMF_IFS_RCPI_Q(0)&lt;/Q&gt;&lt;R&gt;1&lt;/R&gt;&lt;C&gt;1&lt;/C&gt;&lt;D xsi:type="xsd:double"&gt;2.2863681&lt;/D&gt;&lt;/FQL&gt;&lt;FQL&gt;&lt;Q&gt;EWI^FMA_DIV_YLD(NTMA,NOW,NOW,M,"PORTAGG","MEANR")&lt;/Q&gt;&lt;R&gt;1&lt;/R&gt;&lt;C&gt;1&lt;/C&gt;&lt;D xsi:type="xsd:double"&gt;5.27575321771592&lt;/D&gt;&lt;/FQL&gt;&lt;FQL&gt;&lt;Q&gt;EWC^FMA_DIV_YLD(NTMA,NOW,NOW,M,"PORTAGG","MEANR")&lt;/Q&gt;&lt;R&gt;1&lt;/R&gt;&lt;C&gt;1&lt;/C&gt;&lt;D xsi:type="xsd:double"&gt;3.14359117199483&lt;/D&gt;&lt;/FQL&gt;&lt;FQL&gt;&lt;Q&gt;VWO^FG_TOTAL_RETURNC(0,-1AM)&lt;/Q&gt;&lt;R&gt;1&lt;/R&gt;&lt;C&gt;1&lt;/C&gt;&lt;D xsi:type="xsd:double"&gt;7.9705834&lt;/D&gt;&lt;/FQL&gt;&lt;FQL&gt;&lt;Q&gt;NI-FDS^FG_PRICE_CHANGE(0,-1AM)&lt;/Q&gt;&lt;R&gt;1&lt;/R&gt;&lt;C&gt;1&lt;/C&gt;&lt;D xsi:type="xsd:double"&gt;-1.66320166320166&lt;/D&gt;&lt;/FQL&gt;&lt;FQL&gt;&lt;Q&gt;FXI^PERCENT_CHANGE(FMA_EPS(+1,0,,,,"PORTAGG","MEAN"),FMA_EPS(+1,-1AM,,,,"PORTAGG","MEAN"))&lt;/Q&gt;&lt;R&gt;1&lt;/R&gt;&lt;C&gt;1&lt;/C&gt;&lt;D xsi:type="xsd:double"&gt;3.34361289351358&lt;/D&gt;&lt;/FQL&gt;&lt;FQL&gt;&lt;Q&gt;EWL^FG_TOTAL_RETURNC(0,-12AM)&lt;/Q&gt;&lt;R&gt;1&lt;/R&gt;&lt;C&gt;1&lt;/C&gt;&lt;D xsi:type="xsd:double"&gt;23.962284&lt;/D&gt;&lt;/FQL&gt;&lt;FQL&gt;&lt;Q&gt;ENZL^PERCENT_CHANGE(FMA_EPS(+1,0,,,,"PORTAGG","MEAN"),FMA_EPS(+1,-1AM,,,,"PORTAGG","MEAN"))&lt;/Q&gt;&lt;R&gt;1&lt;/R&gt;&lt;C&gt;1&lt;/C&gt;&lt;D xsi:type="xsd:double"&gt;15.2674248103084&lt;/D&gt;&lt;/FQL&gt;&lt;FQL&gt;&lt;Q&gt;REFAUCASH-FDS^PROPER_NAME(0,,,"SECURITY","NAME")&lt;/Q&gt;&lt;R&gt;1&lt;/R&gt;&lt;C&gt;1&lt;/C&gt;&lt;D xsi:type="xsd:string"&gt;Australia Target Cash Rate&lt;/D&gt;&lt;/FQL&gt;&lt;FQL&gt;&lt;Q&gt;EWQ^FG_TOTAL_RETURNC(-10AY,0,AM)&lt;/Q&gt;&lt;R&gt;121&lt;/R&gt;&lt;C&gt;1&lt;/C&gt;&lt;D xsi:type="xsd:double"&gt;-3.5340786&lt;/D&gt;&lt;D xsi:type="xsd:double"&gt;-6.2803745&lt;/D&gt;&lt;D xsi:type="xsd:double"&gt;5.504596&lt;/D&gt;&lt;D xsi:type="xsd:double"&gt;-3.07858&lt;/D&gt;&lt;D xsi:type="xsd:double"&gt;-0.078713894&lt;/D&gt;&lt;D xsi:type="xsd:double"&gt;4.371798&lt;/D&gt;&lt;D xsi:type="xsd:double"&gt;-0.3018856&lt;/D&gt;&lt;D xsi:type="xsd:double"&gt;4.049957&lt;/D&gt;&lt;D xsi:type="xsd:double"&gt;-0.109130144&lt;/D&gt;&lt;D xsi:type="xsd:double"&gt;0.43272972&lt;/D&gt;&lt;D xsi:type="xsd:double"&gt;-3.31859&lt;/D&gt;&lt;D xsi:type="xsd:double"&gt;-3.6613226&lt;/D&gt;&lt;D xsi:type="xsd:double"&gt;-4.82977&lt;/D&gt;&lt;D xsi:type="xsd:double"&gt;7.3211193&lt;/D&gt;&lt;D xsi:type="xsd:double"&gt;-2.558142&lt;/D&gt;&lt;D xsi:type="xsd:double"&gt;-1.8151879&lt;/D&gt;&lt;D xsi:type="xsd:double"&gt;-7.2143555&lt;/D&gt;&lt;D xsi:type="xsd:double"&gt;-0.26292205&lt;/D&gt;&lt;D xsi:type="xsd:double"&gt;4.086113&lt;/D&gt;&lt;D xsi:type="xsd:double"&gt;5.9518814&lt;/D&gt;&lt;D xsi:type="xsd:double"&gt;-1.3944209&lt;/D&gt;&lt;D xsi:type="xsd:double"&gt;-11.347485&lt;/D&gt;&lt;D xsi:type="xsd:double"&gt;10.659194&lt;/D&gt;&lt;D xsi:type="xsd:double"&gt;0.84495544&lt;/D&gt;&lt;D xsi:type="xsd:double"&gt;0.2513647&lt;/D&gt;&lt;D xsi:type="xsd:double"&gt;-0.12536645&lt;/D&gt;&lt;D xsi:type="xsd:double"&gt;-2.217567&lt;/D&gt;&lt;D xsi:type="xsd:double"&gt;5.040264&lt;/D&gt;&lt;D xsi:type="xsd:double"&gt;2.780056&lt;/D&gt;&lt;D xsi:type="xsd:double"&gt;-0.95465183&lt;/D&gt;&lt;D xsi:type="xsd:double"&gt;6.3453794&lt;/D&gt;&lt;D xsi:type="xsd:double"&gt;5.8157086&lt;/D&gt;&lt;D xsi:type="xsd:double"&gt;4.8179865&lt;/D&gt;&lt;D xsi:type="xsd:double"&gt;0.5858898&lt;/D&gt;&lt;D xsi:type="xsd:double"&gt;1.687324&lt;/D&gt;&lt;D xsi:type="xsd:double"&gt;0.74499846&lt;/D&gt;&lt;D xsi:type="xsd:double"&gt;2.4201632&lt;/D&gt;&lt;D xsi:type="xsd:double"&gt;2.3958087&lt;/D&gt;&lt;D xsi:type="xsd:double"&gt;0.35256147&lt;/D&gt;&lt;D xsi:type="xsd:double"&gt;0.047683716&lt;/D&gt;&lt;D xsi:type="xsd:double"&gt;8.005118&lt;/D&gt;&lt;D xsi:type="xsd:double"&gt;-5.603319&lt;/D&gt;&lt;D xsi:type="xsd:double"&gt;-2.8894484&lt;/D&gt;&lt;D xsi:type="xsd:double"&gt;6.0155153&lt;/D&gt;&lt;D xsi:type="xsd:double"&gt;-1.5558243&lt;/D&gt;&lt;D xsi:type="xsd:double"&gt;-4.554522&lt;/D&gt;&lt;D xsi:type="xsd:double"&gt;4.47464&lt;/D&gt;&lt;D xsi:type="xsd:double"&gt;0.3489852&lt;/D&gt;&lt;D xsi:type="xsd:double"&gt;0.18969774&lt;/D&gt;&lt;D xsi:type="xsd:double"&gt;-11.48628&lt;/D&gt;&lt;D xsi:type="xsd:double"&gt;-0.5704105&lt;/D&gt;&lt;D xsi:type="xsd:double"&gt;-5.555463&lt;/D&gt;&lt;D xsi:type="xsd:double"&gt;5.3012967&lt;/D&gt;&lt;D xsi:type="xsd:double"&gt;5.7225585&lt;/D&gt;&lt;D xsi:type="xsd:double"&gt;0.6166458&lt;/D&gt;&lt;D xsi:type="xsd:double"&gt;3.9836526&lt;/D&gt;&lt;D xsi:type="xsd:double"&gt;-2.946961&lt;/D&gt;&lt;D xsi:type="xsd:double"&gt;5.2109838&lt;/D&gt;&lt;D xsi:type="xsd:double"&gt;0&lt;/D&gt;&lt;D xsi:type="xsd:double"&gt;-4.5350018&lt;/D&gt;&lt;D xsi:type="xsd:double"&gt;3.029263&lt;/D&gt;&lt;D xsi:type="xsd:double"&gt;3.307712&lt;/D&gt;&lt;D xsi:type="xsd:double"&gt;2.8783917&lt;/D&gt;&lt;D xsi:type="xsd:double"&gt;2.9222608&lt;/D&gt;&lt;D xsi:type="xsd:double"&gt;-3.4282207&lt;/D&gt;&lt;D xsi:type="xsd:double"&gt;-7.5118837&lt;/D&gt;&lt;D xsi:type="xsd:double"&gt;-18.985611&lt;/D&gt;&lt;D xsi:type="xsd:double"&gt;1.5651464&lt;/D&gt;&lt;D xsi:type="xsd:double"&gt;6.622243&lt;/D&gt;&lt;D xsi:type="xsd:double"&gt;6.0005665&lt;/D&gt;&lt;D xsi:type="xsd:double"&gt;6.7136526&lt;/D&gt;&lt;D xsi:type="xsd:double"&gt;1.8421888&lt;/D&gt;&lt;D xsi:type="xsd:double"&gt;-6.1433434&lt;/D&gt;&lt;D xsi:type="xsd:double"&gt;0.65454245&lt;/D&gt;&lt;D xsi:type="xsd:double"&gt;19.761562&lt;/D&gt;&lt;D xsi:type="xsd:double"&gt;0.76783895&lt;/D&gt;&lt;D xsi:type="xsd:double"&gt;-2.2864103&lt;/D&gt;&lt;D xsi:type="xsd:double"&gt;4.279554&lt;/D&gt;&lt;D xsi:type="xsd:double"&gt;2.863896&lt;/D&gt;&lt;D xsi:type="xsd:double"&gt;6.974745&lt;/D&gt;&lt;D xsi:type="xsd:double"&gt;4.1856766&lt;/D&gt;&lt;D xsi:type="xsd:double"&gt;0.62224865&lt;/D&gt;&lt;D xsi:type="xsd:double"&gt;-1.9927561&lt;/D&gt;&lt;D xsi:type="xsd:double"&gt;1.7163992&lt;/D&gt;&lt;D xsi:type="xsd:double"&gt;-0.051921606&lt;/D&gt;&lt;D xsi:type="xsd:double"&gt;0.6493449&lt;/D&gt;&lt;D xsi:type="xsd:double"&gt;-2.683872&lt;/D&gt;&lt;D xsi:type="xsd:double"&gt;6.0093284&lt;/D&gt;&lt;D xsi:type="xsd:double"&gt;-3.9845824&lt;/D&gt;&lt;D xsi:type="xsd:double"&gt;-1.8473864&lt;/D&gt;&lt;D xsi:type="xsd:double"&gt;-4.828149&lt;/D&gt;&lt;D xsi:type="xsd:double"&gt;-5.445677&lt;/D&gt;&lt;D xsi:type="xsd:double"&gt;4.7286987&lt;/D&gt;&lt;D xsi:type="xsd:double"&gt;-8.492523&lt;/D&gt;&lt;D xsi:type="xsd:double"&gt;1.0745764&lt;/D&gt;&lt;D xsi:type="xsd:double"&gt;-3.447169&lt;/D&gt;&lt;D xsi:type="xsd:double"&gt;-11.61161&lt;/D&gt;&lt;D xsi:type="xsd:double"&gt;12.268782&lt;/D&gt;&lt;D xsi:type="xsd:double"&gt;12.40753&lt;/D&gt;&lt;D xsi:type="xsd:double"&gt;0.00044107437&lt;/D&gt;&lt;D xsi:type="xsd:double"&gt;10.627424&lt;/D&gt;&lt;D xsi:type="xsd:double"&gt;0.027143955&lt;/D&gt;&lt;D xsi:type="xsd:double"&gt;-0.9495437&lt;/D&gt;&lt;D xsi:type="xsd:double"&gt;8.846903&lt;/D&gt;&lt;D xsi:type="xsd:double"&gt;-4.479122&lt;/D&gt;&lt;D xsi:type="xsd:double"&gt;1.858592&lt;/D&gt;&lt;D xsi:type="xsd:double"&gt;2.4590135&lt;/D&gt;&lt;D xsi:type="xsd:double"&gt;-3.896767&lt;/D&gt;&lt;D xsi:type="xsd:double"&gt;-5.69281&lt;/D&gt;&lt;D xsi:type="xsd:double"&gt;-3.8724363&lt;/D&gt;&lt;D xsi:type="xsd:double"&gt;11.374414&lt;/D&gt;&lt;D xsi:type="xsd:double"&gt;5.7641745&lt;/D&gt;&lt;D xsi:type="xsd:double"&gt;-1.265502&lt;/D&gt;&lt;D xsi:type="xsd:double"&gt;3.6144614&lt;/D&gt;&lt;D xsi:type="xsd:double"&gt;2.919352&lt;/D&gt;&lt;D xsi:type="xsd:double"&gt;-2.2355795&lt;/D&gt;&lt;D xsi:type="xsd:double"&gt;3.196466&lt;/D&gt;&lt;D xsi:type="xsd:double"&gt;-7.428932&lt;/D&gt;&lt;D xsi:type="xsd:double"&gt;1.8698931&lt;/D&gt;&lt;D xsi:type="xsd:double"&gt;3.3609033&lt;/D&gt;&lt;D xsi:type="xsd:double"&gt;2.8013945&lt;/D&gt;&lt;/FQL&gt;&lt;FQL&gt;&lt;Q&gt;EWG^FMA_PE(LTMA,-10AY,0,AM,"PORTAGG","MEANR")&lt;/Q&gt;&lt;R&gt;121&lt;/R&gt;&lt;C&gt;1&lt;/C&gt;&lt;D xsi:type="xsd:double"&gt;14.0645982560273&lt;/D&gt;&lt;D xsi:type="xsd:double"&gt;13.2929322481935&lt;/D&gt;&lt;D xsi:type="xsd:double"&gt;14.4278581444787&lt;/D&gt;&lt;D xsi:type="xsd:double"&gt;14.4741141790598&lt;/D&gt;&lt;D xsi:type="xsd:double"&gt;15.4586277348533&lt;/D&gt;&lt;D xsi:type="xsd:double"&gt;16.4876845059821&lt;/D&gt;&lt;D xsi:type="xsd:double"&gt;16.5071546374315&lt;/D&gt;&lt;D xsi:type="xsd:double"&gt;16.4908838401669&lt;/D&gt;&lt;D xsi:type="xsd:double"&gt;16.1269040986152&lt;/D&gt;&lt;D xsi:type="xsd:double"&gt;15.7754827832166&lt;/D&gt;&lt;D xsi:type="xsd:double"&gt;15.2441100743695&lt;/D&gt;&lt;D xsi:type="xsd:double"&gt;14.4952558104779&lt;/D&gt;&lt;D xsi:type="xsd:double"&gt;13.698006976901&lt;/D&gt;&lt;D xsi:type="xsd:double"&gt;14.3793342902016&lt;/D&gt;&lt;D xsi:type="xsd:double"&gt;14.9352418338507&lt;/D&gt;&lt;D xsi:type="xsd:double"&gt;14.0848073133548&lt;/D&gt;&lt;D xsi:type="xsd:double"&gt;12.8334625602519&lt;/D&gt;&lt;D xsi:type="xsd:double"&gt;12.6511839848056&lt;/D&gt;&lt;D xsi:type="xsd:double"&gt;12.7350620119251&lt;/D&gt;&lt;D xsi:type="xsd:double"&gt;12.9687744528459&lt;/D&gt;&lt;D xsi:type="xsd:double"&gt;12.9581233750893&lt;/D&gt;&lt;D xsi:type="xsd:double"&gt;12.3850832263879&lt;/D&gt;&lt;D xsi:type="xsd:double"&gt;13.105382033481&lt;/D&gt;&lt;D xsi:type="xsd:double"&gt;13.3854191212356&lt;/D&gt;&lt;D xsi:type="xsd:double"&gt;13.4427559082422&lt;/D&gt;&lt;D xsi:type="xsd:double"&gt;13.8238081775621&lt;/D&gt;&lt;D xsi:type="xsd:double"&gt;13.7594308090077&lt;/D&gt;&lt;D xsi:type="xsd:double"&gt;14.7692280711144&lt;/D&gt;&lt;D xsi:type="xsd:double"&gt;15.1569157937766&lt;/D&gt;&lt;D xsi:type="xsd:double"&gt;14.9451159346609&lt;/D&gt;&lt;D xsi:type="xsd:double"&gt;14.9076403995704&lt;/D&gt;&lt;D xsi:type="xsd:double"&gt;14.9122290221455&lt;/D&gt;&lt;D xsi:type="xsd:double"&gt;14.7811984215352&lt;/D&gt;&lt;D xsi:type="xsd:double"&gt;14.6789340275715&lt;/D&gt;&lt;D xsi:type="xsd:double"&gt;14.3426108290986&lt;/D&gt;&lt;D xsi:type="xsd:double"&gt;14.1681228163519&lt;/D&gt;&lt;D xsi:type="xsd:double"&gt;14.4790556682809&lt;/D&gt;&lt;D xsi:type="xsd:double"&gt;15.1591843759979&lt;/D&gt;&lt;D xsi:type="xsd:double"&gt;15.2083311145743&lt;/D&gt;&lt;D xsi:type="xsd:double"&gt;15.4531387721925&lt;/D&gt;&lt;D xsi:type="xsd:double"&gt;15.5625769581742&lt;/D&gt;&lt;D xsi:type="xsd:double"&gt;14.3391686575727&lt;/D&gt;&lt;D xsi:type="xsd:double"&gt;14.0714922989839&lt;/D&gt;&lt;D xsi:type="xsd:double"&gt;14.1565295055017&lt;/D&gt;&lt;D xsi:type="xsd:double"&gt;14.1462469085437&lt;/D&gt;&lt;D xsi:type="xsd:double"&gt;13.9209081663496&lt;/D&gt;&lt;D xsi:type="xsd:double"&gt;14.223454063265&lt;/D&gt;&lt;D xsi:type="xsd:double"&gt;14.127348148717&lt;/D&gt;&lt;D xsi:type="xsd:double"&gt;14.0530685841655&lt;/D&gt;&lt;D xsi:type="xsd:double"&gt;13.0385689251633&lt;/D&gt;&lt;D xsi:type="xsd:double"&gt;12.9618089129616&lt;/D&gt;&lt;D xsi:type="xsd:double"&gt;11.8628582320643&lt;/D&gt;&lt;D xsi:type="xsd:double"&gt;12.9844578798768&lt;/D&gt;&lt;D xsi:type="xsd:double"&gt;13.1748940826179&lt;/D&gt;&lt;D xsi:type="xsd:double"&gt;13.1576039686048&lt;/D&gt;&lt;D xsi:type="xsd:double"&gt;13.4034774668338&lt;/D&gt;&lt;D xsi:type="xsd:double"&gt;13.1723910952703&lt;/D&gt;&lt;D xsi:type="xsd:double"&gt;13.3572916322277&lt;/D&gt;&lt;D xsi:type="xsd:double"&gt;13.6674042358793&lt;/D&gt;&lt;D xsi:type="xsd:double"&gt;13.4442686398915&lt;/D&gt;&lt;D xsi:type="xsd:double"&gt;14.0483642067835&lt;/D&gt;&lt;D xsi:type="xsd:double"&gt;14.7272506897877&lt;/D&gt;&lt;D xsi:type="xsd:double"&gt;15.2800951502587&lt;/D&gt;&lt;D xsi:type="xsd:double"&gt;15.5547283472162&lt;/D&gt;&lt;D xsi:type="xsd:double"&gt;15.3729069891411&lt;/D&gt;&lt;D xsi:type="xsd:double"&gt;14.5684074448049&lt;/D&gt;&lt;D xsi:type="xsd:double"&gt;13.7381109609629&lt;/D&gt;&lt;D xsi:type="xsd:double"&gt;14.7369706858873&lt;/D&gt;&lt;D xsi:type="xsd:double"&gt;16.1790209642138&lt;/D&gt;&lt;D xsi:type="xsd:double"&gt;17.3067140004735&lt;/D&gt;&lt;D xsi:type="xsd:double"&gt;18.913920153074&lt;/D&gt;&lt;D xsi:type="xsd:double"&gt;20.0553823718625&lt;/D&gt;&lt;D xsi:type="xsd:double"&gt;19.8104486582935&lt;/D&gt;&lt;D xsi:type="xsd:double"&gt;19.2935925442319&lt;/D&gt;&lt;D xsi:type="xsd:double"&gt;21.7792673195934&lt;/D&gt;&lt;D xsi:type="xsd:double"&gt;21.7071707790832&lt;/D&gt;&lt;D xsi:type="xsd:double"&gt;21.1568767782588&lt;/D&gt;&lt;D xsi:type="xsd:double"&gt;20.2950863016861&lt;/D&gt;&lt;D xsi:type="xsd:double"&gt;20.0596312313536&lt;/D&gt;&lt;D xsi:type="xsd:double"&gt;19.5303477147339&lt;/D&gt;&lt;D xsi:type="xsd:double"&gt;18.8262140562133&lt;/D&gt;&lt;D xsi:type="xsd:double"&gt;18.4824892672078&lt;/D&gt;&lt;D xsi:type="xsd:double"&gt;17.6857954990575&lt;/D&gt;&lt;D xsi:type="xsd:double"&gt;16.9936260460474&lt;/D&gt;&lt;D xsi:type="xsd:double"&gt;16.1926175690096&lt;/D&gt;&lt;D xsi:type="xsd:double"&gt;15.7619165782807&lt;/D&gt;&lt;D xsi:type="xsd:double"&gt;14.326653939516&lt;/D&gt;&lt;D xsi:type="xsd:double"&gt;14.1913966230141&lt;/D&gt;&lt;D xsi:type="xsd:double"&gt;13.6428469329693&lt;/D&gt;&lt;D xsi:type="xsd:double"&gt;12.6280547266543&lt;/D&gt;&lt;D xsi:type="xsd:double"&gt;12.434372385204&lt;/D&gt;&lt;D xsi:type="xsd:double"&gt;12.2177095422536&lt;/D&gt;&lt;D xsi:type="xsd:double"&gt;12.1318582997624&lt;/D&gt;&lt;D xsi:type="xsd:double"&gt;11.5687929547821&lt;/D&gt;&lt;D xsi:type="xsd:double"&gt;11.4019147219045&lt;/D&gt;&lt;D xsi:type="xsd:double"&gt;10.7798534425797&lt;/D&gt;&lt;D xsi:type="xsd:double"&gt;10.1671030614037&lt;/D&gt;&lt;D xsi:type="xsd:double"&gt;10.5388514136709&lt;/D&gt;&lt;D xsi:type="xsd:double"&gt;11.1645589056172&lt;/D&gt;&lt;D xsi:type="xsd:double"&gt;10.492566772035&lt;/D&gt;&lt;D xsi:type="xsd:double"&gt;11.4600910640014&lt;/D&gt;&lt;D xsi:type="xsd:double"&gt;11.3687085511852&lt;/D&gt;&lt;D xsi:type="xsd:double"&gt;11.2937991018531&lt;/D&gt;&lt;D xsi:type="xsd:double"&gt;11.4251396385194&lt;/D&gt;&lt;D xsi:type="xsd:double"&gt;11.2915354973394&lt;/D&gt;&lt;D xsi:t</t>
        </r>
      </text>
    </comment>
    <comment ref="A14" authorId="0" shapeId="0" xr:uid="{961EE7D7-A227-4C94-ACDB-35B7ACD09D32}">
      <text>
        <r>
          <rPr>
            <b/>
            <sz val="9"/>
            <color indexed="81"/>
            <rFont val="Tahoma"/>
            <charset val="1"/>
          </rPr>
          <t>ype="xsd:double"&gt;11.200903461843&lt;/D&gt;&lt;D xsi:type="xsd:double"&gt;11.429001713871&lt;/D&gt;&lt;D xsi:type="xsd:double"&gt;11.1110202044502&lt;/D&gt;&lt;D xsi:type="xsd:double"&gt;10.9712759904167&lt;/D&gt;&lt;D xsi:type="xsd:double"&gt;10.6118195575951&lt;/D&gt;&lt;D xsi:type="xsd:double"&gt;11.430596664682&lt;/D&gt;&lt;D xsi:type="xsd:double"&gt;11.955350014932&lt;/D&gt;&lt;D xsi:type="xsd:double"&gt;12.1003362152395&lt;/D&gt;&lt;D xsi:type="xsd:double"&gt;12.4789974710061&lt;/D&gt;&lt;D xsi:type="xsd:double"&gt;12.6042599651243&lt;/D&gt;&lt;D xsi:type="xsd:double"&gt;12.5396099197817&lt;/D&gt;&lt;D xsi:type="xsd:double"&gt;12.5612427438127&lt;/D&gt;&lt;D xsi:type="xsd:double"&gt;12.4640532571058&lt;/D&gt;&lt;D xsi:type="xsd:double"&gt;12.5820122601056&lt;/D&gt;&lt;D xsi:type="xsd:double"&gt;12.7353880745719&lt;/D&gt;&lt;D xsi:type="xsd:double"&gt;13.2867478102051&lt;/D&gt;&lt;/FQL&gt;&lt;FQL&gt;&lt;Q&gt;EWD^FMA_EVAL_EBIT(LTMA,NOW,NOW,M,"PORTAGG","MEANR")&lt;/Q&gt;&lt;R&gt;1&lt;/R&gt;&lt;C&gt;1&lt;/C&gt;&lt;D xsi:type="xsd:double"&gt;16.3794058741262&lt;/D&gt;&lt;/FQL&gt;&lt;FQL&gt;&lt;Q&gt;NI-FDS^FG_PRICE_MAVG(0,,,,30)&lt;/Q&gt;&lt;R&gt;1&lt;/R&gt;&lt;C&gt;1&lt;/C&gt;&lt;D xsi:type="xsd:double"&gt;16217.5&lt;/D&gt;&lt;/FQL&gt;&lt;FQL&gt;&lt;Q&gt;COPP-FDS^MAX(FG_PRICE(0,-5AY))&lt;/Q&gt;&lt;R&gt;1&lt;/R&gt;&lt;C&gt;1&lt;/C&gt;&lt;D xsi:type="xsd:double"&gt;5.119&lt;/D&gt;&lt;/FQL&gt;&lt;FQL&gt;&lt;Q&gt;EWL^FG_PRICE_MAVG(0,,,,60)&lt;/Q&gt;&lt;R&gt;1&lt;/R&gt;&lt;C&gt;1&lt;/C&gt;&lt;D xsi:type="xsd:double"&gt;50.629665&lt;/D&gt;&lt;/FQL&gt;&lt;FQL&gt;&lt;Q&gt;FXI^FMA_PCT_ABOVE_MAVG(200,0,,,,"PORTAGG")&lt;/Q&gt;&lt;R&gt;1&lt;/R&gt;&lt;C&gt;1&lt;/C&gt;&lt;D xsi:type="xsd:double"&gt;74&lt;/D&gt;&lt;/FQL&gt;&lt;FQL&gt;&lt;Q&gt;VWO^P_PRICE(0)/P_PRICE_LOW_PR(0,,,,,,"PRICE","INTRA","52W")-1&lt;/Q&gt;&lt;R&gt;1&lt;/R&gt;&lt;C&gt;1&lt;/C&gt;&lt;D xsi:type="xsd:double"&gt;0.28847945&lt;/D&gt;&lt;/FQL&gt;&lt;FQL&gt;&lt;Q&gt;EWI^PERCENT_CHANGE(FMA_EPS(+1,0,,,,"PORTAGG","MEAN"),FMA_EPS(+1,-1AM,,,,"PORTAGG","MEAN"))&lt;/Q&gt;&lt;R&gt;1&lt;/R&gt;&lt;C&gt;1&lt;/C&gt;&lt;D xsi:type="xsd:double"&gt;-2.07410687518698&lt;/D&gt;&lt;/FQL&gt;&lt;FQL&gt;&lt;Q&gt;EWQ^FMA_PCT_ABOVE_MAVG(200,0,,,,"PORTAGG")&lt;/Q&gt;&lt;R&gt;1&lt;/R&gt;&lt;C&gt;1&lt;/C&gt;&lt;D xsi:type="xsd:double"&gt;55.7377049180328&lt;/D&gt;&lt;/FQL&gt;&lt;FQL&gt;&lt;Q&gt;ENZL^FMA_PCT_ABOVE_MAVG(200,0,,,,"PORTAGG")&lt;/Q&gt;&lt;R&gt;1&lt;/R&gt;&lt;C&gt;1&lt;/C&gt;&lt;D xsi:type="xsd:double"&gt;42.3076923076923&lt;/D&gt;&lt;/FQL&gt;&lt;FQL&gt;&lt;Q&gt;EWQ^SIZE(FG_CONSTITUENTS)&lt;/Q&gt;&lt;R&gt;1&lt;/R&gt;&lt;C&gt;1&lt;/C&gt;&lt;D xsi:type="xsd:long"&gt;61&lt;/D&gt;&lt;/FQL&gt;&lt;FQL&gt;&lt;Q&gt;EWA^SIZE(FG_CONSTITUENTS)&lt;/Q&gt;&lt;R&gt;1&lt;/R&gt;&lt;C&gt;1&lt;/C&gt;&lt;D xsi:type="xsd:long"&gt;58&lt;/D&gt;&lt;/FQL&gt;&lt;FQL&gt;&lt;Q&gt;TRYDE10Y-FDS^PCTCHG(FG_YIELD(0,,,,"YTM"),FG_YIELD(-3AM,,,,"YTM"))&lt;/Q&gt;&lt;R&gt;0&lt;/R&gt;&lt;C&gt;0&lt;/C&gt;&lt;/FQL&gt;&lt;FQL&gt;&lt;Q&gt;EWD^FMA_EVAL_EBITDA(NTMA,0,,,"PORTAGG","MEANR")&lt;/Q&gt;&lt;R&gt;1&lt;/R&gt;&lt;C&gt;1&lt;/C&gt;&lt;D xsi:type="xsd:double"&gt;11.1110953891986&lt;/D&gt;&lt;/FQL&gt;&lt;FQL&gt;&lt;Q&gt;EWC^FMA_PE(NTMA,0,,,"PORTAGG","MEANR")&lt;/Q&gt;&lt;R&gt;1&lt;/R&gt;&lt;C&gt;1&lt;/C&gt;&lt;D xsi:type="xsd:double"&gt;15.0475020481594&lt;/D&gt;&lt;/FQL&gt;&lt;FQL&gt;&lt;Q&gt;QQQ^FG_TOTAL_RETURNC(-10AY,0,AM)&lt;/Q&gt;&lt;R&gt;121&lt;/R&gt;&lt;C&gt;1&lt;/C&gt;&lt;D xsi:type="xsd:double"&gt;-0.5074918&lt;/D&gt;&lt;D xsi:type="xsd:double"&gt;-0.0911057&lt;/D&gt;&lt;D xsi:type="xsd:double"&gt;6.9206595&lt;/D&gt;&lt;D xsi:type="xsd:double"&gt;-0.085777044&lt;/D&gt;&lt;D xsi:type="xsd:double"&gt;-3.427267&lt;/D&gt;&lt;D xsi:type="xsd:double"&gt;6.861198&lt;/D&gt;&lt;D xsi:type="xsd:double"&gt;-2.4343371&lt;/D&gt;&lt;D xsi:type="xsd:double"&gt;4.4920444&lt;/D&gt;&lt;D xsi:type="xsd:double"&gt;0.634861&lt;/D&gt;&lt;D xsi:type="xsd:double"&gt;-1.2953162&lt;/D&gt;&lt;D xsi:type="xsd:double"&gt;0.832808&lt;/D&gt;&lt;D xsi:type="xsd:double"&gt;-4.1205287&lt;/D&gt;&lt;D xsi:type="xsd:double"&gt;-2.3343205&lt;/D&gt;&lt;D xsi:type="xsd:double"&gt;9.871745&lt;/D&gt;&lt;D xsi:type="xsd:double"&gt;1.0877252&lt;/D&gt;&lt;D xsi:type="xsd:double"&gt;-1.1976838&lt;/D&gt;&lt;D xsi:type="xsd:double"&gt;-10.66702&lt;/D&gt;&lt;D xsi:type="xsd:double"&gt;2.833569&lt;/D&gt;&lt;D xsi:type="xsd:double"&gt;4.0099382&lt;/D&gt;&lt;D xsi:type="xsd:double"&gt;0.2983451&lt;/D&gt;&lt;D xsi:type="xsd:double"&gt;2.3703218&lt;/D&gt;&lt;D xsi:type="xsd:double"&gt;-6.9325743&lt;/D&gt;&lt;D xsi:type="xsd:double"&gt;12.091565&lt;/D&gt;&lt;D xsi:type="xsd:double"&gt;1.9200563&lt;/D&gt;&lt;D xsi:type="xsd:double"&gt;1.7270923&lt;/D&gt;&lt;D xsi:type="xsd:double"&gt;-0.5569637&lt;/D&gt;&lt;D xsi:type="xsd:double"&gt;0.81466436&lt;/D&gt;&lt;D xsi:type="xsd:double"&gt;2.0021558&lt;/D&gt;&lt;D xsi:type="xsd:double"&gt;4.12184&lt;/D&gt;&lt;D xsi:type="xsd:double"&gt;3.6724925&lt;/D&gt;&lt;D xsi:type="xsd:double"&gt;0.53088665&lt;/D&gt;&lt;D xsi:type="xsd:double"&gt;3.7526727&lt;/D&gt;&lt;D xsi:type="xsd:double"&gt;4.0294647&lt;/D&gt;&lt;D xsi:type="xsd:double"&gt;-1.9911528&lt;/D&gt;&lt;D xsi:type="xsd:double"&gt;4.2961717&lt;/D&gt;&lt;D xsi:type="xsd:double"&gt;-1.382333&lt;/D&gt;&lt;D xsi:type="xsd:double"&gt;1.9771695&lt;/D&gt;&lt;D xsi:type="xsd:double"&gt;4.6933413&lt;/D&gt;&lt;D xsi:type="xsd:double"&gt;3.2729387&lt;/D&gt;&lt;D xsi:type="xsd:double"&gt;0.43219328&lt;/D&gt;&lt;D xsi:type="xsd:double"&gt;9.192538&lt;/D&gt;&lt;D xsi:type="xsd:double"&gt;-1.5444934&lt;/D&gt;&lt;D xsi:type="xsd:double"&gt;-5.3162518&lt;/D&gt;&lt;D xsi:type="xsd:double"&gt;1.8921256&lt;/D&gt;&lt;D xsi:type="xsd:double"&gt;4.707265&lt;/D&gt;&lt;D xsi:type="xsd:double"&gt;0.22027493&lt;/D&gt;&lt;D xsi:type="xsd:double"&gt;4.6485543&lt;/D&gt;&lt;D xsi:type="xsd:double"&gt;3.7833571&lt;/D&gt;&lt;D xsi:type="xsd:double"&gt;0.98905563&lt;/D&gt;&lt;D xsi:type="xsd:double"&gt;-10.315877&lt;/D&gt;&lt;D xsi:type="xsd:double"&gt;-1.9320786&lt;/D&gt;&lt;D xsi:type="xsd:double"&gt;-6.0826006&lt;/D&gt;&lt;D xsi:type="xsd:double"&gt;7.9059124&lt;/D&gt;&lt;D xsi:type="xsd:double"&gt;5.1105022&lt;/D&gt;&lt;D xsi:type="xsd:double"&gt;2.6690602&lt;/D&gt;&lt;D xsi:type="xsd:double"&gt;7.166946&lt;/D&gt;&lt;D xsi:type="xsd:double"&gt;-6.5512657&lt;/D&gt;&lt;D xsi:type="xsd:double"&gt;4.9123883&lt;/D&gt;&lt;D xsi:type="xsd:double"&gt;4.71313&lt;/D&gt;&lt;D xsi:type="xsd:double"&gt;-5.5609584&lt;/D&gt;&lt;D xsi:type="xsd:double"&gt;1.6142488&lt;/D&gt;&lt;D xsi:type="xsd:double"&gt;4.603541&lt;/D&gt;&lt;D xsi:type="xsd:double"&gt;5.315888&lt;/D&gt;&lt;D xsi:type="xsd:double"&gt;3.8980484&lt;/D&gt;&lt;D xsi:type="xsd:double"&gt;2.1019697&lt;/D&gt;&lt;D xsi:type="xsd:double"&gt;-5.7129803&lt;/D&gt;&lt;D xsi:type="xsd:double"&gt;-9.699345&lt;/D&gt;&lt;D xsi:type="xsd:double"&gt;16.330278&lt;/D&gt;&lt;D xsi:type="xsd:double"&gt;6.8333626&lt;/D&gt;&lt;D xsi:type="xsd:double"&gt;4.4913173&lt;/D&gt;&lt;D xsi:type="xsd:double"&gt;8.284068&lt;/D&gt;&lt;D xsi:type="xsd:double"&gt;11.890661&lt;/D&gt;&lt;D xsi:type="xsd:double"&gt;-6.561029&lt;/D&gt;&lt;D xsi:type="xsd:double"&gt;4.087496&lt;/D&gt;&lt;D xsi:type="xsd:double"&gt;5.7843328&lt;/D&gt;&lt;D xsi:type="xsd:double"&gt;3.716433&lt;/D&gt;&lt;D xsi:type="xsd:double"&gt;3.1883955&lt;/D&gt;&lt;D xsi:type="xsd:double"&gt;-1.6560674&lt;/D&gt;&lt;D xsi:type="xsd:double"&gt;0.71669817&lt;/D&gt;&lt;D xsi:type="xsd:double"&gt;7.6424003&lt;/D&gt;&lt;D xsi:type="xsd:double"&gt;-2.1372914&lt;/D&gt;&lt;D xsi:type="xsd:double"&gt;5.1017404&lt;/D&gt;&lt;D xsi:type="xsd:double"&gt;4.28375&lt;/D&gt;&lt;D xsi:type="xsd:double"&gt;3.1857967&lt;/D&gt;&lt;D xsi:type="xsd:double"&gt;-1.4016628&lt;/D&gt;&lt;D xsi:type="xsd:double"&gt;2.605641&lt;/D&gt;&lt;D xsi:type="xsd:double"&gt;2.9473662&lt;/D&gt;&lt;D xsi:type="xsd:double"&gt;3.2721996&lt;/D&gt;&lt;D xsi:type="xsd:double"&gt;-15.460497&lt;/D&gt;&lt;D xsi:type="xsd:double"&gt;1.3690948&lt;/D&gt;&lt;D xsi:type="xsd:double"&gt;4.0562153&lt;/D&gt;&lt;D xsi:type="xsd:double"&gt;-11.851954&lt;/D&gt;&lt;D xsi:type="xsd:double"&gt;-2.418238&lt;/D&gt;&lt;D xsi:type="xsd:double"&gt;-5.2090826&lt;/D&gt;&lt;D xsi:type="xsd:double"&gt;4.9102306&lt;/D&gt;&lt;D xsi:type="xsd:double"&gt;0.205338&lt;/D&gt;&lt;D xsi:type="xsd:double"&gt;-10.561723&lt;/D&gt;&lt;D xsi:type="xsd:double"&gt;-0.5865693&lt;/D&gt;&lt;D xsi:type="xsd:double"&gt;5.148983&lt;/D&gt;&lt;D xsi:type="xsd:double"&gt;-7.9114795&lt;/D&gt;&lt;D xsi:type="xsd:double"&gt;12.398518&lt;/D&gt;&lt;D xsi:type="xsd:double"&gt;-0.78309774&lt;/D&gt;&lt;D xsi:type="xsd:double"&gt;5.2039623&lt;/D&gt;&lt;D xsi:type="xsd:double"&gt;3.7537217&lt;/D&gt;&lt;D xsi:type="xsd:double"&gt;8.756042&lt;/D&gt;&lt;D xsi:type="xsd:double"&gt;4.5722485&lt;/D&gt;&lt;D xsi:type="xsd:double"&gt;3.5153747&lt;/D&gt;&lt;D xsi:type="xsd:double"&gt;-3.345549&lt;/D&gt;&lt;D xsi:type="xsd:double"&gt;-2.32597&lt;/D&gt;&lt;D xsi:type="xsd:double"&gt;-2.7405381&lt;/D&gt;&lt;D xsi:type="xsd:double"&gt;12.701631&lt;/D&gt;&lt;D xsi:type="xsd:double"&gt;6.003368&lt;/D&gt;&lt;D xsi:type="xsd:double"&gt;2.9914975&lt;/D&gt;&lt;D xsi:type="xsd:double"&gt;3.2538176&lt;/D&gt;&lt;D xsi:type="xsd:double"&gt;1.7854333&lt;/D&gt;&lt;D xsi:type="xsd:double"&gt;-3.1090498&lt;/D&gt;&lt;D xsi:type="xsd:double"&gt;6.2529087&lt;/D&gt;&lt;D xsi:type="xsd:double"&gt;5.335474&lt;/D&gt;&lt;D xsi:type="xsd:double"&gt;-3.8703501&lt;/D&gt;&lt;D xsi:type="xsd:double"&gt;2.978599&lt;/D&gt;&lt;D xsi:type="xsd:double"&gt;2.8097749&lt;/D&gt;&lt;/FQL&gt;&lt;FQL&gt;&lt;Q&gt;NI-FDS^FG_PRICE(0)&lt;/Q&gt;&lt;R&gt;1&lt;/R&gt;&lt;C&gt;1&lt;/C&gt;&lt;D xsi:type="xsd:double"&gt;16555&lt;/D&gt;&lt;/FQL&gt;&lt;FQL&gt;&lt;Q&gt;EWL^FG_PRICE_MAVG(0,,,,30)&lt;/Q&gt;&lt;R&gt;1&lt;/R&gt;&lt;C&gt;1&lt;/C&gt;&lt;D xsi:type="xsd:double"&gt;51.684666&lt;/D&gt;&lt;/FQL&gt;&lt;FQL&gt;&lt;Q&gt;SPY^FG_TOTAL_RETURNC(0,-12AM)&lt;/Q&gt;&lt;R&gt;1&lt;/R&gt;&lt;C&gt;1&lt;/C&gt;&lt;D xsi:type="xsd:double"&gt;36.14843&lt;/D&gt;&lt;/FQL&gt;&lt;FQL&gt;&lt;Q&gt;REFNZOCR-FDS^(SUBARRAY(NOT_NA(NO_REPEAT_F(FG_YIELD(NOW,-10AY,D))),0,1)-SUBARRAY(NOT_NA(NO_REPEAT_F(FG_YIELD(NOW,-10AY,D))),1,1))*100&lt;/Q&gt;&lt;R&gt;1&lt;/R&gt;&lt;C&gt;1&lt;/C&gt;&lt;D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xsi:type="xsd:double"&gt;-25&lt;/D&gt;&lt;/FQL&gt;&lt;FQL&gt;&lt;Q&gt;CC_AU^IMF_IFS_RCPI_Q(0)&lt;/Q&gt;&lt;R&gt;1&lt;/R&gt;&lt;C&gt;1&lt;/C&gt;&lt;D xsi:type="xsd:double"&gt;3.81451&lt;/D&gt;&lt;/FQL&gt;&lt;FQL&gt;&lt;Q&gt;SPY^FMA_EVAL_EBITDA(NTMA,0,,,"PORTAGG","MEANR")&lt;/Q&gt;&lt;R&gt;1&lt;/R&gt;&lt;C&gt;1&lt;/C&gt;&lt;D xsi:type="xsd:double"&gt;14.7944248739428&lt;/D&gt;&lt;/FQL&gt;&lt;FQL&gt;&lt;Q&gt;EWD^FG_FCF_YIELD_NTM(0)&lt;/Q&gt;&lt;R&gt;1&lt;/R&gt;&lt;C&gt;1&lt;/C&gt;&lt;D xsi:type="xsd:double"&gt;4.97314267072&lt;/D&gt;&lt;/FQL&gt;&lt;FQL&gt;&lt;Q&gt;EWC^FMA_PE(LTM,0,,,"PORTAGG","MEANR")&lt;/Q&gt;&lt;R&gt;1&lt;/R&gt;&lt;C&gt;1&lt;/C&gt;&lt;D xsi:type="xsd:double"&gt;19.1518731479812&lt;/D&gt;&lt;/FQL&gt;&lt;FQL&gt;&lt;Q&gt;EWL^P_PRICE(0)/P_PRICE_LOW_PR(0,,,,,,"PRICE","INTRA","52W")-1&lt;/Q&gt;&lt;R&gt;1&lt;/R&gt;&lt;C&gt;1&lt;/C&gt;&lt;D xsi:type="xsd:double"&gt;0.2594465&lt;/D&gt;&lt;/FQL&gt;&lt;FQL&gt;&lt;Q&gt;EWG^PERCENT_CHANGE(FMA_EPS(+1,0,,,,"PORTAGG","MEAN"),FMA_EPS(+1,-1AM,,,,"PORTAGG","MEAN"))&lt;/Q&gt;&lt;R&gt;1&lt;/R&gt;&lt;C&gt;1&lt;/C&gt;&lt;D xsi:type="xsd:double"&gt;-4.22991356318843&lt;/D&gt;&lt;/FQL&gt;&lt;FQL&gt;&lt;Q&gt;EWC^FMA_RBICS_REV_CURRENT(30, LOC, "PORTAGG")&lt;/Q&gt;&lt;R&gt;1&lt;/R&gt;&lt;C&gt;1&lt;/C&gt;&lt;D xsi:type="xsd:double"&gt;40.9197765683473&lt;/D&gt;&lt;/FQL&gt;&lt;FQL&gt;&lt;Q&gt;TRYJP10Y-FDS^FG_YIELD(0,,,,"YTM")&lt;/Q&gt;&lt;R&gt;1&lt;/R&gt;&lt;C&gt;1&lt;/C&gt;&lt;D xsi:type="xsd:double"&gt;0.802&lt;/D&gt;&lt;/FQL&gt;&lt;FQL&gt;&lt;Q&gt;EWL^FMA_EVAL_EBITDA(NTMA,0,,,"PORTAGG","MEANR")&lt;/Q&gt;&lt;R&gt;1&lt;/R&gt;&lt;C&gt;1&lt;/C&gt;&lt;D xsi:type="xsd:double"&gt;13.0419518472566&lt;/D&gt;&lt;/FQL&gt;&lt;FQL&gt;&lt;Q&gt;DBA^FG_TOTAL_RETURNC(0,-6AM)&lt;/Q&gt;&lt;R&gt;1&lt;/R&gt;&lt;C&gt;1&lt;/C&gt;&lt;D xsi:type="xsd:double"&gt;7.1747065&lt;/D&gt;&lt;/FQL&gt;&lt;FQL&gt;&lt;Q&gt;REFNZOCR-FDS^FG_YIELD(NOW,,,0)&lt;/Q&gt;&lt;R&gt;1&lt;/R&gt;&lt;C&gt;1&lt;/C&gt;&lt;D xsi:type="xsd:double"&gt;5.25&lt;/D&gt;&lt;/FQL&gt;&lt;FQL&gt;&lt;Q&gt;SPY^FMA_PE(NTMA,0,,,"PORTAGG","MEANR")&lt;/Q&gt;&lt;R&gt;1&lt;/R&gt;&lt;C&gt;1&lt;/C&gt;&lt;D xsi:type="xsd:double"&gt;21.4842393666159&lt;/D&gt;&lt;/FQL&gt;&lt;FQL&gt;&lt;Q&gt;EWJ^P_PRICE(0)/P_PRICE_HIGH_PR(0,,,USD,,,"PRICE","INTRA","52W")&lt;/Q&gt;&lt;R&gt;1&lt;/R&gt;&lt;C&gt;1&lt;/C&gt;&lt;D xsi:type="xsd:double"&gt;0.99658656&lt;/D&gt;&lt;/FQL&gt;&lt;FQL&gt;&lt;Q&gt;USDJPY^STD(FG_PRICE_CHANGE(0,-3AY,M))&lt;/Q&gt;&lt;R&gt;1&lt;/R&gt;&lt;C&gt;1&lt;/C&gt;&lt;D xsi:type="xsd:double"&gt;3.35240877850283&lt;/D&gt;&lt;/FQL&gt;&lt;FQL&gt;&lt;Q&gt;EWU^FG_TOTAL_RETURNC(-10AY,0,AM)&lt;/Q&gt;&lt;R&gt;121&lt;/R&gt;&lt;C&gt;1&lt;/C&gt;&lt;D xsi:type="xsd:double"&gt;-4.5255423&lt;/D&gt;&lt;D xsi:type="xsd:double"&gt;-4.994911&lt;/D&gt;&lt;D xsi:type="xsd:double"&gt;3.862667&lt;/D&gt;&lt;D xsi:type="xsd:double"&gt;-3.0301213&lt;/D&gt;&lt;D xsi:type="xsd:double"&gt;0.38022995&lt;/D&gt;&lt;D xsi:type="xsd:double"&gt;3.3549786&lt;/D&gt;&lt;D xsi:type="xsd:double"&gt;-3.979057&lt;/D&gt;&lt;D xsi:type="xsd:double"&gt;5.725181&lt;/D&gt;&lt;D xsi:type="xsd:double"&gt;0.618875&lt;/D&gt;&lt;D xsi:type="xsd:double"&gt;-1.3610721&lt;/D&gt;&lt;D xsi:type="xsd:double"&gt;-5.026448&lt;/D&gt;&lt;D xsi:type="xsd:double"&gt;-4.9025116&lt;/D&gt;&lt;D xsi:type="xsd:double"&gt;-3.573525&lt;/D&gt;&lt;D xsi:type="xsd:double"&gt;5.9538364&lt;/D&gt;&lt;D xsi:type="xsd:double"&gt;-1.4908254&lt;/D&gt;&lt;D xsi:type="xsd:double"&gt;-2.6934087&lt;/D&gt;&lt;D xsi:type="xsd:double"&gt;-9.45698&lt;/D&gt;&lt;D xsi:type="xsd:double"&gt;0.47169924&lt;/D&gt;&lt;D xsi:type="xsd:double"&gt;3.2193184&lt;/D&gt;&lt;D xsi:type="xsd:double"&gt;6.497717&lt;/D&gt;&lt;D xsi:type="xsd:double"&gt;0.12202263&lt;/D&gt;&lt;D xsi:type="xsd:double"&gt;-12.643385&lt;/D&gt;&lt;D xsi:type="xsd:double"&gt;11.4367485&lt;/D&gt;&lt;D xsi:type="xsd:double"&gt;1.2828708&lt;/D&gt;&lt;D xsi:type="xsd:double"&gt;-0.6966412&lt;/D&gt;&lt;D xsi:type="xsd:double"&gt;-4.2091846&lt;/D&gt;&lt;D xsi:type="xsd:double"&gt;0.8322239&lt;/D&gt;&lt;D xsi:type="xsd:double"&gt;1.8868208&lt;/D&gt;&lt;D xsi:type="xsd:double"&gt;3.7450671&lt;/D&gt;&lt;D xsi:type="xsd:double"&gt;1.2666225&lt;/D&gt;&lt;D xsi:type="xsd:double"&gt;1.7198205&lt;/D&gt;&lt;D xsi:type="xsd:double"&gt;2.0903826&lt;/D&gt;&lt;D xsi:type="xsd:double"&gt;3.8241506&lt;/D&gt;&lt;D xsi:type="xsd:double"&gt;-1.641494&lt;/D&gt;&lt;D xsi:type="xsd:double"&gt;2.5022626&lt;/D&gt;&lt;D xsi:type="xsd:double"&gt;-1.2352884&lt;/D&gt;&lt;D xsi:type="xsd:double"&gt;2.9183984&lt;/D&gt;&lt;D xsi:type="xsd:double"&gt;0.3472209&lt;/D&gt;&lt;D xsi:type="xsd:double"&gt;0.23066998&lt;/D&gt;&lt;D xsi:type="xsd:double"&gt;3.941393&lt;/D&gt;&lt;D xsi:type="xsd:double"&gt;6.8246007&lt;/D&gt;&lt;D xsi:type="xsd:double"&gt;-7.101381&lt;/D&gt;&lt;D xsi:type="xsd:double"&gt;-2.3870409&lt;/D&gt;&lt;D xsi:type="xsd:double"&gt;5.793309&lt;/D&gt;&lt;D xsi:type="xsd:double"&gt;-0.35773516&lt;/D&gt;&lt;D xsi:type="xsd:double"&gt;-3.1347573&lt;/D&gt;&lt;D xsi:type="xsd:double"&gt;1.5178084&lt;/D&gt;&lt;D xsi:type="xsd:double"&gt;-1.495111&lt;/D&gt;&lt;D xsi:type="xsd:double"&gt;0.55458546&lt;/D&gt;&lt;D xsi:type="xsd:double"&gt;-9.433961&lt;/D&gt;&lt;D xsi:type="xsd:double"&gt;1.0897398&lt;/D&gt;&lt;D xsi:type="xsd:double"&gt;-6.0432253&lt;/D&gt;&lt;D xsi:type="xsd:double"&gt;6.5517187&lt;/D&gt;&lt;D xsi:type="xsd:double"&gt;5.889976&lt;/D&gt;&lt;D xsi:type="xsd:double"&gt;1.314187&lt;/D&gt;&lt;D xsi:type="xsd:double"&gt;1.1161327&lt;/D&gt;&lt;D xsi:type="xsd:double"&gt;-3.3412874&lt;/D&gt;&lt;D xsi:type="xsd:double"&gt;1.5849233&lt;/D&gt;&lt;D xsi:type="xsd:double"&gt;-0.15580654&lt;/D&gt;&lt;D xsi:type="xsd:double"&gt;-6.6167297&lt;/D&gt;&lt;D xsi:type="xsd:double"&gt;4.9131036&lt;/D&gt;&lt;D xsi:type="xsd:double"&gt;3.40873&lt;/D&gt;&lt;D xsi:type="xsd:double"&gt;2.248919&lt;/D&gt;&lt;D xsi:type="xsd:double"&gt;4.1727066&lt;/D&gt;&lt;D xsi:type="xsd:double"&gt;-3.0311942&lt;/D&gt;&lt;D xsi:type="xsd:double"&gt;-10.5614605&lt;/D&gt;&lt;D xsi:type="xsd:double"&gt;-20.766878&lt;/D&gt;&lt;D xsi:type="xsd:double"&gt;6.552458&lt;/D&gt;&lt;D xsi:type="xsd:double"&gt;3.8183331&lt;/D&gt;&lt;D xsi:type="xsd:double"&gt;0.14026165&lt;/D&gt;&lt;D xsi:type="xsd:double"&gt;4.0031433&lt;/D&gt;&lt;D xsi:type="xsd:double"&gt;0.79244375&lt;/D&gt;&lt;D xsi:type="xsd:double"&gt;-5.5784345&lt;/D&gt;&lt;D xsi:type="xsd:double"&gt;-0.35685897&lt;/D&gt;&lt;D xsi:type="xsd:double"&gt;15.161169&lt;/D&gt;&lt;D xsi:type="xsd:double"&gt;2.858317&lt;/D&gt;&lt;D xsi:type="xsd:double"&gt;1.5290499&lt;/D&gt;&lt;D xsi:type="xsd:double"&gt;1.6399026&lt;/D&gt;&lt;D xsi:type="xsd:double"&gt;3.9183378&lt;/D&gt;&lt;D xsi:type="xsd:double"&gt;3.3903718&lt;/D&gt;&lt;D xsi:type="xsd:double"&gt;3.8308263&lt;/D&gt;&lt;D xsi:type="xsd:double"&gt;-0.23126006&lt;/D&gt;&lt;D xsi:type="xsd:double"&gt;-1.7448902&lt;/D&gt;&lt;D xsi:type="xsd:double"&gt;1.6533971&lt;/D&gt;&lt;D xsi:type="xsd:double"&gt;-1.3855398&lt;/D&gt;&lt;D xsi:type="xsd:double"&gt;3.2070875&lt;/D&gt;&lt;D xsi:type="xsd:double"&gt;-5.060667&lt;/D&gt;&lt;D xsi:type="xsd:double"&gt;6.7246437&lt;/D&gt;&lt;D xsi:type="xsd:double"&gt;1.4105678&lt;/D&gt;&lt;D xsi:type="xsd:double"&gt;1.2725711&lt;/D&gt;&lt;D xsi:type="xsd:double"&gt;-1.052016&lt;/D&gt;&lt;D xsi:type="xsd:double"&gt;-5.4341435&lt;/D&gt;&lt;D xsi:type="xsd:double"&gt;3.7164211&lt;/D&gt;&lt;D xsi:type="xsd:double"&gt;-6.964678&lt;/D&gt;&lt;D xsi:type="xsd:double"&gt;0.8569598&lt;/D&gt;&lt;D xsi:type="xsd:double"&gt;-2.7450979&lt;/D&gt;&lt;D xsi:type="xsd:double"&gt;-13.84409&lt;/D&gt;&lt;D xsi:type="xsd:double"&gt;9.360385&lt;/D&gt;&lt;D xsi:type="xsd:double"&gt;11.055624&lt;/D&gt;&lt;D xsi:type="xsd:double"&gt;0.48588514&lt;/D&gt;&lt;D xsi:type="xsd:double"&gt;5.6762934&lt;/D&gt;&lt;D xsi:type="xsd:double"&gt;0.15347004&lt;/D&gt;&lt;D xsi:type="xsd:double"&gt;-3.4017801&lt;/D&gt;&lt;D xsi:type="xsd:double"&gt;7.043147&lt;/D&gt;&lt;D xsi:type="xsd:double"&gt;-3.8530052&lt;/D&gt;&lt;D xsi:type="xsd:double"&gt;1.1255026&lt;/D&gt;&lt;D xsi:type="xsd:double"&gt;2.6724696&lt;/D&gt;&lt;D xsi:type="xsd:double"&gt;-4.721552&lt;/D&gt;&lt;D xsi:type="xsd:double"&gt;0.06353855&lt;/D&gt;&lt;D xsi:type="xsd:double"&gt;-4.0952387&lt;/D&gt;&lt;D xsi:type="xsd:double"&gt;7.116854&lt;/D&gt;&lt;D xsi:type="xsd:double"&gt;5.020952&lt;/D&gt;&lt;D xsi:type="xsd:double"&gt;-1.7459393&lt;/D&gt;&lt;D xsi:type="xsd:double"&gt;0.88847876&lt;/D&gt;&lt;D xsi:type="xsd:double"&gt;3.5226226&lt;/D&gt;&lt;D xsi:type="xsd:double"&gt;2.1707296&lt;/D&gt;&lt;D xsi:type="xsd:double"&gt;4.335344&lt;/D&gt;&lt;D xsi:type="xsd:double"&gt;-2.0257294&lt;/D&gt;&lt;D xsi:type="xsd:double"&gt;3.1500697&lt;/D&gt;&lt;D xsi:type="xsd:double"&gt;4.4142127&lt;/D&gt;&lt;D xsi:type="xsd:double"&gt;0.1329422&lt;/D&gt;&lt;/FQL&gt;&lt;FQL&gt;&lt;Q&gt;EWA^FMA_PE(LTMA,-10AY,0,AM,"PORTAGG","MEANR")&lt;/Q&gt;&lt;R&gt;121&lt;/R&gt;&lt;C&gt;1&lt;/C&gt;&lt;D xsi:type="xsd:double"&gt;14.7184700955155&lt;/D&gt;&lt;D xsi:type="xsd:double"&gt;15.2076713708369&lt;/D&gt;&lt;D xsi:type="xsd:double"&gt;14.8369360199092&lt;/D&gt;&lt;D xsi:type="xsd:double"&gt;14.5478656383555&lt;/D&gt;&lt;D xsi:type="xsd:double"&gt;15.1608041976877&lt;/D&gt;&lt;D xsi:type="xsd:double"&gt;16.2153413101021&lt;/D&gt;&lt;D xsi:type="xsd:double"&gt;16.2704960022116&lt;/D&gt;&lt;D xsi:type="xsd:double"&gt;16.4758182368396&lt;/D&gt;&lt;D xsi:type="xsd:double"&gt;16.2192895419029&lt;/D&gt;&lt;D xsi:type="xsd:double"&gt;15.9872431219633&lt;/D&gt;&lt;D xsi:type="xsd:double"&gt;15.9843327128625&lt;/D&gt;&lt;D xsi:type="xsd:double"&gt;15.5445096884554&lt;/D&gt;&lt;D xsi:type="xsd:double"&gt;15.100493988845&lt;/D&gt;&lt;D xsi:type="xsd:double"&gt;15.8363032435915&lt;/D&gt;&lt;D xsi:type="xsd:double"&gt;15.5527377319771&lt;/D&gt;&lt;D xsi:type="xsd:double"&gt;15.7355413446476&lt;/D&gt;&lt;D xsi:type="xsd:double"&gt;14.9736819750567&lt;/D&gt;&lt;D xsi:type="xsd:double"&gt;14.9372027356642&lt;/D&gt;&lt;D xsi:type="xsd:double"&gt;15.1412900899215&lt;/D&gt;&lt;D xsi:type="xsd:double"&gt;15.3575234799338&lt;/D&gt;&lt;D xsi:type="xsd:double"&gt;15.7921363274939&lt;/D&gt;&lt;D xsi:type="xsd:double"&gt;15.5601054028439&lt;/D&gt;&lt;D xsi:type="xsd:double"&gt;16.4207001053961&lt;/D&gt;&lt;D xsi:type="xsd:double"&gt;16.6873790901469&lt;/D&gt;&lt;D xsi:type="xsd:double"&gt;16.6526264636115&lt;/D&gt;&lt;D xsi:type="xsd:double"&gt;16.5397209413262&lt;/D&gt;&lt;D xsi:type="xsd:double"&gt;17.3565180399058&lt;/D&gt;&lt;D xsi:type="xsd:double"&gt;17.5794624334831&lt;/D&gt;&lt;D xsi:type="xsd:double"&gt;17.7601050248075&lt;/D&gt;&lt;D xsi:type="xsd:double"&gt;17.5633415069917&lt;/D&gt;&lt;D xsi:type="xsd:double"&gt;17.327746329031&lt;/D&gt;&lt;D xsi:type="xsd:double"&gt;17.2999109177847&lt;/D&gt;&lt;D xsi:type="xsd:double"&gt;16.9521872566133&lt;/D&gt;&lt;D xsi:type="xsd:double"&gt;16.7468616801612&lt;/D&gt;&lt;D xsi:type="xsd:double"&gt;16.9119885191828&lt;/D&gt;&lt;D xsi:type="xsd:double"&gt;16.7437891978863&lt;/D&gt;&lt;D xsi:type="xsd:double"&gt;16.2920890079756&lt;/D&gt;&lt;D xsi:type="xsd:double"&gt;16.629462206132&lt;/D&gt;&lt;D xsi:type="xsd:double"&gt;16.6905635684005&lt;/D&gt;&lt;D xsi:type="xsd:double"&gt;16.7894361001012&lt;/D&gt;&lt;D xsi:type="xsd:double"&gt;16.8083737695171&lt;/D&gt;&lt;D xsi:type="xsd:double"&gt;16.6777384487715&lt;/D&gt;&lt;D xsi:type="xsd:double"&gt;16.3299289546223&lt;/D&gt;&lt;D xsi:type="xsd:double"&gt;16.277084815913&lt;/D&gt;&lt;D xsi:type="xsd:double"&gt;16.239052514505&lt;/D&gt;&lt;D xsi:type="xsd:double"&gt;16.2674046158622&lt;/D&gt;&lt;D xsi:type="xsd:double"&gt;16.3664375721876&lt;/D&gt;&lt;D xsi:type="xsd:double"&gt;16.3004059226827&lt;/D&gt;&lt;D xsi:type="xsd:double"&gt;16.0148300702008&lt;/D&gt;&lt;D xsi:type="xsd:double"&gt;14.9064888445425&lt;/D&gt;&lt;D xsi:type="xsd:double"&gt;15.0210850389126&lt;/D&gt;&lt;D xsi:type="xsd:double"&gt;14.5040350380649&lt;/D&gt;&lt;D xsi:type="xsd:double"&gt;15.3799431966505&lt;/D&gt;&lt;D xsi:type="xsd:double"&gt;15.8737472790146&lt;/D&gt;&lt;D xsi:type="xsd:double"&gt;15.8410118851193&lt;/D&gt;&lt;D xsi:type="xsd:double"&gt;15.9223051538782&lt;/D&gt;&lt;D xsi:type="xsd:double"&gt;15.9823662155039&lt;/D&gt;&lt;D xsi:type="xsd:double"&gt;16.3100449428342&lt;/D&gt;&lt;D xsi:type="xsd:double"&gt;16.464363964218&lt;/D&gt;&lt;D xsi:type="xsd:double"&gt;16.1984737498645&lt;/D&gt;&lt;D xsi:type="xsd:double"&gt;16.8614052269742&lt;/D&gt;&lt;D xsi:type="xsd:double"&gt;17.2894571960356&lt;/D&gt;&lt;D xsi:type="xsd:double"&gt;17.7744269237485&lt;/D&gt;&lt;D xsi:type="xsd:double"&gt;18.0649174943122&lt;/D&gt;&lt;D xsi:type="xsd:double"&gt;18.6822736681753&lt;/D&gt;&lt;D xsi:type="xsd:double"&gt;17.6168979598478&lt;/D&gt;&lt;D xsi:type="xsd:double"&gt;16.1583348394834&lt;/D&gt;&lt;D xsi:type="xsd:double"&gt;17.040667067993&lt;/D&gt;&lt;D xsi:type="xsd:double"&gt;18.0321891104865&lt;/D&gt;&lt;D xsi:type="xsd:double"&gt;18.3879906411202&lt;/D&gt;&lt;D xsi:type="xsd:double"&gt;19.1484273927106&lt;/D&gt;&lt;D xsi:type="xsd:double"&gt;19.8560539936525&lt;/D&gt;&lt;D xsi:type="xsd:double"&gt;19.3970681567454&lt;/D&gt;&lt;D xsi:type="xsd:double"&gt;19.9534560367358&lt;/D&gt;&lt;D xsi:type="xsd:double"&gt;22.2236447314244&lt;/D&gt;&lt;D xsi:type="xsd:double"&gt;23.0184447756579&lt;/D&gt;&lt;D xsi:type="xsd:double"&gt;23.1717554419448&lt;/D&gt;&lt;D xsi:type="xsd:double"&gt;21.8034729962648&lt;/D&gt;&lt;D xsi:type="xsd:double"&gt;21.3985704646461&lt;/D&gt;&lt;D xsi:type="xsd:double"&gt;21.0625608069946&lt;/D&gt;&lt;D xsi:type="xsd:double"&gt;20.6252015703817&lt;/D&gt;&lt;D xsi:type="xsd:double"&gt;20.2332879927052&lt;/D&gt;&lt;D xsi:type="xsd:double"&gt;19.3431439639023&lt;/D&gt;&lt;D xsi:type="xsd:double"&gt;19.1099665227229&lt;/D&gt;&lt;D xsi:type="xsd:double"&gt;18.6563202945138&lt;/D&gt;&lt;D xsi:type="xsd:double"&gt;18.8129703002095&lt;/D&gt;&lt;D xsi:type="xsd:double"&gt;17.6689624204708&lt;/D&gt;&lt;D xsi:type="xsd:double"&gt;17.8111009300976&lt;/D&gt;&lt;D xsi:type="xsd:double"&gt;16.0915028523439&lt;/D&gt;&lt;D xsi:type="xsd:double"&gt;15.5226364354252&lt;/D&gt;&lt;D xsi:type="xsd:double"&gt;15.8078824556421&lt;/D&gt;&lt;D xsi:type="xsd:double"&gt;15.3327980015781&lt;/D&gt;&lt;D xsi:type="xsd:double"&gt;15.0647434728267&lt;/D&gt;&lt;D xsi:type="xsd:double"&gt;14.2298436768124&lt;/D&gt;&lt;D xsi:type="xsd:double"&gt;14.3672412000591&lt;/D&gt;&lt;D xsi:type="xsd:double"&gt;14.6102212547774&lt;/D&gt;&lt;D xsi:type="xsd:double"&gt;13.3212065810356&lt;/D&gt;&lt;D xsi:type="xsd:double"&gt;13.5751434081146&lt;/D&gt;&lt;D xsi:type="xsd:double"&gt;14.466809272068&lt;/D&gt;&lt;D xsi:type="xsd:double"&gt;14.1181350804792&lt;/D&gt;&lt;D xsi:type="xsd:double"&gt;14.9598157496564&lt;/D&gt;&lt;D xsi:type="xsd:double"&gt;14.1601348206319&lt;/D&gt;&lt;D xsi:type="xsd:double"&gt;14.1179763183653&lt;/D&gt;&lt;D xsi:type="xsd:double"&gt;14.3246960734247&lt;/D&gt;&lt;D xsi:type="xsd:double"&gt;14.2076625511532&lt;/D&gt;&lt;D xsi:type="xsd:double"&gt;14.5019647174374&lt;/D&gt;&lt;D xsi:type="xsd:double"&gt;15.1939517763178&lt;/D&gt;&lt;D xsi:type="xsd:double"&gt;14.7873882480359&lt;/D&gt;&lt;D xsi:type="xsd:double"&gt;14.7088958939687&lt;/D&gt;&lt;D xsi:type="xsd:double"&gt;14.4537759211948&lt;/D&gt;&lt;D xsi:type="xsd:double"&gt;15.0391772460179&lt;/D&gt;&lt;D xsi:type="xsd:double"&gt;16.5130457010897&lt;/D&gt;&lt;D xsi:type="xsd:double"&gt;16.3958282391868&lt;/D&gt;&lt;D xsi:type="xsd:double"&gt;16.5903268074032&lt;/D&gt;&lt;D xsi:type="xsd:double"&gt;16.6401062616073&lt;/D&gt;&lt;D xsi:type="xsd:double"&gt;16.5432021031293&lt;/D&gt;&lt;D xsi:type="xsd:double"&gt;16.6910746726908&lt;/D&gt;&lt;D xsi:type="xsd:double"&gt;16.8483991435572&lt;/D&gt;&lt;D xsi:type="xsd:double"&gt;17.0916027051785&lt;/D&gt;&lt;D xsi:type="xsd:double"&gt;17.5588432165833&lt;/D&gt;&lt;D xsi:type="xsd:double"&gt;17.9606611103338&lt;/D&gt;&lt;/FQL&gt;&lt;FQL&gt;&lt;Q&gt;PLATI-FDS^MAX(FG_PRICE(0,-5AY))&lt;/Q&gt;&lt;R&gt;1&lt;/R&gt;&lt;C&gt;1&lt;/C&gt;&lt;D xsi:type="xsd:double"&gt;1272.59&lt;/D&gt;&lt;/FQL&gt;&lt;FQL&gt;&lt;Q&gt;COPP-FDS^FG_PRICE(0)/MAX(FG_PRICE(0,-1AY))&lt;/Q&gt;&lt;R&gt;1&lt;/R&gt;&lt;C&gt;1&lt;/C&gt;&lt;D xsi:type="xsd:double"&gt;0.894901347919516&lt;/D&gt;&lt;/FQL&gt;&lt;FQL&gt;&lt;Q&gt;EWI^FG_PRICE_MAVG(0,,,,200)&lt;/Q&gt;&lt;R&gt;1&lt;/R&gt;&lt;C&gt;1&lt;/C&gt;&lt;D xsi:type="xsd:double"&gt;36.45335&lt;/D&gt;&lt;/FQL&gt;&lt;FQL&gt;&lt;Q&gt;EWL^FG_PRICE(0)&lt;/Q&gt;&lt;R&gt;1&lt;/R&gt;&lt;C&gt;1&lt;/C&gt;&lt;D xsi:type="xsd:double"&gt;52.33&lt;/D&gt;&lt;/FQL&gt;&lt;FQL&gt;&lt;Q&gt;SPY^P_PRICE(0)/P_PRICE_LOW_PR(0,,,,,,"PRICE","INTRA","52W")-1&lt;/Q&gt;&lt;R&gt;1&lt;/R&gt;&lt;C&gt;1&lt;/C&gt;&lt;D xsi:type="xsd:double"&gt;0.39854836&lt;/D&gt;&lt;/FQL&gt;&lt;FQL&gt;&lt;Q&gt;VWO^P_PRICE(0)/P_PRICE_HIGH_PR(0,,,,,,"PRICE","INTRA","52W")&lt;/Q&gt;&lt;R&gt;1&lt;/R&gt;&lt;C&gt;1&lt;/C&gt;&lt;D xsi:type="xsd:double"&gt;0.99659264&lt;/D&gt;&lt;/FQL&gt;&lt;FQL&gt;&lt;Q&gt;EWI^FMA_PCT_ABOVE_MAVG(200,0,,,,"PORTAGG")&lt;/Q&gt;&lt;R&gt;1&lt;/R&gt;&lt;C&gt;1&lt;/C&gt;&lt;D xsi:type="xsd:double"&gt;60&lt;/D&gt;&lt;/FQL&gt;&lt;FQL&gt;&lt;Q&gt;FXI^SIZE(FG_CONSTITUENTS)&lt;/Q&gt;&lt;R&gt;1&lt;/R&gt;&lt;C&gt;1&lt;/C&gt;&lt;D xsi:type="xsd:long"&gt;53&lt;/D&gt;&lt;/FQL&gt;&lt;FQL&gt;&lt;Q&gt;EWQ^FMA_COS_DOWN("EPS","1M",+1,0,,,"PORTAGG","MEANR")&lt;/Q&gt;&lt;R&gt;1&lt;/R&gt;&lt;C&gt;1&lt;/C&gt;&lt;D xsi:type="xsd:double"&gt;24&lt;/D&gt;&lt;/FQL&gt;&lt;FQL&gt;&lt;Q&gt;EWA^FMA_COS_DOWN("EPS","1M",+1,0,,,"PORTAGG","MEANR")&lt;/Q&gt;&lt;R&gt;1&lt;/R&gt;&lt;C&gt;1&lt;/C&gt;&lt;D xsi:type="xsd:double"&gt;17&lt;/D&gt;&lt;/FQL&gt;&lt;FQL&gt;&lt;Q&gt;EWA^FMA_RBICS_REV_CURRENT(30, LOC, "PORTAGG")&lt;/Q&gt;&lt;R&gt;1&lt;/R&gt;&lt;C&gt;1&lt;/C&gt;&lt;D xsi:type="xsd:double"&gt;43.4940120023798&lt;/D&gt;&lt;/FQL&gt;&lt;FQL&gt;&lt;Q&gt;TRYDE10Y-FDS^PCTCHG(FG_YIELD(0,,,,"YTM"),FG_YIELD(-1AM,,,,"YTM"))&lt;/Q&gt;&lt;R&gt;0&lt;/R&gt;&lt;C&gt;0&lt;/C&gt;&lt;/FQL&gt;&lt;FQL&gt;&lt;Q&gt;VWO^FMA_EVAL_EBIT(LTMA,NOW,NOW,M,"PORTAGG","MEANR")&lt;/Q&gt;&lt;R&gt;1&lt;/R&gt;&lt;C&gt;1&lt;/C&gt;&lt;D xsi:type="xsd:double"&gt;14.5412114354492&lt;/D&gt;&lt;/FQL&gt;&lt;FQL&gt;&lt;Q&gt;DBA^FG_TOTAL_RETURNC(0,-1AM)&lt;/Q&gt;&lt;R&gt;1&lt;/R&gt;&lt;C&gt;1&lt;/C&gt;&lt;D xsi:type="xsd:double"&gt;5.675459&lt;/D&gt;&lt;/FQL&gt;&lt;FQL&gt;&lt;Q&gt;EWD^FMA_PE(NTMA,0,,,"PORTAGG","MEANR")&lt;/Q&gt;&lt;R&gt;1&lt;/R&gt;&lt;C&gt;1&lt;/C&gt;&lt;D xsi:type="xsd:double"&gt;16.3572988597894&lt;/D&gt;&lt;/FQL&gt;&lt;FQL&gt;&lt;Q&gt;USDJPY^STD(FG_PRICE_CHANGE(0,-1AY,AM))&lt;/Q&gt;&lt;R&gt;1&lt;/R&gt;&lt;C&gt;1&lt;/C&gt;&lt;D xsi:type="xsd:double"&gt;3.18662304606753&lt;/D&gt;&lt;/FQL&gt;&lt;FQL&gt;&lt;Q&gt;EWL^FG_TOTAL_RETURNC(-10AY,0,AM)&lt;/Q&gt;&lt;R&gt;121&lt;/R&gt;&lt;C&gt;1&lt;/C&gt;&lt;D xsi:type="xsd:double"&gt;-3.143537&lt;/D&gt;&lt;D xsi:type="xsd:double"&gt;-3.000611&lt;/D&gt;&lt;D xsi:type="xsd:double"&gt;4.797983&lt;/D&gt;&lt;D xsi:type="xsd:double"&gt;-2.4397612&lt;/D&gt;&lt;D xsi:type="xsd:double"&gt;0.52485466&lt;/D&gt;&lt;D xsi:type="xsd:double"&gt;2.3341417&lt;/D&gt;&lt;D xsi:type="xsd:double"&gt;1.0204077&lt;/D&gt;&lt;D xsi:type="xsd:double"&gt;3.1937003&lt;/D&gt;&lt;D xsi:type="xsd:double"&gt;2.0584464&lt;/D&gt;&lt;D xsi:type="xsd:double"&gt;-2.2905707&lt;/D&gt;&lt;D xsi:type="xsd:double"&gt;-1.6849041&lt;/D&gt;&lt;D xsi:type="xsd:double"&gt;-3.3974648&lt;/D&gt;&lt;D xsi:type="xsd:double"&gt;-6.3492117&lt;/D&gt;&lt;D xsi:type="xsd:double"&gt;5.1179767&lt;/D&gt;&lt;D xsi:type="xsd:double"&gt;-2.5292397&lt;/D&gt;&lt;D xsi:type="xsd:double"&gt;1.9461632&lt;/D&gt;&lt;D xsi:type="xsd:double"&gt;-8.145082&lt;/D&gt;&lt;D xsi:type="xsd:double"&gt;-1.1430562&lt;/D&gt;&lt;D xsi:type="xsd:double"&gt;2.1723866&lt;/D&gt;&lt;D xsi:type="xsd:double"&gt;5.418384&lt;/D&gt;&lt;D xsi:type="xsd:double"&gt;0.32531023&lt;/D&gt;&lt;D xsi:type="xsd:double"&gt;-6.5921125&lt;/D&gt;&lt;D xsi:type="xsd:double"&gt;6.5217376&lt;/D&gt;&lt;D xsi:type="xsd:double"&gt;1.0371447&lt;/D&gt;&lt;D xsi:type="xsd:double"&gt;1.5562892&lt;/D&gt;&lt;D xsi:type="xsd:double"&gt;-5.1516113&lt;/D&gt;&lt;D xsi:type="xsd:double"&gt;-2.028191&lt;/D&gt;&lt;D xsi:type="xsd:double"&gt;2.6956081&lt;/D&gt;&lt;D xsi:type="xsd:double"&gt;4.991448&lt;/D&gt;&lt;D xsi:type="xsd:double"&gt;0.78151226&lt;/D&gt;&lt;D xsi:type="xsd:double"&gt;4.1680217&lt;/D&gt;&lt;D xsi:type="xsd:double"&gt;3.4739375&lt;/D&gt;&lt;D xsi:type="xsd:double"&gt;4.556358&lt;/D&gt;&lt;D xsi:type="xsd:double"&gt;1.3767362&lt;/D&gt;&lt;D xsi:type="xsd:double"&gt;-0.57770014&lt;/D&gt;&lt;D xsi:type="xsd:double"&gt;-0.23241639&lt;/D&gt;&lt;D xsi:type="xsd:double"&gt;0.72801113&lt;/D&gt;&lt;D xsi:type="xsd:double"&gt;-1.0696709&lt;/D&gt;&lt;D xsi:type="xsd:double"&gt;2.0455837&lt;/D&gt;&lt;D xsi:type="xsd:double"&gt;1.3173103&lt;/D&gt;&lt;D xsi:type="xsd:double"&gt;6.6704392&lt;/D&gt;&lt;D xsi:type="xsd:double"&gt;-6.0943365&lt;/D&gt;&lt;D xsi:type="xsd:double"&gt;-4.4017973&lt;/D&gt;&lt;D xsi:type="xsd:double"&gt;0.97402334&lt;/D&gt;&lt;D xsi:type="xsd:double"&gt;-0.6430805&lt;/D&gt;&lt;D xsi:type="xsd:double"&gt;-3.3732176&lt;/D&gt;&lt;D xsi:type="xsd:double"&gt;7.740319&lt;/D&gt;&lt;D xsi:type="xsd:double"&gt;0.9269953&lt;/D&gt;&lt;D xsi:type="xsd:double"&gt;0.17222166&lt;/D&gt;&lt;D xsi:type="xsd:double"&gt;-7.564479&lt;/D&gt;&lt;D xsi:type="xsd:double"&gt;1.9218922&lt;/D&gt;&lt;D xsi:type="xsd:double"&gt;-6.0827312&lt;/D&gt;&lt;D xsi:type="xsd:double"&gt;7.027197&lt;/D&gt;&lt;D xsi:type="xsd:double"&gt;4.7201276&lt;/D&gt;&lt;D xsi:type="xsd:double"&gt;1.5891314&lt;/D&gt;&lt;D xsi:type="xsd:double"&gt;2.6450515&lt;/D&gt;&lt;D xsi:type="xsd:double"&gt;1.3577223&lt;/D&gt;&lt;D xsi:type="xsd:double"&gt;4.259002&lt;/D&gt;&lt;D xsi:type="xsd:double"&gt;-0.21407008&lt;/D&gt;&lt;D xsi:type="xsd:double"&gt;-0.75088143&lt;/D&gt;&lt;D xsi:type="xsd:double"&gt;1.8913865&lt;/D&gt;&lt;D xsi:type="xsd:double"&gt;0.82206726&lt;/D&gt;&lt;D xsi:type="xsd:double"&gt;2.8406024&lt;/D&gt;&lt;D xsi:type="xsd:double"&gt;4.2199492&lt;/D&gt;&lt;D xsi:type="xsd:double"&gt;0.12270212&lt;/D&gt;&lt;D xsi:type="xsd:double"&gt;-6.3970623&lt;/D&gt;&lt;D xsi:type="xsd:double"&gt;-8.902847&lt;/D&gt;&lt;D xsi:type="xsd:double"&gt;6.8122983&lt;/D&gt;&lt;D xsi:type="xsd:double"&gt;1.1302471&lt;/D&gt;&lt;D xsi:type="xsd:double"&gt;4.708886&lt;/D&gt;&lt;D xsi:type="xsd:double"&gt;7.024789&lt;/D&gt;&lt;D xsi:type="xsd:double"&gt;0.89286566&lt;/D&gt;&lt;D xsi:type="xsd:double"&gt;-1.9612551&lt;/D&gt;&lt;D xsi:type="xsd:double"&gt;-1.1466265&lt;/D&gt;&lt;D xsi:type="xsd:double"&gt;6.2931895&lt;/D&gt;&lt;D xsi:type="xsd:double"&gt;1.5854478&lt;/D&gt;&lt;D xsi:type="xsd:double"&gt;3.2014728&lt;/D&gt;&lt;D xsi:type="xsd:double"&gt;-4.210061&lt;/D&gt;&lt;D xsi:type="xsd:double"&gt;3.5854697&lt;/D&gt;&lt;D xsi:type="xsd:double"&gt;4.019654&lt;/D&gt;&lt;D xsi:type="xsd:double"&gt;4.4224977&lt;/D&gt;&lt;D xsi:type="xsd:double"&gt;3.2682776&lt;/D&gt;&lt;D xsi:type="xsd:double"&gt;0.48662424&lt;/D&gt;&lt;D xsi:type="xsd:double"&gt;3.2284021&lt;/D&gt;&lt;D xsi:type="xsd:double"&gt;-6.782645&lt;/D&gt;&lt;D xsi:type="xsd:double"&gt;3.5017848&lt;/D&gt;&lt;D xsi:type="xsd:double"&gt;-0.060772896&lt;/D&gt;&lt;D xsi:type="xsd:double"&gt;6.770718&lt;/D&gt;&lt;D xsi:type="xsd:double"&gt;-8.315927&lt;/D&gt;&lt;D xsi:type="xsd:double"&gt;0&lt;/D&gt;&lt;D xsi:type="xsd:double"&gt;1.0768294&lt;/D&gt;&lt;D xsi:type="xsd:double"&gt;-4.4867935&lt;/D&gt;&lt;D xsi:type="xsd:double"&gt;-1.8232465&lt;/D&gt;&lt;D xsi:type="xsd:double"&gt;-6.7882004&lt;/D&gt;&lt;D xsi:type="xsd:double"&gt;2.2482634&lt;/D&gt;&lt;D xsi:type="xsd:double"&gt;-3.438598&lt;/D&gt;&lt;D xsi:type="xsd:double"&gt;-10.537786&lt;/D&gt;&lt;D xsi:type="xsd:double"&gt;5.5781245&lt;/D&gt;&lt;D xsi:type="xsd:double"&gt;10.310328&lt;/D&gt;&lt;D xsi:type="xsd:double"&gt;-1.9297779&lt;/D&gt;&lt;D xsi:type="xsd:double"&gt;6.6619277&lt;/D&gt;&lt;D xsi:type="xsd:double"&gt;-2.0004451&lt;/D&gt;&lt;D xsi:type="xsd:double"&gt;-0.13608932&lt;/D&gt;&lt;D xsi:type="xsd:double"&gt;8.56235&lt;/D&gt;&lt;D xsi:type="xsd:double"&gt;-0.96234083&lt;/D&gt;&lt;D xsi:type="xsd:double"&gt;-0.75718164&lt;/D&gt;&lt;D xsi:type="xsd:double"&gt;3.9825797&lt;/D&gt;&lt;D xsi:type="xsd:double"&gt;-4.6253624&lt;/D&gt;&lt;D xsi:type="xsd:double"&gt;-5.4202375&lt;/D&gt;&lt;D xsi:type="xsd:double"&gt;-3.4570694&lt;/D&gt;&lt;D xsi:type="xsd:double"&gt;7.9788446&lt;/D&gt;&lt;D xsi:type="xsd:double"&gt;6.9886446&lt;/D&gt;&lt;D xsi:type="xsd:double"&gt;-0.52007437&lt;/D&gt;&lt;D xsi:type="xsd:double"&gt;-1.2965262&lt;/D&gt;&lt;D xsi:type="xsd:double"&gt;0.38136244&lt;/D&gt;&lt;D xsi:type="xsd:double"&gt;-3.0392647&lt;/D&gt;&lt;D xsi:type="xsd:double"&gt;5.180669&lt;/D&gt;&lt;D xsi:type="xsd:double"&gt;2.0977259&lt;/D&gt;&lt;D xsi:type="xsd:double"&gt;3.6010027&lt;/D&gt;&lt;D xsi:type="xsd:double"&gt;5.2536845&lt;/D&gt;&lt;D xsi:type="xsd:double"&gt;-0.6832361&lt;/D&gt;&lt;/FQL&gt;&lt;FQL&gt;&lt;Q&gt;ENZL^FMA_PE(LTMA,-10AY,0,AM,"PORTAGG","MEANR")&lt;/Q&gt;&lt;R&gt;121&lt;/R&gt;&lt;C&gt;1&lt;/C&gt;&lt;D xsi:type="xsd:double"&gt;17.9041434392104&lt;/D&gt;&lt;D xsi:type="xsd:double"&gt;18.2293486394845&lt;/D&gt;&lt;D xsi:type="xsd:double"&gt;18.5736448753129&lt;/D&gt;&lt;D xsi:type="xsd:double"&gt;19.135174035517&lt;/D&gt;&lt;D xsi:type="xsd:double"&gt;19.8847791320551&lt;/D&gt;&lt;D xsi:type="xsd:double"&gt;20.5337322033324&lt;/D&gt;&lt;D xsi:type="xsd:double"&gt;20.2006707560209&lt;/D&gt;&lt;D xsi:type="xsd:double"&gt;20.054513710769&lt;/D&gt;&lt;D xsi:type="xsd:double"&gt;19.9392086801876&lt;/D&gt;&lt;D xsi:type="xsd:double"&gt;19.6496878236845&lt;/D&gt;&lt;D xsi:type="xsd:double"&gt;19.7715730804471&lt;/D&gt;&lt;D xsi:type="xsd:double"&gt;19.1542975048465&lt;/D&gt;&lt;D xsi:type="xsd:double"&gt;18.9111453212201&lt;/D&gt;&lt;D xsi:type="xsd:double"&gt;19.5430391774013&lt;/D&gt;&lt;D xsi:type="xsd:double"&gt;19.5938339966836&lt;/D&gt;&lt;D xsi:type="xsd:double"&gt;19.7634532259133&lt;/D&gt;&lt;D xsi:type="xsd:double"&gt;19.1304028293624&lt;/D&gt;&lt;D xsi:type="xsd:double"&gt;19.2903080505808&lt;/D&gt;&lt;D xsi:type="xsd:double"&gt;19.257798741171&lt;/D&gt;&lt;D xsi:type="xsd:double"&gt;19.3765109174218&lt;/D&gt;&lt;D xsi:type="xsd:double"&gt;19.7113687304568&lt;/D&gt;&lt;D xsi:type="xsd:double"&gt;19.4114520813501&lt;/D&gt;&lt;D xsi:type="xsd:double"&gt;20.4658987742916&lt;/D&gt;&lt;D xsi:type="xsd:double"&gt;20.7805426923717&lt;/D&gt;&lt;D xsi:type="xsd:double"&gt;20.7335073461395&lt;/D&gt;&lt;D xsi:type="xsd:double"&gt;20.0834308755357&lt;/D&gt;&lt;D xsi:type="xsd:double"&gt;20.1085004843122&lt;/D&gt;&lt;D xsi:type="xsd:double"&gt;19.9924452113648&lt;/D&gt;&lt;D xsi:type="xsd:double"&gt;20.6890630841297&lt;/D&gt;&lt;D xsi:type="xsd:double"&gt;19.4689802726149&lt;/D&gt;&lt;D xsi:type="xsd:double"&gt;19.7076471194781&lt;/D&gt;&lt;D xsi:type="xsd:double"&gt;19.9217758015812&lt;/D&gt;&lt;D xsi:type="xsd:double"&gt;20.018662549414&lt;/D&gt;&lt;D xsi:type="xsd:double"&gt;20.2074434494732&lt;/D&gt;&lt;D xsi:type="xsd:double"&gt;20.4067402595246&lt;/D&gt;&lt;D xsi:type="xsd:double"&gt;20.6911266485399&lt;/D&gt;&lt;D xsi:type="xsd:double"&gt;20.6852670584328&lt;/D&gt;&lt;D xsi:type="xsd:double"&gt;21.2738816920246&lt;/D&gt;&lt;D xsi:type="xsd:double"&gt;21.4794662191215&lt;/D&gt;&lt;D xsi:type="xsd:double"&gt;22.3056845631207&lt;/D&gt;&lt;D xsi:type="xsd:double"&gt;22.0496253338217&lt;/D&gt;&lt;D xsi:type="xsd:double"&gt;22.63846253575&lt;/D&gt;&lt;D xsi:type="xsd:double"&gt;22.5320539520892&lt;/D&gt;&lt;D xsi:type="xsd:double"&gt;22.2664753550181&lt;/D&gt;&lt;D xsi:type="xsd:double"&gt;22.3886540725343&lt;/D&gt;&lt;D xsi:type="xsd:double"&gt;22.8961088177081&lt;/D&gt;&lt;D xsi:type="xsd:double"&gt;22.9621223800791&lt;/D&gt;&lt;D xsi:type="xsd:double"&gt;23.5270375838419&lt;/D&gt;&lt;D xsi:type="xsd:double"&gt;23.4378743051626&lt;/D&gt;&lt;D xsi:type="xsd:double"&gt;22.1527705536011&lt;/D&gt;&lt;D xsi:type="xsd:double"&gt;22.3428669230349&lt;/D&gt;&lt;D xsi:type="xsd:double"&gt;22.921620860437&lt;/D&gt;&lt;D xsi:type="xsd:double"&gt;23.5348813893366&lt;/D&gt;&lt;D xsi:type="xsd:double"&gt;24.0430564765049&lt;/D&gt;&lt;D xsi:type="xsd:double"&gt;24.1178700328173&lt;/D&gt;&lt;D xsi:type="xsd:double"&gt;24.1921509649454&lt;/D&gt;&lt;D xsi:type="xsd:double"&gt;24.45689526351&lt;/D&gt;&lt;D xsi:type="xsd:double"&gt;24.5890235314371&lt;/D&gt;&lt;D xsi:type="xsd:double"&gt;25.2092204939537&lt;/D&gt;&lt;D xsi:type="xsd:double"&gt;27.5998592284285&lt;/D&gt;&lt;D xsi:type="xsd:double"&gt;28.3667682013023&lt;/D&gt;&lt;D xsi:type="xsd:double"&gt;28.5998071790507&lt;/D&gt;&lt;D xsi:type="xsd:double"&gt;30.6718305405671&lt;/D&gt;&lt;D xsi:type="xsd:double"&gt;32.6498180472433&lt;/D&gt;&lt;D xsi:type="xsd:double"&gt;32.9383630449926&lt;/D&gt;&lt;D xsi:type="xsd:double"&gt;31.5759525187913&lt;/D&gt;&lt;D xsi:type="xsd:double"&gt;30.3305862666326&lt;/D&gt;&lt;D xsi:type="xsd:double"&gt;31.3395898373294&lt;/D&gt;&lt;D xsi:type="xsd:double"&gt;33.1150633711923&lt;/D&gt;&lt;D xsi:type="xsd:double"&gt;32.4023525668873&lt;/D&gt;&lt;D xsi:type="xsd:double"&gt;33.6074493772105&lt;/D&gt;&lt;D xsi:type="xsd:double"&gt;34.4624438635412&lt;/D&gt;&lt;D xsi:type="xsd:double"&gt;33.5314765102247&lt;/D&gt;&lt;D xsi:type="xsd:double"&gt;35.4650356556055&lt;/D&gt;&lt;D xsi:type="xsd:double"&gt;35.3171921537724&lt;/D&gt;&lt;D xsi:type="xsd:double"&gt;37.8027338761035&lt;/D&gt;&lt;D xsi:type="xsd:double"&gt;37.5878930724301&lt;/D&gt;&lt;D xsi:type="xsd:double"&gt;34.3437409257866&lt;/D&gt;&lt;D xsi:type="xsd:double"&gt;34.3833292210324&lt;/D&gt;&lt;D xsi:type="xsd:double"&gt;34.5131824015218&lt;/D&gt;&lt;D xsi:type="xsd:double"&gt;34.6499552865601&lt;/D&gt;&lt;D xsi:type="xsd:double"&gt;35.8446980571788&lt;/D&gt;&lt;D xsi:type="xsd:double"&gt;36.3926974772906&lt;/D&gt;&lt;D xsi:type="xsd:double"&gt;37.9228829617447&lt;/D&gt;&lt;D xsi:type="xsd:double"&gt;38.8577396514412&lt;/D&gt;&lt;D xsi:type="xsd:double"&gt;38.908892946388&lt;/D&gt;&lt;D xsi:type="xsd:double"&gt;37.6876440363277&lt;/D&gt;&lt;D xsi:type="xsd:double"&gt;39.0014523121751&lt;/D&gt;&lt;D xsi:type="xsd:double"&gt;36.6033063021833&lt;/D&gt;&lt;D xsi:type="xsd:double"&gt;35.2455545789184&lt;/D&gt;&lt;D xsi:type="xsd:double"&gt;34.9986091086782&lt;/D&gt;&lt;D xsi:type="xsd:double"&gt;34.4258886505996&lt;/D&gt;&lt;D xsi:type="xsd:double"&gt;33.6730168098908&lt;/D&gt;&lt;D xsi:type="xsd:double"&gt;33.1015562485733&lt;/D&gt;&lt;D xsi:type="xsd:double"&gt;32.7309576711166&lt;/D&gt;&lt;D xsi:type="xsd:double"&gt;34.7676740696063&lt;/D&gt;&lt;D xsi:type="xsd:double"&gt;32.0954910104591&lt;/D&gt;&lt;D xsi:type="xsd:double"&gt;31.0758806603326&lt;/D&gt;&lt;D xsi:type="xsd:double"&gt;30.1431982180416&lt;/D&gt;&lt;D xsi:type="xsd:double"&gt;29.229324608863&lt;/D&gt;&lt;D xsi:type="xsd:double"&gt;29.9135173023169&lt;/D&gt;&lt;D xsi:type="xsd:double"&gt;29.3899673002318&lt;/D&gt;&lt;D xsi:type="xsd:double"&gt;28.9043413133675&lt;/D&gt;&lt;D xsi:type="xsd:double"&gt;28.4576132619122&lt;/D&gt;&lt;D xsi:type="xsd:double"&gt;28.015046681685&lt;/D&gt;&lt;D xsi:type="xsd:double"&gt;25.9018926766995&lt;/D&gt;&lt;D xsi:type="xsd:double"&gt;25.4189530024482&lt;/D&gt;&lt;D xsi:type="xsd:double"&gt;24.2258193014813&lt;/D&gt;&lt;D xsi:type="xsd:double"&gt;23.7024546369191&lt;/D&gt;&lt;D xsi:type="xsd:double"&gt;22.3274437998573&lt;/D&gt;&lt;D xsi:type="xsd:double"&gt;21.9699080813586&lt;/D&gt;&lt;D xsi:type="xsd:double"&gt;23.8444825108014&lt;/D&gt;&lt;D xsi:type="xsd:double"&gt;23.4235962947973&lt;/D&gt;&lt;D xsi:type="xsd:double"&gt;23.2014946121233&lt;/D&gt;&lt;D xsi:type="xsd:double"&gt;24.0331839251033&lt;/D&gt;&lt;D xsi:type="xsd:double"&gt;24.2480083216844&lt;/D&gt;&lt;D xsi:type="xsd:double"&gt;24.5410543714705&lt;/D&gt;&lt;D xsi:type="xsd:double"&gt;24.3636830454343&lt;/D&gt;&lt;D xsi:type="xsd:double"&gt;25.2616755106319&lt;/D&gt;&lt;D xsi:type="xsd:double"&gt;26.473485446875&lt;/D&gt;&lt;D xsi:type="xsd:double"&gt;23.9104661703814&lt;/D&gt;&lt;/FQL&gt;&lt;FQL&gt;&lt;Q&gt;COPP-FDS^FG_PRICE_CHANGE(0,-6AM)&lt;/Q&gt;&lt;R&gt;1&lt;/R&gt;&lt;C&gt;1&lt;/C&gt;&lt;D xsi:type="xsd:double"&gt;14.7401377582968&lt;/D&gt;&lt;/FQL&gt;&lt;FQL&gt;&lt;Q&gt;EWL^P_PRICE(0)/P_PRICE_HIGH_PR(0,,,,,,"PRICE","INTRA","52W")&lt;/Q&gt;&lt;R&gt;1&lt;/R&gt;&lt;C&gt;1&lt;/C&gt;&lt;D xsi:type="xsd:double"&gt;0.98679996&lt;/D&gt;&lt;/FQL&gt;&lt;FQL&gt;&lt;Q&gt;EWG^FMA_PCT_ABOVE_MAVG(200,0,,,,"PORTAGG")&lt;/Q&gt;&lt;R&gt;1&lt;/R&gt;&lt;C&gt;1&lt;/C&gt;&lt;D xsi:type="xsd:double"&gt;59.6491228070175&lt;/D&gt;&lt;/FQL&gt;&lt;FQL&gt;&lt;Q&gt;FXI^FMA_COS_DOWN("EPS","1M",+1,0,,,"PORTAGG","MEANR")&lt;/Q&gt;&lt;R&gt;1&lt;/R&gt;&lt;C&gt;1&lt;/C&gt;&lt;D xsi:type="xsd:double"&gt;20&lt;/D&gt;&lt;/FQL&gt;&lt;FQL&gt;&lt;Q&gt;EWA^FMA_COS_UP("EPS","1M",+1,0,,,"PORTAGG","MEANR")&lt;/Q&gt;&lt;R&gt;1&lt;/R&gt;&lt;C&gt;1&lt;/C&gt;&lt;D xsi:type="xsd:double"&gt;21&lt;/D&gt;&lt;/FQL&gt;&lt;FQL&gt;&lt;Q&gt;EWJ^FG_TOTAL_RETURNC(-10AY,0,AM)&lt;/Q&gt;&lt;R&gt;121&lt;/R&gt;&lt;C&gt;1&lt;/C&gt;&lt;D xsi:type="xsd:double"&gt;0.50632954&lt;/D&gt;&lt;D xsi:type="xsd:double"&gt;-5.289674&lt;/D&gt;&lt;D xsi:type="xsd:double"&gt;3.368795&lt;/D&gt;&lt;D xsi:type="xsd:double"&gt;-0.27419925&lt;/D&gt;&lt;D xsi:type="xsd:double"&gt;0.43251514&lt;/D&gt;&lt;D xsi:type="xsd:double"&gt;6.3738227&lt;/D&gt;&lt;D xsi:type="xsd:double"&gt;3.076911&lt;/D&gt;&lt;D xsi:type="xsd:double"&gt;4.3205023&lt;/D&gt;&lt;D xsi:type="xsd:double"&gt;-0.60240626&lt;/D&gt;&lt;D xsi:type="xsd:double"&gt;-0.40915012&lt;/D&gt;&lt;D xsi:type="xsd:double"&gt;-2.905202&lt;/D&gt;&lt;D xsi:type="xsd:double"&gt;-3.5433054&lt;/D&gt;&lt;D xsi:type="xsd:double"&gt;-5.22449&lt;/D&gt;&lt;D xsi:type="xsd:double"&gt;6.804478&lt;/D&gt;&lt;D xsi:type="xsd:double"&gt;0.6451607&lt;/D&gt;&lt;D xsi:type="xsd:double"&gt;-2.177614&lt;/D&gt;&lt;D xsi:type="xsd:double"&gt;-7.5082483&lt;/D&gt;&lt;D xsi:type="xsd:double"&gt;-1.3380885&lt;/D&gt;&lt;D xsi:type="xsd:double"&gt;2.622056&lt;/D&gt;&lt;D xsi:type="xsd:double"&gt;6.343</t>
        </r>
      </text>
    </comment>
    <comment ref="A15" authorId="0" shapeId="0" xr:uid="{DE2B0947-34AF-4514-87A6-DE605CAC2159}">
      <text>
        <r>
          <rPr>
            <b/>
            <sz val="9"/>
            <color indexed="81"/>
            <rFont val="Tahoma"/>
            <charset val="1"/>
          </rPr>
          <t>603&lt;/D&gt;&lt;D xsi:type="xsd:double"&gt;-3.1068742&lt;/D&gt;&lt;D xsi:type="xsd:double"&gt;-2.7831733&lt;/D&gt;&lt;D xsi:type="xsd:double"&gt;5.0531983&lt;/D&gt;&lt;D xsi:type="xsd:double"&gt;3.1223655&lt;/D&gt;&lt;D xsi:type="xsd:double"&gt;3.6824822&lt;/D&gt;&lt;D xsi:type="xsd:double"&gt;-0.5524814&lt;/D&gt;&lt;D xsi:type="xsd:double"&gt;-1.8055558&lt;/D&gt;&lt;D xsi:type="xsd:double"&gt;1.0910869&lt;/D&gt;&lt;D xsi:type="xsd:double"&gt;2.7907014&lt;/D&gt;&lt;D xsi:type="xsd:double"&gt;1.0426879&lt;/D&gt;&lt;D xsi:type="xsd:double"&gt;1.0514021&lt;/D&gt;&lt;D xsi:type="xsd:double"&gt;0.40462017&lt;/D&gt;&lt;D xsi:type="xsd:double"&gt;2.0533442&lt;/D&gt;&lt;D xsi:type="xsd:double"&gt;1.7607808&lt;/D&gt;&lt;D xsi:type="xsd:double"&gt;1.2088537&lt;/D&gt;&lt;D xsi:type="xsd:double"&gt;-0.11025071&lt;/D&gt;&lt;D xsi:type="xsd:double"&gt;2.3914576&lt;/D&gt;&lt;D xsi:type="xsd:double"&gt;4.9586773&lt;/D&gt;&lt;D xsi:type="xsd:double"&gt;2.345097&lt;/D&gt;&lt;D xsi:type="xsd:double"&gt;0.95626116&lt;/D&gt;&lt;D xsi:type="xsd:double"&gt;7.8552365&lt;/D&gt;&lt;D xsi:type="xsd:double"&gt;-4.7317085&lt;/D&gt;&lt;D xsi:type="xsd:double"&gt;-3.8305461&lt;/D&gt;&lt;D xsi:type="xsd:double"&gt;2.5822759&lt;/D&gt;&lt;D xsi:type="xsd:double"&gt;-1.0694265&lt;/D&gt;&lt;D xsi:type="xsd:double"&gt;-2.736628&lt;/D&gt;&lt;D xsi:type="xsd:double"&gt;2.4125457&lt;/D&gt;&lt;D xsi:type="xsd:double"&gt;-1.5985191&lt;/D&gt;&lt;D xsi:type="xsd:double"&gt;3.19767&lt;/D&gt;&lt;D xsi:type="xsd:double"&gt;-10.571659&lt;/D&gt;&lt;D xsi:type="xsd:double"&gt;1.4637709&lt;/D&gt;&lt;D xsi:type="xsd:double"&gt;-6.6592813&lt;/D&gt;&lt;D xsi:type="xsd:double"&gt;6.3091397&lt;/D&gt;&lt;D xsi:type="xsd:double"&gt;1.7989635&lt;/D&gt;&lt;D xsi:type="xsd:double"&gt;-0.30970573&lt;/D&gt;&lt;D xsi:type="xsd:double"&gt;1.2426853&lt;/D&gt;&lt;D xsi:type="xsd:double"&gt;-2.9783428&lt;/D&gt;&lt;D xsi:type="xsd:double"&gt;2.0531297&lt;/D&gt;&lt;D xsi:type="xsd:double"&gt;0.82781315&lt;/D&gt;&lt;D xsi:type="xsd:double"&gt;-2.5907695&lt;/D&gt;&lt;D xsi:type="xsd:double"&gt;5.787599&lt;/D&gt;&lt;D xsi:type="xsd:double"&gt;2.8505683&lt;/D&gt;&lt;D xsi:type="xsd:double"&gt;3.2880068&lt;/D&gt;&lt;D xsi:type="xsd:double"&gt;0.47926903&lt;/D&gt;&lt;D xsi:type="xsd:double"&gt;-1.8798292&lt;/D&gt;&lt;D xsi:type="xsd:double"&gt;-9.305507&lt;/D&gt;&lt;D xsi:type="xsd:double"&gt;-5.356467&lt;/D&gt;&lt;D xsi:type="xsd:double"&gt;2.8098822&lt;/D&gt;&lt;D xsi:type="xsd:double"&gt;6.9199443&lt;/D&gt;&lt;D xsi:type="xsd:double"&gt;1.3682365&lt;/D&gt;&lt;D xsi:type="xsd:double"&gt;2.650082&lt;/D&gt;&lt;D xsi:type="xsd:double"&gt;1.4927983&lt;/D&gt;&lt;D xsi:type="xsd:double"&gt;1.6784906&lt;/D&gt;&lt;D xsi:type="xsd:double"&gt;0.3063321&lt;/D&gt;&lt;D xsi:type="xsd:double"&gt;12.368525&lt;/D&gt;&lt;D xsi:type="xsd:double"&gt;-0.22963285&lt;/D&gt;&lt;D xsi:type="xsd:double"&gt;3.3120632&lt;/D&gt;&lt;D xsi:type="xsd:double"&gt;0.323534&lt;/D&gt;&lt;D xsi:type="xsd:double"&gt;2.7704477&lt;/D&gt;&lt;D xsi:type="xsd:double"&gt;-3.0095577&lt;/D&gt;&lt;D xsi:type="xsd:double"&gt;0.39705038&lt;/D&gt;&lt;D xsi:type="xsd:double"&gt;0.95534325&lt;/D&gt;&lt;D xsi:type="xsd:double"&gt;-1.6954064&lt;/D&gt;&lt;D xsi:type="xsd:double"&gt;1.2934804&lt;/D&gt;&lt;D xsi:type="xsd:double"&gt;6.560993&lt;/D&gt;&lt;D xsi:type="xsd:double"&gt;-6.3911858&lt;/D&gt;&lt;D xsi:type="xsd:double"&gt;-1.4714539&lt;/D&gt;&lt;D xsi:type="xsd:double"&gt;1.9027948&lt;/D&gt;&lt;D xsi:type="xsd:double"&gt;-7.172555&lt;/D&gt;&lt;D xsi:type="xsd:double"&gt;1.6637325&lt;/D&gt;&lt;D xsi:type="xsd:double"&gt;-1.2745857&lt;/D&gt;&lt;D xsi:type="xsd:double"&gt;-10.312403&lt;/D&gt;&lt;D xsi:type="xsd:double"&gt;3.6786914&lt;/D&gt;&lt;D xsi:type="xsd:double"&gt;-7.866377&lt;/D&gt;&lt;D xsi:type="xsd:double"&gt;3.6633492&lt;/D&gt;&lt;D xsi:type="xsd:double"&gt;-1.3410687&lt;/D&gt;&lt;D xsi:type="xsd:double"&gt;-10.323292&lt;/D&gt;&lt;D xsi:type="xsd:double"&gt;1.9049525&lt;/D&gt;&lt;D xsi:type="xsd:double"&gt;12.482405&lt;/D&gt;&lt;D xsi:type="xsd:double"&gt;-2.3567379&lt;/D&gt;&lt;D xsi:type="xsd:double"&gt;7.8870177&lt;/D&gt;&lt;D xsi:type="xsd:double"&gt;-4.5392694&lt;/D&gt;&lt;D xsi:type="xsd:double"&gt;2.190566&lt;/D&gt;&lt;D xsi:type="xsd:double"&gt;3.3635378&lt;/D&gt;&lt;D xsi:type="xsd:double"&gt;1.5848875&lt;/D&gt;&lt;D xsi:type="xsd:double"&gt;2.193582&lt;/D&gt;&lt;D xsi:type="xsd:double"&gt;3.5982966&lt;/D&gt;&lt;D xsi:type="xsd:double"&gt;-5.3204894&lt;/D&gt;&lt;D xsi:type="xsd:double"&gt;1.7675519&lt;/D&gt;&lt;D xsi:type="xsd:double"&gt;-5.2597046&lt;/D&gt;&lt;D xsi:type="xsd:double"&gt;8.197856&lt;/D&gt;&lt;D xsi:type="xsd:double"&gt;3.1925917&lt;/D&gt;&lt;D xsi:type="xsd:double"&gt;2.7175665&lt;/D&gt;&lt;D xsi:type="xsd:double"&gt;5.7959914&lt;/D&gt;&lt;D xsi:type="xsd:double"&gt;3.5125732&lt;/D&gt;&lt;D xsi:type="xsd:double"&gt;-6.2561154&lt;/D&gt;&lt;D xsi:type="xsd:double"&gt;1.9812346&lt;/D&gt;&lt;D xsi:type="xsd:double"&gt;-0.4446566&lt;/D&gt;&lt;D xsi:type="xsd:double"&gt;1.537323&lt;/D&gt;&lt;D xsi:type="xsd:double"&gt;4.4256806&lt;/D&gt;&lt;D xsi:type="xsd:double"&gt;1.7565846&lt;/D&gt;&lt;/FQL&gt;&lt;FQL&gt;&lt;Q&gt;ENZL^JULIAN(FMA_DIV_YLD(LTMA,-10AY,0,AM,"PORTAGG","MEANR").DATES)&lt;/Q&gt;&lt;R&gt;121&lt;/R&gt;&lt;C&gt;1&lt;/C&gt;&lt;D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xsi:type="xsd:long"&gt;45560&lt;/D&gt;&lt;/FQL&gt;&lt;FQL&gt;&lt;Q&gt;PLATI-FDS^FG_PRICE(0)/MAX(FG_PRICE(0,-1AY))&lt;/Q&gt;&lt;R&gt;1&lt;/R&gt;&lt;C&gt;1&lt;/C&gt;&lt;D xsi:type="xsd:double"&gt;0.944808231992516&lt;/D&gt;&lt;/FQL&gt;&lt;FQL&gt;&lt;Q&gt;EWI^FG_PRICE_MAVG(0,,,,60)&lt;/Q&gt;&lt;R&gt;1&lt;/R&gt;&lt;C&gt;1&lt;/C&gt;&lt;D xsi:type="xsd:double"&gt;37.533&lt;/D&gt;&lt;/FQL&gt;&lt;FQL&gt;&lt;Q&gt;EWJ^FG_PRICE_MAVG(0,,,,200)&lt;/Q&gt;&lt;R&gt;1&lt;/R&gt;&lt;C&gt;1&lt;/C&gt;&lt;D xsi:type="xsd:double"&gt;68.21955&lt;/D&gt;&lt;/FQL&gt;&lt;FQL&gt;&lt;Q&gt;SPY^P_PRICE(0)/P_PRICE_HIGH_PR(0,,,,,,"PRICE","INTRA","52W")&lt;/Q&gt;&lt;R&gt;1&lt;/R&gt;&lt;C&gt;1&lt;/C&gt;&lt;D xsi:type="xsd:double"&gt;0.9958065&lt;/D&gt;&lt;/FQL&gt;&lt;FQL&gt;&lt;Q&gt;EWD^FG_TOTAL_RETURNC(0,-12AM)&lt;/Q&gt;&lt;R&gt;1&lt;/R&gt;&lt;C&gt;1&lt;/C&gt;&lt;D xsi:type="xsd:double"&gt;41.41941&lt;/D&gt;&lt;/FQL&gt;&lt;FQL&gt;&lt;Q&gt;EWC^FG_TOTAL_RETURNC(0,-12AM)&lt;/Q&gt;&lt;R&gt;1&lt;/R&gt;&lt;C&gt;1&lt;/C&gt;&lt;D xsi:type="xsd:double"&gt;27.665318&lt;/D&gt;&lt;/FQL&gt;&lt;FQL&gt;&lt;Q&gt;EWQ^FMA_COS_UP("EPS","1M",+1,0,,,"PORTAGG","MEANR")&lt;/Q&gt;&lt;R&gt;1&lt;/R&gt;&lt;C&gt;1&lt;/C&gt;&lt;D xsi:type="xsd:double"&gt;19&lt;/D&gt;&lt;/FQL&gt;&lt;FQL&gt;&lt;Q&gt;ENZL^FMA_RBICS_REV_CURRENT(30, LOC, "PORTAGG")&lt;/Q&gt;&lt;R&gt;1&lt;/R&gt;&lt;C&gt;1&lt;/C&gt;&lt;D xsi:type="xsd:double"&gt;14.6363346162214&lt;/D&gt;&lt;/FQL&gt;&lt;FQL&gt;&lt;Q&gt;TRYCA10Y-FDS^PCTCHG(FG_YIELD(0,,,,"YTM"),FG_YIELD(-3AM,,,,"YTM"))&lt;/Q&gt;&lt;R&gt;0&lt;/R&gt;&lt;C&gt;0&lt;/C&gt;&lt;/FQL&gt;&lt;FQL&gt;&lt;Q&gt;EWD^FMA_DIV_YLD(NTMA,NOW,NOW,M,"PORTAGG","MEANR")&lt;/Q&gt;&lt;R&gt;1&lt;/R&gt;&lt;C&gt;1&lt;/C&gt;&lt;D xsi:type="xsd:double"&gt;3.20494310472097&lt;/D&gt;&lt;/FQL&gt;&lt;FQL&gt;&lt;Q&gt;SPY^FMA_DIV_YLD(NTMA,NOW,NOW,M,"PORTAGG","MEANR")&lt;/Q&gt;&lt;R&gt;1&lt;/R&gt;&lt;C&gt;1&lt;/C&gt;&lt;D xsi:type="xsd:double"&gt;1.37400168509486&lt;/D&gt;&lt;/FQL&gt;&lt;FQL&gt;&lt;Q&gt;EWL^JULIAN(FMA_DIV_YLD(NTMA,NOW,NOW,M,"PORTAGG","MEANR").DATES)&lt;/Q&gt;&lt;R&gt;1&lt;/R&gt;&lt;C&gt;1&lt;/C&gt;&lt;D xsi:type="xsd:long"&gt;45534&lt;/D&gt;&lt;/FQL&gt;&lt;FQL&gt;&lt;Q&gt;EWC^JULIAN(FMA_DIV_YLD(NTMA,NOW,NOW,M,"PORTAGG","MEANR").DATES)&lt;/Q&gt;&lt;R&gt;1&lt;/R&gt;&lt;C&gt;1&lt;/C&gt;&lt;D xsi:type="xsd:long"&gt;45534&lt;/D&gt;&lt;/FQL&gt;&lt;FQL&gt;&lt;Q&gt;TRYDE10Y-FDS^FG_YIELD(0,,,,"YTM")&lt;/Q&gt;&lt;R&gt;0&lt;/R&gt;&lt;C&gt;0&lt;/C&gt;&lt;/FQL&gt;&lt;FQL&gt;&lt;Q&gt;USDEUR^STD(FG_PRICE_CHANGE(0,-1AY,AM))&lt;/Q&gt;&lt;R&gt;1&lt;/R&gt;&lt;C&gt;1&lt;/C&gt;&lt;D xsi:type="xsd:double"&gt;1.81097706680361&lt;/D&gt;&lt;/FQL&gt;&lt;FQL&gt;&lt;Q&gt;DDR3512M-FDS^MAX(FG_PRICE(0,-5AY))&lt;/Q&gt;&lt;R&gt;1&lt;/R&gt;&lt;C&gt;1&lt;/C&gt;&lt;D xsi:type="xsd:double"&gt;3.3053632&lt;/D&gt;&lt;/FQL&gt;&lt;FQL&gt;&lt;Q&gt;USDEUR^FG_PRICE_CHANGE(0,-6AM)&lt;/Q&gt;&lt;R&gt;1&lt;/R&gt;&lt;C&gt;1&lt;/C&gt;&lt;D xsi:type="xsd:double"&gt;-3.0524492&lt;/D&gt;&lt;/FQL&gt;&lt;FQL&gt;&lt;Q&gt;ENZL^FG_TOTAL_RETURNC(-10AY,0,AM)&lt;/Q&gt;&lt;R&gt;121&lt;/R&gt;&lt;C&gt;1&lt;/C&gt;&lt;D xsi:type="xsd:double"&gt;-5.286461&lt;/D&gt;&lt;D xsi:type="xsd:double"&gt;2.2890925&lt;/D&gt;&lt;D xsi:type="xsd:double"&gt;1.8355489&lt;/D&gt;&lt;D xsi:type="xsd:double"&gt;0.5458236&lt;/D&gt;&lt;D xsi:type="xsd:double"&gt;-0.25221705&lt;/D&gt;&lt;D xsi:type="xsd:double"&gt;3.6446571&lt;/D&gt;&lt;D xsi:type="xsd:double"&gt;-0.048840046&lt;/D&gt;&lt;D xsi:type="xsd:double"&gt;-1.0505736&lt;/D&gt;&lt;D xsi:type="xsd:double"&gt;-5.11111&lt;/D&gt;&lt;D xsi:type="xsd:double"&gt;-6.3819942&lt;/D&gt;&lt;D xsi:type="xsd:double"&gt;-1.7108619&lt;/D&gt;&lt;D xsi:type="xsd:double"&gt;-4.293585&lt;/D&gt;&lt;D xsi:type="xsd:double"&gt;-1.7887354&lt;/D&gt;&lt;D xsi:type="xsd:double"&gt;12.932455&lt;/D&gt;&lt;D xsi:type="xsd:double"&gt;-2.9789567&lt;/D&gt;&lt;D xsi:type="xsd:double"&gt;6.8210483&lt;/D&gt;&lt;D xsi:type="xsd:double"&gt;-7.52486&lt;/D&gt;&lt;D xsi:type="xsd:double"&gt;5.986631&lt;/D&gt;&lt;D xsi:type="xsd:double"&gt;7.8968883&lt;/D&gt;&lt;D xsi:type="xsd:double"&gt;3.8119435&lt;/D&gt;&lt;D xsi:type="xsd:double"&gt;1.1845827&lt;/D&gt;&lt;D xsi:type="xsd:double"&gt;0.16310215&lt;/D&gt;&lt;D xsi:type="xsd:double"&gt;10.934437&lt;/D&gt;&lt;D xsi:type="xsd:double"&gt;3.042996&lt;/D&gt;&lt;D xsi:type="xsd:double"&gt;-1.476562&lt;/D&gt;&lt;D xsi:type="xsd:double"&gt;-7.102519&lt;/D&gt;&lt;D xsi:type="xsd:double"&gt;-1.2859464&lt;/D&gt;&lt;D xsi:type="xsd:double"&gt;-3.063327&lt;/D&gt;&lt;D xsi:type="xsd:double"&gt;9.807884&lt;/D&gt;&lt;D xsi:type="xsd:double"&gt;-1.864636&lt;/D&gt;&lt;D xsi:type="xsd:double"&gt;-2.3457646&lt;/D&gt;&lt;D xsi:type="xsd:double"&gt;2.0417929&lt;/D&gt;&lt;D xsi:type="xsd:double"&gt;4.28437&lt;/D&gt;&lt;D xsi:type="xsd:double"&gt;5.5467606&lt;/D&gt;&lt;D xsi:type="xsd:double"&gt;3.3986926&lt;/D&gt;&lt;D xsi:type="xsd:double"&gt;-1.0324419&lt;/D&gt;&lt;D xsi:type="xsd:double"&gt;0.31934977&lt;/D&gt;&lt;D xsi:type="xsd:double"&gt;-3.0772507&lt;/D&gt;&lt;D xsi:type="xsd:double"&gt;0.5911946&lt;/D&gt;&lt;D xsi:type="xsd:double"&gt;5.0269127&lt;/D&gt;&lt;D xsi:type="xsd:double"&gt;3.5065532&lt;/D&gt;&lt;D xsi:type="xsd:double"&gt;-0.8775532&lt;/D&gt;&lt;D xsi:type="xsd:double"&gt;1.4000416&lt;/D&gt;&lt;D xsi:type="xsd:double"&gt;-2.6395917&lt;/D&gt;&lt;D xsi:type="xsd:double"&gt;0&lt;/D&gt;&lt;D xsi:type="xsd:double"&gt;3.2737613&lt;/D&gt;&lt;D xsi:type="xsd:double"&gt;-0.82135797&lt;/D&gt;&lt;D xsi:type="xsd:double"&gt;1.4699817&lt;/D&gt;&lt;D xsi:type="xsd:double"&gt;-0.99979043&lt;/D&gt;&lt;D xsi:type="xsd:double"&gt;-9.4187975&lt;/D&gt;&lt;D xsi:type="xsd:double"&gt;6.279862&lt;/D&gt;&lt;D xsi:type="xsd:double"&gt;1.3409495&lt;/D&gt;&lt;D xsi:type="xsd:double"&gt;5.440855&lt;/D&gt;&lt;D xsi:type="xsd:double"&gt;1.1217713&lt;/D&gt;&lt;D xsi:type="xsd:double"&gt;3.1060815&lt;/D&gt;&lt;D xsi:type="xsd:double"&gt;1.7018795&lt;/D&gt;&lt;D xsi:type="xsd:double"&gt;0.21157265&lt;/D&gt;&lt;D xsi:type="xsd:double"&gt;3.2654285&lt;/D&gt;&lt;D xsi:type="xsd:double"&gt;3.4339666&lt;/D&gt;&lt;D xsi:type="xsd:double"&gt;-7.58847&lt;/D&gt;&lt;D xsi:type="xsd:double"&gt;2.013421&lt;/D&gt;&lt;D xsi:type="xsd:double"&gt;1.1803389&lt;/D&gt;&lt;D xsi:type="xsd:double"&gt;4.972267&lt;/D&gt;&lt;D xsi:type="xsd:double"&gt;7.8433156&lt;/D&gt;&lt;D xsi:type="xsd:double"&gt;-0.1725316&lt;/D&gt;&lt;D xsi:type="xsd:double"&gt;-6.446594&lt;/D&gt;&lt;D xsi:type="xsd:double"&gt;-20.048405&lt;/D&gt;&lt;D xsi:type="xsd:double"&gt;13.892115&lt;/D&gt;&lt;D xsi:type="xsd:double"&gt;4.767704&lt;/D&gt;&lt;D xsi:type="xsd:double"&gt;4.402101&lt;/D&gt;&lt;D xsi:type="xsd:double"&gt;9.803926&lt;/D&gt;&lt;D xsi:type="xsd:double"&gt;3.1751752&lt;/D&gt;&lt;D xsi:type="xsd:double"&gt;-4.9400864&lt;/D&gt;&lt;D xsi:type="xsd:double"&gt;6.123638&lt;/D&gt;&lt;D xsi:type="xsd:double"&gt;7.987547&lt;/D&gt;&lt;D xsi:type="xsd:double"&gt;2.8384686&lt;/D&gt;&lt;D xsi:type="xsd:double"&gt;2.4706006&lt;/D&gt;&lt;D xsi:type="xsd:double"&gt;-9.179378&lt;/D&gt;&lt;D xsi:type="xsd:double"&gt;-1.039499&lt;/D&gt;&lt;D xsi:type="xsd:double"&gt;4.7188163&lt;/D&gt;&lt;D xsi:type="xsd:double"&gt;-4.1666746&lt;/D&gt;&lt;D xsi:type="xsd:double"&gt;0.28755665&lt;/D&gt;&lt;D xsi:type="xsd:double"&gt;-2.3007154&lt;/D&gt;&lt;D xsi:type="xsd:double"&gt;4.212272&lt;/D&gt;&lt;D xsi:type="xsd:double"&gt;0.19096136&lt;/D&gt;&lt;D xsi:type="xsd:double"&gt;1.1118174&lt;/D&gt;&lt;D xsi:type="xsd:double"&gt;-8.887845&lt;/D&gt;&lt;D xsi:type="xsd:double"&gt;2.6134372&lt;/D&gt;&lt;D xsi:type="xsd:double"&gt;-9.6895275&lt;/D&gt;&lt;D xsi:type="xsd:double"&gt;3.097856&lt;/D&gt;&lt;D xsi:type="xsd:double"&gt;1.9604206&lt;/D&gt;&lt;D xsi:type="xsd:double"&gt;-9.487873&lt;/D&gt;&lt;D xsi:type="xsd:double"&gt;-4.9458027&lt;/D&gt;&lt;D xsi:type="xsd:double"&gt;-4.1491804&lt;/D&gt;&lt;D xsi:type="xsd:double"&gt;3.174603&lt;/D&gt;&lt;D xsi:type="xsd:double"&gt;-1.0042667&lt;/D&gt;&lt;D xsi:type="xsd:double"&gt;-9.734517&lt;/D&gt;&lt;D xsi:type="xsd:double"&gt;2.0564318&lt;/D&gt;&lt;D xsi:type="xsd:double"&gt;10.262418&lt;/D&gt;&lt;D xsi:type="xsd:double"&gt;3.1005502&lt;/D&gt;&lt;D xsi:type="xsd:double"&gt;8.170235&lt;/D&gt;&lt;D xsi:type="xsd:double"&gt;-7.218075&lt;/D&gt;&lt;D xsi:type="xsd:double"&gt;-0.35080314&lt;/D&gt;&lt;D xsi:type="xsd:double"&gt;1.9465685&lt;/D&gt;&lt;D xsi:type="xsd:double"&gt;-1.7265856&lt;/D&gt;&lt;D xsi:type="xsd:double"&gt;-0.10544658&lt;/D&gt;&lt;D xsi:type="xsd:double"&gt;2.1107674&lt;/D&gt;&lt;D xsi:type="xsd:double"&gt;-8.084327&lt;/D&gt;&lt;D xsi:type="xsd:double"&gt;-1.5364051&lt;/D&gt;&lt;D xsi:type="xsd:double"&gt;-7.1913185&lt;/D&gt;&lt;D xsi:type="xsd:double"&gt;9.892786&lt;/D&gt;&lt;D xsi:type="xsd:double"&gt;9.188211&lt;/D&gt;&lt;D xsi:type="xsd:double"&gt;-2.777779&lt;/D&gt;&lt;D xsi:type="xsd:double"&gt;-2.7078927&lt;/D&gt;&lt;D xsi:type="xsd:double"&gt;-0.06574988&lt;/D&gt;&lt;D xsi:type="xsd:double"&gt;-2.916664&lt;/D&gt;&lt;D xsi:type="xsd:double"&gt;3.2301784&lt;/D&gt;&lt;D xsi:type="xsd:double"&gt;-0.0050246716&lt;/D&gt;&lt;D xsi:type="xsd:double"&gt;0.7713318&lt;/D&gt;&lt;D xsi:type="xsd:double"&gt;7.768047&lt;/D&gt;&lt;D xsi:type="xsd:double"&gt;0.8934021&lt;/D&gt;&lt;/FQL&gt;&lt;FQL&gt;&lt;Q&gt;EWD^FG_PRICE(0)&lt;/Q&gt;&lt;R&gt;1&lt;/R&gt;&lt;C&gt;1&lt;/C&gt;&lt;D xsi:type="xsd:double"&gt;43.83&lt;/D&gt;&lt;/FQL&gt;&lt;FQL&gt;&lt;Q&gt;EWJ^FG_PRICE_MAVG(0,,,,60)&lt;/Q&gt;&lt;R&gt;1&lt;/R&gt;&lt;C&gt;1&lt;/C&gt;&lt;D xsi:type="xsd:double"&gt;69.6135&lt;/D&gt;&lt;/FQL&gt;&lt;FQL&gt;&lt;Q&gt;EWD^PERCENT_CHANGE(FMA_EPS(+1,0,,,,"PORTAGG","MEAN"),FMA_EPS(+1,-3AM,,,,"PORTAGG","MEAN"))&lt;/Q&gt;&lt;R&gt;1&lt;/R&gt;&lt;C&gt;1&lt;/C&gt;&lt;D xsi:type="xsd:double"&gt;-2.85812862888213&lt;/D&gt;&lt;/FQL&gt;&lt;FQL&gt;&lt;Q&gt;EWL^FG_TOTAL_RETURNC(0,-3AM)&lt;/Q&gt;&lt;R&gt;1&lt;/R&gt;&lt;C&gt;1&lt;/C&gt;&lt;D xsi:type="xsd:double"&gt;8.29885&lt;/D&gt;&lt;/FQL&gt;&lt;FQL&gt;&lt;Q&gt;EWI^FG_ROE(0)&lt;/Q&gt;&lt;R&gt;1&lt;/R&gt;&lt;C&gt;1&lt;/C&gt;&lt;D xsi:type="xsd:double"&gt;13.3546503088289&lt;/D&gt;&lt;/FQL&gt;&lt;FQL&gt;&lt;Q&gt;TRYIT10Y-FDS^PCTCHG(FG_YIELD(0,,,,"YTM"),FG_YIELD(-3AM,,,,"YTM"))&lt;/Q&gt;&lt;R&gt;0&lt;/R&gt;&lt;C&gt;0&lt;/C&gt;&lt;/FQL&gt;&lt;FQL&gt;&lt;Q&gt;EWA^FMA_EVAL_EBIT(LTMA,NOW,NOW,M,"PORTAGG","MEANR")&lt;/Q&gt;&lt;R&gt;1&lt;/R&gt;&lt;C&gt;1&lt;/C&gt;&lt;D xsi:type="xsd:double"&gt;12.8704890432458&lt;/D&gt;&lt;/FQL&gt;&lt;FQL&gt;&lt;Q&gt;REFGBBANK-FDS^(SUBARRAY(NOT_NA(NO_REPEAT_F(FG_YIELD(NOW,-10AY,D))),0,1)-SUBARRAY(NOT_NA(NO_REPEAT_F(FG_YIELD(NOW,-10AY,D))),1,1))*100&lt;/Q&gt;&lt;R&gt;1&lt;/R&gt;&lt;C&gt;1&lt;/C&gt;&lt;D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xsi:type="xsd:double"&gt;-25&lt;/D&gt;&lt;/FQL&gt;&lt;FQL&gt;&lt;Q&gt;ENZL^JULIAN(FG_TOTAL_RETURNC(-10AY,0,AM).DATES)&lt;/Q&gt;&lt;R&gt;121&lt;/R&gt;&lt;C&gt;1&lt;/C&gt;&lt;D xsi:type="xsd:long"&gt;41908&lt;/D&gt;&lt;D xsi:type="xsd:long"&gt;41939&lt;/D&gt;&lt;D xsi:type="xsd:long"&gt;41969&lt;/D&gt;&lt;D xsi:type="xsd:long"&gt;41999&lt;/D&gt;&lt;D xsi:type="xsd:long"&gt;42031&lt;/D&gt;&lt;D xsi:type="xsd:long"&gt;42062&lt;/D&gt;&lt;D xsi:type="xsd:long"&gt;42090&lt;/D&gt;&lt;D xsi:type="xsd:long"&gt;42121&lt;/D&gt;&lt;D xsi:type="xsd:long"&gt;42151&lt;/D&gt;&lt;D xsi:type="xsd:long"&gt;42181&lt;/D&gt;&lt;D xsi:type="xsd:long"&gt;42212&lt;/D&gt;&lt;D xsi:type="xsd:long"&gt;42243&lt;/D&gt;&lt;D xsi:type="xsd:long"&gt;42272&lt;/D&gt;&lt;D xsi:type="xsd:long"&gt;42304&lt;/D&gt;&lt;D xsi:type="xsd:long"&gt;42335&lt;/D&gt;&lt;D xsi:type="xsd:long"&gt;42362&lt;/D&gt;&lt;D xsi:type="xsd:long"&gt;42396&lt;/D&gt;&lt;D xsi:type="xsd:long"&gt;42426&lt;/D&gt;&lt;D xsi:type="xsd:long"&gt;42453&lt;/D&gt;&lt;D xsi:type="xsd:long"&gt;42487&lt;/D&gt;&lt;D xsi:type="xsd:long"&gt;42517&lt;/D&gt;&lt;D xsi:type="xsd:long"&gt;42548&lt;/D&gt;&lt;D xsi:type="xsd:long"&gt;42578&lt;/D&gt;&lt;D xsi:type="xsd:long"&gt;42608&lt;/D&gt;&lt;D xsi:type="xsd:long"&gt;42640&lt;/D&gt;&lt;D xsi:type="xsd:long"&gt;42670&lt;/D&gt;&lt;D xsi:type="xsd:long"&gt;42699&lt;/D&gt;&lt;D xsi:type="xsd:long"&gt;42731&lt;/D&gt;&lt;D xsi:type="xsd:long"&gt;42762&lt;/D&gt;&lt;D xsi:type="xsd:long"&gt;42793&lt;/D&gt;&lt;D xsi:type="xsd:long"&gt;42821&lt;/D&gt;&lt;D xsi:type="xsd:long"&gt;42852&lt;/D&gt;&lt;D xsi:type="xsd:long"&gt;42881&lt;/D&gt;&lt;D xsi:type="xsd:long"&gt;42913&lt;/D&gt;&lt;D xsi:type="xsd:long"&gt;42943&lt;/D&gt;&lt;D xsi:type="xsd:long"&gt;42972&lt;/D&gt;&lt;D xsi:type="xsd:long"&gt;43005&lt;/D&gt;&lt;D xsi:type="xsd:long"&gt;43035&lt;/D&gt;&lt;D xsi:type="xsd:long"&gt;43066&lt;/D&gt;&lt;D xsi:type="xsd:long"&gt;43096&lt;/D&gt;&lt;D xsi:type="xsd:long"&gt;43126&lt;/D&gt;&lt;D xsi:type="xsd:long"&gt;43158&lt;/D&gt;&lt;D xsi:type="xsd:long"&gt;43186&lt;/D&gt;&lt;D xsi:type="xsd:long"&gt;43217&lt;/D&gt;&lt;D xsi:type="xsd:long"&gt;43245&lt;/D&gt;&lt;D xsi:type="xsd:long"&gt;43278&lt;/D&gt;&lt;D xsi:type="xsd:long"&gt;43308&lt;/D&gt;&lt;D xsi:type="xsd:long"&gt;43339&lt;/D&gt;&lt;D xsi:type="xsd:long"&gt;43370&lt;/D&gt;&lt;D xsi:type="xsd:long"&gt;43399&lt;/D&gt;&lt;D xsi:type="xsd:long"&gt;43431&lt;/D&gt;&lt;D xsi:type="xsd:long"&gt;43461&lt;/D&gt;&lt;D xsi:type="xsd:long"&gt;43490&lt;/D&gt;&lt;D xsi:type="xsd:long"&gt;43523&lt;/D&gt;&lt;D xsi:type="xsd:long"&gt;43551&lt;/D&gt;&lt;D xsi:type="xsd:long"&gt;43581&lt;/D&gt;&lt;D xsi:type="xsd:long"&gt;43609&lt;/D&gt;&lt;D xsi:type="xsd:long"&gt;43643&lt;/D&gt;&lt;D xsi:type="xsd:long"&gt;43672&lt;/D&gt;&lt;D xsi:type="xsd:long"&gt;43704&lt;/D&gt;&lt;D xsi:type="xsd:long"&gt;43735&lt;/D&gt;&lt;D xsi:type="xsd:long"&gt;43763&lt;/D&gt;&lt;D xsi:type="xsd:long"&gt;43796&lt;/D&gt;&lt;D xsi:type="xsd:long"&gt;43826&lt;/D&gt;&lt;D xsi:type="xsd:long"&gt;43857&lt;/D&gt;&lt;D xsi:type="xsd:long"&gt;43888&lt;/D&gt;&lt;D xsi:type="xsd:long"&gt;43917&lt;/D&gt;&lt;D xsi:type="xsd:long"&gt;43948&lt;/D&gt;&lt;D xsi:type="xsd:long"&gt;43978&lt;/D&gt;&lt;D xsi:type="xsd:long"&gt;44008&lt;/D&gt;&lt;D xsi:type="xsd:long"&gt;44039&lt;/D&gt;&lt;D xsi:type="xsd:long"&gt;44070&lt;/D&gt;&lt;D xsi:type="xsd:long"&gt;44099&lt;/D&gt;&lt;D xsi:type="xsd:long"&gt;44131&lt;/D&gt;&lt;D xsi:type="xsd:long"&gt;44162&lt;/D&gt;&lt;D xsi:type="xsd:long"&gt;44189&lt;/D&gt;&lt;D xsi:type="xsd:long"&gt;44223&lt;/D&gt;&lt;D xsi:type="xsd:long"&gt;44253&lt;/D&gt;&lt;D xsi:type="xsd:long"&gt;44281&lt;/D&gt;&lt;D xsi:type="xsd:long"&gt;44313&lt;/D&gt;&lt;D xsi:type="xsd:long"&gt;44343&lt;/D&gt;&lt;D xsi:type="xsd:long"&gt;44372&lt;/D&gt;&lt;D xsi:type="xsd:long"&gt;44404&lt;/D&gt;&lt;D xsi:type="xsd:long"&gt;44435&lt;/D&gt;&lt;D xsi:type="xsd:long"&gt;44466&lt;/D&gt;&lt;D xsi:type="xsd:long"&gt;44496&lt;/D&gt;&lt;D xsi:type="xsd:long"&gt;44526&lt;/D&gt;&lt;D xsi:type="xsd:long"&gt;44557&lt;/D&gt;&lt;D xsi:type="xsd:long"&gt;44588&lt;/D&gt;&lt;D xsi:type="xsd:long"&gt;44617&lt;/D&gt;&lt;D xsi:type="xsd:long"&gt;44645&lt;/D&gt;&lt;D xsi:type="xsd:long"&gt;44678&lt;/D&gt;&lt;D xsi:type="xsd:long"&gt;44708&lt;/D&gt;&lt;D xsi:type="xsd:long"&gt;44739&lt;/D&gt;&lt;D xsi:type="xsd:long"&gt;44769&lt;/D&gt;&lt;D xsi:type="xsd:long"&gt;44799&lt;/D&gt;&lt;D xsi:type="xsd:long"&gt;44831&lt;/D&gt;&lt;D xsi:type="xsd:long"&gt;44861&lt;/D&gt;&lt;D xsi:type="xsd:long"&gt;44890&lt;/D&gt;&lt;D xsi:type="xsd:long"&gt;44922&lt;/D&gt;&lt;D xsi:type="xsd:long"&gt;44953&lt;/D&gt;&lt;D xsi:type="xsd:long"&gt;44984&lt;/D&gt;&lt;D xsi:type="xsd:long"&gt;45012&lt;/D&gt;&lt;D xsi:type="xsd:long"&gt;45043&lt;/D&gt;&lt;D xsi:type="xsd:long"&gt;45072&lt;/D&gt;&lt;D xsi:type="xsd:long"&gt;45104&lt;/D&gt;&lt;D xsi:type="xsd:long"&gt;45134&lt;/D&gt;&lt;D xsi:type="xsd:long"&gt;45163&lt;/D&gt;&lt;D xsi:type="xsd:long"&gt;45196&lt;/D&gt;&lt;D xsi:type="xsd:long"&gt;45226&lt;/D&gt;&lt;D xsi:type="xsd:long"&gt;45257&lt;/D&gt;&lt;D xsi:type="xsd:long"&gt;45287&lt;/D&gt;&lt;D xsi:type="xsd:long"&gt;45317&lt;/D&gt;&lt;D xsi:type="xsd:long"&gt;45349&lt;/D&gt;&lt;D xsi:type="xsd:long"&gt;45378&lt;/D&gt;&lt;D xsi:type="xsd:long"&gt;45408&lt;/D&gt;&lt;D xsi:type="xsd:long"&gt;45436&lt;/D&gt;&lt;D xsi:type="xsd:long"&gt;45470&lt;/D&gt;&lt;D xsi:type="xsd:long"&gt;45499&lt;/D&gt;&lt;D xsi:type="xsd:long"&gt;45531&lt;/D&gt;&lt;D xsi:type="xsd:long"&gt;45562&lt;/D&gt;&lt;/FQL&gt;&lt;FQL&gt;&lt;Q&gt;DDR3512M-FDS^FG_PRICE(0)/MAX(FG_PRICE(0,-1AY))&lt;/Q&gt;&lt;R&gt;1&lt;/R&gt;&lt;C&gt;1&lt;/C&gt;&lt;D xsi:type="xsd:double"&gt;0.846153846153846&lt;/D&gt;&lt;/FQL&gt;&lt;FQL&gt;&lt;Q&gt;PLATI-FDS^FG_PRICE_CHANGE(0,-3AM)&lt;/Q&gt;&lt;R&gt;1&lt;/R&gt;&lt;C&gt;1&lt;/C&gt;&lt;D xsi:type="xsd:double"&gt;0.198412698412698&lt;/D&gt;&lt;/FQL&gt;&lt;FQL&gt;&lt;Q&gt;COPP-FDS^FG_PRICE_CHANGE(0,-1AM)&lt;/Q&gt;&lt;R&gt;1&lt;/R&gt;&lt;C&gt;1&lt;/C&gt;&lt;D xsi:type="xsd:double"&gt;8.28507268644369&lt;/D&gt;&lt;/FQL&gt;&lt;FQL&gt;&lt;Q&gt;EWJ^FG_PRICE_MAVG(0,,,,30)&lt;/Q&gt;&lt;R&gt;1&lt;/R&gt;&lt;C&gt;1&lt;/C&gt;&lt;D xsi:type="xsd:double"&gt;70.67433&lt;/D&gt;&lt;/FQL&gt;&lt;FQL&gt;&lt;Q&gt;EWL^FG_TOTAL_RETURNC(0,-1AM)&lt;/Q&gt;&lt;R&gt;1&lt;/R&gt;&lt;C&gt;1&lt;/C&gt;&lt;D xsi:type="xsd:double"&gt;-0.6832361&lt;/D&gt;&lt;/FQL&gt;&lt;FQL&gt;&lt;Q&gt;EWC^PERCENT_CHANGE(FMA_EPS(+1,0,,,,"PORTAGG","MEAN"),FMA_EPS(+1,-3AM,,,,"PORTAGG","MEAN"))&lt;/Q&gt;&lt;R&gt;1&lt;/R&gt;&lt;C&gt;1&lt;/C&gt;&lt;D xsi:type="xsd:double"&gt;1.53675867912142&lt;/D&gt;&lt;/FQL&gt;&lt;FQL&gt;&lt;Q&gt;DUMMY^ECON_DATE(45439,,, 'MM/YYYY')&lt;/Q&gt;&lt;R&gt;1&lt;/R&gt;&lt;C&gt;1&lt;/C&gt;&lt;D xsi:type="xsd:string"&gt;05/2024&lt;/D&gt;&lt;/FQL&gt;&lt;FQL&gt;&lt;Q&gt;DUMMY^ECON_DATE(45531,,, 'MM/YYYY')&lt;/Q&gt;&lt;R&gt;1&lt;/R&gt;&lt;C&gt;1&lt;/C&gt;&lt;D xsi:type="xsd:string"&gt;08/2024&lt;/D&gt;&lt;/FQL&gt;&lt;FQL&gt;&lt;Q&gt;DUMMY^ECON_EXPR_DATA('FDS_ECON[NTCPMIMFGSA@NZ]',08/2024,,Q)&lt;/Q&gt;&lt;R&gt;1&lt;/R&gt;&lt;C&gt;1&lt;/C&gt;&lt;D xsi:type="xsd:double"&gt;45.525333&lt;/D&gt;&lt;/FQL&gt;&lt;FQL&gt;&lt;Q&gt;DUMMY^ECON_EXPR_DATA('FDS_ECON[NTCPMIMFGSA@NZ]',05/2024,,Q)&lt;/Q&gt;&lt;R&gt;1&lt;/R&gt;&lt;C&gt;1&lt;/C&gt;&lt;D xsi:type="xsd:double"&gt;47.698093&lt;/D&gt;&lt;/FQL&gt;&lt;FQL&gt;&lt;Q&gt;DUMMY^ECON_EXPR_DATA('FDS_ECON[NTCPMIMFGSA@AU]',08/2024,,Q)&lt;/Q&gt;&lt;R&gt;1&lt;/R&gt;&lt;C&gt;1&lt;/C&gt;&lt;D xsi:type="xsd:double"&gt;48.811333&lt;/D&gt;&lt;/FQL&gt;&lt;FQL&gt;&lt;Q&gt;DUMMY^ECON_EXPR_DATA('FDS_ECON[NTCPMIMFGSA@AU]',05/2024,,Q)&lt;/Q&gt;&lt;R&gt;1&lt;/R&gt;&lt;C&gt;1&lt;/C&gt;&lt;D xsi:type="xsd:double"&gt;48.39547&lt;/D&gt;&lt;/FQL&gt;&lt;FQL&gt;&lt;Q&gt;DUMMY^ECON_EXPR_DATA('FDS_ECON[NTCPMIMFGSA@CA]',08/2024,,Q)&lt;/Q&gt;&lt;R&gt;1&lt;/R&gt;&lt;C&gt;1&lt;/C&gt;&lt;D xsi:type="xsd:double"&gt;49.331886&lt;/D&gt;&lt;/FQL&gt;&lt;FQL&gt;&lt;Q&gt;DUMMY^ECON_EXPR_DATA('FDS_ECON[NTCPMIMFGSA@CA]',05/2024,,Q)&lt;/Q&gt;&lt;R&gt;1&lt;/R&gt;&lt;C&gt;1&lt;/C&gt;&lt;D xsi:type="xsd:double"&gt;49.30091&lt;/D&gt;&lt;/FQL&gt;&lt;FQL&gt;&lt;Q&gt;DUMMY^ECON_EXPR_DATA('FDS_ECON[NTCPMIMFGSA@DE]',08/2024,,Q)&lt;/Q&gt;&lt;R&gt;1&lt;/R&gt;&lt;C&gt;1&lt;/C&gt;&lt;D xsi:type="xsd:double"&gt;43.782&lt;/D&gt;&lt;/FQL&gt;&lt;FQL&gt;&lt;Q&gt;DUMMY^ECON_EXPR_DATA('FDS_ECON[NTCPMIMFGSA@DE]',05/2024,,Q)&lt;/Q&gt;&lt;R&gt;1&lt;/R&gt;&lt;C&gt;1&lt;/C&gt;&lt;D xsi:type="xsd:double"&gt;43.319096&lt;/D&gt;&lt;/FQL&gt;&lt;FQL&gt;&lt;Q&gt;DUMMY^ECON_EXPR_DATA('FDS_ECON[NTCPMIMFGSA@JP]',08/2024,,Q)&lt;/Q&gt;&lt;R&gt;1&lt;/R&gt;&lt;C&gt;1&lt;/C&gt;&lt;D xsi:type="xsd:double"&gt;49.991356&lt;/D&gt;&lt;/FQL&gt;&lt;FQL&gt;&lt;Q&gt;DUMMY^ECON_EXPR_DATA('FDS_ECON[NTCPMIMFGSA@JP]',05/2024,,Q)&lt;/Q&gt;&lt;R&gt;1&lt;/R&gt;&lt;C&gt;1&lt;/C&gt;&lt;D xsi:type="xsd:double"&gt;47.808857&lt;/D&gt;&lt;/FQL&gt;&lt;FQL&gt;&lt;Q&gt;DUMMY^ECON_EXPR_DATA('FDS_ECON[NTCPMIMFGSA@CH]',08/2024,,Q)&lt;/Q&gt;&lt;R&gt;1&lt;/R&gt;&lt;C&gt;1&lt;/C&gt;&lt;D xsi:type="xsd:double"&gt;43.896877&lt;/D&gt;&lt;/FQL&gt;&lt;FQL&gt;&lt;Q&gt;DUMMY^ECON_EXPR_DATA('FDS_ECON[NTCPMIMFGSA@CH]',05/2024,,Q)&lt;/Q&gt;&lt;R&gt;1&lt;/R&gt;&lt;C&gt;1&lt;/C&gt;&lt;D xsi:type="xsd:double"&gt;44.08605&lt;/D&gt;&lt;/FQL&gt;&lt;FQL&gt;&lt;Q&gt;DUMMY^ECON_EXPR_DATA('FDS_ECON[NTCPMIMFGSA@GB]',08/2024,,Q)&lt;/Q&gt;&lt;R&gt;1&lt;/R&gt;&lt;C&gt;1&lt;/C&gt;&lt;D xsi:type="xsd:double"&gt;50.395269999999996&lt;/D&gt;&lt;/FQL&gt;&lt;FQL&gt;&lt;Q&gt;DUMMY^ECON_EXPR_DATA('FDS_ECON[NTCPMIMFGSA@GB]',05/2024,,Q)&lt;/Q&gt;&lt;R&gt;1&lt;/R&gt;&lt;C&gt;1&lt;/C&gt;&lt;D xsi:type="xsd:double"&gt;48.24796&lt;/D&gt;&lt;/FQL&gt;&lt;FQL&gt;&lt;Q&gt;DUMMY^ECON_EXPR_DATA('FDS_ECON[NTCPMIMFGMESA@US]',08/2024,,Q)&lt;/Q&gt;&lt;R&gt;1&lt;/R&gt;&lt;C&gt;1&lt;/C&gt;&lt;D xsi:type="xsd:double"&gt;50.939392&lt;/D&gt;&lt;/FQL&gt;&lt;FQL&gt;&lt;Q&gt;DUMMY^ECON_EXPR_DATA('FDS_ECON[NTCPMIMFGMESA@US]',05/2024,,Q)&lt;/Q&gt;&lt;R&gt;1&lt;/R&gt;&lt;C&gt;1&lt;/C&gt;&lt;D xsi:type="xsd:double"&gt;51.582687&lt;/D&gt;&lt;/FQL&gt;&lt;FQL&gt;&lt;Q&gt;DUMMY^ECON_EXPR_DATA('FDS_ECON[NTCPMIMFGSA@FR]',08/2024,,Q)&lt;/Q&gt;&lt;R&gt;1&lt;/R&gt;&lt;C&gt;1&lt;/C&gt;&lt;D xsi:type="xsd:double"&gt;45.684513&lt;/D&gt;&lt;/FQL&gt;&lt;FQL&gt;&lt;Q&gt;DUMMY^ECON_EXPR_DATA('FDS_ECON[NTCPMIMFGSA@FR]',05/2024,,Q)&lt;/Q&gt;&lt;R&gt;1&lt;/R&gt;&lt;C&gt;1&lt;/C&gt;&lt;D xsi:type="xsd:double"&gt;45.498753&lt;/D&gt;&lt;/FQL&gt;&lt;FQL&gt;&lt;Q&gt;DUMMY^ECON_EXPR_DATA('FDS_ECON[NTCPMIMFGSA@NL]',08/2024,,Q)&lt;/Q&gt;&lt;R&gt;1&lt;/R&gt;&lt;C&gt;1&lt;/C&gt;&lt;D xsi:type="xsd:double"&gt;51.49388&lt;/D&gt;&lt;/FQL&gt;&lt;FQL&gt;&lt;Q&gt;DUMMY^ECON_EXPR_DATA('FDS_ECON[NTCPMIMFGSA@NL]',05/2024,,Q)&lt;/Q&gt;&lt;R&gt;1&lt;/R&gt;&lt;C&gt;1&lt;/C&gt;&lt;D xsi:type="xsd:double"&gt;49.325874&lt;/D&gt;&lt;/FQL&gt;&lt;FQL&gt;&lt;Q&gt;DUMMY^ECON_EXPR_DATA('FDS_ECON[]',08/2024,,Q)&lt;/Q&gt;&lt;R&gt;0&lt;/R&gt;&lt;C&gt;0&lt;/C&gt;&lt;/FQL&gt;&lt;FQL&gt;&lt;Q&gt;DUMMY^ECON_EXPR_DATA('FDS_ECON[]',05/2024,,Q)&lt;/Q&gt;&lt;R&gt;0&lt;/R&gt;&lt;C&gt;0&lt;/C&gt;&lt;/FQL&gt;&lt;FQL&gt;&lt;Q&gt;DUMMY^ECON_EXPR_DATA('FDS_ECON[NTCPMIMFGSA@IT]',08/2024,,Q)&lt;/Q&gt;&lt;R&gt;1&lt;/R&gt;&lt;C&gt;1&lt;/C&gt;&lt;D xsi:type="xsd:double"&gt;46.215786&lt;/D&gt;&lt;/FQL&gt;&lt;FQL&gt;&lt;Q&gt;DUMMY^ECON_EXPR_DATA('FDS_ECON[NTCPMIMFGSA@IT]',05/2024,,Q)&lt;/Q&gt;&lt;R&gt;1&lt;/R&gt;&lt;C&gt;1&lt;/C&gt;&lt;D xsi:type="xsd:double"&gt;49.208153&lt;/D&gt;&lt;/FQL&gt;&lt;FQL&gt;&lt;Q&gt;DUMMY^ECON_EXPR_DATA('FDS_ECON[PMIDMMANHE]',08/2024,,Q)&lt;/Q&gt;&lt;R&gt;1&lt;/R&gt;&lt;C&gt;1&lt;/C&gt;&lt;D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<sst xmlns="http://schemas.openxmlformats.org/spreadsheetml/2006/main" count="2053" uniqueCount="915">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</sst>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4.6545748394233963E-2</v>
      </c>
      <c r="O13" s="55">
        <f>N13*(1+N9)</f>
        <v>4.9338493297888003E-2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3.7256773816656603E-2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0.05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0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-3.45425160576604E-3</v>
      </c>
      <c r="O21" s="57">
        <f>O13-O16</f>
        <v>4.3384932978880048E-3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4.6545748394233963E-2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2</v>
      </c>
      <c r="E8" s="11">
        <f t="shared" ref="E8:E17" si="0">D8</f>
        <v>2</v>
      </c>
    </row>
    <row r="9" spans="3:9" x14ac:dyDescent="0.35">
      <c r="C9" s="56" t="s">
        <v>1</v>
      </c>
      <c r="D9">
        <f>'Asset class'!S4</f>
        <v>6</v>
      </c>
      <c r="E9" s="58">
        <f t="shared" si="0"/>
        <v>6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1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7</v>
      </c>
      <c r="E12" s="58">
        <f t="shared" si="0"/>
        <v>7</v>
      </c>
    </row>
    <row r="13" spans="3:9" x14ac:dyDescent="0.35">
      <c r="C13" s="56" t="s">
        <v>890</v>
      </c>
      <c r="D13">
        <f>'Asset class'!S8</f>
        <v>4</v>
      </c>
      <c r="E13" s="58">
        <f t="shared" si="0"/>
        <v>4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8</v>
      </c>
      <c r="E15" s="14">
        <f t="shared" si="0"/>
        <v>8</v>
      </c>
    </row>
    <row r="16" spans="3:9" ht="15" thickBot="1" x14ac:dyDescent="0.4">
      <c r="C16" s="178" t="s">
        <v>536</v>
      </c>
      <c r="D16">
        <f>'Asset class'!S11</f>
        <v>3</v>
      </c>
      <c r="E16" s="14">
        <f t="shared" si="0"/>
        <v>3</v>
      </c>
    </row>
    <row r="17" spans="2:15" ht="15" thickBot="1" x14ac:dyDescent="0.4">
      <c r="C17" s="148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0.30417495029821073</v>
      </c>
      <c r="D23" s="170"/>
      <c r="E23" s="171">
        <f>'Momnetum ranking'!I22</f>
        <v>0.32206759443339961</v>
      </c>
    </row>
    <row r="24" spans="2:15" x14ac:dyDescent="0.35">
      <c r="B24" s="56" t="s">
        <v>51</v>
      </c>
      <c r="C24" s="9">
        <f>'Momnetum ranking'!H10</f>
        <v>0.35294117647058826</v>
      </c>
      <c r="D24" s="9"/>
      <c r="E24" s="57">
        <f>'Momnetum ranking'!I10</f>
        <v>0.27450980392156865</v>
      </c>
    </row>
    <row r="25" spans="2:15" x14ac:dyDescent="0.35">
      <c r="B25" s="56" t="s">
        <v>895</v>
      </c>
      <c r="C25" s="9">
        <f>'Momnetum ranking'!H23</f>
        <v>0.45283018867924529</v>
      </c>
      <c r="D25" s="9"/>
      <c r="E25" s="57">
        <f>'Momnetum ranking'!I23</f>
        <v>0.37735849056603776</v>
      </c>
    </row>
    <row r="26" spans="2:15" x14ac:dyDescent="0.35">
      <c r="B26" s="56" t="s">
        <v>46</v>
      </c>
      <c r="C26" s="9">
        <f>'Momnetum ranking'!H21</f>
        <v>0.46231155778894473</v>
      </c>
      <c r="D26" s="9"/>
      <c r="E26" s="57">
        <f>'Momnetum ranking'!I21</f>
        <v>0.4120603015075377</v>
      </c>
    </row>
    <row r="27" spans="2:15" ht="15" thickBot="1" x14ac:dyDescent="0.4">
      <c r="B27" s="12" t="s">
        <v>536</v>
      </c>
      <c r="C27" s="172">
        <f>'Momnetum ranking'!H18</f>
        <v>0.3325545171339564</v>
      </c>
      <c r="D27" s="172"/>
      <c r="E27" s="59">
        <f>'Momnetum ranking'!I18</f>
        <v>0.46728971962616822</v>
      </c>
    </row>
    <row r="28" spans="2:15" x14ac:dyDescent="0.35">
      <c r="B28" s="62" t="s">
        <v>6</v>
      </c>
      <c r="C28" s="170">
        <f>'Momnetum ranking'!H19</f>
        <v>0.1997111615432226</v>
      </c>
      <c r="D28" s="170"/>
      <c r="E28" s="171">
        <f>'Momnetum ranking'!I19</f>
        <v>0.24633794099442954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-0.13473520249221183</v>
      </c>
      <c r="F35" s="5">
        <f>'Momnetum ranking'!K18</f>
        <v>0.63370253164557</v>
      </c>
      <c r="G35" s="9">
        <f>'Momnetum ranking'!Q18</f>
        <v>0.99895540000000005</v>
      </c>
      <c r="H35" s="3">
        <f>'Momnetum ranking'!O18</f>
        <v>7.5313686999999998</v>
      </c>
      <c r="K35">
        <f>_xlfn.RANK.EQ(E35,$E$35:$E$39)</f>
        <v>5</v>
      </c>
      <c r="L35">
        <f>_xlfn.RANK.EQ(F35,$F$35:$F$39)</f>
        <v>3</v>
      </c>
      <c r="M35">
        <f>_xlfn.RANK.EQ(G35,$G$35:$G$39)</f>
        <v>1</v>
      </c>
      <c r="N35">
        <f>_xlfn.RANK.EQ(H35,$H$35:$H$39)</f>
        <v>3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-4.662677945120694E-2</v>
      </c>
      <c r="F36" s="5">
        <f>'Momnetum ranking'!K19</f>
        <v>0.40843270868824499</v>
      </c>
      <c r="G36" s="9">
        <f>'Momnetum ranking'!Q19</f>
        <v>0.99659264000000003</v>
      </c>
      <c r="H36" s="3">
        <f>'Momnetum ranking'!O19</f>
        <v>10.889376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1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-4.1784702549575059E-2</v>
      </c>
      <c r="F37" s="5">
        <f>'Momnetum ranking'!K20</f>
        <v>0.67306325515280707</v>
      </c>
      <c r="G37" s="9">
        <f>'Momnetum ranking'!Q20</f>
        <v>0.99843599999999999</v>
      </c>
      <c r="H37" s="3">
        <f>'Momnetum ranking'!O20</f>
        <v>6.3354489999999997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4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5.0251256281407031E-2</v>
      </c>
      <c r="F38" s="5">
        <f>'Momnetum ranking'!K21</f>
        <v>0.49246231155778902</v>
      </c>
      <c r="G38" s="9">
        <f>'Momnetum ranking'!Q21</f>
        <v>0.99658656000000001</v>
      </c>
      <c r="H38" s="3">
        <f>'Momnetum ranking'!O21</f>
        <v>7.8935623000000001</v>
      </c>
      <c r="K38">
        <f t="shared" si="1"/>
        <v>1</v>
      </c>
      <c r="L38">
        <f t="shared" si="2"/>
        <v>4</v>
      </c>
      <c r="M38">
        <f t="shared" si="3"/>
        <v>4</v>
      </c>
      <c r="N38">
        <f t="shared" si="4"/>
        <v>2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-1.7892644135188873E-2</v>
      </c>
      <c r="F39" s="17">
        <f>'Momnetum ranking'!K22</f>
        <v>0.7385229540918159</v>
      </c>
      <c r="G39" s="172">
        <f>'Momnetum ranking'!Q22</f>
        <v>0.99580650000000004</v>
      </c>
      <c r="H39" s="175">
        <f>'Momnetum ranking'!O22</f>
        <v>5.0676227000000003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5</v>
      </c>
      <c r="N39" s="13">
        <f t="shared" si="4"/>
        <v>5</v>
      </c>
      <c r="O39" s="14">
        <f t="shared" si="5"/>
        <v>3.5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7.9705833999999998</v>
      </c>
      <c r="F3" s="3" cm="1">
        <f t="array" ref="F3">_xll.FDS(C3,"FG_TOTAL_RETURNC(0,-3AM)")</f>
        <v>10.889376</v>
      </c>
      <c r="G3" s="3" cm="1">
        <f t="array" ref="G3">_xll.FDS(C3,"FG_TOTAL_RETURNC(0,-6AM)")</f>
        <v>16.72082</v>
      </c>
      <c r="H3" s="9" cm="1">
        <f t="array" ref="H3">_xll.FDS(C3,"P_PRICE(0)/P_PRICE_HIGH_PR(0,,,USD,,,""PRICE"",""INTRA"",""52W"")")</f>
        <v>0.99659264000000003</v>
      </c>
      <c r="K3" s="4">
        <f>_xlfn.RANK.EQ(H3,H$3:H$12)</f>
        <v>3</v>
      </c>
      <c r="L3" s="4">
        <f>_xlfn.RANK.EQ(F3,F$3:F$12)</f>
        <v>3</v>
      </c>
      <c r="M3" s="4">
        <f>_xlfn.RANK.EQ(G3,G$3:G$12)</f>
        <v>2</v>
      </c>
      <c r="N3" s="4"/>
      <c r="P3" s="3">
        <f t="shared" ref="P3:P12" si="0">SUMPRODUCT($K$2:$M$2,K3:M3)</f>
        <v>2.64</v>
      </c>
      <c r="Q3">
        <f t="shared" ref="Q3:Q12" si="1">COUNTIF(K3:N3,"&gt;70")</f>
        <v>0</v>
      </c>
      <c r="S3" s="3">
        <f>11-_xlfn.RANK.EQ(P3,$P$3:$P$12)</f>
        <v>2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2.2255897999999998</v>
      </c>
      <c r="F4" s="3" cm="1">
        <f t="array" ref="F4">_xll.FDS(C4,"FG_TOTAL_RETURNC(0,-3AM)")</f>
        <v>5.0676227000000003</v>
      </c>
      <c r="G4" s="3" cm="1">
        <f t="array" ref="G4">_xll.FDS(C4,"FG_TOTAL_RETURNC(0,-6AM)")</f>
        <v>10.081315</v>
      </c>
      <c r="H4" s="9" cm="1">
        <f t="array" ref="H4">_xll.FDS(C4,"P_PRICE(0)/P_PRICE_HIGH_PR(0,,,USD,,,""PRICE"",""INTRA"",""52W"")")</f>
        <v>0.99580650000000004</v>
      </c>
      <c r="I4" s="177"/>
      <c r="K4" s="4">
        <f t="shared" ref="K4:K12" si="3">_xlfn.RANK.EQ(H4,H$3:H$12)</f>
        <v>5</v>
      </c>
      <c r="L4" s="4">
        <f t="shared" ref="L4:M12" si="4">_xlfn.RANK.EQ(F4,F$3:F$12)</f>
        <v>7</v>
      </c>
      <c r="M4" s="4">
        <f t="shared" si="4"/>
        <v>4</v>
      </c>
      <c r="N4" s="4"/>
      <c r="P4" s="3">
        <f t="shared" si="0"/>
        <v>5.28</v>
      </c>
      <c r="Q4">
        <f t="shared" si="1"/>
        <v>0</v>
      </c>
      <c r="S4" s="3">
        <f t="shared" ref="S4:S12" si="5">11-_xlfn.RANK.EQ(P4,$P$3:$P$12)</f>
        <v>6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5.8228730000000004</v>
      </c>
      <c r="F5" s="3" cm="1">
        <f t="array" ref="F5">_xll.FDS(C5,"FG_TOTAL_RETURNC(0,-3AM)")</f>
        <v>14.879751000000001</v>
      </c>
      <c r="G5" s="3" cm="1">
        <f t="array" ref="G5">_xll.FDS(C5,"FG_TOTAL_RETURNC(0,-6AM)")</f>
        <v>21.60511</v>
      </c>
      <c r="H5" s="9" cm="1">
        <f t="array" ref="H5">_xll.FDS(C5,"P_PRICE(0)/P_PRICE_HIGH_PR(0,,,USD,,,""PRICE"",""INTRA"",""52W"")")</f>
        <v>0.99842339999999996</v>
      </c>
      <c r="I5" s="177"/>
      <c r="K5" s="4">
        <f t="shared" si="3"/>
        <v>2</v>
      </c>
      <c r="L5" s="4">
        <f t="shared" si="4"/>
        <v>1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0.53704980000000002</v>
      </c>
      <c r="F6" s="3" cm="1">
        <f t="array" ref="F6">_xll.FDS(C6,"FG_TOTAL_RETURNC(0,-3AM)")</f>
        <v>-3.6045313000000001</v>
      </c>
      <c r="G6" s="3" cm="1">
        <f t="array" ref="G6">_xll.FDS(C6,"FG_TOTAL_RETURNC(0,-6AM)")</f>
        <v>-0.74231625000000001</v>
      </c>
      <c r="H6" s="9" cm="1">
        <f t="array" ref="H6">_xll.FDS(C6,"P_PRICE(0)/P_PRICE_HIGH_PR(0,,,USD,,,""PRICE"",""INTRA"",""52W"")")</f>
        <v>0.93088009999999999</v>
      </c>
      <c r="I6" s="177"/>
      <c r="K6" s="4">
        <f t="shared" si="3"/>
        <v>9</v>
      </c>
      <c r="L6" s="4">
        <f t="shared" si="4"/>
        <v>9</v>
      </c>
      <c r="M6" s="4">
        <f t="shared" si="4"/>
        <v>9</v>
      </c>
      <c r="N6" s="4"/>
      <c r="P6" s="3">
        <f t="shared" si="0"/>
        <v>8.91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2.8097748999999999</v>
      </c>
      <c r="F7" s="3" cm="1">
        <f t="array" ref="F7">_xll.FDS(C7,"FG_TOTAL_RETURNC(0,-3AM)")</f>
        <v>1.7744422</v>
      </c>
      <c r="G7" s="3" cm="1">
        <f t="array" ref="G7">_xll.FDS(C7,"FG_TOTAL_RETURNC(0,-6AM)")</f>
        <v>10.366524</v>
      </c>
      <c r="H7" s="9" cm="1">
        <f t="array" ref="H7">_xll.FDS(C7,"P_PRICE(0)/P_PRICE_HIGH_PR(0,,,USD,,,""PRICE"",""INTRA"",""52W"")")</f>
        <v>0.97209643999999995</v>
      </c>
      <c r="I7" s="1"/>
      <c r="K7" s="4">
        <f t="shared" si="3"/>
        <v>7</v>
      </c>
      <c r="L7" s="4">
        <f t="shared" si="4"/>
        <v>8</v>
      </c>
      <c r="M7" s="4">
        <f t="shared" si="4"/>
        <v>3</v>
      </c>
      <c r="N7" s="4"/>
      <c r="P7" s="3">
        <f t="shared" si="0"/>
        <v>5.94</v>
      </c>
      <c r="Q7">
        <f t="shared" si="1"/>
        <v>0</v>
      </c>
      <c r="S7" s="3">
        <f t="shared" si="5"/>
        <v>7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5.675459</v>
      </c>
      <c r="F8" s="3" cm="1">
        <f t="array" ref="F8">_xll.FDS(C8,"FG_TOTAL_RETURNC(0,-3AM)")</f>
        <v>11.844336999999999</v>
      </c>
      <c r="G8" s="3" cm="1">
        <f t="array" ref="G8">_xll.FDS(C8,"FG_TOTAL_RETURNC(0,-6AM)")</f>
        <v>7.1747065000000001</v>
      </c>
      <c r="H8" s="9" cm="1">
        <f t="array" ref="H8">_xll.FDS(C8,"P_PRICE(0)/P_PRICE_HIGH_PR(0,,,USD,,,""PRICE"",""INTRA"",""52W"")")</f>
        <v>0.97564580000000001</v>
      </c>
      <c r="I8" s="1"/>
      <c r="K8" s="4">
        <f t="shared" si="3"/>
        <v>6</v>
      </c>
      <c r="L8" s="4">
        <f t="shared" si="4"/>
        <v>2</v>
      </c>
      <c r="M8" s="4">
        <f t="shared" si="4"/>
        <v>6</v>
      </c>
      <c r="N8" s="4"/>
      <c r="P8" s="3">
        <f t="shared" si="0"/>
        <v>4.62</v>
      </c>
      <c r="Q8">
        <f t="shared" si="1"/>
        <v>0</v>
      </c>
      <c r="S8" s="3">
        <f t="shared" si="5"/>
        <v>4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-9.7790479999999995</v>
      </c>
      <c r="F9" s="3" cm="1">
        <f t="array" ref="F9">_xll.FDS(C9,"FG_TOTAL_RETURNC(0,-3AM)")</f>
        <v>-13.651144</v>
      </c>
      <c r="G9" s="3" cm="1">
        <f t="array" ref="G9">_xll.FDS(C9,"FG_TOTAL_RETURNC(0,-6AM)")</f>
        <v>-10.966324999999999</v>
      </c>
      <c r="H9" s="9" cm="1">
        <f t="array" ref="H9">_xll.FDS(C9,"P_PRICE(0)/P_PRICE_HIGH_PR(0,,,USD,,,""PRICE"",""INTRA"",""52W"")")</f>
        <v>0.82735884000000004</v>
      </c>
      <c r="I9" s="1"/>
      <c r="K9" s="4">
        <f t="shared" si="3"/>
        <v>10</v>
      </c>
      <c r="L9" s="4">
        <f t="shared" si="4"/>
        <v>10</v>
      </c>
      <c r="M9" s="4">
        <f t="shared" si="4"/>
        <v>10</v>
      </c>
      <c r="N9" s="4"/>
      <c r="P9" s="3">
        <f t="shared" si="0"/>
        <v>9.9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0.41213035999999997</v>
      </c>
      <c r="F10" s="3" cm="1">
        <f t="array" ref="F10">_xll.FDS(C10,"FG_TOTAL_RETURNC(0,-3AM)")</f>
        <v>5.879283</v>
      </c>
      <c r="G10" s="3" cm="1">
        <f t="array" ref="G10">_xll.FDS(C10,"FG_TOTAL_RETURNC(0,-6AM)")</f>
        <v>5.6318640000000002</v>
      </c>
      <c r="H10" s="9" cm="1">
        <f t="array" ref="H10">_xll.FDS(C10,"P_PRICE(0)/P_PRICE_HIGH_PR(0,,,USD,,,""PRICE"",""INTRA"",""52W"")")</f>
        <v>0.96477765000000004</v>
      </c>
      <c r="K10" s="4">
        <f t="shared" si="3"/>
        <v>8</v>
      </c>
      <c r="L10" s="4">
        <f t="shared" si="4"/>
        <v>6</v>
      </c>
      <c r="M10" s="4">
        <f t="shared" si="4"/>
        <v>7</v>
      </c>
      <c r="N10" s="4"/>
      <c r="P10" s="3">
        <f t="shared" si="0"/>
        <v>6.93</v>
      </c>
      <c r="Q10">
        <f t="shared" si="1"/>
        <v>0</v>
      </c>
      <c r="S10" s="3">
        <f t="shared" si="5"/>
        <v>8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1.4756203000000001</v>
      </c>
      <c r="F11" s="3" cm="1">
        <f t="array" ref="F11">_xll.FDS(C11,"FG_TOTAL_RETURNC(0,-3AM)")</f>
        <v>7.5313686999999998</v>
      </c>
      <c r="G11" s="3" cm="1">
        <f t="array" ref="G11">_xll.FDS(C11,"FG_TOTAL_RETURNC(0,-6AM)")</f>
        <v>8.2145930000000007</v>
      </c>
      <c r="H11" s="9" cm="1">
        <f t="array" ref="H11">_xll.FDS(C11,"P_PRICE(0)/P_PRICE_HIGH_PR(0,,,USD,,,""PRICE"",""INTRA"",""52W"")")</f>
        <v>0.99895540000000005</v>
      </c>
      <c r="K11" s="4">
        <f t="shared" si="3"/>
        <v>1</v>
      </c>
      <c r="L11" s="4">
        <f t="shared" si="4"/>
        <v>5</v>
      </c>
      <c r="M11" s="4">
        <f t="shared" si="4"/>
        <v>5</v>
      </c>
      <c r="P11" s="3">
        <f t="shared" si="0"/>
        <v>3.6300000000000003</v>
      </c>
      <c r="Q11">
        <f t="shared" si="1"/>
        <v>0</v>
      </c>
      <c r="S11" s="3">
        <f t="shared" si="5"/>
        <v>3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1.7565846000000001</v>
      </c>
      <c r="F12" s="3" cm="1">
        <f t="array" ref="F12">_xll.FDS(C12,"FG_TOTAL_RETURNC(0,-3AM)")</f>
        <v>7.8935623000000001</v>
      </c>
      <c r="G12" s="3" cm="1">
        <f t="array" ref="G12">_xll.FDS(C12,"FG_TOTAL_RETURNC(0,-6AM)")</f>
        <v>2.6888610000000002</v>
      </c>
      <c r="H12" s="9" cm="1">
        <f t="array" ref="H12">_xll.FDS(C12,"P_PRICE(0)/P_PRICE_HIGH_PR(0,,,USD,,,""PRICE"",""INTRA"",""52W"")")</f>
        <v>0.99658656000000001</v>
      </c>
      <c r="K12" s="4">
        <f t="shared" si="3"/>
        <v>4</v>
      </c>
      <c r="L12" s="4">
        <f t="shared" si="4"/>
        <v>4</v>
      </c>
      <c r="M12" s="4">
        <f t="shared" si="4"/>
        <v>8</v>
      </c>
      <c r="P12" s="3">
        <f t="shared" si="0"/>
        <v>5.28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50</v>
      </c>
      <c r="E6" s="120">
        <f>VLOOKUP(B6,'Quality - 2'!$B$2:$S$14,18,FALSE)</f>
        <v>78.5</v>
      </c>
      <c r="F6" s="153">
        <f>VLOOKUP(B6,Safety!$B$4:$R$16,17,FALSE)</f>
        <v>71.399999999999991</v>
      </c>
      <c r="G6" s="179">
        <f t="shared" ref="G6:G18" si="0">(D6*$D$2 +E6*$E$2 +F6*$F$2)/($D$2+$E$2+$F$2)</f>
        <v>66.633333333333326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14.2</v>
      </c>
      <c r="J6" s="120">
        <f ca="1">VLOOKUP(B6,'Momnetum ranking'!$A$3:$AJ$15,36,FALSE)</f>
        <v>50</v>
      </c>
      <c r="K6" s="163">
        <f>VLOOKUP(B6,'Momnetum ranking'!$A$3:$H$15,8,FALSE)</f>
        <v>0.2978723404255319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52.108001000000002</v>
      </c>
      <c r="N6" s="120" cm="1">
        <f t="array" aca="1" ref="N6" ca="1">_xlfn.PERCENTRANK.EXC(_xlfn._xlws.FILTER($M$6:M$18, ISNUMBER($M$6:M$18)),M6)*100</f>
        <v>71.399999999999991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35.699999999999996</v>
      </c>
      <c r="E7" s="121">
        <f>VLOOKUP(B7,'Quality - 2'!$B$2:$S$14,18,FALSE)</f>
        <v>35.699999999999996</v>
      </c>
      <c r="F7" s="159">
        <f>VLOOKUP(B7,Safety!$B$4:$R$16,17,FALSE)</f>
        <v>64.2</v>
      </c>
      <c r="G7" s="180">
        <f t="shared" si="0"/>
        <v>45.199999999999996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14.2</v>
      </c>
      <c r="J7" s="121">
        <f ca="1">VLOOKUP(B7,'Momnetum ranking'!$A$3:$AJ$15,36,FALSE)</f>
        <v>28.499999999999996</v>
      </c>
      <c r="K7" s="161">
        <f>VLOOKUP(B7,'Momnetum ranking'!$A$3:$H$15,8,FALSE)</f>
        <v>0.46231155778894473</v>
      </c>
      <c r="L7" s="121">
        <f>VLOOKUP(B7,'Currency- 2'!$A$3:$U$15,21,FALSE)</f>
        <v>64.2</v>
      </c>
      <c r="M7" s="160">
        <f t="shared" ca="1" si="1"/>
        <v>34.218643999999998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21.4</v>
      </c>
      <c r="E8" s="121">
        <f>VLOOKUP(B8,'Quality - 2'!$B$2:$S$14,18,FALSE)</f>
        <v>85.7</v>
      </c>
      <c r="F8" s="159">
        <f>VLOOKUP(B8,Safety!$B$4:$R$16,17,FALSE)</f>
        <v>85.7</v>
      </c>
      <c r="G8" s="180">
        <f t="shared" si="0"/>
        <v>64.26666666666668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14.2</v>
      </c>
      <c r="J8" s="121">
        <f ca="1">VLOOKUP(B8,'Momnetum ranking'!$A$3:$AJ$15,36,FALSE)</f>
        <v>21.4</v>
      </c>
      <c r="K8" s="161">
        <f>VLOOKUP(B8,'Momnetum ranking'!$A$3:$H$15,8,FALSE)</f>
        <v>0.35294117647058826</v>
      </c>
      <c r="L8" s="121">
        <f>VLOOKUP(B8,'Currency- 2'!$A$3:$U$15,21,FALSE)</f>
        <v>21.4</v>
      </c>
      <c r="M8" s="160">
        <f t="shared" ca="1" si="1"/>
        <v>32.818072000000001</v>
      </c>
      <c r="N8" s="121" cm="1">
        <f t="array" aca="1" ref="N8" ca="1">_xlfn.PERCENTRANK.EXC(_xlfn._xlws.FILTER($M$6:M$18, ISNUMBER($M$6:M$18)),M8)*100</f>
        <v>14.2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57.099999999999994</v>
      </c>
      <c r="G9" s="180">
        <f t="shared" si="0"/>
        <v>59.466666666666669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14.2</v>
      </c>
      <c r="J9" s="121">
        <f ca="1">VLOOKUP(B9,'Momnetum ranking'!$A$3:$AJ$15,36,FALSE)</f>
        <v>35.699999999999996</v>
      </c>
      <c r="K9" s="161">
        <f>VLOOKUP(B9,'Momnetum ranking'!$A$3:$H$15,8,FALSE)</f>
        <v>0.30417495029821073</v>
      </c>
      <c r="L9" s="121">
        <f>VLOOKUP(B9,'Currency- 2'!$A$3:$U$15,21,FALSE)</f>
        <v>21.4</v>
      </c>
      <c r="M9" s="160">
        <f t="shared" ca="1" si="1"/>
        <v>37.098216000000001</v>
      </c>
      <c r="N9" s="121" cm="1">
        <f t="array" aca="1" ref="N9" ca="1">_xlfn.PERCENTRANK.EXC(_xlfn._xlws.FILTER($M$6:M$18, ISNUMBER($M$6:M$18)),M9)*100</f>
        <v>28.499999999999996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71.399999999999991</v>
      </c>
      <c r="E10" s="121">
        <f>VLOOKUP(B10,'Quality - 2'!$B$2:$S$14,18,FALSE)</f>
        <v>28.499999999999996</v>
      </c>
      <c r="F10" s="159">
        <f>VLOOKUP(B10,Safety!$B$4:$R$16,17,FALSE)</f>
        <v>14.2</v>
      </c>
      <c r="G10" s="180">
        <f t="shared" si="0"/>
        <v>38.033333333333331</v>
      </c>
      <c r="H10" s="125" cm="1">
        <f t="array" ref="H10">_xlfn.PERCENTRANK.EXC(_xlfn._xlws.FILTER($G$6:G$18, ISNUMBER($G$6:G$18)),G10)*100</f>
        <v>21.4</v>
      </c>
      <c r="I10" s="159">
        <f>VLOOKUP(B10,'LIQIDITY 2'!$A$3:$X$15,24,FALSE)</f>
        <v>14.2</v>
      </c>
      <c r="J10" s="121">
        <f ca="1">VLOOKUP(B10,'Momnetum ranking'!$A$3:$AJ$15,36,FALSE)</f>
        <v>92.800000000000011</v>
      </c>
      <c r="K10" s="161">
        <f>VLOOKUP(B10,'Momnetum ranking'!$A$3:$H$15,8,FALSE)</f>
        <v>0.38596491228070173</v>
      </c>
      <c r="L10" s="121">
        <f>VLOOKUP(B10,'Currency- 2'!$A$3:$U$15,21,FALSE)</f>
        <v>78.5</v>
      </c>
      <c r="M10" s="160">
        <f t="shared" ca="1" si="1"/>
        <v>59.218859000000002</v>
      </c>
      <c r="N10" s="121" cm="1">
        <f t="array" aca="1" ref="N10" ca="1">_xlfn.PERCENTRANK.EXC(_xlfn._xlws.FILTER($M$6:M$18, ISNUMBER($M$6:M$18)),M10)*100</f>
        <v>92.800000000000011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92.800000000000011</v>
      </c>
      <c r="E11" s="121">
        <f>VLOOKUP(B11,'Quality - 2'!$B$2:$S$14,18,FALSE)</f>
        <v>57.099999999999994</v>
      </c>
      <c r="F11" s="159">
        <f>VLOOKUP(B11,Safety!$B$4:$R$16,17,FALSE)</f>
        <v>42.8</v>
      </c>
      <c r="G11" s="180">
        <f t="shared" si="0"/>
        <v>64.233333333333348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14.2</v>
      </c>
      <c r="J11" s="121">
        <f ca="1">VLOOKUP(B11,'Momnetum ranking'!$A$3:$AJ$15,36,FALSE)</f>
        <v>71.399999999999991</v>
      </c>
      <c r="K11" s="161">
        <f>VLOOKUP(B11,'Momnetum ranking'!$A$3:$H$15,8,FALSE)</f>
        <v>0.39240506329113922</v>
      </c>
      <c r="L11" s="121">
        <f>VLOOKUP(B11,'Currency- 2'!$A$3:$U$15,21,FALSE)</f>
        <v>71.399999999999991</v>
      </c>
      <c r="M11" s="160">
        <f t="shared" ca="1" si="1"/>
        <v>57.808073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57.099999999999994</v>
      </c>
      <c r="E12" s="121">
        <f>VLOOKUP(B12,'Quality - 2'!$B$2:$S$14,18,FALSE)</f>
        <v>64.2</v>
      </c>
      <c r="F12" s="159">
        <f>VLOOKUP(B12,Safety!$B$4:$R$16,17,FALSE)</f>
        <v>50</v>
      </c>
      <c r="G12" s="180">
        <f t="shared" si="0"/>
        <v>57.100000000000009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14.2</v>
      </c>
      <c r="J12" s="121">
        <f ca="1">VLOOKUP(B12,'Momnetum ranking'!$A$3:$AJ$15,36,FALSE)</f>
        <v>78.5</v>
      </c>
      <c r="K12" s="161">
        <f>VLOOKUP(B12,'Momnetum ranking'!$A$3:$H$15,8,FALSE)</f>
        <v>0.1744186046511628</v>
      </c>
      <c r="L12" s="121">
        <f>VLOOKUP(B12,'Currency- 2'!$A$3:$U$15,21,FALSE)</f>
        <v>14.2</v>
      </c>
      <c r="M12" s="160">
        <f t="shared" ca="1" si="1"/>
        <v>52.788287000000004</v>
      </c>
      <c r="N12" s="121" cm="1">
        <f t="array" aca="1" ref="N12" ca="1">_xlfn.PERCENTRANK.EXC(_xlfn._xlws.FILTER($M$6:M$18, ISNUMBER($M$6:M$18)),M12)*100</f>
        <v>78.5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14.2</v>
      </c>
      <c r="E13" s="121">
        <f>VLOOKUP(B13,'Quality - 2'!$B$2:$S$14,18,FALSE)</f>
        <v>14.2</v>
      </c>
      <c r="F13" s="159">
        <f>VLOOKUP(B13,Safety!$B$4:$R$16,17,FALSE)</f>
        <v>21.4</v>
      </c>
      <c r="G13" s="180">
        <f t="shared" si="0"/>
        <v>16.600000000000001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85.7</v>
      </c>
      <c r="K13" s="161">
        <f>VLOOKUP(B13,'Momnetum ranking'!$A$3:$H$15,8,FALSE)</f>
        <v>0.36206896551724138</v>
      </c>
      <c r="L13" s="121">
        <f>VLOOKUP(B13,'Currency- 2'!$A$3:$U$15,21,FALSE)</f>
        <v>35.699999999999996</v>
      </c>
      <c r="M13" s="160">
        <f t="shared" ca="1" si="1"/>
        <v>44.249502</v>
      </c>
      <c r="N13" s="121" cm="1">
        <f t="array" aca="1" ref="N13" ca="1">_xlfn.PERCENTRANK.EXC(_xlfn._xlws.FILTER($M$6:M$18, ISNUMBER($M$6:M$18)),M13)*100</f>
        <v>57.099999999999994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92.800000000000011</v>
      </c>
      <c r="J14" s="121">
        <f ca="1">VLOOKUP(B14,'Momnetum ranking'!$A$3:$AJ$15,36,FALSE)</f>
        <v>42.8</v>
      </c>
      <c r="K14" s="161">
        <f>VLOOKUP(B14,'Momnetum ranking'!$A$3:$H$15,8,FALSE)</f>
        <v>0.25925925925925924</v>
      </c>
      <c r="L14" s="121">
        <f>VLOOKUP(B14,'Currency- 2'!$A$3:$U$15,21,FALSE)</f>
        <v>7.1</v>
      </c>
      <c r="M14" s="160">
        <f t="shared" ca="1" si="1"/>
        <v>47.088930000000005</v>
      </c>
      <c r="N14" s="121" cm="1">
        <f t="array" aca="1" ref="N14" ca="1">_xlfn.PERCENTRANK.EXC(_xlfn._xlws.FILTER($M$6:M$18, ISNUMBER($M$6:M$18)),M14)*100</f>
        <v>64.2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78.5</v>
      </c>
      <c r="E15" s="121">
        <f>VLOOKUP(B15,'Quality - 2'!$B$2:$S$14,18,FALSE)</f>
        <v>71.399999999999991</v>
      </c>
      <c r="F15" s="159">
        <f>VLOOKUP(B15,Safety!$B$4:$R$16,17,FALSE)</f>
        <v>92.800000000000011</v>
      </c>
      <c r="G15" s="180">
        <f t="shared" si="0"/>
        <v>80.900000000000006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14.2</v>
      </c>
      <c r="J15" s="121">
        <f ca="1">VLOOKUP(B15,'Momnetum ranking'!$A$3:$AJ$15,36,FALSE)</f>
        <v>14.2</v>
      </c>
      <c r="K15" s="161">
        <f>VLOOKUP(B15,'Momnetum ranking'!$A$3:$H$15,8,FALSE)</f>
        <v>0.31147540983606559</v>
      </c>
      <c r="L15" s="121">
        <f>VLOOKUP(B15,'Currency- 2'!$A$3:$U$15,21,FALSE)</f>
        <v>85.7</v>
      </c>
      <c r="M15" s="160">
        <f t="shared" ca="1" si="1"/>
        <v>41.357572999999995</v>
      </c>
      <c r="N15" s="121" cm="1">
        <f t="array" aca="1" ref="N15" ca="1">_xlfn.PERCENTRANK.EXC(_xlfn._xlws.FILTER($M$6:M$18, ISNUMBER($M$6:M$18)),M15)*100</f>
        <v>35.699999999999996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42.8</v>
      </c>
      <c r="E16" s="121">
        <f>VLOOKUP(B16,'Quality - 2'!$B$2:$S$14,18,FALSE)</f>
        <v>50</v>
      </c>
      <c r="F16" s="159">
        <f>VLOOKUP(B16,Safety!$B$4:$R$16,17,FALSE)</f>
        <v>35.699999999999996</v>
      </c>
      <c r="G16" s="180">
        <f t="shared" si="0"/>
        <v>42.833333333333336</v>
      </c>
      <c r="H16" s="125" cm="1">
        <f t="array" ref="H16">_xlfn.PERCENTRANK.EXC(_xlfn._xlws.FILTER($G$6:G$18, ISNUMBER($G$6:G$18)),G16)*100</f>
        <v>42.8</v>
      </c>
      <c r="I16" s="159">
        <f>VLOOKUP(B16,'LIQIDITY 2'!$A$3:$X$15,24,FALSE)</f>
        <v>14.2</v>
      </c>
      <c r="J16" s="121">
        <f ca="1">VLOOKUP(B16,'Momnetum ranking'!$A$3:$AJ$15,36,FALSE)</f>
        <v>7.1</v>
      </c>
      <c r="K16" s="161">
        <f>VLOOKUP(B16,'Momnetum ranking'!$A$3:$H$15,8,FALSE)</f>
        <v>0.29629629629629628</v>
      </c>
      <c r="L16" s="121">
        <f>VLOOKUP(B16,'Currency- 2'!$A$3:$U$15,21,FALSE)</f>
        <v>57.099999999999994</v>
      </c>
      <c r="M16" s="160">
        <f t="shared" ca="1" si="1"/>
        <v>24.238714999999999</v>
      </c>
      <c r="N16" s="121" cm="1">
        <f t="array" aca="1" ref="N16" ca="1">_xlfn.PERCENTRANK.EXC(_xlfn._xlws.FILTER($M$6:M$18, ISNUMBER($M$6:M$18)),M16)*100</f>
        <v>7.1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42.8</v>
      </c>
      <c r="F17" s="159">
        <f>VLOOKUP(B17,Safety!$B$4:$R$16,17,FALSE)</f>
        <v>7.1</v>
      </c>
      <c r="G17" s="180">
        <f t="shared" si="0"/>
        <v>38.033333333333346</v>
      </c>
      <c r="H17" s="125" cm="1">
        <f t="array" ref="H17">_xlfn.PERCENTRANK.EXC(_xlfn._xlws.FILTER($G$6:G$18, ISNUMBER($G$6:G$18)),G17)*100</f>
        <v>28.499999999999996</v>
      </c>
      <c r="I17" s="159">
        <f>VLOOKUP(B17,'LIQIDITY 2'!$A$3:$X$15,24,FALSE)</f>
        <v>14.2</v>
      </c>
      <c r="J17" s="121">
        <f ca="1">VLOOKUP(B17,'Momnetum ranking'!$A$3:$AJ$15,36,FALSE)</f>
        <v>64.2</v>
      </c>
      <c r="K17" s="161">
        <f>VLOOKUP(B17,'Momnetum ranking'!$A$3:$H$15,8,FALSE)</f>
        <v>0.15217391304347827</v>
      </c>
      <c r="L17" s="121">
        <f>VLOOKUP(B17,'Currency- 2'!$A$3:$U$15,21,FALSE)</f>
        <v>42.8</v>
      </c>
      <c r="M17" s="160">
        <f t="shared" ca="1" si="1"/>
        <v>44.208859000000004</v>
      </c>
      <c r="N17" s="121" cm="1">
        <f t="array" aca="1" ref="N17" ca="1">_xlfn.PERCENTRANK.EXC(_xlfn._xlws.FILTER($M$6:M$18, ISNUMBER($M$6:M$18)),M17)*100</f>
        <v>50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85.7</v>
      </c>
      <c r="E18" s="122">
        <f>VLOOKUP(B18,'Quality - 2'!$B$2:$S$14,18,FALSE)</f>
        <v>7.1</v>
      </c>
      <c r="F18" s="154">
        <f>VLOOKUP(B18,Safety!$B$4:$R$16,17,FALSE)</f>
        <v>28.499999999999996</v>
      </c>
      <c r="G18" s="181">
        <f t="shared" si="0"/>
        <v>40.433333333333344</v>
      </c>
      <c r="H18" s="126" cm="1">
        <f t="array" ref="H18">_xlfn.PERCENTRANK.EXC(_xlfn._xlws.FILTER($G$6:G$18, ISNUMBER($G$6:G$18)),G18)*100</f>
        <v>35.699999999999996</v>
      </c>
      <c r="I18" s="154">
        <f>VLOOKUP(B18,'LIQIDITY 2'!$A$3:$X$15,24,FALSE)</f>
        <v>14.2</v>
      </c>
      <c r="J18" s="122">
        <f ca="1">VLOOKUP(B18,'Momnetum ranking'!$A$3:$AJ$15,36,FALSE)</f>
        <v>57.099999999999994</v>
      </c>
      <c r="K18" s="165">
        <f>VLOOKUP(B18,'Momnetum ranking'!$A$3:$H$15,8,FALSE)</f>
        <v>0.25925925925925924</v>
      </c>
      <c r="L18" s="122">
        <f>VLOOKUP(B18,'Currency- 2'!$A$3:$U$15,21,FALSE)</f>
        <v>50</v>
      </c>
      <c r="M18" s="164">
        <f t="shared" ca="1" si="1"/>
        <v>42.808787000000002</v>
      </c>
      <c r="N18" s="122" cm="1">
        <f t="array" aca="1" ref="N18" ca="1">_xlfn.PERCENTRANK.EXC(_xlfn._xlws.FILTER($M$6:M$18, ISNUMBER($M$6:M$18)),M18)*100</f>
        <v>42.8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0.19277502985023279</v>
      </c>
      <c r="F9">
        <f ca="1">VLOOKUP(B9,OUTPUT_COUNTRY!$B$6:$N$18, 9, FALSE)</f>
        <v>42.8</v>
      </c>
      <c r="G9" s="47">
        <f>IFERROR(VLOOKUP(B9,OUTPUT_COUNTRY!$B$6:$N$18, 7, FALSE),0)</f>
        <v>14.2</v>
      </c>
      <c r="H9">
        <f>VLOOKUP(B9,OUTPUT_COUNTRY!$B$6:$N$18, 8, FALSE)</f>
        <v>92.800000000000011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5.1873938278048852</v>
      </c>
      <c r="O9" s="136">
        <f>N9/$N$22</f>
        <v>1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0.1</v>
      </c>
      <c r="S9" s="156">
        <f t="shared" ref="S9:S21" ca="1" si="5">IFERROR(IF(R9&gt;=$R$6, R9/SUMIF($R$9:$R$17,"&gt;="&amp;$R$6), ""),"")</f>
        <v>0.10938378768177988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0.22840103463315148</v>
      </c>
      <c r="F10">
        <f ca="1">VLOOKUP(B10,OUTPUT_COUNTRY!$B$6:$N$18, 9, FALSE)</f>
        <v>85.7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35.699999999999996</v>
      </c>
      <c r="J10" s="47">
        <f t="shared" ca="1" si="0"/>
        <v>4.3782638796105262</v>
      </c>
      <c r="K10" s="136">
        <f t="shared" ref="K10:K21" ca="1" si="6">J10/$J$22</f>
        <v>0.22580830454092266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0.11290415227046133</v>
      </c>
      <c r="S10" s="156">
        <f t="shared" ca="1" si="5"/>
        <v>0.12349883820343487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0.20316822403188017</v>
      </c>
      <c r="F11">
        <f ca="1">VLOOKUP(B11,OUTPUT_COUNTRY!$B$6:$N$18, 9, FALSE)</f>
        <v>78.5</v>
      </c>
      <c r="G11" s="47">
        <f>IFERROR(VLOOKUP(B11,OUTPUT_COUNTRY!$B$6:$N$18, 7, FALSE),0)</f>
        <v>57.099999999999994</v>
      </c>
      <c r="H11">
        <f>VLOOKUP(B11,OUTPUT_COUNTRY!$B$6:$N$18, 8, FALSE)</f>
        <v>14.2</v>
      </c>
      <c r="I11">
        <f>VLOOKUP(B11,OUTPUT_COUNTRY!$B$6:$N$18, 11, FALSE)</f>
        <v>14.2</v>
      </c>
      <c r="J11" s="47">
        <f t="shared" ca="1" si="0"/>
        <v>4.9220295386501229</v>
      </c>
      <c r="K11" s="136">
        <f t="shared" ca="1" si="6"/>
        <v>0.25385293705088258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>
        <f t="shared" ca="1" si="4"/>
        <v>0.12692646852544129</v>
      </c>
      <c r="S11" s="156">
        <f t="shared" ca="1" si="5"/>
        <v>0.13883697884384985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0.21532230796760116</v>
      </c>
      <c r="F12">
        <f ca="1">VLOOKUP(B12,OUTPUT_COUNTRY!$B$6:$N$18, 9, FALSE)</f>
        <v>92.800000000000011</v>
      </c>
      <c r="G12" s="47">
        <f>IFERROR(VLOOKUP(B12,OUTPUT_COUNTRY!$B$6:$N$18, 7, FALSE),0)</f>
        <v>21.4</v>
      </c>
      <c r="H12">
        <f>VLOOKUP(B12,OUTPUT_COUNTRY!$B$6:$N$18, 8, FALSE)</f>
        <v>14.2</v>
      </c>
      <c r="I12">
        <f>VLOOKUP(B12,OUTPUT_COUNTRY!$B$6:$N$18, 11, FALSE)</f>
        <v>78.5</v>
      </c>
      <c r="J12" s="47">
        <f t="shared" ca="1" si="0"/>
        <v>4.6442006378199636</v>
      </c>
      <c r="K12" s="136">
        <f t="shared" ca="1" si="6"/>
        <v>0.23952395305768684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4.6442006378199636</v>
      </c>
      <c r="Q12" s="136">
        <f t="shared" si="9"/>
        <v>0.16770550928232456</v>
      </c>
      <c r="R12" s="156">
        <f t="shared" ca="1" si="4"/>
        <v>0.13653252745707586</v>
      </c>
      <c r="S12" s="156">
        <f t="shared" ca="1" si="5"/>
        <v>0.14934444995021567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0.16046737614777284</v>
      </c>
      <c r="F13">
        <f ca="1">VLOOKUP(B13,OUTPUT_COUNTRY!$B$6:$N$18, 9, FALSE)</f>
        <v>28.499999999999996</v>
      </c>
      <c r="G13" s="47">
        <f>IFERROR(VLOOKUP(B13,OUTPUT_COUNTRY!$B$6:$N$18, 7, FALSE),0)</f>
        <v>50</v>
      </c>
      <c r="H13">
        <f>VLOOKUP(B13,OUTPUT_COUNTRY!$B$6:$N$18, 8, FALSE)</f>
        <v>14.2</v>
      </c>
      <c r="I13">
        <f>VLOOKUP(B13,OUTPUT_COUNTRY!$B$6:$N$18, 11, FALSE)</f>
        <v>64.2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6.2317962940897704</v>
      </c>
      <c r="Q13" s="136">
        <f t="shared" si="9"/>
        <v>0.22503475899237024</v>
      </c>
      <c r="R13" s="156">
        <f t="shared" ca="1" si="4"/>
        <v>2.2503475899237027E-2</v>
      </c>
      <c r="S13" s="156">
        <f t="shared" ca="1" si="5"/>
        <v>2.4615154298641934E-2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0.1556372508034912</v>
      </c>
      <c r="F14">
        <f ca="1">VLOOKUP(B14,OUTPUT_COUNTRY!$B$6:$N$18, 9, FALSE)</f>
        <v>50</v>
      </c>
      <c r="G14" s="47">
        <f>IFERROR(VLOOKUP(B14,OUTPUT_COUNTRY!$B$6:$N$18, 7, FALSE),0)</f>
        <v>85.7</v>
      </c>
      <c r="H14">
        <f>VLOOKUP(B14,OUTPUT_COUNTRY!$B$6:$N$18, 8, FALSE)</f>
        <v>14.2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6.4251970195914589</v>
      </c>
      <c r="M14" s="136">
        <f t="shared" si="7"/>
        <v>0.29409620115296586</v>
      </c>
      <c r="N14">
        <f t="shared" si="2"/>
        <v>0</v>
      </c>
      <c r="O14" s="136">
        <f t="shared" si="8"/>
        <v>0</v>
      </c>
      <c r="P14">
        <f t="shared" si="3"/>
        <v>6.4251970195914589</v>
      </c>
      <c r="Q14" s="136">
        <f t="shared" si="9"/>
        <v>0.23201860178798572</v>
      </c>
      <c r="R14" s="156">
        <f t="shared" ca="1" si="4"/>
        <v>0.11143072052468833</v>
      </c>
      <c r="S14" s="156">
        <f t="shared" ca="1" si="5"/>
        <v>0.12188714275100258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0.18366143594718834</v>
      </c>
      <c r="F15">
        <f ca="1">VLOOKUP(B15,OUTPUT_COUNTRY!$B$6:$N$18, 9, FALSE)</f>
        <v>71.399999999999991</v>
      </c>
      <c r="G15" s="47">
        <f>IFERROR(VLOOKUP(B15,OUTPUT_COUNTRY!$B$6:$N$18, 7, FALSE),0)</f>
        <v>71.399999999999991</v>
      </c>
      <c r="H15">
        <f>VLOOKUP(B15,OUTPUT_COUNTRY!$B$6:$N$18, 8, FALSE)</f>
        <v>14.2</v>
      </c>
      <c r="I15">
        <f>VLOOKUP(B15,OUTPUT_COUNTRY!$B$6:$N$18, 11, FALSE)</f>
        <v>71.399999999999991</v>
      </c>
      <c r="J15" s="47">
        <f t="shared" ca="1" si="0"/>
        <v>5.4448011627631452</v>
      </c>
      <c r="K15" s="136">
        <f t="shared" ca="1" si="6"/>
        <v>0.28081480535050801</v>
      </c>
      <c r="L15">
        <f t="shared" si="1"/>
        <v>5.4448011627631452</v>
      </c>
      <c r="M15" s="136">
        <f t="shared" si="7"/>
        <v>0.24922120413106172</v>
      </c>
      <c r="N15">
        <f t="shared" si="2"/>
        <v>0</v>
      </c>
      <c r="O15" s="136">
        <f t="shared" si="8"/>
        <v>0</v>
      </c>
      <c r="P15">
        <f t="shared" si="3"/>
        <v>5.4448011627631452</v>
      </c>
      <c r="Q15" s="136">
        <f t="shared" si="9"/>
        <v>0.19661578453484208</v>
      </c>
      <c r="R15" s="156">
        <f t="shared" ca="1" si="4"/>
        <v>0.23483534236805673</v>
      </c>
      <c r="S15" s="156">
        <f t="shared" ca="1" si="5"/>
        <v>0.256871792297656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0.19878085826222733</v>
      </c>
      <c r="F16">
        <f ca="1">VLOOKUP(B16,OUTPUT_COUNTRY!$B$6:$N$18, 9, FALSE)</f>
        <v>21.4</v>
      </c>
      <c r="G16" s="47">
        <f>IFERROR(VLOOKUP(B16,OUTPUT_COUNTRY!$B$6:$N$18, 7, FALSE),0)</f>
        <v>78.5</v>
      </c>
      <c r="H16">
        <f>VLOOKUP(B16,OUTPUT_COUNTRY!$B$6:$N$18, 8, FALSE)</f>
        <v>14.2</v>
      </c>
      <c r="I16">
        <f>VLOOKUP(B16,OUTPUT_COUNTRY!$B$6:$N$18, 11, FALSE)</f>
        <v>21.4</v>
      </c>
      <c r="J16" s="47">
        <f t="shared" ca="1" si="0"/>
        <v>0</v>
      </c>
      <c r="K16" s="136">
        <f t="shared" ca="1" si="6"/>
        <v>0</v>
      </c>
      <c r="L16">
        <f t="shared" si="1"/>
        <v>5.0306654712237036</v>
      </c>
      <c r="M16" s="136">
        <f t="shared" si="7"/>
        <v>0.23026525098717657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6.9079575296152967E-2</v>
      </c>
      <c r="S16" s="156">
        <f t="shared" ca="1" si="5"/>
        <v>7.5561855973419217E-2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0.16679808238429616</v>
      </c>
      <c r="F17">
        <f ca="1">VLOOKUP(B17,OUTPUT_COUNTRY!$B$6:$N$18, 9, FALSE)</f>
        <v>35.699999999999996</v>
      </c>
      <c r="G17" s="47">
        <f>IFERROR(VLOOKUP(B17,OUTPUT_COUNTRY!$B$6:$N$18, 7, FALSE),0)</f>
        <v>64.2</v>
      </c>
      <c r="H17">
        <f>VLOOKUP(B17,OUTPUT_COUNTRY!$B$6:$N$18, 8, FALSE)</f>
        <v>14.2</v>
      </c>
      <c r="I17">
        <f>VLOOKUP(B17,OUTPUT_COUNTRY!$B$6:$N$18, 11, FALSE)</f>
        <v>21.4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 t="str">
        <f t="shared" ca="1" si="4"/>
        <v/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0.20215909022422116</v>
      </c>
      <c r="F18">
        <f ca="1">VLOOKUP(B18,OUTPUT_COUNTRY!$B$6:$N$18, 9, FALSE)</f>
        <v>14.2</v>
      </c>
      <c r="G18" s="47">
        <f>IFERROR(VLOOKUP(B18,OUTPUT_COUNTRY!$B$6:$N$18, 7, FALSE),0)</f>
        <v>92.800000000000011</v>
      </c>
      <c r="H18">
        <f>VLOOKUP(B18,OUTPUT_COUNTRY!$B$6:$N$18, 8, FALSE)</f>
        <v>14.2</v>
      </c>
      <c r="I18">
        <f>VLOOKUP(B18,OUTPUT_COUNTRY!$B$6:$N$18, 11, FALSE)</f>
        <v>85.7</v>
      </c>
      <c r="J18" s="47">
        <f t="shared" ca="1" si="0"/>
        <v>0</v>
      </c>
      <c r="K18" s="136">
        <f t="shared" ca="1" si="6"/>
        <v>0</v>
      </c>
      <c r="L18">
        <f t="shared" si="1"/>
        <v>4.9465992297990056</v>
      </c>
      <c r="M18" s="136">
        <f t="shared" si="7"/>
        <v>0.22641734372879591</v>
      </c>
      <c r="N18">
        <f t="shared" si="2"/>
        <v>0</v>
      </c>
      <c r="O18" s="136">
        <f t="shared" si="8"/>
        <v>0</v>
      </c>
      <c r="P18">
        <f t="shared" si="3"/>
        <v>4.9465992297990056</v>
      </c>
      <c r="Q18" s="136">
        <f t="shared" si="9"/>
        <v>0.17862534540247735</v>
      </c>
      <c r="R18" s="156">
        <f t="shared" ca="1" si="4"/>
        <v>8.5787737658886504E-2</v>
      </c>
      <c r="S18" s="156">
        <f t="shared" ca="1" si="5"/>
        <v>9.3837876817798732E-2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0.21092163842483996</v>
      </c>
      <c r="F19">
        <f ca="1">VLOOKUP(B19,OUTPUT_COUNTRY!$B$6:$N$18, 9, FALSE)</f>
        <v>7.1</v>
      </c>
      <c r="G19" s="47">
        <f>IFERROR(VLOOKUP(B19,OUTPUT_COUNTRY!$B$6:$N$18, 7, FALSE),0)</f>
        <v>42.8</v>
      </c>
      <c r="H19">
        <f>VLOOKUP(B19,OUTPUT_COUNTRY!$B$6:$N$18, 8, FALSE)</f>
        <v>14.2</v>
      </c>
      <c r="I19">
        <f>VLOOKUP(B19,OUTPUT_COUNTRY!$B$6:$N$18, 11, FALSE)</f>
        <v>57.099999999999994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0</v>
      </c>
      <c r="Q19" s="136">
        <f t="shared" si="9"/>
        <v>0</v>
      </c>
      <c r="R19" s="156" t="str">
        <f t="shared" ca="1" si="4"/>
        <v/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0.23755765565435583</v>
      </c>
      <c r="F20">
        <f ca="1">VLOOKUP(B20,OUTPUT_COUNTRY!$B$6:$N$18, 9, FALSE)</f>
        <v>64.2</v>
      </c>
      <c r="G20" s="47">
        <f>IFERROR(VLOOKUP(B20,OUTPUT_COUNTRY!$B$6:$N$18, 7, FALSE),0)</f>
        <v>28.499999999999996</v>
      </c>
      <c r="H20">
        <f>VLOOKUP(B20,OUTPUT_COUNTRY!$B$6:$N$18, 8, FALSE)</f>
        <v>14.2</v>
      </c>
      <c r="I20">
        <f>VLOOKUP(B20,OUTPUT_COUNTRY!$B$6:$N$18, 11, FALSE)</f>
        <v>42.8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0.2298405888758096</v>
      </c>
      <c r="F21" s="13">
        <f ca="1">VLOOKUP(B21,OUTPUT_COUNTRY!$B$6:$N$18, 9, FALSE)</f>
        <v>57.099999999999994</v>
      </c>
      <c r="G21" s="138">
        <f>IFERROR(VLOOKUP(B21,OUTPUT_COUNTRY!$B$6:$N$18, 7, FALSE),0)</f>
        <v>35.699999999999996</v>
      </c>
      <c r="H21" s="13">
        <f>VLOOKUP(B21,OUTPUT_COUNTRY!$B$6:$N$18, 8, FALSE)</f>
        <v>14.2</v>
      </c>
      <c r="I21" s="13">
        <f>VLOOKUP(B21,OUTPUT_COUNTRY!$B$6:$N$18, 11, FALSE)</f>
        <v>50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0</v>
      </c>
      <c r="Q21" s="137">
        <f t="shared" si="9"/>
        <v>0</v>
      </c>
      <c r="R21" s="157" t="str">
        <f t="shared" ca="1" si="4"/>
        <v/>
      </c>
      <c r="S21" s="157" t="str">
        <f t="shared" ca="1" si="5"/>
        <v/>
      </c>
    </row>
    <row r="22" spans="2:21" x14ac:dyDescent="0.35">
      <c r="J22" s="47">
        <f ca="1">SUM(J9:J21)</f>
        <v>19.389295218843756</v>
      </c>
      <c r="K22" s="169"/>
      <c r="L22">
        <f>SUM(L9:L21)</f>
        <v>21.847262883377311</v>
      </c>
      <c r="N22">
        <f>SUM(N9:N21)</f>
        <v>5.1873938278048852</v>
      </c>
      <c r="P22">
        <f>SUM(P9:P21)</f>
        <v>27.692594344063345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-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--</v>
      </c>
      <c r="J4" s="120" t="str">
        <f ca="1">IF(VLOOKUP(C4,OUTPUT_COUNTRY!$B$6:$N$18,9,FALSE)&gt;75,"++",(IF(VLOOKUP(C4,OUTPUT_COUNTRY!$B$6:$N$18,9,FALSE)&gt;50,"+",(IF(VLOOKUP(C4,OUTPUT_COUNTRY!$B$6:$N$18,9,FALSE)&gt;25,"-","--")))))</f>
        <v>-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--</v>
      </c>
      <c r="K6" s="159" t="str">
        <f>IF(VLOOKUP(C6,OUTPUT_COUNTRY!$B$6:$N$18,11,FALSE)&gt;75,"++",(IF(VLOOKUP(C6,OUTPUT_COUNTRY!$B$6:$N$18,11,FALSE)&gt;50,"+",(IF(VLOOKUP(C6,OUTPUT_COUNTRY!$B$6:$N$18,11,FALSE)&gt;25,"-","--")))))</f>
        <v>--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-</v>
      </c>
      <c r="K7" s="159" t="str">
        <f>IF(VLOOKUP(C7,OUTPUT_COUNTRY!$B$6:$N$18,11,FALSE)&gt;75,"++",(IF(VLOOKUP(C7,OUTPUT_COUNTRY!$B$6:$N$18,11,FALSE)&gt;50,"+",(IF(VLOOKUP(C7,OUTPUT_COUNTRY!$B$6:$N$18,11,FALSE)&gt;25,"-","--")))))</f>
        <v>--</v>
      </c>
      <c r="L7" s="121" t="str">
        <f ca="1">IF(VLOOKUP(C7,OUTPUT_COUNTRY!$B$6:$N$18,13,FALSE)&gt;75,"++",(IF(VLOOKUP(C7,OUTPUT_COUNTRY!$B$6:$N$18,13,FALSE)&gt;50,"+",(IF(VLOOKUP(C7,OUTPUT_COUNTRY!$B$6:$N$18,13,FALSE)&gt;25,"-","--")))))</f>
        <v>-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++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+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+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++</v>
      </c>
      <c r="J12" s="121" t="str">
        <f ca="1">IF(VLOOKUP(C12,OUTPUT_COUNTRY!$B$6:$N$18,9,FALSE)&gt;75,"++",(IF(VLOOKUP(C12,OUTPUT_COUNTRY!$B$6:$N$18,9,FALSE)&gt;50,"+",(IF(VLOOKUP(C12,OUTPUT_COUNTRY!$B$6:$N$18,9,FALSE)&gt;25,"-","--")))))</f>
        <v>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+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49.462447586730498</v>
      </c>
      <c r="H3" s="4" cm="1">
        <f t="array" ref="H3">_xll.FDS(D3,"FMA_PE(NTMA,0,,,""PORTAGG"",""MEANR"")")</f>
        <v>23.595340526767899</v>
      </c>
      <c r="I3" cm="1">
        <f t="array" ref="I3">_xll.FDS(D3,"FMA_DIV_YLD(NTMA,NOW,NOW,M,""PORTAGG"",""MEANR"")")</f>
        <v>2.5124465309348301</v>
      </c>
      <c r="J3" s="52" cm="1">
        <f t="array" ref="J3">IFERROR(_xll.FDS(D3,"FG_FCF_YIELD_NTM(0)"),(1/G3*100))</f>
        <v>1.90919962807294</v>
      </c>
      <c r="K3" s="3" cm="1">
        <f t="array" ref="K3">_xll.FDS(D3,"FMA_EVAL_EBITDA(NTMA,0,,,""PORTAGG"",""MEANR"")")</f>
        <v>12.5334508699636</v>
      </c>
      <c r="L3" cm="1">
        <f t="array" ref="L3">_xll.FDS(D3,"FMA_EVAL_EBIT(LTMA,NOW,NOW,M,""PORTAGG"",""MEANR"")")</f>
        <v>21.617507865526399</v>
      </c>
      <c r="M3">
        <f>HLOOKUP(D3,'Index ROE'!$A$1:$N$25,25,FALSE)</f>
        <v>6.5791075391831502</v>
      </c>
      <c r="N3">
        <f>VLOOKUP(A3,'LIQIDITY 2'!$A$3:$E$16,5,FALSE)</f>
        <v>4.2370000000000001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-1.72455346906517</v>
      </c>
      <c r="R3" s="52">
        <f t="shared" ref="R3:R11" si="1">J3-N3</f>
        <v>-2.3278003719270601</v>
      </c>
      <c r="S3">
        <f t="shared" ref="S3:S11" si="2">M3-N3</f>
        <v>2.3421075391831501</v>
      </c>
      <c r="T3">
        <f t="shared" ref="T3:T11" si="3">M3-O3</f>
        <v>3.2484815391831501</v>
      </c>
      <c r="U3" cm="1">
        <f t="array" ref="U3">_xlfn.PERCENTRANK.EXC(_xlfn._xlws.FILTER(Q$3:Q$15, ISNUMBER(Q$3:Q$15)),Q3)*100</f>
        <v>7.1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8.9250000000000007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19.569595838989301</v>
      </c>
      <c r="H4" s="4" cm="1">
        <f t="array" ref="H4">_xll.FDS(D4,"FMA_PE(NTMA,0,,,""PORTAGG"",""MEANR"")")</f>
        <v>18.2511322643686</v>
      </c>
      <c r="I4" cm="1">
        <f t="array" ref="I4">_xll.FDS(D4,"FMA_DIV_YLD(NTMA,NOW,NOW,M,""PORTAGG"",""MEANR"")")</f>
        <v>3.7043448527937199</v>
      </c>
      <c r="J4" s="52" cm="1">
        <f t="array" ref="J4">IFERROR(_xll.FDS(D4,"FG_FCF_YIELD_NTM(0)"),(1/G4*100))</f>
        <v>4.5444308738164896</v>
      </c>
      <c r="K4" s="3" cm="1">
        <f t="array" ref="K4">_xll.FDS(D4,"FMA_EVAL_EBITDA(NTMA,0,,,""PORTAGG"",""MEANR"")")</f>
        <v>9.0940673000451593</v>
      </c>
      <c r="L4" cm="1">
        <f t="array" ref="L4">_xll.FDS(D4,"FMA_EVAL_EBIT(LTMA,NOW,NOW,M,""PORTAGG"",""MEANR"")")</f>
        <v>12.870489043245801</v>
      </c>
      <c r="M4">
        <f>HLOOKUP(D4,'Index ROE'!$A$1:$N$25,25,FALSE)</f>
        <v>13.226394097123199</v>
      </c>
      <c r="N4">
        <f>VLOOKUP(A4,'LIQIDITY 2'!$A$3:$E$16,5,FALSE)</f>
        <v>3.9609999999999999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-0.25665514720627991</v>
      </c>
      <c r="R4" s="52">
        <f t="shared" si="1"/>
        <v>0.58343087381648973</v>
      </c>
      <c r="S4">
        <f t="shared" si="2"/>
        <v>9.2653940971231989</v>
      </c>
      <c r="T4">
        <f t="shared" si="3"/>
        <v>9.411884097123199</v>
      </c>
      <c r="U4" cm="1">
        <f t="array" ref="U4">_xlfn.PERCENTRANK.EXC(_xlfn._xlws.FILTER(Q$3:Q$15, ISNUMBER(Q$3:Q$15)),Q4)*100</f>
        <v>14.2</v>
      </c>
      <c r="V4" cm="1">
        <f t="array" ref="V4">_xlfn.PERCENTRANK.EXC(_xlfn._xlws.FILTER(R$3:R$15, ISNUMBER(R$3:R$15)),R4)*100</f>
        <v>14.2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26.415000000000003</v>
      </c>
      <c r="AC4" cm="1">
        <f t="array" ref="AC4">_xlfn.PERCENTRANK.EXC(_xlfn._xlws.FILTER(AB$3:AB$15, ISNUMBER(AB$3:AB$15)),AB4)*100</f>
        <v>14.2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19.151873147981199</v>
      </c>
      <c r="H5" s="4" cm="1">
        <f t="array" ref="H5">_xll.FDS(D5,"FMA_PE(NTMA,0,,,""PORTAGG"",""MEANR"")")</f>
        <v>15.0475020481594</v>
      </c>
      <c r="I5" cm="1">
        <f t="array" ref="I5">_xll.FDS(D5,"FMA_DIV_YLD(NTMA,NOW,NOW,M,""PORTAGG"",""MEANR"")")</f>
        <v>3.1435911719948302</v>
      </c>
      <c r="J5" s="52" cm="1">
        <f t="array" ref="J5">IFERROR(_xll.FDS(D5,"FG_FCF_YIELD_NTM(0)"),(1/G5*100))</f>
        <v>4.7964697881566396</v>
      </c>
      <c r="K5" s="3" cm="1">
        <f t="array" ref="K5">_xll.FDS(D5,"FMA_EVAL_EBITDA(NTMA,0,,,""PORTAGG"",""MEANR"")")</f>
        <v>9.8995080164789293</v>
      </c>
      <c r="L5" cm="1">
        <f t="array" ref="L5">_xll.FDS(D5,"FMA_EVAL_EBIT(LTMA,NOW,NOW,M,""PORTAGG"",""MEANR"")")</f>
        <v>16.121528234016498</v>
      </c>
      <c r="M5">
        <f>HLOOKUP(D5,'Index ROE'!$A$1:$N$25,25,FALSE)</f>
        <v>13.1491479008301</v>
      </c>
      <c r="N5">
        <f>VLOOKUP(A5,'LIQIDITY 2'!$A$3:$E$16,5,FALSE)</f>
        <v>0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3.1435911719948302</v>
      </c>
      <c r="R5" s="52">
        <f t="shared" si="1"/>
        <v>4.7964697881566396</v>
      </c>
      <c r="S5">
        <f t="shared" si="2"/>
        <v>13.1491479008301</v>
      </c>
      <c r="T5">
        <f t="shared" si="3"/>
        <v>10.407963700830098</v>
      </c>
      <c r="U5" cm="1">
        <f t="array" ref="U5">_xlfn.PERCENTRANK.EXC(_xlfn._xlws.FILTER(Q$3:Q$15, ISNUMBER(Q$3:Q$15)),Q5)*100</f>
        <v>57.099999999999994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50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50.69</v>
      </c>
      <c r="AC5" cm="1">
        <f t="array" ref="AC5">_xlfn.PERCENTRANK.EXC(_xlfn._xlws.FILTER(AB$3:AB$15, ISNUMBER(AB$3:AB$15)),AB5)*100</f>
        <v>57.099999999999994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15.645351425790301</v>
      </c>
      <c r="H6" s="4" cm="1">
        <f t="array" ref="H6">_xll.FDS(D6,"FMA_PE(NTMA,0,,,""PORTAGG"",""MEANR"")")</f>
        <v>12.4655541418536</v>
      </c>
      <c r="I6" cm="1">
        <f t="array" ref="I6">_xll.FDS(D6,"FMA_DIV_YLD(NTMA,NOW,NOW,M,""PORTAGG"",""MEANR"")")</f>
        <v>3.3328752187489701</v>
      </c>
      <c r="J6" s="52" cm="1">
        <f t="array" ref="J6">IFERROR(_xll.FDS(D6,"FG_FCF_YIELD_NTM(0)"),(1/G6*100))</f>
        <v>5.8088178830323196</v>
      </c>
      <c r="K6" s="3" cm="1">
        <f t="array" ref="K6">_xll.FDS(D6,"FMA_EVAL_EBITDA(NTMA,0,,,""PORTAGG"",""MEANR"")")</f>
        <v>8.6566324918206892</v>
      </c>
      <c r="L6" cm="1">
        <f t="array" ref="L6">_xll.FDS(D6,"FMA_EVAL_EBIT(LTMA,NOW,NOW,M,""PORTAGG"",""MEANR"")")</f>
        <v>13.866475485098301</v>
      </c>
      <c r="M6">
        <f>HLOOKUP(D6,'Index ROE'!$A$1:$N$25,25,FALSE)</f>
        <v>11.93889064433</v>
      </c>
      <c r="N6">
        <f>VLOOKUP(A6,'LIQIDITY 2'!$A$3:$E$16,5,FALSE)</f>
        <v>0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3.3328752187489701</v>
      </c>
      <c r="R6" s="52">
        <f t="shared" si="1"/>
        <v>5.8088178830323196</v>
      </c>
      <c r="S6">
        <f t="shared" si="2"/>
        <v>11.93889064433</v>
      </c>
      <c r="T6">
        <f t="shared" si="3"/>
        <v>9.6525225443300009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78.5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66.420000000000016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17.381797094141401</v>
      </c>
      <c r="H7" s="4" cm="1">
        <f t="array" ref="H7">_xll.FDS(D7,"FMA_PE(NTMA,0,,,""PORTAGG"",""MEANR"")")</f>
        <v>14.1577403378745</v>
      </c>
      <c r="I7" cm="1">
        <f t="array" ref="I7">_xll.FDS(D7,"FMA_DIV_YLD(NTMA,NOW,NOW,M,""PORTAGG"",""MEANR"")")</f>
        <v>2.37520994994013</v>
      </c>
      <c r="J7" s="52" cm="1">
        <f t="array" ref="J7">IFERROR(_xll.FDS(D7,"FG_FCF_YIELD_NTM(0)"),(1/G7*100))</f>
        <v>4.1510163965462796</v>
      </c>
      <c r="K7" s="3" cm="1">
        <f t="array" ref="K7">_xll.FDS(D7,"FMA_EVAL_EBITDA(NTMA,0,,,""PORTAGG"",""MEANR"")")</f>
        <v>9.9930529082054402</v>
      </c>
      <c r="L7" cm="1">
        <f t="array" ref="L7">_xll.FDS(D7,"FMA_EVAL_EBIT(LTMA,NOW,NOW,M,""PORTAGG"",""MEANR"")")</f>
        <v>17.094035246520601</v>
      </c>
      <c r="M7">
        <f>HLOOKUP(D7,'Index ROE'!$A$1:$N$25,25,FALSE)</f>
        <v>9.2997687113842105</v>
      </c>
      <c r="N7">
        <f>VLOOKUP(A7,'LIQIDITY 2'!$A$3:$E$16,5,FALSE)</f>
        <v>0.80200000000000005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1.57320994994013</v>
      </c>
      <c r="R7" s="52">
        <f t="shared" si="1"/>
        <v>3.3490163965462796</v>
      </c>
      <c r="S7">
        <f t="shared" si="2"/>
        <v>8.4977687113842109</v>
      </c>
      <c r="T7">
        <f t="shared" si="3"/>
        <v>6.5730741113842104</v>
      </c>
      <c r="U7" cm="1">
        <f t="array" ref="U7">_xlfn.PERCENTRANK.EXC(_xlfn._xlws.FILTER(Q$3:Q$15, ISNUMBER(Q$3:Q$15)),Q7)*100</f>
        <v>35.699999999999996</v>
      </c>
      <c r="V7" cm="1">
        <f t="array" ref="V7">_xlfn.PERCENTRANK.EXC(_xlfn._xlws.FILTER(R$3:R$15, ISNUMBER(R$3:R$15)),R7)*100</f>
        <v>21.4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40.350000000000009</v>
      </c>
      <c r="AC7" cm="1">
        <f t="array" ref="AC7">_xlfn.PERCENTRANK.EXC(_xlfn._xlws.FILTER(AB$3:AB$15, ISNUMBER(AB$3:AB$15)),AB7)*100</f>
        <v>35.699999999999996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21.733649048210399</v>
      </c>
      <c r="H8" s="4" cm="1">
        <f t="array" ref="H8">_xll.FDS(D8,"FMA_PE(NTMA,0,,,""PORTAGG"",""MEANR"")")</f>
        <v>17.157837174802602</v>
      </c>
      <c r="I8" cm="1">
        <f t="array" ref="I8">_xll.FDS(D8,"FMA_DIV_YLD(NTMA,NOW,NOW,M,""PORTAGG"",""MEANR"")")</f>
        <v>3.0847125341827999</v>
      </c>
      <c r="J8" s="52" cm="1">
        <f t="array" ref="J8">IFERROR(_xll.FDS(D8,"FG_FCF_YIELD_NTM(0)"),(1/G8*100))</f>
        <v>4.71854595302581</v>
      </c>
      <c r="K8" s="3" cm="1">
        <f t="array" ref="K8">_xll.FDS(D8,"FMA_EVAL_EBITDA(NTMA,0,,,""PORTAGG"",""MEANR"")")</f>
        <v>13.0419518472566</v>
      </c>
      <c r="L8" cm="1">
        <f t="array" ref="L8">_xll.FDS(D8,"FMA_EVAL_EBIT(LTMA,NOW,NOW,M,""PORTAGG"",""MEANR"")")</f>
        <v>17.101561545368501</v>
      </c>
      <c r="M8">
        <f>HLOOKUP(D8,'Index ROE'!$A$1:$N$25,25,FALSE)</f>
        <v>19.302463641340701</v>
      </c>
      <c r="N8">
        <f>VLOOKUP(A8,'LIQIDITY 2'!$A$3:$E$16,5,FALSE)</f>
        <v>0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3.0847125341827999</v>
      </c>
      <c r="R8" s="52">
        <f t="shared" si="1"/>
        <v>4.71854595302581</v>
      </c>
      <c r="S8">
        <f t="shared" si="2"/>
        <v>19.302463641340701</v>
      </c>
      <c r="T8">
        <f t="shared" si="3"/>
        <v>17.9404810413407</v>
      </c>
      <c r="U8" cm="1">
        <f t="array" ref="U8">_xlfn.PERCENTRANK.EXC(_xlfn._xlws.FILTER(Q$3:Q$15, ISNUMBER(Q$3:Q$15)),Q8)*100</f>
        <v>50</v>
      </c>
      <c r="V8" cm="1">
        <f t="array" ref="V8">_xlfn.PERCENTRANK.EXC(_xlfn._xlws.FILTER(R$3:R$15, ISNUMBER(R$3:R$15)),R8)*100</f>
        <v>50</v>
      </c>
      <c r="W8" cm="1">
        <f t="array" ref="W8">_xlfn.PERCENTRANK.EXC(_xlfn._xlws.FILTER(S$3:S$15, ISNUMBER(S$3:S$15)),S8)*100</f>
        <v>78.5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47.519999999999996</v>
      </c>
      <c r="AC8" cm="1">
        <f t="array" ref="AC8">_xlfn.PERCENTRANK.EXC(_xlfn._xlws.FILTER(AB$3:AB$15, ISNUMBER(AB$3:AB$15)),AB8)*100</f>
        <v>50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14.143959968400299</v>
      </c>
      <c r="H9" s="4" cm="1">
        <f t="array" ref="H9">_xll.FDS(D9,"FMA_PE(NTMA,0,,,""PORTAGG"",""MEANR"")")</f>
        <v>11.810782678873499</v>
      </c>
      <c r="I9" cm="1">
        <f t="array" ref="I9">_xll.FDS(D9,"FMA_DIV_YLD(NTMA,NOW,NOW,M,""PORTAGG"",""MEANR"")")</f>
        <v>3.8107962887261002</v>
      </c>
      <c r="J9" s="52" cm="1">
        <f t="array" ref="J9">IFERROR(_xll.FDS(D9,"FG_FCF_YIELD_NTM(0)"),(1/G9*100))</f>
        <v>6.0809914647699603</v>
      </c>
      <c r="K9" s="3" cm="1">
        <f t="array" ref="K9">_xll.FDS(D9,"FMA_EVAL_EBITDA(NTMA,0,,,""PORTAGG"",""MEANR"")")</f>
        <v>7.6752608029129599</v>
      </c>
      <c r="L9" cm="1">
        <f t="array" ref="L9">_xll.FDS(D9,"FMA_EVAL_EBIT(LTMA,NOW,NOW,M,""PORTAGG"",""MEANR"")")</f>
        <v>10.932512631932401</v>
      </c>
      <c r="M9">
        <f>HLOOKUP(D9,'Index ROE'!$A$1:$N$25,25,FALSE)</f>
        <v>14.7202942014685</v>
      </c>
      <c r="N9">
        <f>VLOOKUP(A9,'LIQIDITY 2'!$A$3:$E$16,5,FALSE)</f>
        <v>0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3.8107962887261002</v>
      </c>
      <c r="R9" s="52">
        <f t="shared" si="1"/>
        <v>6.0809914647699603</v>
      </c>
      <c r="S9">
        <f t="shared" si="2"/>
        <v>14.7202942014685</v>
      </c>
      <c r="T9">
        <f t="shared" si="3"/>
        <v>11.850593801468499</v>
      </c>
      <c r="U9" cm="1">
        <f t="array" ref="U9">_xlfn.PERCENTRANK.EXC(_xlfn._xlws.FILTER(Q$3:Q$15, ISNUMBER(Q$3:Q$15)),Q9)*100</f>
        <v>85.7</v>
      </c>
      <c r="V9" cm="1">
        <f t="array" ref="V9">_xlfn.PERCENTRANK.EXC(_xlfn._xlws.FILTER(R$3:R$15, ISNUMBER(R$3:R$15)),R9)*100</f>
        <v>92.800000000000011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82.515000000000001</v>
      </c>
      <c r="AC9" cm="1">
        <f t="array" ref="AC9">_xlfn.PERCENTRANK.EXC(_xlfn._xlws.FILTER(AB$3:AB$15, ISNUMBER(AB$3:AB$15)),AB9)*100</f>
        <v>92.800000000000011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36.421877902264001</v>
      </c>
      <c r="H10" s="4" cm="1">
        <f t="array" ref="H10">_xll.FDS(D10,"FMA_PE(NTMA,0,,,""PORTAGG"",""MEANR"")")</f>
        <v>26.584613303100401</v>
      </c>
      <c r="I10" cm="1">
        <f t="array" ref="I10">_xll.FDS(D10,"FMA_DIV_YLD(NTMA,NOW,NOW,M,""PORTAGG"",""MEANR"")")</f>
        <v>0.83581193594364001</v>
      </c>
      <c r="J10" s="52" cm="1">
        <f t="array" ref="J10">IFERROR(_xll.FDS(D10,"FG_FCF_YIELD_NTM(0)"),(1/G10*100))</f>
        <v>3.5244816718996899</v>
      </c>
      <c r="K10" s="3" cm="1">
        <f t="array" ref="K10">_xll.FDS(D10,"FMA_EVAL_EBITDA(NTMA,0,,,""PORTAGG"",""MEANR"")")</f>
        <v>16.769941423151199</v>
      </c>
      <c r="L10" cm="1">
        <f t="array" ref="L10">_xll.FDS(D10,"FMA_EVAL_EBIT(LTMA,NOW,NOW,M,""PORTAGG"",""MEANR"")")</f>
        <v>24.779035795729499</v>
      </c>
      <c r="M10">
        <f>HLOOKUP(D10,'Index ROE'!$A$1:$N$25,25,FALSE)</f>
        <v>26.0524047586362</v>
      </c>
      <c r="N10">
        <f>VLOOKUP(A10,'LIQIDITY 2'!$A$3:$E$16,5,FALSE)</f>
        <v>0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0.83581193594364001</v>
      </c>
      <c r="R10" s="52">
        <f t="shared" si="1"/>
        <v>3.5244816718996899</v>
      </c>
      <c r="S10">
        <f t="shared" si="2"/>
        <v>26.0524047586362</v>
      </c>
      <c r="T10">
        <f t="shared" si="3"/>
        <v>22.853514758636202</v>
      </c>
      <c r="U10" cm="1">
        <f t="array" ref="U10">_xlfn.PERCENTRANK.EXC(_xlfn._xlws.FILTER(Q$3:Q$15, ISNUMBER(Q$3:Q$15)),Q10)*100</f>
        <v>21.4</v>
      </c>
      <c r="V10" cm="1">
        <f t="array" ref="V10">_xlfn.PERCENTRANK.EXC(_xlfn._xlws.FILTER(R$3:R$15, ISNUMBER(R$3:R$15)),R10)*100</f>
        <v>28.499999999999996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32.130000000000003</v>
      </c>
      <c r="AC10" cm="1">
        <f t="array" ref="AC10">_xlfn.PERCENTRANK.EXC(_xlfn._xlws.FILTER(AB$3:AB$15, ISNUMBER(AB$3:AB$15)),AB10)*100</f>
        <v>21.4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26.840756661354401</v>
      </c>
      <c r="H11" s="4" cm="1">
        <f t="array" ref="H11">_xll.FDS(D11,"FMA_PE(NTMA,0,,,""PORTAGG"",""MEANR"")")</f>
        <v>21.484239366615899</v>
      </c>
      <c r="I11" cm="1">
        <f t="array" ref="I11">_xll.FDS(D11,"FMA_DIV_YLD(NTMA,NOW,NOW,M,""PORTAGG"",""MEANR"")")</f>
        <v>1.37400168509486</v>
      </c>
      <c r="J11" s="52" cm="1">
        <f t="array" ref="J11">IFERROR(_xll.FDS(D11,"FG_FCF_YIELD_NTM(0)"),(1/G11*100))</f>
        <v>3.9715020113803501</v>
      </c>
      <c r="K11" s="3" cm="1">
        <f t="array" ref="K11">_xll.FDS(D11,"FMA_EVAL_EBITDA(NTMA,0,,,""PORTAGG"",""MEANR"")")</f>
        <v>14.7944248739428</v>
      </c>
      <c r="L11" cm="1">
        <f t="array" ref="L11">_xll.FDS(D11,"FMA_EVAL_EBIT(LTMA,NOW,NOW,M,""PORTAGG"",""MEANR"")")</f>
        <v>21.049866077637301</v>
      </c>
      <c r="M11">
        <f>HLOOKUP(D11,'Index ROE'!$A$1:$N$25,25,FALSE)</f>
        <v>20.3440340816855</v>
      </c>
      <c r="N11">
        <f>VLOOKUP(A11,'LIQIDITY 2'!$A$3:$E$16,5,FALSE)</f>
        <v>0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1.37400168509486</v>
      </c>
      <c r="R11" s="52">
        <f t="shared" si="1"/>
        <v>3.9715020113803501</v>
      </c>
      <c r="S11">
        <f t="shared" si="2"/>
        <v>20.3440340816855</v>
      </c>
      <c r="T11">
        <f t="shared" si="3"/>
        <v>17.145144081685501</v>
      </c>
      <c r="U11" cm="1">
        <f t="array" ref="U11">_xlfn.PERCENTRANK.EXC(_xlfn._xlws.FILTER(Q$3:Q$15, ISNUMBER(Q$3:Q$15)),Q11)*100</f>
        <v>28.499999999999996</v>
      </c>
      <c r="V11" cm="1">
        <f t="array" ref="V11">_xlfn.PERCENTRANK.EXC(_xlfn._xlws.FILTER(R$3:R$15, ISNUMBER(R$3:R$15)),R11)*100</f>
        <v>35.699999999999996</v>
      </c>
      <c r="W11" cm="1">
        <f t="array" ref="W11">_xlfn.PERCENTRANK.EXC(_xlfn._xlws.FILTER(S$3:S$15, ISNUMBER(S$3:S$15)),S11)*100</f>
        <v>85.7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37.519999999999996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16.963122157837098</v>
      </c>
      <c r="H12" s="4" cm="1">
        <f t="array" ref="H12">_xll.FDS(D12,"FMA_PE(NTMA,0,,,""PORTAGG"",""MEANR"")")</f>
        <v>13.781186418203299</v>
      </c>
      <c r="I12" cm="1">
        <f t="array" ref="I12">_xll.FDS(D12,"FMA_DIV_YLD(NTMA,NOW,NOW,M,""PORTAGG"",""MEANR"")")</f>
        <v>3.3458174438737398</v>
      </c>
      <c r="J12" s="52" cm="1">
        <f t="array" ref="J12">IFERROR(_xll.FDS(D12,"FG_FCF_YIELD_NTM(0)"),(1/G12*100))</f>
        <v>5.8688522914458803</v>
      </c>
      <c r="K12" s="3" cm="1">
        <f t="array" ref="K12">_xll.FDS(D12,"FMA_EVAL_EBITDA(NTMA,0,,,""PORTAGG"",""MEANR"")")</f>
        <v>9.1842386047381197</v>
      </c>
      <c r="L12" cm="1">
        <f t="array" ref="L12">_xll.FDS(D12,"FMA_EVAL_EBIT(LTMA,NOW,NOW,M,""PORTAGG"",""MEANR"")")</f>
        <v>13.353623075915699</v>
      </c>
      <c r="M12">
        <f>HLOOKUP(D12,'Index ROE'!$A$1:$N$25,25,FALSE)</f>
        <v>13.2312741384504</v>
      </c>
      <c r="N12">
        <f>VLOOKUP(A12,'LIQIDITY 2'!$A$3:$E$16,5,FALSE)</f>
        <v>0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3.3458174438737398</v>
      </c>
      <c r="R12" s="52">
        <f t="shared" ref="R12:R15" si="5">J12-N12</f>
        <v>5.8688522914458803</v>
      </c>
      <c r="S12">
        <f t="shared" ref="S12:S15" si="6">M12-N12</f>
        <v>13.2312741384504</v>
      </c>
      <c r="T12">
        <f t="shared" ref="T12:T15" si="7">M12-O12</f>
        <v>11.0219059384504</v>
      </c>
      <c r="U12" cm="1">
        <f t="array" ref="U12">_xlfn.PERCENTRANK.EXC(_xlfn._xlws.FILTER(Q$3:Q$15, ISNUMBER(Q$3:Q$15)),Q12)*100</f>
        <v>78.5</v>
      </c>
      <c r="V12" cm="1">
        <f t="array" ref="V12">_xlfn.PERCENTRANK.EXC(_xlfn._xlws.FILTER(R$3:R$15, ISNUMBER(R$3:R$15)),R12)*100</f>
        <v>85.7</v>
      </c>
      <c r="W12" cm="1">
        <f t="array" ref="W12">_xlfn.PERCENTRANK.EXC(_xlfn._xlws.FILTER(S$3:S$15, ISNUMBER(S$3:S$15)),S12)*100</f>
        <v>50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69.3</v>
      </c>
      <c r="AC12" cm="1">
        <f t="array" ref="AC12">_xlfn.PERCENTRANK.EXC(_xlfn._xlws.FILTER(AB$3:AB$15, ISNUMBER(AB$3:AB$15)),AB12)*100</f>
        <v>78.5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21.502092893308799</v>
      </c>
      <c r="H13" s="4" cm="1">
        <f t="array" ref="H13">_xll.FDS(D13,"FMA_PE(NTMA,0,,,""PORTAGG"",""MEANR"")")</f>
        <v>14.899619844645301</v>
      </c>
      <c r="I13" cm="1">
        <f t="array" ref="I13">_xll.FDS(D13,"FMA_DIV_YLD(NTMA,NOW,NOW,M,""PORTAGG"",""MEANR"")")</f>
        <v>2.5645647098750599</v>
      </c>
      <c r="J13" s="52" cm="1">
        <f t="array" ref="J13">IFERROR(_xll.FDS(D13,"FG_FCF_YIELD_NTM(0)"),(1/G13*100))</f>
        <v>4.1336505017906102</v>
      </c>
      <c r="K13" s="3" cm="1">
        <f t="array" ref="K13">_xll.FDS(D13,"FMA_EVAL_EBITDA(NTMA,0,,,""PORTAGG"",""MEANR"")")</f>
        <v>11.878656754124201</v>
      </c>
      <c r="L13" cm="1">
        <f t="array" ref="L13">_xll.FDS(D13,"FMA_EVAL_EBIT(LTMA,NOW,NOW,M,""PORTAGG"",""MEANR"")")</f>
        <v>21.3452483802701</v>
      </c>
      <c r="M13">
        <f>HLOOKUP(D13,'Index ROE'!$A$1:$N$25,25,FALSE)</f>
        <v>12.750726724682799</v>
      </c>
      <c r="N13">
        <f>VLOOKUP(A13,'LIQIDITY 2'!$A$3:$E$16,5,FALSE)</f>
        <v>0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2.5645647098750599</v>
      </c>
      <c r="R13" s="52">
        <f t="shared" si="5"/>
        <v>4.1336505017906102</v>
      </c>
      <c r="S13">
        <f t="shared" si="6"/>
        <v>12.750726724682799</v>
      </c>
      <c r="T13">
        <f t="shared" si="7"/>
        <v>9.8626097246827999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42.8</v>
      </c>
      <c r="W13" cm="1">
        <f t="array" ref="W13">_xlfn.PERCENTRANK.EXC(_xlfn._xlws.FILTER(S$3:S$15, ISNUMBER(S$3:S$15)),S13)*100</f>
        <v>35.699999999999996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57.2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43.230000000000004</v>
      </c>
      <c r="AC13" cm="1">
        <f t="array" ref="AC13">_xlfn.PERCENTRANK.EXC(_xlfn._xlws.FILTER(AB$3:AB$15, ISNUMBER(AB$3:AB$15)),AB13)*100</f>
        <v>42.8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15.1792608202104</v>
      </c>
      <c r="H14" s="4" cm="1">
        <f t="array" ref="H14">_xll.FDS(D14,"FMA_PE(NTMA,0,,,""PORTAGG"",""MEANR"")")</f>
        <v>16.357298859789399</v>
      </c>
      <c r="I14" cm="1">
        <f t="array" ref="I14">_xll.FDS(D14,"FMA_DIV_YLD(NTMA,NOW,NOW,M,""PORTAGG"",""MEANR"")")</f>
        <v>3.2049431047209702</v>
      </c>
      <c r="J14" s="52" cm="1">
        <f t="array" ref="J14">IFERROR(_xll.FDS(D14,"FG_FCF_YIELD_NTM(0)"),(1/G14*100))</f>
        <v>4.9731426707199997</v>
      </c>
      <c r="K14" s="3" cm="1">
        <f t="array" ref="K14">_xll.FDS(D14,"FMA_EVAL_EBITDA(NTMA,0,,,""PORTAGG"",""MEANR"")")</f>
        <v>11.111095389198599</v>
      </c>
      <c r="L14" cm="1">
        <f t="array" ref="L14">_xll.FDS(D14,"FMA_EVAL_EBIT(LTMA,NOW,NOW,M,""PORTAGG"",""MEANR"")")</f>
        <v>16.379405874126199</v>
      </c>
      <c r="M14">
        <f>HLOOKUP(D14,'Index ROE'!$A$1:$N$25,25,FALSE)</f>
        <v>15.368050598586001</v>
      </c>
      <c r="N14">
        <f>VLOOKUP(A14,'LIQIDITY 2'!$A$3:$E$16,5,FALSE)</f>
        <v>0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3.2049431047209702</v>
      </c>
      <c r="R14" s="52">
        <f t="shared" si="5"/>
        <v>4.9731426707199997</v>
      </c>
      <c r="S14">
        <f t="shared" si="6"/>
        <v>15.368050598586001</v>
      </c>
      <c r="T14">
        <f t="shared" si="7"/>
        <v>11.975900598586001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63.195000000000007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11.405812272152</v>
      </c>
      <c r="H15" s="4" cm="1">
        <f t="array" ref="H15">_xll.FDS(D15,"FMA_PE(NTMA,0,,,""PORTAGG"",""MEANR"")")</f>
        <v>9.9330888455353197</v>
      </c>
      <c r="I15" cm="1">
        <f t="array" ref="I15">_xll.FDS(D15,"FMA_DIV_YLD(NTMA,NOW,NOW,M,""PORTAGG"",""MEANR"")")</f>
        <v>5.2757532177159199</v>
      </c>
      <c r="J15" s="52" cm="1">
        <f t="array" ref="J15">IFERROR(_xll.FDS(D15,"FG_FCF_YIELD_NTM(0)"),(1/G15*100))</f>
        <v>5.4246557973085903</v>
      </c>
      <c r="K15" s="3" cm="1">
        <f t="array" ref="K15">_xll.FDS(D15,"FMA_EVAL_EBITDA(NTMA,0,,,""PORTAGG"",""MEANR"")")</f>
        <v>7.4646953047645903</v>
      </c>
      <c r="L15" cm="1">
        <f t="array" ref="L15">_xll.FDS(D15,"FMA_EVAL_EBIT(LTMA,NOW,NOW,M,""PORTAGG"",""MEANR"")")</f>
        <v>11.484240205091901</v>
      </c>
      <c r="M15">
        <f>HLOOKUP(D15,'Index ROE'!$A$1:$N$25,25,FALSE)</f>
        <v>13.3572149047324</v>
      </c>
      <c r="N15">
        <f>VLOOKUP(A15,'LIQIDITY 2'!$A$3:$E$16,5,FALSE)</f>
        <v>0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5.2757532177159199</v>
      </c>
      <c r="R15" s="52">
        <f t="shared" si="5"/>
        <v>5.4246557973085903</v>
      </c>
      <c r="S15">
        <f t="shared" si="6"/>
        <v>13.3572149047324</v>
      </c>
      <c r="T15">
        <f t="shared" si="7"/>
        <v>12.548741434732399</v>
      </c>
      <c r="U15" cm="1">
        <f t="array" ref="U15">_xlfn.PERCENTRANK.EXC(_xlfn._xlws.FILTER(Q$3:Q$15, ISNUMBER(Q$3:Q$15)),Q15)*100</f>
        <v>92.800000000000011</v>
      </c>
      <c r="V15" cm="1">
        <f t="array" ref="V15">_xlfn.PERCENTRANK.EXC(_xlfn._xlws.FILTER(R$3:R$15, ISNUMBER(R$3:R$15)),R15)*100</f>
        <v>71.399999999999991</v>
      </c>
      <c r="W15" cm="1">
        <f t="array" ref="W15">_xlfn.PERCENTRANK.EXC(_xlfn._xlws.FILTER(S$3:S$15, ISNUMBER(S$3:S$15)),S15)*100</f>
        <v>57.099999999999994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81.789999999999992</v>
      </c>
      <c r="AC15" cm="1">
        <f t="array" ref="AC15">_xlfn.PERCENTRANK.EXC(_xlfn._xlws.FILTER(AB$3:AB$15, ISNUMBER(AB$3:AB$15)),AB15)*100</f>
        <v>85.7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15.5268195870201</v>
      </c>
      <c r="H19" s="4" cm="1">
        <f t="array" ref="H19">_xll.FDS(D19,"FG_PE_NTM(0,,,90,0)")</f>
        <v>13.3765193620641</v>
      </c>
      <c r="I19" cm="1">
        <f t="array" ref="I19">_xll.FDS(D19,"FMA_DIV_YLD(NTMA,NOW,NOW,M,""PORTAGG"",""MEANR"")")</f>
        <v>3.4757708374086</v>
      </c>
      <c r="J19" s="52" cm="1">
        <f t="array" ref="J19">_xll.FDS(D19,"FG_FCF_YIELD_NTM(0)")</f>
        <v>5.2832389440043901</v>
      </c>
      <c r="K19" s="3" cm="1">
        <f t="array" ref="K19">_xll.FDS(D19,"FMA_EVAL_EBITDA(NTMA,0,,,""PORTAGG"",""MEANR"")")</f>
        <v>9.0579320222978197</v>
      </c>
      <c r="L19" cm="1">
        <f t="array" ref="L19">_xll.FDS(D19,"FMA_EVAL_EBIT(LTMA,NOW,NOW,M,""PORTAGG"",""MEANR"")")</f>
        <v>13.534157896406001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45504</v>
      </c>
      <c r="G20" s="4" cm="1">
        <f t="array" ref="G20">_xll.FDS(D20,"FG_PE(0)")</f>
        <v>15.268379909577201</v>
      </c>
      <c r="H20" s="4" cm="1">
        <f t="array" ref="H20">_xll.FDS(D20,"FG_PE_NTM(0,,,90,0)")</f>
        <v>12.874052173140999</v>
      </c>
      <c r="I20" cm="1">
        <f t="array" ref="I20">_xll.FDS(D20,"FMA_DIV_YLD(NTMA,NOW,NOW,M,""PORTAGG"",""MEANR"")")</f>
        <v>2.9440704826815201</v>
      </c>
      <c r="J20" s="52" cm="1">
        <f t="array" ref="J20">_xll.FDS(D20,"FG_FCF_YIELD_NTM(0)")</f>
        <v>5.4617978606190798</v>
      </c>
      <c r="K20" s="3" cm="1">
        <f t="array" ref="K20">_xll.FDS(D20,"FMA_EVAL_EBITDA(NTMA,0,,,""PORTAGG"",""MEANR"")")</f>
        <v>9.0003061174005108</v>
      </c>
      <c r="L20" cm="1">
        <f t="array" ref="L20">_xll.FDS(D20,"FMA_EVAL_EBIT(LTMA,NOW,NOW,M,""PORTAGG"",""MEANR"")")</f>
        <v>14.541211435449201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4.2370000000000001</v>
      </c>
      <c r="G3" s="26" cm="1">
        <f t="array" ref="G3">_xll.FDSB(C3,"PCTCHG(FG_YIELD(0,,,,""YTM""),FG_YIELD(-1AM,,,,""YTM""))")</f>
        <v>0.39094883000000002</v>
      </c>
      <c r="H3" s="26" cm="1">
        <f t="array" ref="H3">_xll.FDSB(C3,"PCTCHG(FG_YIELD(0,,,,""YTM""),FG_YIELD(-3AM,,,,""YTM""))")</f>
        <v>-9.2447429999999997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1.0129999999999999</v>
      </c>
      <c r="S3">
        <f t="shared" ref="S3:S15" si="1">IF(M3&gt; 0, 0, 1)</f>
        <v>1</v>
      </c>
      <c r="T3">
        <f t="shared" ref="T3:T15" si="2">IF(G3&lt;0, 1, 0)</f>
        <v>0</v>
      </c>
      <c r="U3">
        <f t="shared" ref="U3:U15" si="3">IF(H3&lt;0, 1, 0)</f>
        <v>1</v>
      </c>
      <c r="V3" s="47">
        <f t="shared" ref="V3:V15" si="4">SUMPRODUCT($S$1:$U$1,S3:U3)</f>
        <v>0.75</v>
      </c>
      <c r="X3">
        <f>_xlfn.PERCENTRANK.EXC($V$3:$V$15,V3)*100</f>
        <v>92.800000000000011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3.9609999999999999</v>
      </c>
      <c r="G4" s="26" cm="1">
        <f t="array" ref="G4">_xll.FDSB(C4,"PCTCHG(FG_YIELD(0,,,,""YTM""),FG_YIELD(-1AM,,,,""YTM""))")</f>
        <v>1.3302647000000001</v>
      </c>
      <c r="H4" s="26" cm="1">
        <f t="array" ref="H4">_xll.FDSB(C4,"PCTCHG(FG_YIELD(0,,,,""YTM""),FG_YIELD(-3AM,,,,""YTM""))")</f>
        <v>-10.181403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0.38899999999999979</v>
      </c>
      <c r="S4">
        <f t="shared" si="1"/>
        <v>0</v>
      </c>
      <c r="T4">
        <f t="shared" si="2"/>
        <v>0</v>
      </c>
      <c r="U4">
        <f t="shared" si="3"/>
        <v>1</v>
      </c>
      <c r="V4" s="47">
        <f t="shared" si="4"/>
        <v>0.25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4.25</v>
      </c>
      <c r="S5">
        <f t="shared" si="1"/>
        <v>1</v>
      </c>
      <c r="T5">
        <f t="shared" si="2"/>
        <v>0</v>
      </c>
      <c r="U5">
        <f t="shared" si="3"/>
        <v>0</v>
      </c>
      <c r="V5" s="47">
        <f t="shared" si="4"/>
        <v>0.5</v>
      </c>
      <c r="X5">
        <f t="shared" si="6"/>
        <v>14.2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0</v>
      </c>
      <c r="G6" s="26" t="str" cm="1">
        <f t="array" ref="G6">_xll.FDSB(C6,"PCTCHG(FG_YIELD(0,,,,""YTM""),FG_YIELD(-1AM,,,,""YTM""))")</f>
        <v/>
      </c>
      <c r="H6" s="26" t="str" cm="1">
        <f t="array" ref="H6">_xll.FDSB(C6,"PCTCHG(FG_YIELD(0,,,,""YTM""),FG_YIELD(-3AM,,,,""YTM""))")</f>
        <v/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3.65</v>
      </c>
      <c r="M6" s="36" cm="1">
        <f t="array" ref="M6">_xll.FDSB(J6,"(SUBARRAY(NOT_NA(NO_REPEAT_F(FG_YIELD(now,-10AY,D))),0,1)-SUBARRAY(NOT_NA(NO_REPEAT_F(FG_YIELD(now,-10AY,D))),1,1))*100")</f>
        <v>-60</v>
      </c>
      <c r="N6" s="38">
        <f t="shared" si="0"/>
        <v>60</v>
      </c>
      <c r="O6" s="26">
        <f t="shared" si="5"/>
        <v>3.65</v>
      </c>
      <c r="S6">
        <f t="shared" si="1"/>
        <v>1</v>
      </c>
      <c r="T6">
        <f t="shared" si="2"/>
        <v>0</v>
      </c>
      <c r="U6">
        <f t="shared" si="3"/>
        <v>0</v>
      </c>
      <c r="V6" s="47">
        <f t="shared" si="4"/>
        <v>0.5</v>
      </c>
      <c r="X6">
        <f t="shared" si="6"/>
        <v>14.2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0.80200000000000005</v>
      </c>
      <c r="G7" s="26" cm="1">
        <f t="array" ref="G7">_xll.FDSB(C7,"PCTCHG(FG_YIELD(0,,,,""YTM""),FG_YIELD(-1AM,,,,""YTM""))")</f>
        <v>-9.5216609999999999</v>
      </c>
      <c r="H7" s="26" cm="1">
        <f t="array" ref="H7">_xll.FDSB(C7,"PCTCHG(FG_YIELD(0,,,,""YTM""),FG_YIELD(-3AM,,,,""YTM""))")</f>
        <v>-24.595708999999999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-0.55200000000000005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14.2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1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14.2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0</v>
      </c>
      <c r="G9" s="26" t="str" cm="1">
        <f t="array" ref="G9">_xll.FDSB(C9,"PCTCHG(FG_YIELD(0,,,,""YTM""),FG_YIELD(-1AM,,,,""YTM""))")</f>
        <v/>
      </c>
      <c r="H9" s="26" t="str" cm="1">
        <f t="array" ref="H9">_xll.FDSB(C9,"PCTCHG(FG_YIELD(0,,,,""YTM""),FG_YIELD(-3AM,,,,""YTM""))")</f>
        <v/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5</v>
      </c>
      <c r="S9">
        <f t="shared" si="1"/>
        <v>1</v>
      </c>
      <c r="T9">
        <f t="shared" si="2"/>
        <v>0</v>
      </c>
      <c r="U9">
        <f t="shared" si="3"/>
        <v>0</v>
      </c>
      <c r="V9" s="47">
        <f t="shared" si="4"/>
        <v>0.5</v>
      </c>
      <c r="X9">
        <f t="shared" si="6"/>
        <v>14.2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0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</v>
      </c>
      <c r="M10" s="36" cm="1">
        <f t="array" ref="M10">_xll.FDSB(J10,"(SUBARRAY(NOT_NA(NO_REPEAT_F(FG_YIELD(now,-10AY,D))),0,1)-SUBARRAY(NOT_NA(NO_REPEAT_F(FG_YIELD(now,-10AY,D))),1,1))*100")</f>
        <v>-50</v>
      </c>
      <c r="N10" s="38">
        <f t="shared" si="0"/>
        <v>50</v>
      </c>
      <c r="O10" s="26">
        <f t="shared" si="5"/>
        <v>5</v>
      </c>
      <c r="S10">
        <f t="shared" si="1"/>
        <v>1</v>
      </c>
      <c r="T10">
        <f t="shared" si="2"/>
        <v>0</v>
      </c>
      <c r="U10">
        <f t="shared" si="3"/>
        <v>0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</v>
      </c>
      <c r="M11" s="36" cm="1">
        <f t="array" ref="M11">_xll.FDSB(J11,"(SUBARRAY(NOT_NA(NO_REPEAT_F(FG_YIELD(now,-10AY,D))),0,1)-SUBARRAY(NOT_NA(NO_REPEAT_F(FG_YIELD(now,-10AY,D))),1,1))*100")</f>
        <v>-50</v>
      </c>
      <c r="N11" s="38">
        <f t="shared" si="0"/>
        <v>50</v>
      </c>
      <c r="O11" s="26">
        <f t="shared" si="5"/>
        <v>5</v>
      </c>
      <c r="S11">
        <f t="shared" si="1"/>
        <v>1</v>
      </c>
      <c r="T11">
        <f t="shared" si="2"/>
        <v>0</v>
      </c>
      <c r="U11">
        <f t="shared" si="3"/>
        <v>0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0</v>
      </c>
      <c r="G12" s="26" t="str" cm="1">
        <f t="array" ref="G12">_xll.FDSB(C12,"PCTCHG(FG_YIELD(0,,,,""YTM""),FG_YIELD(-1AM,,,,""YTM""))")</f>
        <v/>
      </c>
      <c r="H12" s="26" t="str" cm="1">
        <f t="array" ref="H12">_xll.FDSB(C12,"PCTCHG(FG_YIELD(0,,,,""YTM""),FG_YIELD(-3AM,,,,""YTM""))")</f>
        <v/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3.65</v>
      </c>
      <c r="M12" s="36" cm="1">
        <f t="array" ref="M12">_xll.FDSB(J12,"(SUBARRAY(NOT_NA(NO_REPEAT_F(FG_YIELD(now,-10AY,D))),0,1)-SUBARRAY(NOT_NA(NO_REPEAT_F(FG_YIELD(now,-10AY,D))),1,1))*100")</f>
        <v>-60</v>
      </c>
      <c r="N12" s="38">
        <f t="shared" si="0"/>
        <v>60</v>
      </c>
      <c r="O12" s="26">
        <f t="shared" si="5"/>
        <v>3.65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14.2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0</v>
      </c>
      <c r="G13" s="26" t="str" cm="1">
        <f t="array" ref="G13">_xll.FDSB(C13,"PCTCHG(FG_YIELD(0,,,,""YTM""),FG_YIELD(-1AM,,,,""YTM""))")</f>
        <v/>
      </c>
      <c r="H13" s="26" t="str" cm="1">
        <f t="array" ref="H13">_xll.FDSB(C13,"PCTCHG(FG_YIELD(0,,,,""YTM""),FG_YIELD(-3AM,,,,""YTM""))")</f>
        <v/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3.65</v>
      </c>
      <c r="M13" s="36" cm="1">
        <f t="array" ref="M13">_xll.FDSB(J13,"(SUBARRAY(NOT_NA(NO_REPEAT_F(FG_YIELD(now,-10AY,D))),0,1)-SUBARRAY(NOT_NA(NO_REPEAT_F(FG_YIELD(now,-10AY,D))),1,1))*100")</f>
        <v>-60</v>
      </c>
      <c r="N13" s="38">
        <f t="shared" si="0"/>
        <v>60</v>
      </c>
      <c r="O13" s="26">
        <f t="shared" si="5"/>
        <v>3.65</v>
      </c>
      <c r="S13">
        <f t="shared" si="1"/>
        <v>1</v>
      </c>
      <c r="T13">
        <f t="shared" si="2"/>
        <v>0</v>
      </c>
      <c r="U13">
        <f t="shared" si="3"/>
        <v>0</v>
      </c>
      <c r="V13" s="47">
        <f t="shared" si="4"/>
        <v>0.5</v>
      </c>
      <c r="X13">
        <f t="shared" si="6"/>
        <v>14.2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0</v>
      </c>
      <c r="G14" s="26" t="str" cm="1">
        <f t="array" ref="G14">_xll.FDSB(C14,"PCTCHG(FG_YIELD(0,,,,""YTM""),FG_YIELD(-1AM,,,,""YTM""))")</f>
        <v/>
      </c>
      <c r="H14" s="26" t="str" cm="1">
        <f t="array" ref="H14">_xll.FDSB(C14,"PCTCHG(FG_YIELD(0,,,,""YTM""),FG_YIELD(-3AM,,,,""YTM""))")</f>
        <v/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3.5</v>
      </c>
      <c r="S14">
        <f t="shared" si="1"/>
        <v>1</v>
      </c>
      <c r="T14">
        <f t="shared" si="2"/>
        <v>0</v>
      </c>
      <c r="U14">
        <f t="shared" si="3"/>
        <v>0</v>
      </c>
      <c r="V14" s="47">
        <f t="shared" si="4"/>
        <v>0.5</v>
      </c>
      <c r="X14">
        <f t="shared" si="6"/>
        <v>14.2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0</v>
      </c>
      <c r="G15" s="26" t="str" cm="1">
        <f t="array" ref="G15">_xll.FDSB(C15,"PCTCHG(FG_YIELD(0,,,,""YTM""),FG_YIELD(-1AM,,,,""YTM""))")</f>
        <v/>
      </c>
      <c r="H15" s="26" t="str" cm="1">
        <f t="array" ref="H15">_xll.FDSB(C15,"PCTCHG(FG_YIELD(0,,,,""YTM""),FG_YIELD(-3AM,,,,""YTM""))")</f>
        <v/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O15" s="26">
        <f t="shared" si="5"/>
        <v>3.65</v>
      </c>
      <c r="S15">
        <f t="shared" si="1"/>
        <v>1</v>
      </c>
      <c r="T15">
        <f t="shared" si="2"/>
        <v>0</v>
      </c>
      <c r="U15">
        <f t="shared" si="3"/>
        <v>0</v>
      </c>
      <c r="V15" s="47">
        <f t="shared" si="4"/>
        <v>0.5</v>
      </c>
      <c r="X15">
        <f t="shared" si="6"/>
        <v>14.2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0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4.2370000000000001</v>
      </c>
      <c r="H2" cm="1">
        <f t="array" ref="H2">_xll.FDS(B2,"FG_ROE(0)")</f>
        <v>3.42797925259989</v>
      </c>
      <c r="I2">
        <f>HLOOKUP(B2,'Index ROE'!$B$1:$N$25,24,FALSE)</f>
        <v>9.8238973987983247</v>
      </c>
      <c r="J2" cm="1">
        <f t="array" ref="J2">_xll.FDS(B2, "FMA_RBICS_REV_CURRENT(30, LOC, ""PORTAGG"")")</f>
        <v>14.636334616221401</v>
      </c>
      <c r="K2" s="74">
        <f>HLOOKUP(B2,'Index earnings'!$B$1:$N$25,25,FALSE)</f>
        <v>-9.3828148339384354E-3</v>
      </c>
      <c r="L2">
        <f>HLOOKUP(A2,'Yearly returns'!$B$1:$N$128,126,FALSE)</f>
        <v>-31.768215000000001</v>
      </c>
      <c r="M2">
        <f t="shared" ref="M2:M10" si="0">I2-G2</f>
        <v>5.5868973987983246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3.9609999999999999</v>
      </c>
      <c r="H3" cm="1">
        <f t="array" ref="H3">_xll.FDS(B3,"FG_ROE(0)")</f>
        <v>13.0938681579042</v>
      </c>
      <c r="I3">
        <f>HLOOKUP(B3,'Index ROE'!$B$1:$N$25,24,FALSE)</f>
        <v>13.020733299173699</v>
      </c>
      <c r="J3" cm="1">
        <f t="array" ref="J3">_xll.FDS(B3, "FMA_RBICS_REV_CURRENT(30, LOC, ""PORTAGG"")")</f>
        <v>43.494012002379797</v>
      </c>
      <c r="K3" s="74">
        <f>HLOOKUP(B3,'Index earnings'!$B$1:$N$25,25,FALSE)</f>
        <v>1.1174820218081027E-2</v>
      </c>
      <c r="L3">
        <f>HLOOKUP(A3,'Yearly returns'!$B$1:$N$128,126,FALSE)</f>
        <v>-28.844785999999999</v>
      </c>
      <c r="M3">
        <f t="shared" si="0"/>
        <v>9.0597332991736987</v>
      </c>
      <c r="N3" cm="1">
        <f t="array" ref="N3">_xlfn.PERCENTRANK.EXC(_xlfn._xlws.FILTER(M$2:M$14, ISNUMBER(M$2:M$14)),M3)*100</f>
        <v>21.4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57.099999999999994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0</v>
      </c>
      <c r="H4" cm="1">
        <f t="array" ref="H4">_xll.FDS(B4,"FG_ROE(0)")</f>
        <v>10.7750928444931</v>
      </c>
      <c r="I4">
        <f>HLOOKUP(B4,'Index ROE'!$B$1:$N$25,24,FALSE)</f>
        <v>12.7516875895064</v>
      </c>
      <c r="J4" cm="1">
        <f t="array" ref="J4">_xll.FDS(B4, "FMA_RBICS_REV_CURRENT(30, LOC, ""PORTAGG"")")</f>
        <v>40.919776568347302</v>
      </c>
      <c r="K4" s="74">
        <f>HLOOKUP(B4,'Index earnings'!$B$1:$N$25,25,FALSE)</f>
        <v>4.091721115481306E-2</v>
      </c>
      <c r="L4">
        <f>HLOOKUP(A4,'Yearly returns'!$B$1:$N$128,126,FALSE)</f>
        <v>-25.237148000000001</v>
      </c>
      <c r="M4">
        <f t="shared" si="0"/>
        <v>12.7516875895064</v>
      </c>
      <c r="N4" cm="1">
        <f t="array" ref="N4">_xlfn.PERCENTRANK.EXC(_xlfn._xlws.FILTER(M$2:M$14, ISNUMBER(M$2:M$14)),M4)*100</f>
        <v>50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78.5</v>
      </c>
      <c r="R4">
        <f>N4*Assumption!$F$64 + O4*Assumption!$F$61 + P4*Assumption!$F$62 + Q4*Assumption!$F$63</f>
        <v>53.55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0</v>
      </c>
      <c r="H5" cm="1">
        <f t="array" ref="H5">_xll.FDS(B5,"FG_ROE(0)")</f>
        <v>10.8287884922483</v>
      </c>
      <c r="I5">
        <f>HLOOKUP(B5,'Index ROE'!$B$1:$N$25,24,FALSE)</f>
        <v>11.983677793053701</v>
      </c>
      <c r="J5" cm="1">
        <f t="array" ref="J5">_xll.FDS(B5, "FMA_RBICS_REV_CURRENT(30, LOC, ""PORTAGG"")")</f>
        <v>23.4666496440462</v>
      </c>
      <c r="K5" s="74">
        <f>HLOOKUP(B5,'Index earnings'!$B$1:$N$25,25,FALSE)</f>
        <v>2.8283515901657452E-2</v>
      </c>
      <c r="L5">
        <f>HLOOKUP(A5,'Yearly returns'!$B$1:$N$128,126,FALSE)</f>
        <v>-40.305500000000002</v>
      </c>
      <c r="M5">
        <f t="shared" si="0"/>
        <v>11.983677793053701</v>
      </c>
      <c r="N5" cm="1">
        <f t="array" ref="N5">_xlfn.PERCENTRANK.EXC(_xlfn._xlws.FILTER(M$2:M$14, ISNUMBER(M$2:M$14)),M5)*100</f>
        <v>42.8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37.475000000000001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0.80200000000000005</v>
      </c>
      <c r="H6" cm="1">
        <f t="array" ref="H6">_xll.FDS(B6,"FG_ROE(0)")</f>
        <v>8.7010722269293606</v>
      </c>
      <c r="I6">
        <f>HLOOKUP(B6,'Index ROE'!$B$1:$N$25,24,FALSE)</f>
        <v>8.994618118763011</v>
      </c>
      <c r="J6" cm="1">
        <f t="array" ref="J6">_xll.FDS(B6, "FMA_RBICS_REV_CURRENT(30, LOC, ""PORTAGG"")")</f>
        <v>18.473798674221399</v>
      </c>
      <c r="K6" s="74">
        <f>HLOOKUP(B6,'Index earnings'!$B$1:$N$25,25,FALSE)</f>
        <v>2.4111181364210088E-2</v>
      </c>
      <c r="L6">
        <f>HLOOKUP(A6,'Yearly returns'!$B$1:$N$128,126,FALSE)</f>
        <v>-31.195366</v>
      </c>
      <c r="M6">
        <f t="shared" si="0"/>
        <v>8.1926181187630114</v>
      </c>
      <c r="N6" cm="1">
        <f t="array" ref="N6">_xlfn.PERCENTRANK.EXC(_xlfn._xlws.FILTER(M$2:M$14, ISNUMBER(M$2:M$14)),M6)*100</f>
        <v>14.2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41.05</v>
      </c>
      <c r="S6" cm="1">
        <f t="array" ref="S6">_xlfn.PERCENTRANK.EXC(_xlfn._xlws.FILTER(R$2:R$14, ISNUMBER(R$2:R$14)),R6)*100</f>
        <v>35.699999999999996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</v>
      </c>
      <c r="H7" cm="1">
        <f t="array" ref="H7">_xll.FDS(B7,"FG_ROE(0)")</f>
        <v>18.692255501212799</v>
      </c>
      <c r="I7">
        <f>HLOOKUP(B7,'Index ROE'!$B$1:$N$25,24,FALSE)</f>
        <v>15.55096443559315</v>
      </c>
      <c r="J7" cm="1">
        <f t="array" ref="J7">_xll.FDS(B7, "FMA_RBICS_REV_CURRENT(30, LOC, ""PORTAGG"")")</f>
        <v>17.528437374512102</v>
      </c>
      <c r="K7" s="74">
        <f>HLOOKUP(B7,'Index earnings'!$B$1:$N$25,25,FALSE)</f>
        <v>4.6616158051884682E-2</v>
      </c>
      <c r="L7">
        <f>HLOOKUP(A7,'Yearly returns'!$B$1:$N$128,126,FALSE)</f>
        <v>-20.982433</v>
      </c>
      <c r="M7">
        <f t="shared" si="0"/>
        <v>15.55096443559315</v>
      </c>
      <c r="N7" cm="1">
        <f t="array" ref="N7">_xlfn.PERCENTRANK.EXC(_xlfn._xlws.FILTER(M$2:M$14, ISNUMBER(M$2:M$14)),M7)*100</f>
        <v>78.5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76.75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0</v>
      </c>
      <c r="H8" cm="1">
        <f t="array" ref="H8">_xll.FDS(B8,"FG_ROE(0)")</f>
        <v>13.846964527699001</v>
      </c>
      <c r="I8">
        <f>HLOOKUP(B8,'Index ROE'!$B$1:$N$25,24,FALSE)</f>
        <v>14.561964916400001</v>
      </c>
      <c r="J8" cm="1">
        <f t="array" ref="J8">_xll.FDS(B8, "FMA_RBICS_REV_CURRENT(30, LOC, ""PORTAGG"")")</f>
        <v>19.2590072352383</v>
      </c>
      <c r="K8" s="74">
        <f>HLOOKUP(B8,'Index earnings'!$B$1:$N$25,25,FALSE)</f>
        <v>3.714974898957335E-3</v>
      </c>
      <c r="L8">
        <f>HLOOKUP(A8,'Yearly returns'!$B$1:$N$128,126,FALSE)</f>
        <v>-26.490122</v>
      </c>
      <c r="M8">
        <f t="shared" si="0"/>
        <v>14.561964916400001</v>
      </c>
      <c r="N8" cm="1">
        <f t="array" ref="N8">_xlfn.PERCENTRANK.EXC(_xlfn._xlws.FILTER(M$2:M$14, ISNUMBER(M$2:M$14)),M8)*100</f>
        <v>71.399999999999991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71.399999999999991</v>
      </c>
      <c r="R8">
        <f>N8*Assumption!$F$64 + O8*Assumption!$F$61 + P8*Assumption!$F$62 + Q8*Assumption!$F$63</f>
        <v>51.75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0</v>
      </c>
      <c r="H9" cm="1">
        <f t="array" ref="H9">_xll.FDS(B9,"FG_ROE(0)")</f>
        <v>22.281403252696201</v>
      </c>
      <c r="I9">
        <f>HLOOKUP(B9,'Index ROE'!$B$1:$N$25,24,FALSE)</f>
        <v>21.036882269896502</v>
      </c>
      <c r="J9" cm="1">
        <f t="array" ref="J9">_xll.FDS(B9, "FMA_RBICS_REV_CURRENT(30, LOC, ""PORTAGG"")")</f>
        <v>0.92389603226094297</v>
      </c>
      <c r="K9" s="74">
        <f>HLOOKUP(B9,'Index earnings'!$B$1:$N$25,25,FALSE)</f>
        <v>0.13099604038839674</v>
      </c>
      <c r="L9">
        <f>HLOOKUP(A9,'Yearly returns'!$B$1:$N$128,126,FALSE)</f>
        <v>-34.193429999999999</v>
      </c>
      <c r="M9">
        <f t="shared" si="0"/>
        <v>21.036882269896502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35.699999999999996</v>
      </c>
      <c r="R9">
        <f>N9*Assumption!$F$64 + O9*Assumption!$F$61 + P9*Assumption!$F$62 + Q9*Assumption!$F$63</f>
        <v>78.55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0</v>
      </c>
      <c r="H10" cm="1">
        <f t="array" ref="H10">_xll.FDS(B10,"FG_ROE(0)")</f>
        <v>18.636529571980098</v>
      </c>
      <c r="I10">
        <f>HLOOKUP(B10,'Index ROE'!$B$1:$N$25,24,FALSE)</f>
        <v>16.391058174766847</v>
      </c>
      <c r="J10" cm="1">
        <f t="array" ref="J10">_xll.FDS(B10, "FMA_RBICS_REV_CURRENT(30, LOC, ""PORTAGG"")")</f>
        <v>12.8044634335906</v>
      </c>
      <c r="K10" s="74">
        <f>HLOOKUP(B10,'Index earnings'!$B$1:$N$25,25,FALSE)</f>
        <v>5.9884631589629977E-2</v>
      </c>
      <c r="L10">
        <f>HLOOKUP(A10,'Yearly returns'!$B$1:$N$128,126,FALSE)</f>
        <v>-18.785357999999999</v>
      </c>
      <c r="M10">
        <f t="shared" si="0"/>
        <v>16.391058174766847</v>
      </c>
      <c r="N10" cm="1">
        <f t="array" ref="N10">_xlfn.PERCENTRANK.EXC(_xlfn._xlws.FILTER(M$2:M$14, ISNUMBER(M$2:M$14)),M10)*100</f>
        <v>85.7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85.7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0</v>
      </c>
      <c r="H11" cm="1">
        <f t="array" ref="H11">_xll.FDS(B11,"FG_ROE(0)")</f>
        <v>12.141125932434999</v>
      </c>
      <c r="I11">
        <f>HLOOKUP(B11,'Index ROE'!$B$1:$N$25,24,FALSE)</f>
        <v>11.16089938202855</v>
      </c>
      <c r="J11" cm="1">
        <f t="array" ref="J11">_xll.FDS(B11, "FMA_RBICS_REV_CURRENT(30, LOC, ""PORTAGG"")")</f>
        <v>11.598844152413299</v>
      </c>
      <c r="K11" s="74">
        <f>HLOOKUP(B11,'Index earnings'!$B$1:$N$25,25,FALSE)</f>
        <v>1.8533351250322294E-2</v>
      </c>
      <c r="L11">
        <f>HLOOKUP(A11,'Yearly returns'!$B$1:$N$128,126,FALSE)</f>
        <v>-27.205753000000001</v>
      </c>
      <c r="M11">
        <f t="shared" ref="M11:M14" si="1">I11-G11</f>
        <v>11.16089938202855</v>
      </c>
      <c r="N11" cm="1">
        <f t="array" ref="N11">_xlfn.PERCENTRANK.EXC(_xlfn._xlws.FILTER(M$2:M$14, ISNUMBER(M$2:M$14)),M11)*100</f>
        <v>35.699999999999996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64.2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0</v>
      </c>
      <c r="H12" cm="1">
        <f t="array" ref="H12">_xll.FDS(B12,"FG_ROE(0)")</f>
        <v>11.012969402525</v>
      </c>
      <c r="I12">
        <f>HLOOKUP(B12,'Index ROE'!$B$1:$N$25,24,FALSE)</f>
        <v>13.04966082823935</v>
      </c>
      <c r="J12" cm="1">
        <f t="array" ref="J12">_xll.FDS(B12, "FMA_RBICS_REV_CURRENT(30, LOC, ""PORTAGG"")")</f>
        <v>25.7118752752456</v>
      </c>
      <c r="K12" s="74">
        <f>HLOOKUP(B12,'Index earnings'!$B$1:$N$25,25,FALSE)</f>
        <v>3.4820198321761975E-2</v>
      </c>
      <c r="L12">
        <f>HLOOKUP(A12,'Yearly returns'!$B$1:$N$128,126,FALSE)</f>
        <v>-39.930070000000001</v>
      </c>
      <c r="M12">
        <f t="shared" si="1"/>
        <v>13.04966082823935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50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0</v>
      </c>
      <c r="H13" cm="1">
        <f t="array" ref="H13">_xll.FDS(B13,"FG_ROE(0)")</f>
        <v>16.993761884563298</v>
      </c>
      <c r="I13">
        <f>HLOOKUP(B13,'Index ROE'!$B$1:$N$25,24,FALSE)</f>
        <v>14.442959457883351</v>
      </c>
      <c r="J13" cm="1">
        <f t="array" ref="J13">_xll.FDS(B13, "FMA_RBICS_REV_CURRENT(30, LOC, ""PORTAGG"")")</f>
        <v>27.3013128847698</v>
      </c>
      <c r="K13" s="74">
        <f>HLOOKUP(B13,'Index earnings'!$B$1:$N$25,25,FALSE)</f>
        <v>2.4305006375947347E-2</v>
      </c>
      <c r="L13">
        <f>HLOOKUP(A13,'Yearly returns'!$B$1:$N$128,126,FALSE)</f>
        <v>-38.869304999999997</v>
      </c>
      <c r="M13">
        <f t="shared" si="1"/>
        <v>14.442959457883351</v>
      </c>
      <c r="N13" cm="1">
        <f t="array" ref="N13">_xlfn.PERCENTRANK.EXC(_xlfn._xlws.FILTER(M$2:M$14, ISNUMBER(M$2:M$14)),M13)*100</f>
        <v>64.2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41.050000000000004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0</v>
      </c>
      <c r="H14" cm="1">
        <f t="array" ref="H14">_xll.FDS(B14,"FG_ROE(0)")</f>
        <v>13.3546503088289</v>
      </c>
      <c r="I14">
        <f>HLOOKUP(B14,'Index ROE'!$B$1:$N$25,24,FALSE)</f>
        <v>9.6445775045501065</v>
      </c>
      <c r="J14" cm="1">
        <f t="array" ref="J14">_xll.FDS(B14, "FMA_RBICS_REV_CURRENT(30, LOC, ""PORTAGG"")")</f>
        <v>38.051183628650897</v>
      </c>
      <c r="K14" s="74">
        <f>HLOOKUP(B14,'Index earnings'!$B$1:$N$25,25,FALSE)</f>
        <v>9.2743946932130061E-3</v>
      </c>
      <c r="L14">
        <f>HLOOKUP(A14,'Yearly returns'!$B$1:$N$128,126,FALSE)</f>
        <v>-34.233890000000002</v>
      </c>
      <c r="M14">
        <f t="shared" si="1"/>
        <v>9.6445775045501065</v>
      </c>
      <c r="N14" cm="1">
        <f t="array" ref="N14">_xlfn.PERCENTRANK.EXC(_xlfn._xlws.FILTER(M$2:M$14, ISNUMBER(M$2:M$14)),M14)*100</f>
        <v>28.499999999999996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28.499999999999996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101051.37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12</v>
      </c>
      <c r="G3" cm="1">
        <f t="array" ref="G3">_xll.FDS(A3,"SIZE(FG_CONSTITUENTS)")</f>
        <v>27</v>
      </c>
      <c r="H3" s="9">
        <f t="shared" ref="H3:H11" si="0">E3/$G3</f>
        <v>0.25925925925925924</v>
      </c>
      <c r="I3" s="9">
        <f t="shared" ref="I3:I11" si="1">F3/$G3</f>
        <v>0.44444444444444442</v>
      </c>
      <c r="J3" s="9">
        <f t="shared" ref="J3:J11" si="2">H3-I3</f>
        <v>-0.18518518518518517</v>
      </c>
      <c r="K3" s="5" cm="1">
        <f t="array" ref="K3">_xll.FDS(A3,"FMA_PCT_ABOVE_MAVG(200,0,,,,""PORTAGG"")")/100</f>
        <v>0.42307692307692302</v>
      </c>
      <c r="L3" s="41" cm="1">
        <f t="array" ref="L3">_xll.FDSB(A3,"PERCENT_CHANGE(FMA_EPS(+1,0,,,,""PORTAGG"",""MEAN""),FMA_EPS(+1,-1AM,,,,""PORTAGG"",""MEAN""))")</f>
        <v>15.2674248103084</v>
      </c>
      <c r="M3" s="41" cm="1">
        <f t="array" ref="M3">_xll.FDSB(A3,"PERCENT_CHANGE(FMA_EPS(+1,0,,,,""PORTAGG"",""MEAN""),FMA_EPS(+1,-3AM,,,,""PORTAGG"",""MEAN""))")</f>
        <v>13.0658949117307</v>
      </c>
      <c r="N3" s="3" cm="1">
        <f t="array" ref="N3">_xll.FDS(C3,"FG_TOTAL_RETURNC(0,-1AM)")</f>
        <v>0.89340209999999998</v>
      </c>
      <c r="O3" s="3" cm="1">
        <f t="array" ref="O3">_xll.FDS(C3,"FG_TOTAL_RETURNC(0,-3AM)")</f>
        <v>9.5695259999999998</v>
      </c>
      <c r="P3" s="3" cm="1">
        <f t="array" ref="P3">_xll.FDS(C3,"FG_TOTAL_RETURNC(0,-6AM)")</f>
        <v>9.8042850000000001</v>
      </c>
      <c r="Q3" s="9" cm="1">
        <f t="array" ref="Q3">_xll.FDS(C3,"P_PRICE(0)/P_PRICE_HIGH_PR(0,,,,,,""PRICE"",""INTRA"",""52W"")")</f>
        <v>0.98571710000000001</v>
      </c>
      <c r="R3" s="9" cm="1">
        <f t="array" ref="R3">_xll.FDS(C3,"P_PRICE(0)/P_PRICE_low_PR(0,,,,,,""PRICE"",""INTRA"",""52W"")-1")</f>
        <v>0.21106206999999999</v>
      </c>
      <c r="S3" s="3" cm="1">
        <f t="array" ref="S3">_xll.FDS(C3,"FG_TOTAL_RETURNC(0,-12AM)")</f>
        <v>15.587365999999999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28.499999999999996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50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28.499999999999996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21.4</v>
      </c>
      <c r="AG3" s="4">
        <f ca="1">'Economic Momentum'!R4</f>
        <v>14.2</v>
      </c>
      <c r="AH3" s="4">
        <f t="shared" ref="AH3:AH15" ca="1" si="7">SUMPRODUCT($U$2:$AG$2,U3:AG3)</f>
        <v>43.53</v>
      </c>
      <c r="AJ3" s="3" cm="1">
        <f t="array" aca="1" ref="AJ3" ca="1">_xlfn.PERCENTRANK.EXC(_xlfn._xlws.FILTER($AH$3:$AH$15, ISNUMBER($AH$3:$AH$15)),AH3)*100</f>
        <v>42.8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1840020.9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17</v>
      </c>
      <c r="G4" cm="1">
        <f t="array" ref="G4">_xll.FDS(A4,"SIZE(FG_CONSTITUENTS)")</f>
        <v>58</v>
      </c>
      <c r="H4" s="9">
        <f t="shared" si="0"/>
        <v>0.36206896551724138</v>
      </c>
      <c r="I4" s="9">
        <f t="shared" si="1"/>
        <v>0.29310344827586204</v>
      </c>
      <c r="J4" s="9">
        <f t="shared" si="2"/>
        <v>6.8965517241379337E-2</v>
      </c>
      <c r="K4" s="5" cm="1">
        <f t="array" ref="K4">_xll.FDS(A4,"FMA_PCT_ABOVE_MAVG(200,0,,,,""PORTAGG"")")/100</f>
        <v>0.62068965517241403</v>
      </c>
      <c r="L4" s="41" cm="1">
        <f t="array" ref="L4">_xll.FDSB(A4,"PERCENT_CHANGE(FMA_EPS(+1,0,,,,""PORTAGG"",""MEAN""),FMA_EPS(+1,-1AM,,,,""PORTAGG"",""MEAN""))")</f>
        <v>0.23186097805577699</v>
      </c>
      <c r="M4" s="41" cm="1">
        <f t="array" ref="M4">_xll.FDSB(A4,"PERCENT_CHANGE(FMA_EPS(+1,0,,,,""PORTAGG"",""MEAN""),FMA_EPS(+1,-3AM,,,,""PORTAGG"",""MEAN""))")</f>
        <v>0.18061573102634801</v>
      </c>
      <c r="N4" s="3" cm="1">
        <f t="array" ref="N4">_xll.FDS(C4,"FG_TOTAL_RETURNC(0,-1AM)")</f>
        <v>4.4539093999999997</v>
      </c>
      <c r="O4" s="3" cm="1">
        <f t="array" ref="O4">_xll.FDS(C4,"FG_TOTAL_RETURNC(0,-3AM)")</f>
        <v>10.261654999999999</v>
      </c>
      <c r="P4" s="3" cm="1">
        <f t="array" ref="P4">_xll.FDS(C4,"FG_TOTAL_RETURNC(0,-6AM)")</f>
        <v>11.498523</v>
      </c>
      <c r="Q4" s="9" cm="1">
        <f t="array" ref="Q4">_xll.FDS(C4,"P_PRICE(0)/P_PRICE_HIGH_PR(0,,,,,,""PRICE"",""INTRA"",""52W"")")</f>
        <v>0.99704254000000003</v>
      </c>
      <c r="R4" s="9" cm="1">
        <f t="array" ref="R4">_xll.FDS(C4,"P_PRICE(0)/P_PRICE_low_PR(0,,,,,,""PRICE"",""INTRA"",""52W"")-1")</f>
        <v>0.31818186999999998</v>
      </c>
      <c r="S4" s="3" cm="1">
        <f t="array" ref="S4">_xll.FDS(C4,"FG_TOTAL_RETURNC(0,-12AM)")</f>
        <v>32.056640000000002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78.5</v>
      </c>
      <c r="Y4" s="201" cm="1">
        <f t="array" ref="Y4">_xlfn.PERCENTRANK.EXC(_xlfn._xlws.FILTER($S$3:$S$15, ISNUMBER($S$3:$S$15)),S4)*100</f>
        <v>50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71.399999999999991</v>
      </c>
      <c r="AB4" s="4" cm="1">
        <f t="array" ref="AB4">_xlfn.PERCENTRANK.EXC(_xlfn._xlws.FILTER($J$3:$J$15, ISNUMBER($J$3:$J$15)),J4)*100</f>
        <v>85.7</v>
      </c>
      <c r="AC4" s="4">
        <f t="shared" si="4"/>
        <v>78.5</v>
      </c>
      <c r="AD4" s="4">
        <f t="shared" si="5"/>
        <v>42.8</v>
      </c>
      <c r="AE4" s="4">
        <f t="shared" si="6"/>
        <v>35.699999999999996</v>
      </c>
      <c r="AF4" s="4">
        <f>'Economic Momentum'!Q5</f>
        <v>57.099999999999994</v>
      </c>
      <c r="AG4" s="4">
        <f ca="1">'Economic Momentum'!R5</f>
        <v>57.099999999999994</v>
      </c>
      <c r="AH4" s="4">
        <f t="shared" ca="1" si="7"/>
        <v>72.78</v>
      </c>
      <c r="AJ4" s="3" cm="1">
        <f t="array" aca="1" ref="AJ4" ca="1">_xlfn.PERCENTRANK.EXC(_xlfn._xlws.FILTER($AH$3:$AH$15, ISNUMBER($AH$3:$AH$15)),AH4)*100</f>
        <v>85.7</v>
      </c>
      <c r="AK4">
        <f t="shared" si="8"/>
        <v>5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2990072</v>
      </c>
      <c r="E5" cm="1">
        <f t="array" ref="E5">_xll.FDS(C5,"FMA_COS_UP(""EPS"",""1M"",+1,0,,,""PORTAGG"",""MEANR"")")</f>
        <v>15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86</v>
      </c>
      <c r="H5" s="9">
        <f t="shared" si="0"/>
        <v>0.1744186046511628</v>
      </c>
      <c r="I5" s="9">
        <f t="shared" si="1"/>
        <v>0.44186046511627908</v>
      </c>
      <c r="J5" s="9">
        <f t="shared" si="2"/>
        <v>-0.26744186046511631</v>
      </c>
      <c r="K5" s="5" cm="1">
        <f t="array" ref="K5">_xll.FDS(A5,"FMA_PCT_ABOVE_MAVG(200,0,,,,""PORTAGG"")")/100</f>
        <v>0.73255813953488402</v>
      </c>
      <c r="L5" s="41" cm="1">
        <f t="array" ref="L5">_xll.FDSB(A5,"PERCENT_CHANGE(FMA_EPS(+1,0,,,,""PORTAGG"",""MEAN""),FMA_EPS(+1,-1AM,,,,""PORTAGG"",""MEAN""))")</f>
        <v>-0.71892886204869499</v>
      </c>
      <c r="M5" s="41" cm="1">
        <f t="array" ref="M5">_xll.FDSB(A5,"PERCENT_CHANGE(FMA_EPS(+1,0,,,,""PORTAGG"",""MEAN""),FMA_EPS(+1,-3AM,,,,""PORTAGG"",""MEAN""))")</f>
        <v>1.5367586791214201</v>
      </c>
      <c r="N5" s="3" cm="1">
        <f t="array" ref="N5">_xll.FDS(C5,"FG_TOTAL_RETURNC(0,-1AM)")</f>
        <v>3.2465934999999999</v>
      </c>
      <c r="O5" s="3" cm="1">
        <f t="array" ref="O5">_xll.FDS(C5,"FG_TOTAL_RETURNC(0,-3AM)")</f>
        <v>11.929071</v>
      </c>
      <c r="P5" s="3" cm="1">
        <f t="array" ref="P5">_xll.FDS(C5,"FG_TOTAL_RETURNC(0,-6AM)")</f>
        <v>10.46611</v>
      </c>
      <c r="Q5" s="9" cm="1">
        <f t="array" ref="Q5">_xll.FDS(C5,"P_PRICE(0)/P_PRICE_HIGH_PR(0,,,,,,""PRICE"",""INTRA"",""52W"")")</f>
        <v>0.99629325000000002</v>
      </c>
      <c r="R5" s="9" cm="1">
        <f t="array" ref="R5">_xll.FDS(C5,"P_PRICE(0)/P_PRICE_low_PR(0,,,,,,""PRICE"",""INTRA"",""52W"")-1")</f>
        <v>0.32632923000000003</v>
      </c>
      <c r="S5" s="3" cm="1">
        <f t="array" ref="S5">_xll.FDS(C5,"FG_TOTAL_RETURNC(0,-12AM)")</f>
        <v>27.665317999999999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71.399999999999991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78.5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14.2</v>
      </c>
      <c r="AC5" s="4">
        <f t="shared" si="4"/>
        <v>50</v>
      </c>
      <c r="AD5" s="4">
        <f t="shared" si="5"/>
        <v>64.2</v>
      </c>
      <c r="AE5" s="4">
        <f t="shared" si="6"/>
        <v>57.099999999999994</v>
      </c>
      <c r="AF5" s="4">
        <f>'Economic Momentum'!Q6</f>
        <v>78.5</v>
      </c>
      <c r="AG5" s="4">
        <f ca="1">'Economic Momentum'!R6</f>
        <v>42.8</v>
      </c>
      <c r="AH5" s="4">
        <f t="shared" ca="1" si="7"/>
        <v>69.260000000000005</v>
      </c>
      <c r="AJ5" s="3" cm="1">
        <f t="array" aca="1" ref="AJ5" ca="1">_xlfn.PERCENTRANK.EXC(_xlfn._xlws.FILTER($AH$3:$AH$15, ISNUMBER($AH$3:$AH$15)),AH5)*100</f>
        <v>78.5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2418593.5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9">
        <f t="shared" si="0"/>
        <v>0.38596491228070173</v>
      </c>
      <c r="I6" s="9">
        <f t="shared" si="1"/>
        <v>0.47368421052631576</v>
      </c>
      <c r="J6" s="9">
        <f t="shared" si="2"/>
        <v>-8.771929824561403E-2</v>
      </c>
      <c r="K6" s="5" cm="1">
        <f t="array" ref="K6">_xll.FDS(A6,"FMA_PCT_ABOVE_MAVG(200,0,,,,""PORTAGG"")")/100</f>
        <v>0.59649122807017496</v>
      </c>
      <c r="L6" s="41" cm="1">
        <f t="array" ref="L6">_xll.FDSB(A6,"PERCENT_CHANGE(FMA_EPS(+1,0,,,,""PORTAGG"",""MEAN""),FMA_EPS(+1,-1AM,,,,""PORTAGG"",""MEAN""))")</f>
        <v>-4.2299135631884299</v>
      </c>
      <c r="M6" s="41" cm="1">
        <f t="array" ref="M6">_xll.FDSB(A6,"PERCENT_CHANGE(FMA_EPS(+1,0,,,,""PORTAGG"",""MEAN""),FMA_EPS(+1,-3AM,,,,""PORTAGG"",""MEAN""))")</f>
        <v>-1.7771128139024099</v>
      </c>
      <c r="N6" s="3" cm="1">
        <f t="array" ref="N6">_xll.FDS(C6,"FG_TOTAL_RETURNC(0,-1AM)")</f>
        <v>3.6285400000000001</v>
      </c>
      <c r="O6" s="3" cm="1">
        <f t="array" ref="O6">_xll.FDS(C6,"FG_TOTAL_RETURNC(0,-3AM)")</f>
        <v>10.310972</v>
      </c>
      <c r="P6" s="3" cm="1">
        <f t="array" ref="P6">_xll.FDS(C6,"FG_TOTAL_RETURNC(0,-6AM)")</f>
        <v>8.350301</v>
      </c>
      <c r="Q6" s="9" cm="1">
        <f t="array" ref="Q6">_xll.FDS(C6,"P_PRICE(0)/P_PRICE_HIGH_PR(0,,,,,,""PRICE"",""INTRA"",""52W"")")</f>
        <v>0.99881445999999996</v>
      </c>
      <c r="R6" s="9" cm="1">
        <f t="array" ref="R6">_xll.FDS(C6,"P_PRICE(0)/P_PRICE_low_PR(0,,,,,,""PRICE"",""INTRA"",""52W"")-1")</f>
        <v>0.36409639999999999</v>
      </c>
      <c r="S6" s="3" cm="1">
        <f t="array" ref="S6">_xll.FDS(C6,"FG_TOTAL_RETURNC(0,-12AM)")</f>
        <v>33.538469999999997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92.800000000000011</v>
      </c>
      <c r="W6" s="4" cm="1">
        <f t="array" ref="W6">_xlfn.PERCENTRANK.EXC(_xlfn._xlws.FILTER($O$3:$O$15, ISNUMBER($O$3:$O$15)),O6)*100</f>
        <v>85.7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57.099999999999994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42.8</v>
      </c>
      <c r="AC6" s="4">
        <f t="shared" si="4"/>
        <v>7.1</v>
      </c>
      <c r="AD6" s="4">
        <f t="shared" si="5"/>
        <v>21.4</v>
      </c>
      <c r="AE6" s="4">
        <f t="shared" si="6"/>
        <v>50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73.540000000000006</v>
      </c>
      <c r="AJ6" s="3" cm="1">
        <f t="array" aca="1" ref="AJ6" ca="1">_xlfn.PERCENTRANK.EXC(_xlfn._xlws.FILTER($AH$3:$AH$15, ISNUMBER($AH$3:$AH$15)),AH6)*100</f>
        <v>92.800000000000011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6859674</v>
      </c>
      <c r="E7" cm="1">
        <f t="array" ref="E7">_xll.FDS(C7,"FMA_COS_UP(""EPS"",""1M"",+1,0,,,""PORTAGG"",""MEANR"")")</f>
        <v>92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199</v>
      </c>
      <c r="H7" s="9">
        <f t="shared" si="0"/>
        <v>0.46231155778894473</v>
      </c>
      <c r="I7" s="9">
        <f t="shared" si="1"/>
        <v>0.4120603015075377</v>
      </c>
      <c r="J7" s="9">
        <f t="shared" si="2"/>
        <v>5.0251256281407031E-2</v>
      </c>
      <c r="K7" s="5" cm="1">
        <f t="array" ref="K7">_xll.FDS(A7,"FMA_PCT_ABOVE_MAVG(200,0,,,,""PORTAGG"")")/100</f>
        <v>0.49246231155778902</v>
      </c>
      <c r="L7" s="41" cm="1">
        <f t="array" ref="L7">_xll.FDSB(A7,"PERCENT_CHANGE(FMA_EPS(+1,0,,,,""PORTAGG"",""MEAN""),FMA_EPS(+1,-1AM,,,,""PORTAGG"",""MEAN""))")</f>
        <v>0.39244533269803999</v>
      </c>
      <c r="M7" s="41" cm="1">
        <f t="array" ref="M7">_xll.FDSB(A7,"PERCENT_CHANGE(FMA_EPS(+1,0,,,,""PORTAGG"",""MEAN""),FMA_EPS(+1,-3AM,,,,""PORTAGG"",""MEAN""))")</f>
        <v>12.437019186603999</v>
      </c>
      <c r="N7" s="3" cm="1">
        <f t="array" ref="N7">_xll.FDS(C7,"FG_TOTAL_RETURNC(0,-1AM)")</f>
        <v>1.7565846000000001</v>
      </c>
      <c r="O7" s="3" cm="1">
        <f t="array" ref="O7">_xll.FDS(C7,"FG_TOTAL_RETURNC(0,-3AM)")</f>
        <v>7.8935623000000001</v>
      </c>
      <c r="P7" s="3" cm="1">
        <f t="array" ref="P7">_xll.FDS(C7,"FG_TOTAL_RETURNC(0,-6AM)")</f>
        <v>2.6888610000000002</v>
      </c>
      <c r="Q7" s="9" cm="1">
        <f t="array" ref="Q7">_xll.FDS(C7,"P_PRICE(0)/P_PRICE_HIGH_PR(0,,,,,,""PRICE"",""INTRA"",""52W"")")</f>
        <v>0.99658656000000001</v>
      </c>
      <c r="R7" s="9" cm="1">
        <f t="array" ref="R7">_xll.FDS(C7,"P_PRICE(0)/P_PRICE_low_PR(0,,,,,,""PRICE"",""INTRA"",""52W"")-1")</f>
        <v>0.27604889999999999</v>
      </c>
      <c r="S7" s="3" cm="1">
        <f t="array" ref="S7">_xll.FDS(C7,"FG_TOTAL_RETURNC(0,-12AM)")</f>
        <v>22.189045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78.5</v>
      </c>
      <c r="AC7" s="4">
        <f t="shared" si="4"/>
        <v>85.7</v>
      </c>
      <c r="AD7" s="4">
        <f t="shared" si="5"/>
        <v>85.7</v>
      </c>
      <c r="AE7" s="4">
        <f t="shared" si="6"/>
        <v>78.5</v>
      </c>
      <c r="AF7" s="4">
        <f>'Economic Momentum'!Q8</f>
        <v>85.7</v>
      </c>
      <c r="AG7" s="4">
        <f ca="1">'Economic Momentum'!R8</f>
        <v>92.800000000000011</v>
      </c>
      <c r="AH7" s="4">
        <f t="shared" ca="1" si="7"/>
        <v>37.809999999999995</v>
      </c>
      <c r="AJ7" s="3" cm="1">
        <f t="array" aca="1" ref="AJ7" ca="1">_xlfn.PERCENTRANK.EXC(_xlfn._xlws.FILTER($AH$3:$AH$15, ISNUMBER($AH$3:$AH$15)),AH7)*100</f>
        <v>28.499999999999996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2345397.5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26</v>
      </c>
      <c r="G8" cm="1">
        <f t="array" ref="G8">_xll.FDS(A8,"SIZE(FG_CONSTITUENTS)")</f>
        <v>47</v>
      </c>
      <c r="H8" s="9">
        <f t="shared" si="0"/>
        <v>0.2978723404255319</v>
      </c>
      <c r="I8" s="9">
        <f t="shared" si="1"/>
        <v>0.55319148936170215</v>
      </c>
      <c r="J8" s="9">
        <f t="shared" si="2"/>
        <v>-0.25531914893617025</v>
      </c>
      <c r="K8" s="5" cm="1">
        <f t="array" ref="K8">_xll.FDS(A8,"FMA_PCT_ABOVE_MAVG(200,0,,,,""PORTAGG"")")/100</f>
        <v>0.58695652173912993</v>
      </c>
      <c r="L8" s="41" cm="1">
        <f t="array" ref="L8">_xll.FDSB(A8,"PERCENT_CHANGE(FMA_EPS(+1,0,,,,""PORTAGG"",""MEAN""),FMA_EPS(+1,-1AM,,,,""PORTAGG"",""MEAN""))")</f>
        <v>-0.24865232990501199</v>
      </c>
      <c r="M8" s="41" cm="1">
        <f t="array" ref="M8">_xll.FDSB(A8,"PERCENT_CHANGE(FMA_EPS(+1,0,,,,""PORTAGG"",""MEAN""),FMA_EPS(+1,-3AM,,,,""PORTAGG"",""MEAN""))")</f>
        <v>5.1766589038067297</v>
      </c>
      <c r="N8" s="3" cm="1">
        <f t="array" ref="N8">_xll.FDS(C8,"FG_TOTAL_RETURNC(0,-1AM)")</f>
        <v>-0.68323610000000001</v>
      </c>
      <c r="O8" s="3" cm="1">
        <f t="array" ref="O8">_xll.FDS(C8,"FG_TOTAL_RETURNC(0,-3AM)")</f>
        <v>8.2988499999999998</v>
      </c>
      <c r="P8" s="3" cm="1">
        <f t="array" ref="P8">_xll.FDS(C8,"FG_TOTAL_RETURNC(0,-6AM)")</f>
        <v>12.764335000000001</v>
      </c>
      <c r="Q8" s="9" cm="1">
        <f t="array" ref="Q8">_xll.FDS(C8,"P_PRICE(0)/P_PRICE_HIGH_PR(0,,,,,,""PRICE"",""INTRA"",""52W"")")</f>
        <v>0.98679996000000003</v>
      </c>
      <c r="R8" s="9" cm="1">
        <f t="array" ref="R8">_xll.FDS(C8,"P_PRICE(0)/P_PRICE_low_PR(0,,,,,,""PRICE"",""INTRA"",""52W"")-1")</f>
        <v>0.25944650000000002</v>
      </c>
      <c r="S8" s="3" cm="1">
        <f t="array" ref="S8">_xll.FDS(C8,"FG_TOTAL_RETURNC(0,-12AM)")</f>
        <v>23.962284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50</v>
      </c>
      <c r="X8" s="4" cm="1">
        <f t="array" ref="X8">_xlfn.PERCENTRANK.EXC(_xlfn._xlws.FILTER($P$3:$P$15, ISNUMBER($P$3:$P$15)),P8)*100</f>
        <v>92.800000000000011</v>
      </c>
      <c r="Y8" s="201" cm="1">
        <f t="array" ref="Y8">_xlfn.PERCENTRANK.EXC(_xlfn._xlws.FILTER($S$3:$S$15, ISNUMBER($S$3:$S$15)),S8)*100</f>
        <v>28.499999999999996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21.4</v>
      </c>
      <c r="AC8" s="4">
        <f t="shared" si="4"/>
        <v>57.099999999999994</v>
      </c>
      <c r="AD8" s="4">
        <f t="shared" si="5"/>
        <v>78.5</v>
      </c>
      <c r="AE8" s="4">
        <f t="shared" si="6"/>
        <v>42.8</v>
      </c>
      <c r="AF8" s="4">
        <f>'Economic Momentum'!Q9</f>
        <v>64.2</v>
      </c>
      <c r="AG8" s="4">
        <f ca="1">'Economic Momentum'!R9</f>
        <v>35.699999999999996</v>
      </c>
      <c r="AH8" s="4">
        <f t="shared" ca="1" si="7"/>
        <v>57.120000000000005</v>
      </c>
      <c r="AJ8" s="3" cm="1">
        <f t="array" aca="1" ref="AJ8" ca="1">_xlfn.PERCENTRANK.EXC(_xlfn._xlws.FILTER($AH$3:$AH$15, ISNUMBER($AH$3:$AH$15)),AH8)*100</f>
        <v>50</v>
      </c>
      <c r="AK8">
        <f t="shared" si="8"/>
        <v>1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3442832.8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28</v>
      </c>
      <c r="G9" cm="1">
        <f t="array" ref="G9">_xll.FDS(A9,"SIZE(FG_CONSTITUENTS)")</f>
        <v>79</v>
      </c>
      <c r="H9" s="9">
        <f t="shared" si="0"/>
        <v>0.39240506329113922</v>
      </c>
      <c r="I9" s="9">
        <f t="shared" si="1"/>
        <v>0.35443037974683544</v>
      </c>
      <c r="J9" s="9">
        <f t="shared" si="2"/>
        <v>3.7974683544303778E-2</v>
      </c>
      <c r="K9" s="5" cm="1">
        <f t="array" ref="K9">_xll.FDS(A9,"FMA_PCT_ABOVE_MAVG(200,0,,,,""PORTAGG"")")/100</f>
        <v>0.61538461538461497</v>
      </c>
      <c r="L9" s="41" cm="1">
        <f t="array" ref="L9">_xll.FDSB(A9,"PERCENT_CHANGE(FMA_EPS(+1,0,,,,""PORTAGG"",""MEAN""),FMA_EPS(+1,-1AM,,,,""PORTAGG"",""MEAN""))")</f>
        <v>-0.218248655324601</v>
      </c>
      <c r="M9" s="41" cm="1">
        <f t="array" ref="M9">_xll.FDSB(A9,"PERCENT_CHANGE(FMA_EPS(+1,0,,,,""PORTAGG"",""MEAN""),FMA_EPS(+1,-3AM,,,,""PORTAGG"",""MEAN""))")</f>
        <v>1.5241295503944901</v>
      </c>
      <c r="N9" s="3" cm="1">
        <f t="array" ref="N9">_xll.FDS(C9,"FG_TOTAL_RETURNC(0,-1AM)")</f>
        <v>0.13294220000000001</v>
      </c>
      <c r="O9" s="3" cm="1">
        <f t="array" ref="O9">_xll.FDS(C9,"FG_TOTAL_RETURNC(0,-3AM)")</f>
        <v>7.8465103999999997</v>
      </c>
      <c r="P9" s="3" cm="1">
        <f t="array" ref="P9">_xll.FDS(C9,"FG_TOTAL_RETURNC(0,-6AM)")</f>
        <v>12.635695999999999</v>
      </c>
      <c r="Q9" s="9" cm="1">
        <f t="array" ref="Q9">_xll.FDS(C9,"P_PRICE(0)/P_PRICE_HIGH_PR(0,,,,,,""PRICE"",""INTRA"",""52W"")")</f>
        <v>0.99840664999999995</v>
      </c>
      <c r="R9" s="9" cm="1">
        <f t="array" ref="R9">_xll.FDS(C9,"P_PRICE(0)/P_PRICE_low_PR(0,,,,,,""PRICE"",""INTRA"",""52W"")-1")</f>
        <v>0.24950230000000001</v>
      </c>
      <c r="S9" s="3" cm="1">
        <f t="array" ref="S9">_xll.FDS(C9,"FG_TOTAL_RETURNC(0,-12AM)")</f>
        <v>24.703120999999999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85.7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71.399999999999991</v>
      </c>
      <c r="AC9" s="4">
        <f t="shared" si="4"/>
        <v>64.2</v>
      </c>
      <c r="AD9" s="4">
        <f t="shared" si="5"/>
        <v>57.099999999999994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68.539999999999992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4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59630524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28</v>
      </c>
      <c r="G10" cm="1">
        <f t="array" ref="G10">_xll.FDS(A10,"SIZE(FG_CONSTITUENTS)")</f>
        <v>102</v>
      </c>
      <c r="H10" s="9">
        <f t="shared" si="0"/>
        <v>0.35294117647058826</v>
      </c>
      <c r="I10" s="9">
        <f t="shared" si="1"/>
        <v>0.27450980392156865</v>
      </c>
      <c r="J10" s="9">
        <f t="shared" si="2"/>
        <v>7.8431372549019607E-2</v>
      </c>
      <c r="K10" s="5" cm="1">
        <f t="array" ref="K10">_xll.FDS(A10,"FMA_PCT_ABOVE_MAVG(200,0,,,,""PORTAGG"")")/100</f>
        <v>0.60784313725490202</v>
      </c>
      <c r="L10" s="41" cm="1">
        <f t="array" ref="L10">_xll.FDSB(A10,"PERCENT_CHANGE(FMA_EPS(+1,0,,,,""PORTAGG"",""MEAN""),FMA_EPS(+1,-1AM,,,,""PORTAGG"",""MEAN""))")</f>
        <v>0.10557845184506599</v>
      </c>
      <c r="M10" s="41" cm="1">
        <f t="array" ref="M10">_xll.FDSB(A10,"PERCENT_CHANGE(FMA_EPS(+1,0,,,,""PORTAGG"",""MEAN""),FMA_EPS(+1,-3AM,,,,""PORTAGG"",""MEAN""))")</f>
        <v>-2.6558568026182501</v>
      </c>
      <c r="N10" s="3" cm="1">
        <f t="array" ref="N10">_xll.FDS(C10,"FG_TOTAL_RETURNC(0,-1AM)")</f>
        <v>2.8097748999999999</v>
      </c>
      <c r="O10" s="3" cm="1">
        <f t="array" ref="O10">_xll.FDS(C10,"FG_TOTAL_RETURNC(0,-3AM)")</f>
        <v>1.7744422</v>
      </c>
      <c r="P10" s="3" cm="1">
        <f t="array" ref="P10">_xll.FDS(C10,"FG_TOTAL_RETURNC(0,-6AM)")</f>
        <v>10.366524</v>
      </c>
      <c r="Q10" s="9" cm="1">
        <f t="array" ref="Q10">_xll.FDS(C10,"P_PRICE(0)/P_PRICE_HIGH_PR(0,,,,,,""PRICE"",""INTRA"",""52W"")")</f>
        <v>0.97209643999999995</v>
      </c>
      <c r="R10" s="9" cm="1">
        <f t="array" ref="R10">_xll.FDS(C10,"P_PRICE(0)/P_PRICE_low_PR(0,,,,,,""PRICE"",""INTRA"",""52W"")-1")</f>
        <v>0.42973566000000002</v>
      </c>
      <c r="S10" s="3" cm="1">
        <f t="array" ref="S10">_xll.FDS(C10,"FG_TOTAL_RETURNC(0,-12AM)")</f>
        <v>38.807274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78.5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92.800000000000011</v>
      </c>
      <c r="AC10" s="4">
        <f t="shared" si="4"/>
        <v>71.399999999999991</v>
      </c>
      <c r="AD10" s="4">
        <f t="shared" si="5"/>
        <v>14.2</v>
      </c>
      <c r="AE10" s="4">
        <f t="shared" si="6"/>
        <v>85.7</v>
      </c>
      <c r="AF10" s="4">
        <f>'Economic Momentum'!Q11</f>
        <v>35.699999999999996</v>
      </c>
      <c r="AG10" s="4">
        <f ca="1">'Economic Momentum'!R11</f>
        <v>21.4</v>
      </c>
      <c r="AH10" s="4">
        <f t="shared" ca="1" si="7"/>
        <v>32.08</v>
      </c>
      <c r="AJ10" s="3" cm="1">
        <f t="array" aca="1" ref="AJ10" ca="1">_xlfn.PERCENTRANK.EXC(_xlfn._xlws.FILTER($AH$3:$AH$15, ISNUMBER($AH$3:$AH$15)),AH10)*100</f>
        <v>21.4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59630524</v>
      </c>
      <c r="E11" cm="1">
        <f t="array" ref="E11">_xll.FDS(C11,"FMA_COS_UP(""EPS"",""1M"",+1,0,,,""PORTAGG"",""MEANR"")")</f>
        <v>153</v>
      </c>
      <c r="F11" cm="1">
        <f t="array" ref="F11">_xll.FDS(C11,"FMA_COS_DOWN(""EPS"",""1M"",+1,0,,,""PORTAGG"",""MEANR"")")</f>
        <v>162</v>
      </c>
      <c r="G11" cm="1">
        <f t="array" ref="G11">_xll.FDS(A11,"SIZE(FG_CONSTITUENTS)")</f>
        <v>503</v>
      </c>
      <c r="H11" s="9">
        <f t="shared" si="0"/>
        <v>0.30417495029821073</v>
      </c>
      <c r="I11" s="9">
        <f t="shared" si="1"/>
        <v>0.32206759443339961</v>
      </c>
      <c r="J11" s="9">
        <f t="shared" si="2"/>
        <v>-1.7892644135188873E-2</v>
      </c>
      <c r="K11" s="5" cm="1">
        <f t="array" ref="K11">_xll.FDS(A11,"FMA_PCT_ABOVE_MAVG(200,0,,,,""PORTAGG"")")/100</f>
        <v>0.7385229540918159</v>
      </c>
      <c r="L11" s="41" cm="1">
        <f t="array" ref="L11">_xll.FDSB(A11,"PERCENT_CHANGE(FMA_EPS(+1,0,,,,""PORTAGG"",""MEAN""),FMA_EPS(+1,-1AM,,,,""PORTAGG"",""MEAN""))")</f>
        <v>-0.83278610171017797</v>
      </c>
      <c r="M11" s="41" cm="1">
        <f t="array" ref="M11">_xll.FDSB(A11,"PERCENT_CHANGE(FMA_EPS(+1,0,,,,""PORTAGG"",""MEAN""),FMA_EPS(+1,-3AM,,,,""PORTAGG"",""MEAN""))")</f>
        <v>-1.25426322307386</v>
      </c>
      <c r="N11" s="3" cm="1">
        <f t="array" ref="N11">_xll.FDS(C11,"FG_TOTAL_RETURNC(0,-1AM)")</f>
        <v>2.2255897999999998</v>
      </c>
      <c r="O11" s="3" cm="1">
        <f t="array" ref="O11">_xll.FDS(C11,"FG_TOTAL_RETURNC(0,-3AM)")</f>
        <v>5.0676227000000003</v>
      </c>
      <c r="P11" s="3" cm="1">
        <f t="array" ref="P11">_xll.FDS(C11,"FG_TOTAL_RETURNC(0,-6AM)")</f>
        <v>10.081315</v>
      </c>
      <c r="Q11" s="9" cm="1">
        <f t="array" ref="Q11">_xll.FDS(C11,"P_PRICE(0)/P_PRICE_HIGH_PR(0,,,,,,""PRICE"",""INTRA"",""52W"")")</f>
        <v>0.99580650000000004</v>
      </c>
      <c r="R11" s="9" cm="1">
        <f t="array" ref="R11">_xll.FDS(C11,"P_PRICE(0)/P_PRICE_low_PR(0,,,,,,""PRICE"",""INTRA"",""52W"")-1")</f>
        <v>0.39854835999999999</v>
      </c>
      <c r="S11" s="3" cm="1">
        <f t="array" ref="S11">_xll.FDS(C11,"FG_TOTAL_RETURNC(0,-12AM)")</f>
        <v>36.148429999999998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42.8</v>
      </c>
      <c r="W11" s="4" cm="1">
        <f t="array" ref="W11">_xlfn.PERCENTRANK.EXC(_xlfn._xlws.FILTER($O$3:$O$15, ISNUMBER($O$3:$O$15)),O11)*100</f>
        <v>21.4</v>
      </c>
      <c r="X11" s="4" cm="1">
        <f t="array" ref="X11">_xlfn.PERCENTRANK.EXC(_xlfn._xlws.FILTER($P$3:$P$15, ISNUMBER($P$3:$P$15)),P11)*100</f>
        <v>57.099999999999994</v>
      </c>
      <c r="Y11" s="201" cm="1">
        <f t="array" ref="Y11">_xlfn.PERCENTRANK.EXC(_xlfn._xlws.FILTER($S$3:$S$15, ISNUMBER($S$3:$S$15)),S11)*100</f>
        <v>71.399999999999991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4"/>
        <v>42.8</v>
      </c>
      <c r="AD11" s="4">
        <f t="shared" si="5"/>
        <v>28.499999999999996</v>
      </c>
      <c r="AE11" s="4">
        <f t="shared" si="6"/>
        <v>85.7</v>
      </c>
      <c r="AF11" s="4">
        <f>'Economic Momentum'!Q12</f>
        <v>35.699999999999996</v>
      </c>
      <c r="AG11" s="4">
        <f ca="1">'Economic Momentum'!R12</f>
        <v>21.4</v>
      </c>
      <c r="AH11" s="4">
        <f t="shared" ca="1" si="7"/>
        <v>40.67</v>
      </c>
      <c r="AJ11" s="3" cm="1">
        <f t="array" aca="1" ref="AJ11" ca="1">_xlfn.PERCENTRANK.EXC(_xlfn._xlws.FILTER($AH$3:$AH$15, ISNUMBER($AH$3:$AH$15)),AH11)*100</f>
        <v>35.699999999999996</v>
      </c>
      <c r="AK11">
        <f t="shared" si="8"/>
        <v>2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3335243.5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61</v>
      </c>
      <c r="H12" s="9">
        <f t="shared" ref="H12:H15" si="9">E12/$G12</f>
        <v>0.31147540983606559</v>
      </c>
      <c r="I12" s="9">
        <f t="shared" ref="I12:I15" si="10">F12/$G12</f>
        <v>0.39344262295081966</v>
      </c>
      <c r="J12" s="9">
        <f t="shared" ref="J12:J15" si="11">H12-I12</f>
        <v>-8.1967213114754078E-2</v>
      </c>
      <c r="K12" s="5" cm="1">
        <f t="array" ref="K12">_xll.FDS(A12,"FMA_PCT_ABOVE_MAVG(200,0,,,,""PORTAGG"")")/100</f>
        <v>0.55737704918032793</v>
      </c>
      <c r="L12" s="41" cm="1">
        <f t="array" ref="L12">_xll.FDSB(A12,"PERCENT_CHANGE(FMA_EPS(+1,0,,,,""PORTAGG"",""MEAN""),FMA_EPS(+1,-1AM,,,,""PORTAGG"",""MEAN""))")</f>
        <v>-1.12884177367926</v>
      </c>
      <c r="M12" s="41" cm="1">
        <f t="array" ref="M12">_xll.FDSB(A12,"PERCENT_CHANGE(FMA_EPS(+1,0,,,,""PORTAGG"",""MEAN""),FMA_EPS(+1,-3AM,,,,""PORTAGG"",""MEAN""))")</f>
        <v>0.46510756519169499</v>
      </c>
      <c r="N12" s="3" cm="1">
        <f t="array" ref="N12">_xll.FDS(C12,"FG_TOTAL_RETURNC(0,-1AM)")</f>
        <v>2.8013944999999998</v>
      </c>
      <c r="O12" s="3" cm="1">
        <f t="array" ref="O12">_xll.FDS(C12,"FG_TOTAL_RETURNC(0,-3AM)")</f>
        <v>8.2433460000000007</v>
      </c>
      <c r="P12" s="3" cm="1">
        <f t="array" ref="P12">_xll.FDS(C12,"FG_TOTAL_RETURNC(0,-6AM)")</f>
        <v>1.0932446</v>
      </c>
      <c r="Q12" s="9" cm="1">
        <f t="array" ref="Q12">_xll.FDS(C12,"P_PRICE(0)/P_PRICE_HIGH_PR(0,,,,,,""PRICE"",""INTRA"",""52W"")")</f>
        <v>0.96478872999999998</v>
      </c>
      <c r="R12" s="9" cm="1">
        <f t="array" ref="R12">_xll.FDS(C12,"P_PRICE(0)/P_PRICE_low_PR(0,,,,,,""PRICE"",""INTRA"",""52W"")-1")</f>
        <v>0.22103381</v>
      </c>
      <c r="S12" s="3" cm="1">
        <f t="array" ref="S12">_xll.FDS(C12,"FG_TOTAL_RETURNC(0,-12AM)")</f>
        <v>20.525884999999999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50</v>
      </c>
      <c r="AC12" s="4">
        <f t="shared" si="4"/>
        <v>35.699999999999996</v>
      </c>
      <c r="AD12" s="4">
        <f t="shared" si="5"/>
        <v>50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20.649999999999995</v>
      </c>
      <c r="AJ12" s="3" cm="1">
        <f t="array" aca="1" ref="AJ12" ca="1">_xlfn.PERCENTRANK.EXC(_xlfn._xlws.FILTER($AH$3:$AH$15, ISNUMBER($AH$3:$AH$15)),AH12)*100</f>
        <v>14.2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1141856.8999999999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54</v>
      </c>
      <c r="H13" s="9">
        <f t="shared" si="9"/>
        <v>0.29629629629629628</v>
      </c>
      <c r="I13" s="9">
        <f t="shared" si="10"/>
        <v>0.40740740740740738</v>
      </c>
      <c r="J13" s="9">
        <f t="shared" si="11"/>
        <v>-0.1111111111111111</v>
      </c>
      <c r="K13" s="5" cm="1">
        <f t="array" ref="K13">_xll.FDS(A13,"FMA_PCT_ABOVE_MAVG(200,0,,,,""PORTAGG"")")/100</f>
        <v>0.51851851851851793</v>
      </c>
      <c r="L13" s="41" cm="1">
        <f t="array" ref="L13">_xll.FDSB(A13,"PERCENT_CHANGE(FMA_EPS(+1,0,,,,""PORTAGG"",""MEAN""),FMA_EPS(+1,-1AM,,,,""PORTAGG"",""MEAN""))")</f>
        <v>-1.97216231396556</v>
      </c>
      <c r="M13" s="41" cm="1">
        <f t="array" ref="M13">_xll.FDSB(A13,"PERCENT_CHANGE(FMA_EPS(+1,0,,,,""PORTAGG"",""MEAN""),FMA_EPS(+1,-3AM,,,,""PORTAGG"",""MEAN""))")</f>
        <v>2.4650575830066801</v>
      </c>
      <c r="N13" s="3" cm="1">
        <f t="array" ref="N13">_xll.FDS(C13,"FG_TOTAL_RETURNC(0,-1AM)")</f>
        <v>1.2886643</v>
      </c>
      <c r="O13" s="3" cm="1">
        <f t="array" ref="O13">_xll.FDS(C13,"FG_TOTAL_RETURNC(0,-3AM)")</f>
        <v>1.4697194</v>
      </c>
      <c r="P13" s="3" cm="1">
        <f t="array" ref="P13">_xll.FDS(C13,"FG_TOTAL_RETURNC(0,-6AM)")</f>
        <v>3.8519739999999998</v>
      </c>
      <c r="Q13" s="9" cm="1">
        <f t="array" ref="Q13">_xll.FDS(C13,"P_PRICE(0)/P_PRICE_HIGH_PR(0,,,,,,""PRICE"",""INTRA"",""52W"")")</f>
        <v>0.96341692999999995</v>
      </c>
      <c r="R13" s="9" cm="1">
        <f t="array" ref="R13">_xll.FDS(C13,"P_PRICE(0)/P_PRICE_low_PR(0,,,,,,""PRICE"",""INTRA"",""52W"")-1")</f>
        <v>0.40782583</v>
      </c>
      <c r="S13" s="3" cm="1">
        <f t="array" ref="S13">_xll.FDS(C13,"FG_TOTAL_RETURNC(0,-12AM)")</f>
        <v>39.336620000000003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7.1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35.699999999999996</v>
      </c>
      <c r="AC13" s="4">
        <f t="shared" si="4"/>
        <v>28.499999999999996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28.499999999999996</v>
      </c>
      <c r="AG13" s="4">
        <f ca="1">'Economic Momentum'!R14</f>
        <v>85.7</v>
      </c>
      <c r="AH13" s="4">
        <f t="shared" ca="1" si="7"/>
        <v>11.389999999999999</v>
      </c>
      <c r="AJ13" s="3" cm="1">
        <f t="array" aca="1" ref="AJ13" ca="1">_xlfn.PERCENTRANK.EXC(_xlfn._xlws.FILTER($AH$3:$AH$15, ISNUMBER($AH$3:$AH$15)),AH13)*100</f>
        <v>7.1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1113302.6000000001</v>
      </c>
      <c r="E14" cm="1">
        <f t="array" ref="E14">_xll.FDS(C14,"FMA_COS_UP(""EPS"",""1M"",+1,0,,,""PORTAGG"",""MEANR"")")</f>
        <v>7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46</v>
      </c>
      <c r="H14" s="9">
        <f t="shared" si="9"/>
        <v>0.15217391304347827</v>
      </c>
      <c r="I14" s="9">
        <f t="shared" si="10"/>
        <v>0.47826086956521741</v>
      </c>
      <c r="J14" s="9">
        <f t="shared" si="11"/>
        <v>-0.32608695652173914</v>
      </c>
      <c r="K14" s="5" cm="1">
        <f t="array" ref="K14">_xll.FDS(A14,"FMA_PCT_ABOVE_MAVG(200,0,,,,""PORTAGG"")")/100</f>
        <v>0.73333333333333295</v>
      </c>
      <c r="L14" s="41" cm="1">
        <f t="array" ref="L14">_xll.FDSB(A14,"PERCENT_CHANGE(FMA_EPS(+1,0,,,,""PORTAGG"",""MEAN""),FMA_EPS(+1,-1AM,,,,""PORTAGG"",""MEAN""))")</f>
        <v>-3.1215609743816</v>
      </c>
      <c r="M14" s="41" cm="1">
        <f t="array" ref="M14">_xll.FDSB(A14,"PERCENT_CHANGE(FMA_EPS(+1,0,,,,""PORTAGG"",""MEAN""),FMA_EPS(+1,-3AM,,,,""PORTAGG"",""MEAN""))")</f>
        <v>-2.8581286288821302</v>
      </c>
      <c r="N14" s="3" cm="1">
        <f t="array" ref="N14">_xll.FDS(C14,"FG_TOTAL_RETURNC(0,-1AM)")</f>
        <v>4.4317365000000004</v>
      </c>
      <c r="O14" s="3" cm="1">
        <f t="array" ref="O14">_xll.FDS(C14,"FG_TOTAL_RETURNC(0,-3AM)")</f>
        <v>9.6298220000000008</v>
      </c>
      <c r="P14" s="3" cm="1">
        <f t="array" ref="P14">_xll.FDS(C14,"FG_TOTAL_RETURNC(0,-6AM)")</f>
        <v>9.6141930000000002</v>
      </c>
      <c r="Q14" s="9" cm="1">
        <f t="array" ref="Q14">_xll.FDS(C14,"P_PRICE(0)/P_PRICE_HIGH_PR(0,,,,,,""PRICE"",""INTRA"",""52W"")")</f>
        <v>0.99704283000000005</v>
      </c>
      <c r="R14" s="9" cm="1">
        <f t="array" ref="R14">_xll.FDS(C14,"P_PRICE(0)/P_PRICE_low_PR(0,,,,,,""PRICE"",""INTRA"",""52W"")-1")</f>
        <v>0.42838525999999999</v>
      </c>
      <c r="S14" s="3" cm="1">
        <f t="array" ref="S14">_xll.FDS(C14,"FG_TOTAL_RETURNC(0,-12AM)")</f>
        <v>41.419409999999999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71.399999999999991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42.8</v>
      </c>
      <c r="Y14" s="201" cm="1">
        <f t="array" ref="Y14">_xlfn.PERCENTRANK.EXC(_xlfn._xlws.FILTER($S$3:$S$15, ISNUMBER($S$3:$S$15)),S14)*100</f>
        <v>92.800000000000011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4"/>
        <v>14.2</v>
      </c>
      <c r="AD14" s="4">
        <f t="shared" si="5"/>
        <v>7.1</v>
      </c>
      <c r="AE14" s="4">
        <f t="shared" si="6"/>
        <v>21.4</v>
      </c>
      <c r="AF14" s="4">
        <f>'Economic Momentum'!Q15</f>
        <v>50</v>
      </c>
      <c r="AG14" s="4">
        <f ca="1">'Economic Momentum'!R15</f>
        <v>71.399999999999991</v>
      </c>
      <c r="AH14" s="4">
        <f t="shared" ca="1" si="7"/>
        <v>62.819999999999993</v>
      </c>
      <c r="AJ14" s="3" cm="1">
        <f t="array" aca="1" ref="AJ14" ca="1">_xlfn.PERCENTRANK.EXC(_xlfn._xlws.FILTER($AH$3:$AH$15, ISNUMBER($AH$3:$AH$15)),AH14)*100</f>
        <v>64.2</v>
      </c>
      <c r="AK14">
        <f t="shared" si="8"/>
        <v>4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909800.8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27</v>
      </c>
      <c r="H15" s="9">
        <f t="shared" si="9"/>
        <v>0.25925925925925924</v>
      </c>
      <c r="I15" s="9">
        <f t="shared" si="10"/>
        <v>0.33333333333333331</v>
      </c>
      <c r="J15" s="9">
        <f t="shared" si="11"/>
        <v>-7.407407407407407E-2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-2.0741068751869798</v>
      </c>
      <c r="M15" s="41" cm="1">
        <f t="array" ref="M15">_xll.FDSB(A15,"PERCENT_CHANGE(FMA_EPS(+1,0,,,,""PORTAGG"",""MEAN""),FMA_EPS(+1,-3AM,,,,""PORTAGG"",""MEAN""))")</f>
        <v>-0.58921610164424798</v>
      </c>
      <c r="N15" s="3" cm="1">
        <f t="array" ref="N15">_xll.FDS(C15,"FG_TOTAL_RETURNC(0,-1AM)")</f>
        <v>1.9968866999999999</v>
      </c>
      <c r="O15" s="3" cm="1">
        <f t="array" ref="O15">_xll.FDS(C15,"FG_TOTAL_RETURNC(0,-3AM)")</f>
        <v>9.6153849999999998</v>
      </c>
      <c r="P15" s="3" cm="1">
        <f t="array" ref="P15">_xll.FDS(C15,"FG_TOTAL_RETURNC(0,-6AM)")</f>
        <v>6.2029480000000001</v>
      </c>
      <c r="Q15" s="9" cm="1">
        <f t="array" ref="Q15">_xll.FDS(C15,"P_PRICE(0)/P_PRICE_HIGH_PR(0,,,,,,""PRICE"",""INTRA"",""52W"")")</f>
        <v>0.99759039999999999</v>
      </c>
      <c r="R15" s="9" cm="1">
        <f t="array" ref="R15">_xll.FDS(C15,"P_PRICE(0)/P_PRICE_low_PR(0,,,,,,""PRICE"",""INTRA"",""52W"")-1")</f>
        <v>0.35550581999999997</v>
      </c>
      <c r="S15" s="3" cm="1">
        <f t="array" ref="S15">_xll.FDS(C15,"FG_TOTAL_RETURNC(0,-12AM)")</f>
        <v>35.54466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64.2</v>
      </c>
      <c r="X15" s="4" cm="1">
        <f t="array" ref="X15">_xlfn.PERCENTRANK.EXC(_xlfn._xlws.FILTER($P$3:$P$15, ISNUMBER($P$3:$P$15)),P15)*100</f>
        <v>28.499999999999996</v>
      </c>
      <c r="Y15" s="201" cm="1">
        <f t="array" ref="Y15">_xlfn.PERCENTRANK.EXC(_xlfn._xlws.FILTER($S$3:$S$15, ISNUMBER($S$3:$S$15)),S15)*100</f>
        <v>64.2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57.099999999999994</v>
      </c>
      <c r="AC15" s="4">
        <f t="shared" si="4"/>
        <v>21.4</v>
      </c>
      <c r="AD15" s="4">
        <f t="shared" si="5"/>
        <v>35.699999999999996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7.1</v>
      </c>
      <c r="AH15" s="4">
        <f t="shared" ca="1" si="7"/>
        <v>59.21</v>
      </c>
      <c r="AJ15" s="3" cm="1">
        <f t="array" aca="1" ref="AJ15" ca="1">_xlfn.PERCENTRANK.EXC(_xlfn._xlws.FILTER($AH$3:$AH$15, ISNUMBER($AH$3:$AH$15)),AH15)*100</f>
        <v>57.099999999999994</v>
      </c>
      <c r="AK15">
        <f t="shared" si="8"/>
        <v>1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1284</v>
      </c>
      <c r="H18" s="9">
        <f>E18/$G18</f>
        <v>0.3325545171339564</v>
      </c>
      <c r="I18" s="9">
        <f>F18/$G18</f>
        <v>0.46728971962616822</v>
      </c>
      <c r="J18" s="9">
        <f t="shared" ref="J18" si="13">H18-I18</f>
        <v>-0.13473520249221183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-2.9700355942465602</v>
      </c>
      <c r="N18" s="3" cm="1">
        <f t="array" ref="N18">_xll.FDS(C18,"FG_TOTAL_RETURNC(0,-1AM)")</f>
        <v>1.4756203000000001</v>
      </c>
      <c r="O18" s="3" cm="1">
        <f t="array" ref="O18">_xll.FDS(C18,"FG_TOTAL_RETURNC(0,-3AM)")</f>
        <v>7.5313686999999998</v>
      </c>
      <c r="P18" s="3" cm="1">
        <f t="array" ref="P18">_xll.FDS(C18,"FG_TOTAL_RETURNC(0,-6AM)")</f>
        <v>8.2145930000000007</v>
      </c>
      <c r="Q18" s="9" cm="1">
        <f t="array" ref="Q18">_xll.FDS(C18,"P_PRICE(0)/P_PRICE_HIGH_PR(0,,,,,,""PRICE"",""INTRA"",""52W"")")</f>
        <v>0.99895540000000005</v>
      </c>
      <c r="R18" s="9" cm="1">
        <f t="array" ref="R18">_xll.FDS(C18,"P_PRICE(0)/P_PRICE_low_PR(0,,,,,,""PRICE"",""INTRA"",""52W"")-1")</f>
        <v>0.30257905000000002</v>
      </c>
      <c r="S18" s="3" cm="1">
        <f t="array" ref="S18">_xll.FDS(C18,"FG_TOTAL_RETURNC(0,-12AM)")</f>
        <v>29.058921999999999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968</v>
      </c>
      <c r="F19" cm="1">
        <f t="array" ref="F19">_xll.FDS(C19,"FMA_COS_DOWN(""EPS"",""1M"",+1,0,,,""PORTAGG"",""MEANR"")")</f>
        <v>1194</v>
      </c>
      <c r="G19" cm="1">
        <f t="array" ref="G19">_xll.FDS(A19,"SIZE(FG_CONSTITUENTS)")</f>
        <v>4847</v>
      </c>
      <c r="H19" s="9">
        <f>E19/$G19</f>
        <v>0.1997111615432226</v>
      </c>
      <c r="I19" s="9">
        <f>F19/$G19</f>
        <v>0.24633794099442954</v>
      </c>
      <c r="J19" s="9">
        <f t="shared" ref="J19" si="14">H19-I19</f>
        <v>-4.662677945120694E-2</v>
      </c>
      <c r="K19" s="5" cm="1">
        <f t="array" ref="K19">_xll.FDS(A19,"FMA_PCT_ABOVE_MAVG(200,0,,,,""PORTAGG"")")/100</f>
        <v>0.40843270868824499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-1.45313880728309</v>
      </c>
      <c r="N19" s="3" cm="1">
        <f t="array" ref="N19">_xll.FDS(C19,"FG_TOTAL_RETURNC(0,-1AM)")</f>
        <v>7.9705833999999998</v>
      </c>
      <c r="O19" s="3" cm="1">
        <f t="array" ref="O19">_xll.FDS(C19,"FG_TOTAL_RETURNC(0,-3AM)")</f>
        <v>10.889376</v>
      </c>
      <c r="P19" s="3" cm="1">
        <f t="array" ref="P19">_xll.FDS(C19,"FG_TOTAL_RETURNC(0,-6AM)")</f>
        <v>16.72082</v>
      </c>
      <c r="Q19" s="9" cm="1">
        <f t="array" ref="Q19">_xll.FDS(C19,"P_PRICE(0)/P_PRICE_HIGH_PR(0,,,,,,""PRICE"",""INTRA"",""52W"")")</f>
        <v>0.99659264000000003</v>
      </c>
      <c r="R19" s="9" cm="1">
        <f t="array" ref="R19">_xll.FDS(C19,"P_PRICE(0)/P_PRICE_low_PR(0,,,,,,""PRICE"",""INTRA"",""52W"")-1")</f>
        <v>0.28847945000000003</v>
      </c>
      <c r="S19" s="3" cm="1">
        <f t="array" ref="S19">_xll.FDS(C19,"FG_TOTAL_RETURNC(0,-12AM)")</f>
        <v>27.097069999999999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465</v>
      </c>
      <c r="F20" cm="1">
        <f t="array" ref="F20">_xll.FDS(C20,"FMA_COS_DOWN(""EPS"",""1M"",+1,0,,,""PORTAGG"",""MEANR"")")</f>
        <v>524</v>
      </c>
      <c r="G20" cm="1">
        <f t="array" ref="G20">_xll.FDS(A20,"SIZE(FG_CONSTITUENTS)")</f>
        <v>1412</v>
      </c>
      <c r="H20" s="9">
        <f t="shared" ref="H20" si="16">E20/$G20</f>
        <v>0.3293201133144476</v>
      </c>
      <c r="I20" s="9">
        <f t="shared" ref="I20" si="17">F20/$G20</f>
        <v>0.37110481586402266</v>
      </c>
      <c r="J20" s="9">
        <f t="shared" ref="J20" si="18">H20-I20</f>
        <v>-4.1784702549575059E-2</v>
      </c>
      <c r="K20" s="5" cm="1">
        <f t="array" ref="K20">_xll.FDS(A20,"FMA_PCT_ABOVE_MAVG(200,0,,,,""PORTAGG"")")/100</f>
        <v>0.67306325515280707</v>
      </c>
      <c r="L20" s="41" cm="1">
        <f t="array" ref="L20">_xll.FDSB(A20,"PERCENT_CHANGE(FMA_EPS(+1,0,,,,""PORTAGG"",""MEAN""),FMA_EPS(+1,-1AM,,,,""PORTAGG"",""MEAN""))")</f>
        <v>-0.26833219618737397</v>
      </c>
      <c r="M20" s="41" cm="1">
        <f t="array" ref="M20">_xll.FDSB(A20,"PERCENT_CHANGE(FMA_EPS(+1,0,,,,""PORTAGG"",""MEAN""),FMA_EPS(+1,-3AM,,,,""PORTAGG"",""MEAN""))")</f>
        <v>1.34652864186968</v>
      </c>
      <c r="N20" s="3" cm="1">
        <f t="array" ref="N20">_xll.FDS(C20,"FG_TOTAL_RETURNC(0,-1AM)")</f>
        <v>2.2853135999999998</v>
      </c>
      <c r="O20" s="3" cm="1">
        <f t="array" ref="O20">_xll.FDS(C20,"FG_TOTAL_RETURNC(0,-3AM)")</f>
        <v>6.3354489999999997</v>
      </c>
      <c r="P20" s="3" cm="1">
        <f t="array" ref="P20">_xll.FDS(C20,"FG_TOTAL_RETURNC(0,-6AM)")</f>
        <v>9.2954270000000001</v>
      </c>
      <c r="Q20" s="9" cm="1">
        <f t="array" ref="Q20">_xll.FDS(C20,"P_PRICE(0)/P_PRICE_HIGH_PR(0,,,,,,""PRICE"",""INTRA"",""52W"")")</f>
        <v>0.99843599999999999</v>
      </c>
      <c r="R20" s="9" cm="1">
        <f t="array" ref="R20">_xll.FDS(C20,"P_PRICE(0)/P_PRICE_low_PR(0,,,,,,""PRICE"",""INTRA"",""52W"")-1")</f>
        <v>0.36966001999999998</v>
      </c>
      <c r="S20" s="3" cm="1">
        <f t="array" ref="S20">_xll.FDS(C20,"FG_TOTAL_RETURNC(0,-12AM)")</f>
        <v>33.551406999999998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92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199</v>
      </c>
      <c r="H21" s="9">
        <f t="shared" ref="H21:H22" si="20">E21/$G21</f>
        <v>0.46231155778894473</v>
      </c>
      <c r="I21" s="9">
        <f t="shared" ref="I21:I22" si="21">F21/$G21</f>
        <v>0.4120603015075377</v>
      </c>
      <c r="J21" s="9">
        <f t="shared" ref="J21:J22" si="22">H21-I21</f>
        <v>5.0251256281407031E-2</v>
      </c>
      <c r="K21" s="5" cm="1">
        <f t="array" ref="K21">_xll.FDS(A21,"FMA_PCT_ABOVE_MAVG(200,0,,,,""PORTAGG"")")/100</f>
        <v>0.49246231155778902</v>
      </c>
      <c r="L21" s="41" cm="1">
        <f t="array" ref="L21">_xll.FDSB(A21,"PERCENT_CHANGE(FMA_EPS(+1,0,,,,""PORTAGG"",""MEAN""),FMA_EPS(+1,-1AM,,,,""PORTAGG"",""MEAN""))")</f>
        <v>0.39244533269803999</v>
      </c>
      <c r="M21" s="41" cm="1">
        <f t="array" ref="M21">_xll.FDSB(A21,"PERCENT_CHANGE(FMA_EPS(+1,0,,,,""PORTAGG"",""MEAN""),FMA_EPS(+1,-3AM,,,,""PORTAGG"",""MEAN""))")</f>
        <v>12.437019186603999</v>
      </c>
      <c r="N21" s="3" cm="1">
        <f t="array" ref="N21">_xll.FDS(C21,"FG_TOTAL_RETURNC(0,-1AM)")</f>
        <v>1.7565846000000001</v>
      </c>
      <c r="O21" s="3" cm="1">
        <f t="array" ref="O21">_xll.FDS(C21,"FG_TOTAL_RETURNC(0,-3AM)")</f>
        <v>7.8935623000000001</v>
      </c>
      <c r="P21" s="3" cm="1">
        <f t="array" ref="P21">_xll.FDS(C21,"FG_TOTAL_RETURNC(0,-6AM)")</f>
        <v>2.6888610000000002</v>
      </c>
      <c r="Q21" s="9" cm="1">
        <f t="array" ref="Q21">_xll.FDS(C21,"P_PRICE(0)/P_PRICE_HIGH_PR(0,,,,,,""PRICE"",""INTRA"",""52W"")")</f>
        <v>0.99658656000000001</v>
      </c>
      <c r="R21" s="9" cm="1">
        <f t="array" ref="R21">_xll.FDS(C21,"P_PRICE(0)/P_PRICE_low_PR(0,,,,,,""PRICE"",""INTRA"",""52W"")-1")</f>
        <v>0.27604889999999999</v>
      </c>
      <c r="S21" s="3" cm="1">
        <f t="array" ref="S21">_xll.FDS(C21,"FG_TOTAL_RETURNC(0,-12AM)")</f>
        <v>22.189045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153</v>
      </c>
      <c r="F22" cm="1">
        <f t="array" ref="F22">_xll.FDS(C22,"FMA_COS_DOWN(""EPS"",""1M"",+1,0,,,""PORTAGG"",""MEANR"")")</f>
        <v>162</v>
      </c>
      <c r="G22" cm="1">
        <f t="array" ref="G22">_xll.FDS(A22,"SIZE(FG_CONSTITUENTS)")</f>
        <v>503</v>
      </c>
      <c r="H22" s="9">
        <f t="shared" si="20"/>
        <v>0.30417495029821073</v>
      </c>
      <c r="I22" s="9">
        <f t="shared" si="21"/>
        <v>0.32206759443339961</v>
      </c>
      <c r="J22" s="9">
        <f t="shared" si="22"/>
        <v>-1.7892644135188873E-2</v>
      </c>
      <c r="K22" s="5" cm="1">
        <f t="array" ref="K22">_xll.FDS(A22,"FMA_PCT_ABOVE_MAVG(200,0,,,,""PORTAGG"")")/100</f>
        <v>0.7385229540918159</v>
      </c>
      <c r="L22" s="41" cm="1">
        <f t="array" ref="L22">_xll.FDSB(A22,"PERCENT_CHANGE(FMA_EPS(+1,0,,,,""PORTAGG"",""MEAN""),FMA_EPS(+1,-1AM,,,,""PORTAGG"",""MEAN""))")</f>
        <v>-0.83278610171017797</v>
      </c>
      <c r="M22" s="41" cm="1">
        <f t="array" ref="M22">_xll.FDSB(A22,"PERCENT_CHANGE(FMA_EPS(+1,0,,,,""PORTAGG"",""MEAN""),FMA_EPS(+1,-3AM,,,,""PORTAGG"",""MEAN""))")</f>
        <v>-1.25426322307386</v>
      </c>
      <c r="N22" s="3" cm="1">
        <f t="array" ref="N22">_xll.FDS(C22,"FG_TOTAL_RETURNC(0,-1AM)")</f>
        <v>2.2255897999999998</v>
      </c>
      <c r="O22" s="3" cm="1">
        <f t="array" ref="O22">_xll.FDS(C22,"FG_TOTAL_RETURNC(0,-3AM)")</f>
        <v>5.0676227000000003</v>
      </c>
      <c r="P22" s="3" cm="1">
        <f t="array" ref="P22">_xll.FDS(C22,"FG_TOTAL_RETURNC(0,-6AM)")</f>
        <v>10.081315</v>
      </c>
      <c r="Q22" s="9" cm="1">
        <f t="array" ref="Q22">_xll.FDS(C22,"P_PRICE(0)/P_PRICE_HIGH_PR(0,,,,,,""PRICE"",""INTRA"",""52W"")")</f>
        <v>0.99580650000000004</v>
      </c>
      <c r="R22" s="9" cm="1">
        <f t="array" ref="R22">_xll.FDS(C22,"P_PRICE(0)/P_PRICE_low_PR(0,,,,,,""PRICE"",""INTRA"",""52W"")-1")</f>
        <v>0.39854835999999999</v>
      </c>
      <c r="S22" s="3" cm="1">
        <f t="array" ref="S22">_xll.FDS(C22,"FG_TOTAL_RETURNC(0,-12AM)")</f>
        <v>36.148429999999998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24</v>
      </c>
      <c r="F23" cm="1">
        <f t="array" ref="F23">_xll.FDS(C23,"FMA_COS_DOWN(""EPS"",""1M"",+1,0,,,""PORTAGG"",""MEANR"")")</f>
        <v>20</v>
      </c>
      <c r="G23" cm="1">
        <f t="array" ref="G23">_xll.FDS(A23,"SIZE(FG_CONSTITUENTS)")</f>
        <v>53</v>
      </c>
      <c r="H23" s="9">
        <f t="shared" ref="H23" si="24">E23/$G23</f>
        <v>0.45283018867924529</v>
      </c>
      <c r="I23" s="9">
        <f t="shared" ref="I23" si="25">F23/$G23</f>
        <v>0.37735849056603776</v>
      </c>
      <c r="J23" s="9">
        <f t="shared" ref="J23" si="26">H23-I23</f>
        <v>7.547169811320753E-2</v>
      </c>
      <c r="K23" s="5" cm="1">
        <f t="array" ref="K23">_xll.FDS(A23,"FMA_PCT_ABOVE_MAVG(200,0,,,,""PORTAGG"")")/100</f>
        <v>0.74</v>
      </c>
      <c r="L23" s="41" cm="1">
        <f t="array" ref="L23">_xll.FDSB(A23,"PERCENT_CHANGE(FMA_EPS(+1,0,,,,""PORTAGG"",""MEAN""),FMA_EPS(+1,-1AM,,,,""PORTAGG"",""MEAN""))")</f>
        <v>3.3436128935135798</v>
      </c>
      <c r="M23" s="41" cm="1">
        <f t="array" ref="M23">_xll.FDSB(A23,"PERCENT_CHANGE(FMA_EPS(+1,0,,,,""PORTAGG"",""MEAN""),FMA_EPS(+1,-3AM,,,,""PORTAGG"",""MEAN""))")</f>
        <v>8.2194704179792009</v>
      </c>
      <c r="N23" s="3" cm="1">
        <f t="array" ref="N23">_xll.FDS(C23,"FG_TOTAL_RETURNC(0,-1AM)")</f>
        <v>20.180724999999999</v>
      </c>
      <c r="O23" s="3" cm="1">
        <f t="array" ref="O23">_xll.FDS(C23,"FG_TOTAL_RETURNC(0,-3AM)")</f>
        <v>23.290848</v>
      </c>
      <c r="P23" s="3" cm="1">
        <f t="array" ref="P23">_xll.FDS(C23,"FG_TOTAL_RETURNC(0,-6AM)")</f>
        <v>34.490810000000003</v>
      </c>
      <c r="Q23" s="9" cm="1">
        <f t="array" ref="Q23">_xll.FDS(C23,"P_PRICE(0)/P_PRICE_HIGH_PR(0,,,,,,""PRICE"",""INTRA"",""52W"")")</f>
        <v>0.99470239999999999</v>
      </c>
      <c r="R23" s="9" cm="1">
        <f t="array" ref="R23">_xll.FDS(C23,"P_PRICE(0)/P_PRICE_low_PR(0,,,,,,""PRICE"",""INTRA"",""52W"")-1")</f>
        <v>0.53020129999999999</v>
      </c>
      <c r="S23" s="3" cm="1">
        <f t="array" ref="S23">_xll.FDS(C23,"FG_TOTAL_RETURNC(0,-12AM)")</f>
        <v>24.46537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-0.20048405</v>
      </c>
      <c r="E4" s="9">
        <f>HLOOKUP(B4,'Monthly Returns'!$A$1:$Q$134, 132, FALSE)</f>
        <v>0.14049586776859505</v>
      </c>
      <c r="H4" s="9">
        <f>HLOOKUP(B4,'Yearly returns'!$B$1:$N$140, 133, FALSE)</f>
        <v>0.15702479338842976</v>
      </c>
      <c r="I4" s="9">
        <f>HLOOKUP(B4,'Yearly returns'!$B$1:$N$140, 138, FALSE)</f>
        <v>0.76200000000000001</v>
      </c>
      <c r="J4" s="183">
        <f>1/E4</f>
        <v>7.117647058823529</v>
      </c>
      <c r="K4" s="185">
        <f>PERCENTRANK($J$4:$J$16,J4)*100</f>
        <v>25</v>
      </c>
      <c r="L4" s="47">
        <f>(1-PERCENTRANK($E$4:$E$16,E4))*100</f>
        <v>50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75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-0.29917834999999998</v>
      </c>
      <c r="E5" s="9">
        <f>HLOOKUP(B5,'Monthly Returns'!$A$1:$Q$134, 132, FALSE)</f>
        <v>0.15702479338842976</v>
      </c>
      <c r="H5" s="9">
        <f>HLOOKUP(B5,'Yearly returns'!$B$1:$N$140, 133, FALSE)</f>
        <v>0.18181818181818182</v>
      </c>
      <c r="I5" s="9">
        <f>HLOOKUP(B5,'Yearly returns'!$B$1:$N$140, 138, FALSE)</f>
        <v>0.94199999999999995</v>
      </c>
      <c r="J5" s="183">
        <f t="shared" ref="J5:J16" si="0">1/E5</f>
        <v>6.3684210526315788</v>
      </c>
      <c r="K5" s="185">
        <f t="shared" ref="K5:K16" si="1">PERCENTRANK($J$4:$J$16,J5)*100</f>
        <v>16.600000000000001</v>
      </c>
      <c r="L5" s="47">
        <f t="shared" ref="L5:L16" si="2">(1-PERCENTRANK($E$4:$E$16,E5))*100</f>
        <v>16.700000000000003</v>
      </c>
      <c r="M5" s="47">
        <f t="shared" ref="M5:M16" si="3">(1-PERCENTRANK($H$4:$H$16,H5))*100</f>
        <v>25</v>
      </c>
      <c r="N5" s="47">
        <f t="shared" ref="N5:N16" si="4">(1-PERCENTRANK($I$4:$I$16,I5))*100</f>
        <v>25</v>
      </c>
      <c r="P5">
        <f>L5*Assumption!$E$53 + M5*Assumption!$F$53 + N5*Assumption!$G$53</f>
        <v>22.925000000000001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-0.26108724999999999</v>
      </c>
      <c r="E6" s="9">
        <f>HLOOKUP(B6,'Monthly Returns'!$A$1:$Q$134, 132, FALSE)</f>
        <v>0.14049586776859505</v>
      </c>
      <c r="H6" s="9">
        <f>HLOOKUP(B6,'Yearly returns'!$B$1:$N$140, 133, FALSE)</f>
        <v>0.15702479338842976</v>
      </c>
      <c r="I6" s="9">
        <f>HLOOKUP(B6,'Yearly returns'!$B$1:$N$140, 138, FALSE)</f>
        <v>0.89300000000000002</v>
      </c>
      <c r="J6" s="183">
        <f t="shared" si="0"/>
        <v>7.117647058823529</v>
      </c>
      <c r="K6" s="185">
        <f t="shared" si="1"/>
        <v>25</v>
      </c>
      <c r="L6" s="47">
        <f t="shared" si="2"/>
        <v>50</v>
      </c>
      <c r="M6" s="47">
        <f t="shared" si="3"/>
        <v>50</v>
      </c>
      <c r="N6" s="47">
        <f t="shared" si="4"/>
        <v>58.400000000000006</v>
      </c>
      <c r="P6">
        <f>L6*Assumption!$E$53 + M6*Assumption!$F$53 + N6*Assumption!$G$53</f>
        <v>54.2</v>
      </c>
      <c r="R6" cm="1">
        <f t="array" ref="R6">_xlfn.PERCENTRANK.EXC(_xlfn._xlws.FILTER(P$4:P$16, ISNUMBER(P$4:P$16)),P6)*100</f>
        <v>50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-0.20271795000000001</v>
      </c>
      <c r="E7" s="9">
        <f>HLOOKUP(B7,'Monthly Returns'!$A$1:$Q$134, 132, FALSE)</f>
        <v>0.16528925619834711</v>
      </c>
      <c r="H7" s="9">
        <f>HLOOKUP(B7,'Yearly returns'!$B$1:$N$140, 133, FALSE)</f>
        <v>0.23140495867768596</v>
      </c>
      <c r="I7" s="9">
        <f>HLOOKUP(B7,'Yearly returns'!$B$1:$N$140, 138, FALSE)</f>
        <v>0.94199999999999995</v>
      </c>
      <c r="J7" s="183">
        <f t="shared" si="0"/>
        <v>6.05</v>
      </c>
      <c r="K7" s="185">
        <f t="shared" si="1"/>
        <v>0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25</v>
      </c>
      <c r="P7">
        <f>L7*Assumption!$E$53 + M7*Assumption!$F$53 + N7*Assumption!$G$53</f>
        <v>16.7</v>
      </c>
      <c r="R7" cm="1">
        <f t="array" ref="R7">_xlfn.PERCENTRANK.EXC(_xlfn._xlws.FILTER(P$4:P$16, ISNUMBER(P$4:P$16)),P7)*100</f>
        <v>14.2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-0.10571659</v>
      </c>
      <c r="E8" s="9">
        <f>HLOOKUP(B8,'Monthly Returns'!$A$1:$Q$134, 132, FALSE)</f>
        <v>0.12396694214876033</v>
      </c>
      <c r="H8" s="9">
        <f>HLOOKUP(B8,'Yearly returns'!$B$1:$N$140, 133, FALSE)</f>
        <v>0.12396694214876033</v>
      </c>
      <c r="I8" s="9">
        <f>HLOOKUP(B8,'Yearly returns'!$B$1:$N$140, 138, FALSE)</f>
        <v>0.88500000000000001</v>
      </c>
      <c r="J8" s="183">
        <f t="shared" si="0"/>
        <v>8.0666666666666664</v>
      </c>
      <c r="K8" s="185">
        <f t="shared" si="1"/>
        <v>58.3</v>
      </c>
      <c r="L8" s="47">
        <f t="shared" si="2"/>
        <v>66.7</v>
      </c>
      <c r="M8" s="47">
        <f t="shared" si="3"/>
        <v>58.400000000000006</v>
      </c>
      <c r="N8" s="47">
        <f t="shared" si="4"/>
        <v>66.7</v>
      </c>
      <c r="P8">
        <f>L8*Assumption!$E$53 + M8*Assumption!$F$53 + N8*Assumption!$G$53</f>
        <v>64.625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-0.10537786</v>
      </c>
      <c r="E9" s="9">
        <f>HLOOKUP(B9,'Monthly Returns'!$A$1:$Q$134, 132, FALSE)</f>
        <v>0.11570247933884298</v>
      </c>
      <c r="H9" s="9">
        <f>HLOOKUP(B9,'Yearly returns'!$B$1:$N$140, 133, FALSE)</f>
        <v>9.9173553719008267E-2</v>
      </c>
      <c r="I9" s="9">
        <f>HLOOKUP(B9,'Yearly returns'!$B$1:$N$140, 138, FALSE)</f>
        <v>0.90100000000000002</v>
      </c>
      <c r="J9" s="183">
        <f t="shared" si="0"/>
        <v>8.6428571428571423</v>
      </c>
      <c r="K9" s="185">
        <f t="shared" si="1"/>
        <v>75</v>
      </c>
      <c r="L9" s="47">
        <f t="shared" si="2"/>
        <v>91.7</v>
      </c>
      <c r="M9" s="47">
        <f t="shared" si="3"/>
        <v>83.399999999999991</v>
      </c>
      <c r="N9" s="47">
        <f t="shared" si="4"/>
        <v>50</v>
      </c>
      <c r="P9">
        <f>L9*Assumption!$E$53 + M9*Assumption!$F$53 + N9*Assumption!$G$53</f>
        <v>68.775000000000006</v>
      </c>
      <c r="R9" cm="1">
        <f t="array" ref="R9">_xlfn.PERCENTRANK.EXC(_xlfn._xlws.FILTER(P$4:P$16, ISNUMBER(P$4:P$16)),P9)*100</f>
        <v>71.399999999999991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-0.20766878</v>
      </c>
      <c r="E10" s="9">
        <f>HLOOKUP(B10,'Monthly Returns'!$A$1:$Q$134, 132, FALSE)</f>
        <v>0.11570247933884298</v>
      </c>
      <c r="H10" s="9">
        <f>HLOOKUP(B10,'Yearly returns'!$B$1:$N$140, 133, FALSE)</f>
        <v>0.17355371900826447</v>
      </c>
      <c r="I10" s="9">
        <f>HLOOKUP(B10,'Yearly returns'!$B$1:$N$140, 138, FALSE)</f>
        <v>0.90900000000000003</v>
      </c>
      <c r="J10" s="183">
        <f t="shared" si="0"/>
        <v>8.6428571428571423</v>
      </c>
      <c r="K10" s="185">
        <f t="shared" si="1"/>
        <v>75</v>
      </c>
      <c r="L10" s="47">
        <f t="shared" si="2"/>
        <v>91.7</v>
      </c>
      <c r="M10" s="47">
        <f t="shared" si="3"/>
        <v>33.4</v>
      </c>
      <c r="N10" s="47">
        <f t="shared" si="4"/>
        <v>41.7</v>
      </c>
      <c r="P10">
        <f>L10*Assumption!$E$53 + M10*Assumption!$F$53 + N10*Assumption!$G$53</f>
        <v>52.125</v>
      </c>
      <c r="R10" cm="1">
        <f t="array" ref="R10">_xlfn.PERCENTRANK.EXC(_xlfn._xlws.FILTER(P$4:P$16, ISNUMBER(P$4:P$16)),P10)*100</f>
        <v>42.8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-0.15460497000000001</v>
      </c>
      <c r="E11" s="9">
        <f>HLOOKUP(B11,'Monthly Returns'!$A$1:$Q$134, 132, FALSE)</f>
        <v>0.12396694214876033</v>
      </c>
      <c r="H11" s="9">
        <f>HLOOKUP(B11,'Yearly returns'!$B$1:$N$140, 133, FALSE)</f>
        <v>8.2644628099173556E-2</v>
      </c>
      <c r="I11" s="9">
        <f>HLOOKUP(B11,'Yearly returns'!$B$1:$N$140, 138, FALSE)</f>
        <v>0.83599999999999997</v>
      </c>
      <c r="J11" s="183">
        <f t="shared" si="0"/>
        <v>8.0666666666666664</v>
      </c>
      <c r="K11" s="185">
        <f t="shared" si="1"/>
        <v>58.3</v>
      </c>
      <c r="L11" s="47">
        <f t="shared" si="2"/>
        <v>66.7</v>
      </c>
      <c r="M11" s="47">
        <f t="shared" si="3"/>
        <v>91.7</v>
      </c>
      <c r="N11" s="47">
        <f t="shared" si="4"/>
        <v>83.399999999999991</v>
      </c>
      <c r="P11">
        <f>L11*Assumption!$E$53 + M11*Assumption!$F$53 + N11*Assumption!$G$53</f>
        <v>81.3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-0.14296393999999998</v>
      </c>
      <c r="E12" s="9">
        <f>HLOOKUP(B12,'Monthly Returns'!$A$1:$Q$134, 132, FALSE)</f>
        <v>9.0909090909090912E-2</v>
      </c>
      <c r="H12" s="9">
        <f>HLOOKUP(B12,'Yearly returns'!$B$1:$N$140, 133, FALSE)</f>
        <v>4.1322314049586778E-2</v>
      </c>
      <c r="I12" s="9">
        <f>HLOOKUP(B12,'Yearly returns'!$B$1:$N$140, 138, FALSE)</f>
        <v>0.94199999999999995</v>
      </c>
      <c r="J12" s="183">
        <f t="shared" si="0"/>
        <v>11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25</v>
      </c>
      <c r="P12">
        <f>L12*Assumption!$E$53 + M12*Assumption!$F$53 + N12*Assumption!$G$53</f>
        <v>62.5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-0.18985610999999999</v>
      </c>
      <c r="E13" s="9">
        <f>HLOOKUP(B13,'Monthly Returns'!$A$1:$Q$134, 132, FALSE)</f>
        <v>0.11570247933884298</v>
      </c>
      <c r="H13" s="9">
        <f>HLOOKUP(B13,'Yearly returns'!$B$1:$N$140, 133, FALSE)</f>
        <v>0.11570247933884298</v>
      </c>
      <c r="I13" s="9">
        <f>HLOOKUP(B13,'Yearly returns'!$B$1:$N$140, 138, FALSE)</f>
        <v>0.77800000000000002</v>
      </c>
      <c r="J13" s="183">
        <f t="shared" si="0"/>
        <v>8.6428571428571423</v>
      </c>
      <c r="K13" s="185">
        <f t="shared" si="1"/>
        <v>75</v>
      </c>
      <c r="L13" s="47">
        <f t="shared" si="2"/>
        <v>91.7</v>
      </c>
      <c r="M13" s="47">
        <f t="shared" si="3"/>
        <v>75</v>
      </c>
      <c r="N13" s="47">
        <f t="shared" si="4"/>
        <v>91.7</v>
      </c>
      <c r="P13">
        <f>L13*Assumption!$E$53 + M13*Assumption!$F$53 + N13*Assumption!$G$53</f>
        <v>87.525000000000006</v>
      </c>
      <c r="R13" cm="1">
        <f t="array" ref="R13">_xlfn.PERCENTRANK.EXC(_xlfn._xlws.FILTER(P$4:P$16, ISNUMBER(P$4:P$16)),P13)*100</f>
        <v>92.800000000000011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-0.16482089999999999</v>
      </c>
      <c r="E14" s="9">
        <f>HLOOKUP(B14,'Monthly Returns'!$A$1:$Q$134, 132, FALSE)</f>
        <v>0.14049586776859505</v>
      </c>
      <c r="H14" s="9">
        <f>HLOOKUP(B14,'Yearly returns'!$B$1:$N$140, 133, FALSE)</f>
        <v>0.11570247933884298</v>
      </c>
      <c r="I14" s="9">
        <f>HLOOKUP(B14,'Yearly returns'!$B$1:$N$140, 138, FALSE)</f>
        <v>0.90900000000000003</v>
      </c>
      <c r="J14" s="183">
        <f t="shared" si="0"/>
        <v>7.117647058823529</v>
      </c>
      <c r="K14" s="185">
        <f t="shared" si="1"/>
        <v>25</v>
      </c>
      <c r="L14" s="47">
        <f t="shared" si="2"/>
        <v>50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52.1</v>
      </c>
      <c r="R14" cm="1">
        <f t="array" ref="R14">_xlfn.PERCENTRANK.EXC(_xlfn._xlws.FILTER(P$4:P$16, ISNUMBER(P$4:P$16)),P14)*100</f>
        <v>35.699999999999996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-0.18926924000000001</v>
      </c>
      <c r="E15" s="9">
        <f>HLOOKUP(B15,'Monthly Returns'!$A$1:$Q$134, 132, FALSE)</f>
        <v>0.16528925619834711</v>
      </c>
      <c r="H15" s="9">
        <f>HLOOKUP(B15,'Yearly returns'!$B$1:$N$140, 133, FALSE)</f>
        <v>0.18181818181818182</v>
      </c>
      <c r="I15" s="9">
        <f>HLOOKUP(B15,'Yearly returns'!$B$1:$N$140, 138, FALSE)</f>
        <v>0.95</v>
      </c>
      <c r="J15" s="183">
        <f t="shared" si="0"/>
        <v>6.05</v>
      </c>
      <c r="K15" s="185">
        <f t="shared" si="1"/>
        <v>0</v>
      </c>
      <c r="L15" s="47">
        <f t="shared" si="2"/>
        <v>8.3999999999999968</v>
      </c>
      <c r="M15" s="47">
        <f t="shared" si="3"/>
        <v>25</v>
      </c>
      <c r="N15" s="47">
        <f t="shared" si="4"/>
        <v>0</v>
      </c>
      <c r="P15">
        <f>L15*Assumption!$E$53 + M15*Assumption!$F$53 + N15*Assumption!$G$53</f>
        <v>8.35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-0.24223607999999999</v>
      </c>
      <c r="E16" s="9">
        <f>HLOOKUP(B16,'Monthly Returns'!$A$1:$Q$134, 132, FALSE)</f>
        <v>0.14049586776859505</v>
      </c>
      <c r="H16" s="9">
        <f>HLOOKUP(B16,'Yearly returns'!$B$1:$N$140, 133, FALSE)</f>
        <v>0.2975206611570248</v>
      </c>
      <c r="I16" s="9">
        <f>HLOOKUP(B16,'Yearly returns'!$B$1:$N$140, 138, FALSE)</f>
        <v>0.86</v>
      </c>
      <c r="J16" s="183">
        <f t="shared" si="0"/>
        <v>7.117647058823529</v>
      </c>
      <c r="K16" s="185">
        <f t="shared" si="1"/>
        <v>25</v>
      </c>
      <c r="L16" s="47">
        <f t="shared" si="2"/>
        <v>50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50</v>
      </c>
      <c r="R16" cm="1">
        <f t="array" ref="R16">_xlfn.PERCENTRANK.EXC(_xlfn._xlws.FILTER(P$4:P$16, ISNUMBER(P$4:P$16)),P16)*100</f>
        <v>28.499999999999996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0.50800000000000001</v>
      </c>
      <c r="G5" s="141" cm="1">
        <f t="array" ref="G5">_xll.FDSZ(C5,"FG_PRICE(0)")</f>
        <v>49.69</v>
      </c>
      <c r="H5" s="141" cm="1">
        <f t="array" ref="H5">_xll.FDSZ(C5,"FG_PRICE_MAVG(0,,,,30)")</f>
        <v>49.202379999999998</v>
      </c>
      <c r="I5" s="141" cm="1">
        <f t="array" ref="I5">_xll.FDSZ(C5,"FG_PRICE_MAVG(0,,,,60)")</f>
        <v>47.699283999999999</v>
      </c>
      <c r="J5" s="141" cm="1">
        <f t="array" ref="J5">_xll.FDSZ(C5,"FG_PRICE_MAVG(0,,,,200)")</f>
        <v>46.425564000000001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419.74720000000002</v>
      </c>
      <c r="T5" s="7" cm="1">
        <f t="array" ref="T5">_xll.FDSZ($R5,"FG_PRICE(0)")</f>
        <v>419.74720000000002</v>
      </c>
      <c r="U5" s="7" cm="1">
        <f t="array" ref="U5">_xll.FDSZ($R5,"FG_PRICE(0)")</f>
        <v>419.74720000000002</v>
      </c>
      <c r="V5" s="7" cm="1">
        <f t="array" ref="V5">_xll.FDSZ($R5,"FG_PRICE(0)")</f>
        <v>419.74720000000002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0.80300000000000005</v>
      </c>
      <c r="G6" s="141" cm="1">
        <f t="array" ref="G6">_xll.FDSZ(C6,"FG_PRICE(0)")</f>
        <v>26.97</v>
      </c>
      <c r="H6" s="141" cm="1">
        <f t="array" ref="H6">_xll.FDSZ(C6,"FG_PRICE_MAVG(0,,,,30)")</f>
        <v>25.931667000000001</v>
      </c>
      <c r="I6" s="141" cm="1">
        <f t="array" ref="I6">_xll.FDSZ(C6,"FG_PRICE_MAVG(0,,,,60)")</f>
        <v>25.298334000000001</v>
      </c>
      <c r="J6" s="141" cm="1">
        <f t="array" ref="J6">_xll.FDSZ(C6,"FG_PRICE_MAVG(0,,,,200)")</f>
        <v>24.466200000000001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395.03967</v>
      </c>
      <c r="T6" s="7" cm="1">
        <f t="array" ref="T6">_xll.FDSZ($R6,"FG_PRICE(0)")</f>
        <v>395.03967</v>
      </c>
      <c r="U6" s="7" cm="1">
        <f t="array" ref="U6">_xll.FDSZ($R6,"FG_PRICE(0)")</f>
        <v>395.03967</v>
      </c>
      <c r="V6" s="7" cm="1">
        <f t="array" ref="V6">_xll.FDSZ($R6,"FG_PRICE(0)")</f>
        <v>395.03967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0.69599999999999995</v>
      </c>
      <c r="G7" s="141" cm="1">
        <f t="array" ref="G7">_xll.FDSZ(C7,"FG_PRICE(0)")</f>
        <v>41.66</v>
      </c>
      <c r="H7" s="141" cm="1">
        <f t="array" ref="H7">_xll.FDSZ(C7,"FG_PRICE_MAVG(0,,,,30)")</f>
        <v>40.337000000000003</v>
      </c>
      <c r="I7" s="141" cm="1">
        <f t="array" ref="I7">_xll.FDSZ(C7,"FG_PRICE_MAVG(0,,,,60)")</f>
        <v>39.226165999999999</v>
      </c>
      <c r="J7" s="141" cm="1">
        <f t="array" ref="J7">_xll.FDSZ(C7,"FG_PRICE_MAVG(0,,,,200)")</f>
        <v>37.746549999999999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319.34127999999998</v>
      </c>
      <c r="T7" s="7" cm="1">
        <f t="array" ref="T7">_xll.FDSZ($R7,"FG_PRICE(0)")</f>
        <v>319.34127999999998</v>
      </c>
      <c r="U7" s="7" cm="1">
        <f t="array" ref="U7">_xll.FDSZ($R7,"FG_PRICE(0)")</f>
        <v>319.34127999999998</v>
      </c>
      <c r="V7" s="7" cm="1">
        <f t="array" ref="V7">_xll.FDSZ($R7,"FG_PRICE(0)")</f>
        <v>319.34127999999998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0.69599999999999995</v>
      </c>
      <c r="G8" s="141" cm="1">
        <f t="array" ref="G8">_xll.FDSZ(C8,"FG_PRICE(0)")</f>
        <v>33.700000000000003</v>
      </c>
      <c r="H8" s="141" cm="1">
        <f t="array" ref="H8">_xll.FDSZ(C8,"FG_PRICE_MAVG(0,,,,30)")</f>
        <v>32.382668000000002</v>
      </c>
      <c r="I8" s="141" cm="1">
        <f t="array" ref="I8">_xll.FDSZ(C8,"FG_PRICE_MAVG(0,,,,60)")</f>
        <v>31.616</v>
      </c>
      <c r="J8" s="141" cm="1">
        <f t="array" ref="J8">_xll.FDSZ(C8,"FG_PRICE_MAVG(0,,,,200)")</f>
        <v>30.846800000000002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10.215527</v>
      </c>
      <c r="T8" s="7" cm="1">
        <f t="array" ref="T8">_xll.FDSZ($R8,"FG_PRICE(0)")</f>
        <v>10.215527</v>
      </c>
      <c r="U8" s="7" cm="1">
        <f t="array" ref="U8">_xll.FDSZ($R8,"FG_PRICE(0)")</f>
        <v>10.215527</v>
      </c>
      <c r="V8" s="7" cm="1">
        <f t="array" ref="V8">_xll.FDSZ($R8,"FG_PRICE(0)")</f>
        <v>10.215527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0.57299999999999995</v>
      </c>
      <c r="G9" s="141" cm="1">
        <f t="array" ref="G9">_xll.FDSZ(C9,"FG_PRICE(0)")</f>
        <v>72.989999999999995</v>
      </c>
      <c r="H9" s="141" cm="1">
        <f t="array" ref="H9">_xll.FDSZ(C9,"FG_PRICE_MAVG(0,,,,30)")</f>
        <v>70.674329999999998</v>
      </c>
      <c r="I9" s="141" cm="1">
        <f t="array" ref="I9">_xll.FDSZ(C9,"FG_PRICE_MAVG(0,,,,60)")</f>
        <v>69.613500000000002</v>
      </c>
      <c r="J9" s="141" cm="1">
        <f t="array" ref="J9">_xll.FDSZ(C9,"FG_PRICE_MAVG(0,,,,200)")</f>
        <v>68.219549999999998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185.49318</v>
      </c>
      <c r="T9" s="7" cm="1">
        <f t="array" ref="T9">_xll.FDSZ($R9,"FG_PRICE(0)")</f>
        <v>185.49318</v>
      </c>
      <c r="U9" s="7" cm="1">
        <f t="array" ref="U9">_xll.FDSZ($R9,"FG_PRICE(0)")</f>
        <v>185.49318</v>
      </c>
      <c r="V9" s="7" cm="1">
        <f t="array" ref="V9">_xll.FDSZ($R9,"FG_PRICE(0)")</f>
        <v>185.49318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0.34399999999999997</v>
      </c>
      <c r="G10" s="141" cm="1">
        <f t="array" ref="G10">_xll.FDSZ(C10,"FG_PRICE(0)")</f>
        <v>52.33</v>
      </c>
      <c r="H10" s="141" cm="1">
        <f t="array" ref="H10">_xll.FDSZ(C10,"FG_PRICE_MAVG(0,,,,30)")</f>
        <v>51.684666</v>
      </c>
      <c r="I10" s="141" cm="1">
        <f t="array" ref="I10">_xll.FDSZ(C10,"FG_PRICE_MAVG(0,,,,60)")</f>
        <v>50.629665000000003</v>
      </c>
      <c r="J10" s="141" cm="1">
        <f t="array" ref="J10">_xll.FDSZ(C10,"FG_PRICE_MAVG(0,,,,200)")</f>
        <v>48.4422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355.61556999999999</v>
      </c>
      <c r="T10" s="7" cm="1">
        <f t="array" ref="T10">_xll.FDSZ($R10,"FG_PRICE(0)")</f>
        <v>355.61556999999999</v>
      </c>
      <c r="U10" s="7" cm="1">
        <f t="array" ref="U10">_xll.FDSZ($R10,"FG_PRICE(0)")</f>
        <v>355.61556999999999</v>
      </c>
      <c r="V10" s="7" cm="1">
        <f t="array" ref="V10">_xll.FDSZ($R10,"FG_PRICE(0)")</f>
        <v>355.61556999999999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0.40100000000000002</v>
      </c>
      <c r="G11" s="141" cm="1">
        <f t="array" ref="G11">_xll.FDSZ(C11,"FG_PRICE(0)")</f>
        <v>37.659999999999997</v>
      </c>
      <c r="H11" s="141" cm="1">
        <f t="array" ref="H11">_xll.FDSZ(C11,"FG_PRICE_MAVG(0,,,,30)")</f>
        <v>37.075670000000002</v>
      </c>
      <c r="I11" s="141" cm="1">
        <f t="array" ref="I11">_xll.FDSZ(C11,"FG_PRICE_MAVG(0,,,,60)")</f>
        <v>36.331833000000003</v>
      </c>
      <c r="J11" s="141" cm="1">
        <f t="array" ref="J11">_xll.FDSZ(C11,"FG_PRICE_MAVG(0,,,,200)")</f>
        <v>34.66395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136.45683</v>
      </c>
      <c r="T11" s="7" cm="1">
        <f t="array" ref="T11">_xll.FDSZ($R11,"FG_PRICE(0)")</f>
        <v>136.45683</v>
      </c>
      <c r="U11" s="7" cm="1">
        <f t="array" ref="U11">_xll.FDSZ($R11,"FG_PRICE(0)")</f>
        <v>136.45683</v>
      </c>
      <c r="V11" s="7" cm="1">
        <f t="array" ref="V11">_xll.FDSZ($R11,"FG_PRICE(0)")</f>
        <v>136.45683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0.52400000000000002</v>
      </c>
      <c r="G12" s="141" cm="1">
        <f t="array" ref="G12">_xll.FDSZ(C12,"FG_PRICE(0)")</f>
        <v>489.47</v>
      </c>
      <c r="H12" s="141" cm="1">
        <f t="array" ref="H12">_xll.FDSZ(C12,"FG_PRICE_MAVG(0,,,,30)")</f>
        <v>474.12932999999998</v>
      </c>
      <c r="I12" s="141" cm="1">
        <f t="array" ref="I12">_xll.FDSZ(C12,"FG_PRICE_MAVG(0,,,,60)")</f>
        <v>472.35968000000003</v>
      </c>
      <c r="J12" s="141" cm="1">
        <f t="array" ref="J12">_xll.FDSZ(C12,"FG_PRICE_MAVG(0,,,,200)")</f>
        <v>447.89850000000001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429.54946999999999</v>
      </c>
      <c r="T12" s="7" cm="1">
        <f t="array" ref="T12">_xll.FDSZ($R12,"FG_PRICE(0)")</f>
        <v>429.54946999999999</v>
      </c>
      <c r="U12" s="7" cm="1">
        <f t="array" ref="U12">_xll.FDSZ($R12,"FG_PRICE(0)")</f>
        <v>429.54946999999999</v>
      </c>
      <c r="V12" s="7" cm="1">
        <f t="array" ref="V12">_xll.FDSZ($R12,"FG_PRICE(0)")</f>
        <v>429.54946999999999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0.54</v>
      </c>
      <c r="G13" s="141" cm="1">
        <f t="array" ref="G13">_xll.FDSZ(C13,"FG_PRICE(0)")</f>
        <v>572.29999999999995</v>
      </c>
      <c r="H13" s="141" cm="1">
        <f t="array" ref="H13">_xll.FDSZ(C13,"FG_PRICE_MAVG(0,,,,30)")</f>
        <v>560.00463999999999</v>
      </c>
      <c r="I13" s="141" cm="1">
        <f t="array" ref="I13">_xll.FDSZ(C13,"FG_PRICE_MAVG(0,,,,60)")</f>
        <v>552.80999999999995</v>
      </c>
      <c r="J13" s="141" cm="1">
        <f t="array" ref="J13">_xll.FDSZ(C13,"FG_PRICE_MAVG(0,,,,200)")</f>
        <v>521.49270000000001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429.54946999999999</v>
      </c>
      <c r="T13" s="7" cm="1">
        <f t="array" ref="T13">_xll.FDSZ($R13,"FG_PRICE(0)")</f>
        <v>429.54946999999999</v>
      </c>
      <c r="U13" s="7" cm="1">
        <f t="array" ref="U13">_xll.FDSZ($R13,"FG_PRICE(0)")</f>
        <v>429.54946999999999</v>
      </c>
      <c r="V13" s="7" cm="1">
        <f t="array" ref="V13">_xll.FDSZ($R13,"FG_PRICE(0)")</f>
        <v>429.54946999999999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0.64700000000000002</v>
      </c>
      <c r="G14" s="141" cm="1">
        <f t="array" ref="G14">_xll.FDSZ(C14,"FG_PRICE(0)")</f>
        <v>41.1</v>
      </c>
      <c r="H14" s="141" cm="1">
        <f t="array" ref="H14">_xll.FDSZ(C14,"FG_PRICE_MAVG(0,,,,30)")</f>
        <v>39.546332999999997</v>
      </c>
      <c r="I14" s="141" cm="1">
        <f t="array" ref="I14">_xll.FDSZ(C14,"FG_PRICE_MAVG(0,,,,60)")</f>
        <v>38.919834000000002</v>
      </c>
      <c r="J14" s="141" cm="1">
        <f t="array" ref="J14">_xll.FDSZ(C14,"FG_PRICE_MAVG(0,,,,200)")</f>
        <v>39.632823999999999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429.54946999999999</v>
      </c>
      <c r="T14" s="7" cm="1">
        <f t="array" ref="T14">_xll.FDSZ($R14,"FG_PRICE(0)")</f>
        <v>429.54946999999999</v>
      </c>
      <c r="U14" s="7" cm="1">
        <f t="array" ref="U14">_xll.FDSZ($R14,"FG_PRICE(0)")</f>
        <v>429.54946999999999</v>
      </c>
      <c r="V14" s="7" cm="1">
        <f t="array" ref="V14">_xll.FDSZ($R14,"FG_PRICE(0)")</f>
        <v>429.54946999999999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0.51600000000000001</v>
      </c>
      <c r="G15" s="141" cm="1">
        <f t="array" ref="G15">_xll.FDSZ(C15,"FG_PRICE(0)")</f>
        <v>51.09</v>
      </c>
      <c r="H15" s="141" cm="1">
        <f t="array" ref="H15">_xll.FDSZ(C15,"FG_PRICE_MAVG(0,,,,30)")</f>
        <v>49.700670000000002</v>
      </c>
      <c r="I15" s="141" cm="1">
        <f t="array" ref="I15">_xll.FDSZ(C15,"FG_PRICE_MAVG(0,,,,60)")</f>
        <v>49.561165000000003</v>
      </c>
      <c r="J15" s="141" cm="1">
        <f t="array" ref="J15">_xll.FDSZ(C15,"FG_PRICE_MAVG(0,,,,200)")</f>
        <v>48.510759999999998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429.54946999999999</v>
      </c>
      <c r="T15" s="7" cm="1">
        <f t="array" ref="T15">_xll.FDSZ($R15,"FG_PRICE(0)")</f>
        <v>429.54946999999999</v>
      </c>
      <c r="U15" s="7" cm="1">
        <f t="array" ref="U15">_xll.FDSZ($R15,"FG_PRICE(0)")</f>
        <v>429.54946999999999</v>
      </c>
      <c r="V15" s="7" cm="1">
        <f t="array" ref="V15">_xll.FDSZ($R15,"FG_PRICE(0)")</f>
        <v>429.54946999999999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0.72099999999999997</v>
      </c>
      <c r="G16" s="141" cm="1">
        <f t="array" ref="G16">_xll.FDSZ(C16,"FG_PRICE(0)")</f>
        <v>43.83</v>
      </c>
      <c r="H16" s="141" cm="1">
        <f t="array" ref="H16">_xll.FDSZ(C16,"FG_PRICE_MAVG(0,,,,30)")</f>
        <v>41.600333999999997</v>
      </c>
      <c r="I16" s="141" cm="1">
        <f t="array" ref="I16">_xll.FDSZ(C16,"FG_PRICE_MAVG(0,,,,60)")</f>
        <v>40.703167000000001</v>
      </c>
      <c r="J16" s="141" cm="1">
        <f t="array" ref="J16">_xll.FDSZ(C16,"FG_PRICE_MAVG(0,,,,200)")</f>
        <v>39.874374000000003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429.54946999999999</v>
      </c>
      <c r="T16" s="7" cm="1">
        <f t="array" ref="T16">_xll.FDSZ($R16,"FG_PRICE(0)")</f>
        <v>429.54946999999999</v>
      </c>
      <c r="U16" s="7" cm="1">
        <f t="array" ref="U16">_xll.FDSZ($R16,"FG_PRICE(0)")</f>
        <v>429.54946999999999</v>
      </c>
      <c r="V16" s="7" cm="1">
        <f t="array" ref="V16">_xll.FDSZ($R16,"FG_PRICE(0)")</f>
        <v>429.54946999999999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0.55700000000000005</v>
      </c>
      <c r="G17" s="141" cm="1">
        <f t="array" ref="G17">_xll.FDSZ(C17,"FG_PRICE(0)")</f>
        <v>39.33</v>
      </c>
      <c r="H17" s="141" cm="1">
        <f t="array" ref="H17">_xll.FDSZ(C17,"FG_PRICE_MAVG(0,,,,30)")</f>
        <v>38.262664999999998</v>
      </c>
      <c r="I17" s="141" cm="1">
        <f t="array" ref="I17">_xll.FDSZ(C17,"FG_PRICE_MAVG(0,,,,60)")</f>
        <v>37.533000000000001</v>
      </c>
      <c r="J17" s="141" cm="1">
        <f t="array" ref="J17">_xll.FDSZ(C17,"FG_PRICE_MAVG(0,,,,200)")</f>
        <v>36.45335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429.54946999999999</v>
      </c>
      <c r="T17" s="7" cm="1">
        <f t="array" ref="T17">_xll.FDSZ($R17,"FG_PRICE(0)")</f>
        <v>429.54946999999999</v>
      </c>
      <c r="U17" s="7" cm="1">
        <f t="array" ref="U17">_xll.FDSZ($R17,"FG_PRICE(0)")</f>
        <v>429.54946999999999</v>
      </c>
      <c r="V17" s="7" cm="1">
        <f t="array" ref="V17">_xll.FDSZ($R17,"FG_PRICE(0)")</f>
        <v>429.54946999999999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13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1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92.54</v>
      </c>
      <c r="D3" cm="1">
        <f t="array" ref="D3">_xll.FDS($A3,"FG_PRICE_MAVG(0,,,,30)")</f>
        <v>94.614000000000004</v>
      </c>
      <c r="E3" s="47" cm="1">
        <f t="array" ref="E3">_xll.FDS($A3,"FG_PRICE_CHANGE(0,-1AM)")</f>
        <v>-6.0030472320974999</v>
      </c>
      <c r="F3" s="47" cm="1">
        <f t="array" ref="F3">_xll.FDS($A3,"FG_PRICE_CHANGE(0,-3AM)")</f>
        <v>-13.116139329640401</v>
      </c>
      <c r="G3" s="47" cm="1">
        <f t="array" ref="G3">_xll.FDS($A3,"FG_PRICE_CHANGE(0,-6AM)")</f>
        <v>-15.7501820830299</v>
      </c>
      <c r="H3" s="47" cm="1">
        <f t="array" ref="H3">_xll.FDS($A3,"FG_PRICE_CHANGE(0,-1AY)")</f>
        <v>-23.419397550479999</v>
      </c>
      <c r="I3" s="47" cm="1">
        <f t="array" ref="I3">_xll.FDS($A3,"FG_PRICE(0)/MAX(FG_PRICE(0,-1AY))")</f>
        <v>0.64192563817979997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4.5810000000000004</v>
      </c>
      <c r="D4" cm="1">
        <f t="array" ref="D4">_xll.FDS($A4,"FG_PRICE_MAVG(0,,,,30)")</f>
        <v>4.2013334999999996</v>
      </c>
      <c r="E4" s="47" cm="1">
        <f t="array" ref="E4">_xll.FDS($A4,"FG_PRICE_CHANGE(0,-1AM)")</f>
        <v>8.2850726864436908</v>
      </c>
      <c r="F4" s="47" cm="1">
        <f t="array" ref="F4">_xll.FDS($A4,"FG_PRICE_CHANGE(0,-3AM)")</f>
        <v>5.8334295945477797</v>
      </c>
      <c r="G4" s="47" cm="1">
        <f t="array" ref="G4">_xll.FDS($A4,"FG_PRICE_CHANGE(0,-6AM)")</f>
        <v>14.7401377582968</v>
      </c>
      <c r="H4" s="47" cm="1">
        <f t="array" ref="H4">_xll.FDS($A4,"FG_PRICE_CHANGE(0,-1AY)")</f>
        <v>26.302729528535998</v>
      </c>
      <c r="I4" s="47" cm="1">
        <f t="array" ref="I4">_xll.FDS($A4,"FG_PRICE(0)/MAX(FG_PRICE(0,-1AY))")</f>
        <v>0.89490134791951603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-12.9385520178463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5.8425000000000002</v>
      </c>
      <c r="D6" cm="1">
        <f t="array" ref="D6">_xll.FDS($A6,"FG_PRICE_MAVG(0,,,,30)")</f>
        <v>5.5095000000000001</v>
      </c>
      <c r="E6" s="47" cm="1">
        <f t="array" ref="E6">_xll.FDS($A6,"FG_PRICE_CHANGE(0,-1AM)")</f>
        <v>14.953271028037401</v>
      </c>
      <c r="F6" s="47" cm="1">
        <f t="array" ref="F6">_xll.FDS($A6,"FG_PRICE_CHANGE(0,-3AM)")</f>
        <v>4.3769539973202303</v>
      </c>
      <c r="G6" s="47" cm="1">
        <f t="array" ref="G6">_xll.FDS($A6,"FG_PRICE_CHANGE(0,-6AM)")</f>
        <v>6.7123287671233101</v>
      </c>
      <c r="H6" s="47" cm="1">
        <f t="array" ref="H6">_xll.FDS($A6,"FG_PRICE_CHANGE(0,-1AY)")</f>
        <v>0.819672131147553</v>
      </c>
      <c r="I6" s="47" cm="1">
        <f t="array" ref="I6">_xll.FDS($A6,"FG_PRICE(0)/MAX(FG_PRICE(0,-1AY))")</f>
        <v>0.83434487682970404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4235</v>
      </c>
      <c r="D7" cm="1">
        <f t="array" ref="D7">_xll.FDS($A7,"FG_PRICE_MAVG(0,,,,30)")</f>
        <v>3996.8332999999998</v>
      </c>
      <c r="E7" s="47" cm="1">
        <f t="array" ref="E7">_xll.FDS($A7,"FG_PRICE_CHANGE(0,-1AM)")</f>
        <v>5.7428214731585401</v>
      </c>
      <c r="F7" s="47" cm="1">
        <f t="array" ref="F7">_xll.FDS($A7,"FG_PRICE_CHANGE(0,-3AM)")</f>
        <v>7.3510773130545104</v>
      </c>
      <c r="G7" s="47" cm="1">
        <f t="array" ref="G7">_xll.FDS($A7,"FG_PRICE_CHANGE(0,-6AM)")</f>
        <v>-0.49342105263158198</v>
      </c>
      <c r="H7" s="47" cm="1">
        <f t="array" ref="H7">_xll.FDS($A7,"FG_PRICE_CHANGE(0,-1AY)")</f>
        <v>15.1441000543774</v>
      </c>
      <c r="I7" s="47" cm="1">
        <f t="array" ref="I7">_xll.FDS($A7,"FG_PRICE(0)/MAX(FG_PRICE(0,-1AY))")</f>
        <v>0.92487442673072695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1010</v>
      </c>
      <c r="D8" cm="1">
        <f t="array" ref="D8">_xll.FDS($A8,"FG_PRICE_MAVG(0,,,,30)")</f>
        <v>965.9</v>
      </c>
      <c r="E8" s="47" cm="1">
        <f t="array" ref="E8">_xll.FDS($A8,"FG_PRICE_CHANGE(0,-1AM)")</f>
        <v>4.7717842323651496</v>
      </c>
      <c r="F8" s="47" cm="1">
        <f t="array" ref="F8">_xll.FDS($A8,"FG_PRICE_CHANGE(0,-3AM)")</f>
        <v>0.19841269841269801</v>
      </c>
      <c r="G8" s="47" cm="1">
        <f t="array" ref="G8">_xll.FDS($A8,"FG_PRICE_CHANGE(0,-6AM)")</f>
        <v>12.849162011173201</v>
      </c>
      <c r="H8" s="47" cm="1">
        <f t="array" ref="H8">_xll.FDS($A8,"FG_PRICE_CHANGE(0,-1AY)")</f>
        <v>11.602209944751401</v>
      </c>
      <c r="I8" s="47" cm="1">
        <f t="array" ref="I8">_xll.FDS($A8,"FG_PRICE(0)/MAX(FG_PRICE(0,-1AY))")</f>
        <v>0.94480823199251596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16555</v>
      </c>
      <c r="D9" cm="1">
        <f t="array" ref="D9">_xll.FDS($A9,"FG_PRICE_MAVG(0,,,,30)")</f>
        <v>16217.5</v>
      </c>
      <c r="E9" s="47" cm="1">
        <f t="array" ref="E9">_xll.FDS($A9,"FG_PRICE_CHANGE(0,-1AM)")</f>
        <v>-1.66320166320166</v>
      </c>
      <c r="F9" s="47" cm="1">
        <f t="array" ref="F9">_xll.FDS($A9,"FG_PRICE_CHANGE(0,-3AM)")</f>
        <v>-1.66320166320166</v>
      </c>
      <c r="G9" s="47" cm="1">
        <f t="array" ref="G9">_xll.FDS($A9,"FG_PRICE_CHANGE(0,-6AM)")</f>
        <v>1.3778322106552401</v>
      </c>
      <c r="H9" s="47" cm="1">
        <f t="array" ref="H9">_xll.FDS($A9,"FG_PRICE_CHANGE(0,-1AY)")</f>
        <v>-11.4705882352941</v>
      </c>
      <c r="I9" s="47" cm="1">
        <f t="array" ref="I9">_xll.FDS($A9,"FG_PRICE(0)/MAX(FG_PRICE(0,-1AY))")</f>
        <v>0.77814336075205603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1065</v>
      </c>
      <c r="D10" cm="1">
        <f t="array" ref="D10">_xll.FDS($A10,"FG_PRICE_MAVG(0,,,,30)")</f>
        <v>1009.1667</v>
      </c>
      <c r="E10" s="47" cm="1">
        <f t="array" ref="E10">_xll.FDS($A10,"FG_PRICE_CHANGE(0,-1AM)")</f>
        <v>9.2307692307692193</v>
      </c>
      <c r="F10" s="47" cm="1">
        <f t="array" ref="F10">_xll.FDS($A10,"FG_PRICE_CHANGE(0,-3AM)")</f>
        <v>12.105263157894701</v>
      </c>
      <c r="G10" s="47" cm="1">
        <f t="array" ref="G10">_xll.FDS($A10,"FG_PRICE_CHANGE(0,-6AM)")</f>
        <v>8.6734693877551106</v>
      </c>
      <c r="H10" s="47" cm="1">
        <f t="array" ref="H10">_xll.FDS($A10,"FG_PRICE_CHANGE(0,-1AY)")</f>
        <v>-14.8</v>
      </c>
      <c r="I10" s="47" cm="1">
        <f t="array" ref="I10">_xll.FDS($A10,"FG_PRICE(0)/MAX(FG_PRICE(0,-1AY))")</f>
        <v>0.81734458940905597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593.9</v>
      </c>
      <c r="D11" cm="1">
        <f t="array" ref="D11">_xll.FDS($A11,"FG_PRICE_MAVG(0,,,,30)")</f>
        <v>544.82000000000005</v>
      </c>
      <c r="E11" s="47" cm="1">
        <f t="array" ref="E11">_xll.FDS($A11,"FG_PRICE_CHANGE(0,-1AM)")</f>
        <v>8.3759124087591204</v>
      </c>
      <c r="F11" s="47" cm="1">
        <f t="array" ref="F11">_xll.FDS($A11,"FG_PRICE_CHANGE(0,-3AM)")</f>
        <v>1.5040164074517</v>
      </c>
      <c r="G11" s="47" cm="1">
        <f t="array" ref="G11">_xll.FDS($A11,"FG_PRICE_CHANGE(0,-6AM)")</f>
        <v>-8.0080545229244109</v>
      </c>
      <c r="H11" s="47" cm="1">
        <f t="array" ref="H11">_xll.FDS($A11,"FG_PRICE_CHANGE(0,-1AY)")</f>
        <v>-16.269561539546</v>
      </c>
      <c r="I11" s="47" cm="1">
        <f t="array" ref="I11">_xll.FDS($A11,"FG_PRICE(0)/MAX(FG_PRICE(0,-1AY))")</f>
        <v>0.77796698978255197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</v>
      </c>
      <c r="D12" cm="1">
        <f t="array" ref="D12">_xll.FDS($A12,"FG_PRICE_MAVG(0,,,,30)")</f>
        <v>0.88732683999999995</v>
      </c>
      <c r="E12" s="47" cm="1">
        <f t="array" ref="E12">_xll.FDS($A12,"FG_PRICE_CHANGE(0,-1AM)")</f>
        <v>-1.4597175163638501</v>
      </c>
      <c r="F12" s="47" cm="1">
        <f t="array" ref="F12">_xll.FDS($A12,"FG_PRICE_CHANGE(0,-3AM)")</f>
        <v>-6.0974590569982396</v>
      </c>
      <c r="G12" s="47" cm="1">
        <f t="array" ref="G12">_xll.FDS($A12,"FG_PRICE_CHANGE(0,-6AM)")</f>
        <v>-8.2413644175443395</v>
      </c>
      <c r="H12" s="47" cm="1">
        <f t="array" ref="H12">_xll.FDS($A12,"FG_PRICE_CHANGE(0,-1AY)")</f>
        <v>-11.8769449659505</v>
      </c>
      <c r="I12" s="47" cm="1">
        <f t="array" ref="I12">_xll.FDS($A12,"FG_PRICE(0)/MAX(FG_PRICE(0,-1AY))")</f>
        <v>0.84615384615384603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41908</v>
      </c>
      <c r="B2" s="3" cm="1">
        <f t="array" ref="B2:B122">_xll.FDS(B1,"FMA_PE(LTMA,-10AY,0,AM,""PORTAGG"",""MEANR"")")</f>
        <v>17.904143439210401</v>
      </c>
      <c r="C2" s="3" cm="1">
        <f t="array" ref="C2:C122">_xll.FDS(C1,"FMA_PE(LTMA,-10AY,0,AM,""PORTAGG"",""MEANR"")")</f>
        <v>14.718470095515499</v>
      </c>
      <c r="D2" s="3" cm="1">
        <f t="array" ref="D2:D122">_xll.FDS(D1,"FMA_PE(LTMA,-10AY,0,AM,""PORTAGG"",""MEANR"")")</f>
        <v>15.9895560942524</v>
      </c>
      <c r="E2" s="3" cm="1">
        <f t="array" ref="E2:E122">_xll.FDS(E1,"FMA_PE(LTMA,-10AY,0,AM,""PORTAGG"",""MEANR"")")</f>
        <v>14.064598256027301</v>
      </c>
      <c r="F2" s="3" cm="1">
        <f t="array" ref="F2:F122">_xll.FDS(F1,"FMA_PE(LTMA,-10AY,0,AM,""PORTAGG"",""MEANR"")")</f>
        <v>15.428607525540301</v>
      </c>
      <c r="G2" s="3" cm="1">
        <f t="array" ref="G2:G122">_xll.FDS(G1,"FMA_PE(LTMA,-10AY,0,AM,""PORTAGG"",""MEANR"")")</f>
        <v>17.2698775866963</v>
      </c>
      <c r="H2" s="3" cm="1">
        <f t="array" ref="H2:H122">_xll.FDS(H1,"FMA_PE(LTMA,-10AY,0,AM,""PORTAGG"",""MEANR"")")</f>
        <v>13.962348114274301</v>
      </c>
      <c r="I2" s="3" cm="1">
        <f t="array" ref="I2:I122">_xll.FDS(I1,"FMA_PE(LTMA,-10AY,0,AM,""PORTAGG"",""MEANR"")")</f>
        <v>19.329719137003899</v>
      </c>
      <c r="J2" s="3" cm="1">
        <f t="array" ref="J2:J122">_xll.FDS(J1,"FMA_PE(LTMA,-10AY,0,AM,""PORTAGG"",""MEANR"")")</f>
        <v>16.433304869852901</v>
      </c>
      <c r="K2" s="3" cm="1">
        <f t="array" ref="K2:K122">_xll.FDS(K1,"FMA_PE(LTMA,-10AY,0,AM,""PORTAGG"",""MEANR"")")</f>
        <v>15.3731192448609</v>
      </c>
      <c r="L2" s="3" cm="1">
        <f t="array" ref="L2:L122">_xll.FDS(L1,"FMA_PE(LTMA,-10AY,0,AM,""PORTAGG"",""MEANR"")")</f>
        <v>16.758782740630501</v>
      </c>
      <c r="M2" s="3" cm="1">
        <f t="array" ref="M2:M122">_xll.FDS(M1,"FMA_PE(LTMA,-10AY,0,AM,""PORTAGG"",""MEANR"")")</f>
        <v>15.9975096250154</v>
      </c>
      <c r="N2" s="3" cm="1">
        <f t="array" ref="N2:N122">_xll.FDS(N1,"FMA_PE(LTMA,-10AY,0,AM,""PORTAGG"",""MEANR"")")</f>
        <v>17.859914773193399</v>
      </c>
    </row>
    <row r="3" spans="1:14" x14ac:dyDescent="0.35">
      <c r="A3" s="2">
        <v>41939</v>
      </c>
      <c r="B3" s="3">
        <v>18.229348639484499</v>
      </c>
      <c r="C3" s="3">
        <v>15.2076713708369</v>
      </c>
      <c r="D3" s="3">
        <v>15.566611775188299</v>
      </c>
      <c r="E3" s="3">
        <v>13.2929322481935</v>
      </c>
      <c r="F3" s="3">
        <v>14.7065166267534</v>
      </c>
      <c r="G3" s="3">
        <v>16.865670402432599</v>
      </c>
      <c r="H3" s="3">
        <v>13.5071981027428</v>
      </c>
      <c r="I3" s="3">
        <v>19.250041187960299</v>
      </c>
      <c r="J3" s="3">
        <v>16.364637951062399</v>
      </c>
      <c r="K3" s="3">
        <v>14.602554015542999</v>
      </c>
      <c r="L3" s="3">
        <v>16.005700056721299</v>
      </c>
      <c r="M3" s="3">
        <v>15.794304032883799</v>
      </c>
      <c r="N3" s="3">
        <v>16.613790181317501</v>
      </c>
    </row>
    <row r="4" spans="1:14" x14ac:dyDescent="0.35">
      <c r="A4" s="2">
        <v>41969</v>
      </c>
      <c r="B4" s="3">
        <v>18.573644875312901</v>
      </c>
      <c r="C4" s="3">
        <v>14.836936019909199</v>
      </c>
      <c r="D4" s="3">
        <v>15.980738879234799</v>
      </c>
      <c r="E4" s="3">
        <v>14.4278581444787</v>
      </c>
      <c r="F4" s="3">
        <v>15.9654064465761</v>
      </c>
      <c r="G4" s="3">
        <v>17.734943490231</v>
      </c>
      <c r="H4" s="3">
        <v>14.067460282287399</v>
      </c>
      <c r="I4" s="3">
        <v>20.443700986745199</v>
      </c>
      <c r="J4" s="3">
        <v>17.148406827400901</v>
      </c>
      <c r="K4" s="3">
        <v>15.387317085516401</v>
      </c>
      <c r="L4" s="3">
        <v>17.7461626791649</v>
      </c>
      <c r="M4" s="3">
        <v>17.209485583615201</v>
      </c>
      <c r="N4" s="3">
        <v>18.246541590194699</v>
      </c>
    </row>
    <row r="5" spans="1:14" x14ac:dyDescent="0.35">
      <c r="A5" s="2">
        <v>41999</v>
      </c>
      <c r="B5" s="3">
        <v>19.135174035517</v>
      </c>
      <c r="C5" s="3">
        <v>14.5478656383555</v>
      </c>
      <c r="D5" s="3">
        <v>15.602338836546901</v>
      </c>
      <c r="E5" s="3">
        <v>14.4741141790598</v>
      </c>
      <c r="F5" s="3">
        <v>16.191712338601398</v>
      </c>
      <c r="G5" s="3">
        <v>17.3627595471822</v>
      </c>
      <c r="H5" s="3">
        <v>13.8644898471586</v>
      </c>
      <c r="I5" s="3">
        <v>20.475069244301199</v>
      </c>
      <c r="J5" s="3">
        <v>17.523051124746502</v>
      </c>
      <c r="K5" s="3">
        <v>15.123375607069899</v>
      </c>
      <c r="L5" s="3">
        <v>17.6644900500192</v>
      </c>
      <c r="M5" s="3">
        <v>17.629642756686799</v>
      </c>
      <c r="N5" s="3">
        <v>18.571848842250599</v>
      </c>
    </row>
    <row r="6" spans="1:14" x14ac:dyDescent="0.35">
      <c r="A6" s="2">
        <v>42031</v>
      </c>
      <c r="B6" s="3">
        <v>19.884779132055101</v>
      </c>
      <c r="C6" s="3">
        <v>15.1608041976877</v>
      </c>
      <c r="D6" s="3">
        <v>15.957937591421199</v>
      </c>
      <c r="E6" s="3">
        <v>15.4586277348533</v>
      </c>
      <c r="F6" s="3">
        <v>15.6890528811828</v>
      </c>
      <c r="G6" s="3">
        <v>16.711983033595299</v>
      </c>
      <c r="H6" s="3">
        <v>14.308370005996199</v>
      </c>
      <c r="I6" s="3">
        <v>19.651834279351601</v>
      </c>
      <c r="J6" s="3">
        <v>17.066662702549198</v>
      </c>
      <c r="K6" s="3">
        <v>16.270390033981698</v>
      </c>
      <c r="L6" s="3">
        <v>18.752485185755599</v>
      </c>
      <c r="M6" s="3">
        <v>18.330607319741802</v>
      </c>
      <c r="N6" s="3">
        <v>22.198648334139001</v>
      </c>
    </row>
    <row r="7" spans="1:14" x14ac:dyDescent="0.35">
      <c r="A7" s="2">
        <v>42062</v>
      </c>
      <c r="B7" s="3">
        <v>20.533732203332399</v>
      </c>
      <c r="C7" s="3">
        <v>16.215341310102101</v>
      </c>
      <c r="D7" s="3">
        <v>17.032916962246901</v>
      </c>
      <c r="E7" s="3">
        <v>16.487684505982099</v>
      </c>
      <c r="F7" s="3">
        <v>16.932120306701499</v>
      </c>
      <c r="G7" s="3">
        <v>17.992704968647601</v>
      </c>
      <c r="H7" s="3">
        <v>15.183116674161599</v>
      </c>
      <c r="I7" s="3">
        <v>20.792752309655299</v>
      </c>
      <c r="J7" s="3">
        <v>17.591037300020002</v>
      </c>
      <c r="K7" s="3">
        <v>17.559098843139299</v>
      </c>
      <c r="L7" s="3">
        <v>20.1223054586507</v>
      </c>
      <c r="M7" s="3">
        <v>20.302825439712102</v>
      </c>
      <c r="N7" s="3">
        <v>45.366068148585697</v>
      </c>
    </row>
    <row r="8" spans="1:14" x14ac:dyDescent="0.35">
      <c r="A8" s="2">
        <v>42090</v>
      </c>
      <c r="B8" s="3">
        <v>20.200670756020902</v>
      </c>
      <c r="C8" s="3">
        <v>16.270496002211601</v>
      </c>
      <c r="D8" s="3">
        <v>17.0235714352198</v>
      </c>
      <c r="E8" s="3">
        <v>16.507154637431501</v>
      </c>
      <c r="F8" s="3">
        <v>16.872566343318599</v>
      </c>
      <c r="G8" s="3">
        <v>18.005705759152399</v>
      </c>
      <c r="H8" s="3">
        <v>15.2523439769646</v>
      </c>
      <c r="I8" s="3">
        <v>20.4998593963006</v>
      </c>
      <c r="J8" s="3">
        <v>17.494488374599001</v>
      </c>
      <c r="K8" s="3">
        <v>17.539941174134299</v>
      </c>
      <c r="L8" s="3">
        <v>19.9157582397055</v>
      </c>
      <c r="M8" s="3">
        <v>19.9884372154015</v>
      </c>
      <c r="N8" s="3">
        <v>42.768775951939404</v>
      </c>
    </row>
    <row r="9" spans="1:14" x14ac:dyDescent="0.35">
      <c r="A9" s="2">
        <v>42121</v>
      </c>
      <c r="B9" s="3">
        <v>20.054513710769001</v>
      </c>
      <c r="C9" s="3">
        <v>16.475818236839601</v>
      </c>
      <c r="D9" s="3">
        <v>17.330132790998899</v>
      </c>
      <c r="E9" s="3">
        <v>16.490883840166902</v>
      </c>
      <c r="F9" s="3">
        <v>16.973304719197301</v>
      </c>
      <c r="G9" s="3">
        <v>18.223158543083301</v>
      </c>
      <c r="H9" s="3">
        <v>15.6777326714134</v>
      </c>
      <c r="I9" s="3">
        <v>20.539266646142998</v>
      </c>
      <c r="J9" s="3">
        <v>17.581691477919399</v>
      </c>
      <c r="K9" s="3">
        <v>17.7067900284557</v>
      </c>
      <c r="L9" s="3">
        <v>19.910462149492499</v>
      </c>
      <c r="M9" s="3">
        <v>19.664277527845702</v>
      </c>
      <c r="N9" s="3">
        <v>40.068724499223599</v>
      </c>
    </row>
    <row r="10" spans="1:14" x14ac:dyDescent="0.35">
      <c r="A10" s="2">
        <v>42151</v>
      </c>
      <c r="B10" s="3">
        <v>19.939208680187601</v>
      </c>
      <c r="C10" s="3">
        <v>16.219289541902899</v>
      </c>
      <c r="D10" s="3">
        <v>17.250932576474899</v>
      </c>
      <c r="E10" s="3">
        <v>16.126904098615199</v>
      </c>
      <c r="F10" s="3">
        <v>17.175836157139202</v>
      </c>
      <c r="G10" s="3">
        <v>18.165206376689799</v>
      </c>
      <c r="H10" s="3">
        <v>15.785195937023801</v>
      </c>
      <c r="I10" s="3">
        <v>20.347502065715702</v>
      </c>
      <c r="J10" s="3">
        <v>17.568520789346099</v>
      </c>
      <c r="K10" s="3">
        <v>17.608829219366399</v>
      </c>
      <c r="L10" s="3">
        <v>19.629468573153702</v>
      </c>
      <c r="M10" s="3">
        <v>19.402151375254299</v>
      </c>
      <c r="N10" s="3">
        <v>37.3259207683979</v>
      </c>
    </row>
    <row r="11" spans="1:14" x14ac:dyDescent="0.35">
      <c r="A11" s="2">
        <v>42181</v>
      </c>
      <c r="B11" s="3">
        <v>19.649687823684499</v>
      </c>
      <c r="C11" s="3">
        <v>15.987243121963299</v>
      </c>
      <c r="D11" s="3">
        <v>17.182983845766302</v>
      </c>
      <c r="E11" s="3">
        <v>15.775482783216599</v>
      </c>
      <c r="F11" s="3">
        <v>16.956451939157301</v>
      </c>
      <c r="G11" s="3">
        <v>17.897615630091501</v>
      </c>
      <c r="H11" s="3">
        <v>15.6923925093541</v>
      </c>
      <c r="I11" s="3">
        <v>20.0829378723056</v>
      </c>
      <c r="J11" s="3">
        <v>17.484466481276002</v>
      </c>
      <c r="K11" s="3">
        <v>17.3969752417282</v>
      </c>
      <c r="L11" s="3">
        <v>19.2686697328413</v>
      </c>
      <c r="M11" s="3">
        <v>18.840706368308702</v>
      </c>
      <c r="N11" s="3">
        <v>34.410407534298301</v>
      </c>
    </row>
    <row r="12" spans="1:14" x14ac:dyDescent="0.35">
      <c r="A12" s="2">
        <v>42212</v>
      </c>
      <c r="B12" s="3">
        <v>19.771573080447101</v>
      </c>
      <c r="C12" s="3">
        <v>15.9843327128625</v>
      </c>
      <c r="D12" s="3">
        <v>16.6565541319655</v>
      </c>
      <c r="E12" s="3">
        <v>15.2441100743695</v>
      </c>
      <c r="F12" s="3">
        <v>16.721263384999101</v>
      </c>
      <c r="G12" s="3">
        <v>18.008137010352801</v>
      </c>
      <c r="H12" s="3">
        <v>15.468716694407201</v>
      </c>
      <c r="I12" s="3">
        <v>20.169324037081601</v>
      </c>
      <c r="J12" s="3">
        <v>17.357650735862201</v>
      </c>
      <c r="K12" s="3">
        <v>17.050684550278799</v>
      </c>
      <c r="L12" s="3">
        <v>18.841774498246799</v>
      </c>
      <c r="M12" s="3">
        <v>18.3613897909588</v>
      </c>
      <c r="N12" s="3">
        <v>31.133332800708299</v>
      </c>
    </row>
    <row r="13" spans="1:14" x14ac:dyDescent="0.35">
      <c r="A13" s="2">
        <v>42243</v>
      </c>
      <c r="B13" s="3">
        <v>19.1542975048465</v>
      </c>
      <c r="C13" s="3">
        <v>15.544509688455401</v>
      </c>
      <c r="D13" s="3">
        <v>16.556860385435101</v>
      </c>
      <c r="E13" s="3">
        <v>14.4952558104779</v>
      </c>
      <c r="F13" s="3">
        <v>15.709151285748201</v>
      </c>
      <c r="G13" s="3">
        <v>17.4166356672647</v>
      </c>
      <c r="H13" s="3">
        <v>15.0348664792051</v>
      </c>
      <c r="I13" s="3">
        <v>19.603523148067801</v>
      </c>
      <c r="J13" s="3">
        <v>16.909155638849001</v>
      </c>
      <c r="K13" s="3">
        <v>16.173329033326102</v>
      </c>
      <c r="L13" s="3">
        <v>17.5569938860401</v>
      </c>
      <c r="M13" s="3">
        <v>17.567142767856801</v>
      </c>
      <c r="N13" s="3">
        <v>28.3628641569039</v>
      </c>
    </row>
    <row r="14" spans="1:14" x14ac:dyDescent="0.35">
      <c r="A14" s="2">
        <v>42272</v>
      </c>
      <c r="B14" s="3">
        <v>18.911145321220101</v>
      </c>
      <c r="C14" s="3">
        <v>15.100493988845001</v>
      </c>
      <c r="D14" s="3">
        <v>16.366005556641799</v>
      </c>
      <c r="E14" s="3">
        <v>13.698006976901</v>
      </c>
      <c r="F14" s="3">
        <v>15.1717236283757</v>
      </c>
      <c r="G14" s="3">
        <v>16.948765122845501</v>
      </c>
      <c r="H14" s="3">
        <v>14.996445229581299</v>
      </c>
      <c r="I14" s="3">
        <v>19.1333734821261</v>
      </c>
      <c r="J14" s="3">
        <v>16.529932085073799</v>
      </c>
      <c r="K14" s="3">
        <v>15.6218848909774</v>
      </c>
      <c r="L14" s="3">
        <v>16.7641690361841</v>
      </c>
      <c r="M14" s="3">
        <v>16.5630149010859</v>
      </c>
      <c r="N14" s="3">
        <v>25.239705929472201</v>
      </c>
    </row>
    <row r="15" spans="1:14" x14ac:dyDescent="0.35">
      <c r="A15" s="2">
        <v>42304</v>
      </c>
      <c r="B15" s="3">
        <v>19.543039177401301</v>
      </c>
      <c r="C15" s="3">
        <v>15.8363032435915</v>
      </c>
      <c r="D15" s="3">
        <v>16.781756950283</v>
      </c>
      <c r="E15" s="3">
        <v>14.3793342902016</v>
      </c>
      <c r="F15" s="3">
        <v>15.7664425194868</v>
      </c>
      <c r="G15" s="3">
        <v>17.6758071749782</v>
      </c>
      <c r="H15" s="3">
        <v>15.6835856414913</v>
      </c>
      <c r="I15" s="3">
        <v>20.364920799762501</v>
      </c>
      <c r="J15" s="3">
        <v>17.3942604683829</v>
      </c>
      <c r="K15" s="3">
        <v>16.277274379839199</v>
      </c>
      <c r="L15" s="3">
        <v>17.463129000518101</v>
      </c>
      <c r="M15" s="3">
        <v>17.137422112438699</v>
      </c>
      <c r="N15" s="3">
        <v>23.2806416375</v>
      </c>
    </row>
    <row r="16" spans="1:14" x14ac:dyDescent="0.35">
      <c r="A16" s="2">
        <v>42335</v>
      </c>
      <c r="B16" s="3">
        <v>19.5938339966836</v>
      </c>
      <c r="C16" s="3">
        <v>15.5527377319771</v>
      </c>
      <c r="D16" s="3">
        <v>16.627963915991899</v>
      </c>
      <c r="E16" s="3">
        <v>14.9352418338507</v>
      </c>
      <c r="F16" s="3">
        <v>16.2670470739019</v>
      </c>
      <c r="G16" s="3">
        <v>17.613757822283901</v>
      </c>
      <c r="H16" s="3">
        <v>15.9742211220741</v>
      </c>
      <c r="I16" s="3">
        <v>20.4328732407483</v>
      </c>
      <c r="J16" s="3">
        <v>17.496254850499401</v>
      </c>
      <c r="K16" s="3">
        <v>16.3796450807112</v>
      </c>
      <c r="L16" s="3">
        <v>18.251771665007599</v>
      </c>
      <c r="M16" s="3">
        <v>16.906220085457001</v>
      </c>
      <c r="N16" s="3">
        <v>21.698499375556199</v>
      </c>
    </row>
    <row r="17" spans="1:14" x14ac:dyDescent="0.35">
      <c r="A17" s="2">
        <v>42362</v>
      </c>
      <c r="B17" s="3">
        <v>19.763453225913299</v>
      </c>
      <c r="C17" s="3">
        <v>15.735541344647601</v>
      </c>
      <c r="D17" s="3">
        <v>16.564592993310601</v>
      </c>
      <c r="E17" s="3">
        <v>14.0848073133548</v>
      </c>
      <c r="F17" s="3">
        <v>15.626644061887299</v>
      </c>
      <c r="G17" s="3">
        <v>17.347383251053799</v>
      </c>
      <c r="H17" s="3">
        <v>15.7596319513903</v>
      </c>
      <c r="I17" s="3">
        <v>20.240709644518901</v>
      </c>
      <c r="J17" s="3">
        <v>17.267833301201001</v>
      </c>
      <c r="K17" s="3">
        <v>15.510163797027101</v>
      </c>
      <c r="L17" s="3">
        <v>17.254760592398998</v>
      </c>
      <c r="M17" s="3">
        <v>16.113610515284702</v>
      </c>
      <c r="N17" s="3">
        <v>18.626055611480499</v>
      </c>
    </row>
    <row r="18" spans="1:14" x14ac:dyDescent="0.35">
      <c r="A18" s="2">
        <v>42396</v>
      </c>
      <c r="B18" s="3">
        <v>19.130402829362399</v>
      </c>
      <c r="C18" s="3">
        <v>14.973681975056699</v>
      </c>
      <c r="D18" s="3">
        <v>14.9483189288002</v>
      </c>
      <c r="E18" s="3">
        <v>12.833462560251901</v>
      </c>
      <c r="F18" s="3">
        <v>14.3185782585079</v>
      </c>
      <c r="G18" s="3">
        <v>16.7194369786179</v>
      </c>
      <c r="H18" s="3">
        <v>15.0681092814895</v>
      </c>
      <c r="I18" s="3">
        <v>18.2024512248727</v>
      </c>
      <c r="J18" s="3">
        <v>15.802571630736301</v>
      </c>
      <c r="K18" s="3">
        <v>14.5704385875315</v>
      </c>
      <c r="L18" s="3">
        <v>16.131256894400298</v>
      </c>
      <c r="M18" s="3">
        <v>14.8058934454635</v>
      </c>
      <c r="N18" s="3">
        <v>15.3442137346737</v>
      </c>
    </row>
    <row r="19" spans="1:14" x14ac:dyDescent="0.35">
      <c r="A19" s="2">
        <v>42426</v>
      </c>
      <c r="B19" s="3">
        <v>19.290308050580801</v>
      </c>
      <c r="C19" s="3">
        <v>14.937202735664201</v>
      </c>
      <c r="D19" s="3">
        <v>15.6168821012362</v>
      </c>
      <c r="E19" s="3">
        <v>12.6511839848056</v>
      </c>
      <c r="F19" s="3">
        <v>13.958170248406301</v>
      </c>
      <c r="G19" s="3">
        <v>16.607338295033902</v>
      </c>
      <c r="H19" s="3">
        <v>15.4662677386287</v>
      </c>
      <c r="I19" s="3">
        <v>18.330561353136499</v>
      </c>
      <c r="J19" s="3">
        <v>16.2966838906097</v>
      </c>
      <c r="K19" s="3">
        <v>15.013481845584399</v>
      </c>
      <c r="L19" s="3">
        <v>16.2192761305052</v>
      </c>
      <c r="M19" s="3">
        <v>15.5362511309696</v>
      </c>
      <c r="N19" s="3">
        <v>15.2901698920908</v>
      </c>
    </row>
    <row r="20" spans="1:14" x14ac:dyDescent="0.35">
      <c r="A20" s="2">
        <v>42453</v>
      </c>
      <c r="B20" s="3">
        <v>19.257798741171001</v>
      </c>
      <c r="C20" s="3">
        <v>15.141290089921499</v>
      </c>
      <c r="D20" s="3">
        <v>15.9798475786873</v>
      </c>
      <c r="E20" s="3">
        <v>12.7350620119251</v>
      </c>
      <c r="F20" s="3">
        <v>13.854876363467801</v>
      </c>
      <c r="G20" s="3">
        <v>16.595976802544001</v>
      </c>
      <c r="H20" s="3">
        <v>15.6566241433498</v>
      </c>
      <c r="I20" s="3">
        <v>18.312873826698802</v>
      </c>
      <c r="J20" s="3">
        <v>16.188193427520002</v>
      </c>
      <c r="K20" s="3">
        <v>15.099882866181501</v>
      </c>
      <c r="L20" s="3">
        <v>16.387204622321001</v>
      </c>
      <c r="M20" s="3">
        <v>15.5093716247203</v>
      </c>
      <c r="N20" s="3">
        <v>15.329065087465199</v>
      </c>
    </row>
    <row r="21" spans="1:14" x14ac:dyDescent="0.35">
      <c r="A21" s="2">
        <v>42487</v>
      </c>
      <c r="B21" s="3">
        <v>19.3765109174218</v>
      </c>
      <c r="C21" s="3">
        <v>15.3575234799338</v>
      </c>
      <c r="D21" s="3">
        <v>16.349279337878901</v>
      </c>
      <c r="E21" s="3">
        <v>12.968774452845899</v>
      </c>
      <c r="F21" s="3">
        <v>13.943896597840901</v>
      </c>
      <c r="G21" s="3">
        <v>16.885811755009499</v>
      </c>
      <c r="H21" s="3">
        <v>16.0208421482197</v>
      </c>
      <c r="I21" s="3">
        <v>18.4334187342089</v>
      </c>
      <c r="J21" s="3">
        <v>16.445215307047398</v>
      </c>
      <c r="K21" s="3">
        <v>15.3052087753707</v>
      </c>
      <c r="L21" s="3">
        <v>16.325704416074998</v>
      </c>
      <c r="M21" s="3">
        <v>15.7577684431009</v>
      </c>
      <c r="N21" s="3">
        <v>15.3707857482365</v>
      </c>
    </row>
    <row r="22" spans="1:14" x14ac:dyDescent="0.35">
      <c r="A22" s="2">
        <v>42517</v>
      </c>
      <c r="B22" s="3">
        <v>19.711368730456801</v>
      </c>
      <c r="C22" s="3">
        <v>15.7921363274939</v>
      </c>
      <c r="D22" s="3">
        <v>16.650831562832199</v>
      </c>
      <c r="E22" s="3">
        <v>12.958123375089301</v>
      </c>
      <c r="F22" s="3">
        <v>14.006767703962399</v>
      </c>
      <c r="G22" s="3">
        <v>17.177554430754402</v>
      </c>
      <c r="H22" s="3">
        <v>16.058774723559399</v>
      </c>
      <c r="I22" s="3">
        <v>18.610943273468902</v>
      </c>
      <c r="J22" s="3">
        <v>16.750527525768302</v>
      </c>
      <c r="K22" s="3">
        <v>15.2619188509632</v>
      </c>
      <c r="L22" s="3">
        <v>16.3849644431134</v>
      </c>
      <c r="M22" s="3">
        <v>15.6146234712481</v>
      </c>
      <c r="N22" s="3">
        <v>15.5467365638152</v>
      </c>
    </row>
    <row r="23" spans="1:14" x14ac:dyDescent="0.35">
      <c r="A23" s="2">
        <v>42548</v>
      </c>
      <c r="B23" s="3">
        <v>19.411452081350099</v>
      </c>
      <c r="C23" s="3">
        <v>15.560105402843901</v>
      </c>
      <c r="D23" s="3">
        <v>16.539493437374801</v>
      </c>
      <c r="E23" s="3">
        <v>12.3850832263879</v>
      </c>
      <c r="F23" s="3">
        <v>13.5448983750214</v>
      </c>
      <c r="G23" s="3">
        <v>16.607660305491802</v>
      </c>
      <c r="H23" s="3">
        <v>15.553663394790901</v>
      </c>
      <c r="I23" s="3">
        <v>18.135911800014998</v>
      </c>
      <c r="J23" s="3">
        <v>16.478119142526602</v>
      </c>
      <c r="K23" s="3">
        <v>14.385324906393</v>
      </c>
      <c r="L23" s="3">
        <v>15.3696800760603</v>
      </c>
      <c r="M23" s="3">
        <v>14.927776119037601</v>
      </c>
      <c r="N23" s="3">
        <v>13.9711817444069</v>
      </c>
    </row>
    <row r="24" spans="1:14" x14ac:dyDescent="0.35">
      <c r="A24" s="2">
        <v>42578</v>
      </c>
      <c r="B24" s="3">
        <v>20.465898774291599</v>
      </c>
      <c r="C24" s="3">
        <v>16.420700105396101</v>
      </c>
      <c r="D24" s="3">
        <v>17.173520223384099</v>
      </c>
      <c r="E24" s="3">
        <v>13.105382033481</v>
      </c>
      <c r="F24" s="3">
        <v>14.199483253829399</v>
      </c>
      <c r="G24" s="3">
        <v>17.4937007902274</v>
      </c>
      <c r="H24" s="3">
        <v>16.644115035508602</v>
      </c>
      <c r="I24" s="3">
        <v>19.3237102728331</v>
      </c>
      <c r="J24" s="3">
        <v>17.324604165676401</v>
      </c>
      <c r="K24" s="3">
        <v>15.1361988655008</v>
      </c>
      <c r="L24" s="3">
        <v>16.1644115943872</v>
      </c>
      <c r="M24" s="3">
        <v>15.848384342837999</v>
      </c>
      <c r="N24" s="3">
        <v>14.7857296654118</v>
      </c>
    </row>
    <row r="25" spans="1:14" x14ac:dyDescent="0.35">
      <c r="A25" s="2">
        <v>42608</v>
      </c>
      <c r="B25" s="3">
        <v>20.7805426923717</v>
      </c>
      <c r="C25" s="3">
        <v>16.687379090146901</v>
      </c>
      <c r="D25" s="3">
        <v>17.486478567012199</v>
      </c>
      <c r="E25" s="3">
        <v>13.3854191212356</v>
      </c>
      <c r="F25" s="3">
        <v>13.9603365984447</v>
      </c>
      <c r="G25" s="3">
        <v>17.852950161165801</v>
      </c>
      <c r="H25" s="3">
        <v>16.955903091619899</v>
      </c>
      <c r="I25" s="3">
        <v>19.5341477318184</v>
      </c>
      <c r="J25" s="3">
        <v>17.516870573197899</v>
      </c>
      <c r="K25" s="3">
        <v>14.9344542492125</v>
      </c>
      <c r="L25" s="3">
        <v>16.143297624822001</v>
      </c>
      <c r="M25" s="3">
        <v>16.031855197288301</v>
      </c>
      <c r="N25" s="3">
        <v>15.065896229452999</v>
      </c>
    </row>
    <row r="26" spans="1:14" x14ac:dyDescent="0.35">
      <c r="A26" s="2">
        <v>42640</v>
      </c>
      <c r="B26" s="3">
        <v>20.733507346139501</v>
      </c>
      <c r="C26" s="3">
        <v>16.652626463611501</v>
      </c>
      <c r="D26" s="3">
        <v>17.6984622125728</v>
      </c>
      <c r="E26" s="3">
        <v>13.4427559082422</v>
      </c>
      <c r="F26" s="3">
        <v>14.3927169113086</v>
      </c>
      <c r="G26" s="3">
        <v>18.014680204027499</v>
      </c>
      <c r="H26" s="3">
        <v>16.869920096879099</v>
      </c>
      <c r="I26" s="3">
        <v>19.930601366230601</v>
      </c>
      <c r="J26" s="3">
        <v>17.682417949034601</v>
      </c>
      <c r="K26" s="3">
        <v>14.7614054107742</v>
      </c>
      <c r="L26" s="3">
        <v>15.981668392565</v>
      </c>
      <c r="M26" s="3">
        <v>16.295224608912299</v>
      </c>
      <c r="N26" s="3">
        <v>14.521428312758299</v>
      </c>
    </row>
    <row r="27" spans="1:14" x14ac:dyDescent="0.35">
      <c r="A27" s="2">
        <v>42670</v>
      </c>
      <c r="B27" s="3">
        <v>20.083430875535701</v>
      </c>
      <c r="C27" s="3">
        <v>16.539720941326198</v>
      </c>
      <c r="D27" s="3">
        <v>18.236786689283999</v>
      </c>
      <c r="E27" s="3">
        <v>13.8238081775621</v>
      </c>
      <c r="F27" s="3">
        <v>14.668633607535099</v>
      </c>
      <c r="G27" s="3">
        <v>17.711205419424001</v>
      </c>
      <c r="H27" s="3">
        <v>16.8117856118443</v>
      </c>
      <c r="I27" s="3">
        <v>19.859895712851898</v>
      </c>
      <c r="J27" s="3">
        <v>17.579022312576299</v>
      </c>
      <c r="K27" s="3">
        <v>15.057779165381699</v>
      </c>
      <c r="L27" s="3">
        <v>15.8795046152784</v>
      </c>
      <c r="M27" s="3">
        <v>17.446915072313399</v>
      </c>
      <c r="N27" s="3">
        <v>15.2038510671554</v>
      </c>
    </row>
    <row r="28" spans="1:14" x14ac:dyDescent="0.35">
      <c r="A28" s="2">
        <v>42699</v>
      </c>
      <c r="B28" s="3">
        <v>20.108500484312199</v>
      </c>
      <c r="C28" s="3">
        <v>17.356518039905801</v>
      </c>
      <c r="D28" s="3">
        <v>18.823163152451599</v>
      </c>
      <c r="E28" s="3">
        <v>13.7594308090077</v>
      </c>
      <c r="F28" s="3">
        <v>15.584517879212701</v>
      </c>
      <c r="G28" s="3">
        <v>17.540022845934899</v>
      </c>
      <c r="H28" s="3">
        <v>16.519472277075302</v>
      </c>
      <c r="I28" s="3">
        <v>20.096740645195599</v>
      </c>
      <c r="J28" s="3">
        <v>18.338937061288</v>
      </c>
      <c r="K28" s="3">
        <v>14.9037204180646</v>
      </c>
      <c r="L28" s="3">
        <v>15.6955777490254</v>
      </c>
      <c r="M28" s="3">
        <v>17.4631892061572</v>
      </c>
      <c r="N28" s="3">
        <v>14.615483313279499</v>
      </c>
    </row>
    <row r="29" spans="1:14" x14ac:dyDescent="0.35">
      <c r="A29" s="2">
        <v>42731</v>
      </c>
      <c r="B29" s="3">
        <v>19.992445211364799</v>
      </c>
      <c r="C29" s="3">
        <v>17.579462433483101</v>
      </c>
      <c r="D29" s="3">
        <v>19.3906067286077</v>
      </c>
      <c r="E29" s="3">
        <v>14.7692280711144</v>
      </c>
      <c r="F29" s="3">
        <v>16.487535503073399</v>
      </c>
      <c r="G29" s="3">
        <v>18.212923001779899</v>
      </c>
      <c r="H29" s="3">
        <v>17.0087291128822</v>
      </c>
      <c r="I29" s="3">
        <v>20.7025281706985</v>
      </c>
      <c r="J29" s="3">
        <v>19.0199229002768</v>
      </c>
      <c r="K29" s="3">
        <v>15.721344330798701</v>
      </c>
      <c r="L29" s="3">
        <v>16.339013870192499</v>
      </c>
      <c r="M29" s="3">
        <v>18.347408172993902</v>
      </c>
      <c r="N29" s="3">
        <v>27.747403969829801</v>
      </c>
    </row>
    <row r="30" spans="1:14" x14ac:dyDescent="0.35">
      <c r="A30" s="2">
        <v>42762</v>
      </c>
      <c r="B30" s="3">
        <v>20.6890630841297</v>
      </c>
      <c r="C30" s="3">
        <v>17.760105024807501</v>
      </c>
      <c r="D30" s="3">
        <v>19.8875178302108</v>
      </c>
      <c r="E30" s="3">
        <v>15.1569157937766</v>
      </c>
      <c r="F30" s="3">
        <v>16.680787568282799</v>
      </c>
      <c r="G30" s="3">
        <v>18.5772824353765</v>
      </c>
      <c r="H30" s="3">
        <v>17.132392470544598</v>
      </c>
      <c r="I30" s="3">
        <v>21.3319746049565</v>
      </c>
      <c r="J30" s="3">
        <v>19.092349035553799</v>
      </c>
      <c r="K30" s="3">
        <v>15.6889412314576</v>
      </c>
      <c r="L30" s="3">
        <v>16.343632951166398</v>
      </c>
      <c r="M30" s="3">
        <v>18.230600077397099</v>
      </c>
      <c r="N30" s="3">
        <v>27.348865556719598</v>
      </c>
    </row>
    <row r="31" spans="1:14" x14ac:dyDescent="0.35">
      <c r="A31" s="2">
        <v>42793</v>
      </c>
      <c r="B31" s="3">
        <v>19.4689802726149</v>
      </c>
      <c r="C31" s="3">
        <v>17.563341506991701</v>
      </c>
      <c r="D31" s="3">
        <v>19.5257231119732</v>
      </c>
      <c r="E31" s="3">
        <v>14.945115934660899</v>
      </c>
      <c r="F31" s="3">
        <v>15.9546973608978</v>
      </c>
      <c r="G31" s="3">
        <v>19.593679473398598</v>
      </c>
      <c r="H31" s="3">
        <v>17.3817424909974</v>
      </c>
      <c r="I31" s="3">
        <v>21.7926198430943</v>
      </c>
      <c r="J31" s="3">
        <v>19.537011454990001</v>
      </c>
      <c r="K31" s="3">
        <v>15.544985164033999</v>
      </c>
      <c r="L31" s="3">
        <v>16.4363128842318</v>
      </c>
      <c r="M31" s="3">
        <v>17.371892093152901</v>
      </c>
      <c r="N31" s="3">
        <v>86.062556440537904</v>
      </c>
    </row>
    <row r="32" spans="1:14" x14ac:dyDescent="0.35">
      <c r="A32" s="2">
        <v>42821</v>
      </c>
      <c r="B32" s="3">
        <v>19.7076471194781</v>
      </c>
      <c r="C32" s="3">
        <v>17.327746329031001</v>
      </c>
      <c r="D32" s="3">
        <v>19.137889093782402</v>
      </c>
      <c r="E32" s="3">
        <v>14.907640399570401</v>
      </c>
      <c r="F32" s="3">
        <v>15.7629920110502</v>
      </c>
      <c r="G32" s="3">
        <v>19.5540038459195</v>
      </c>
      <c r="H32" s="3">
        <v>17.1444476364872</v>
      </c>
      <c r="I32" s="3">
        <v>21.621583255016802</v>
      </c>
      <c r="J32" s="3">
        <v>19.3259656597596</v>
      </c>
      <c r="K32" s="3">
        <v>15.617663505841801</v>
      </c>
      <c r="L32" s="3">
        <v>16.468927102148001</v>
      </c>
      <c r="M32" s="3">
        <v>17.572694837825399</v>
      </c>
      <c r="N32" s="3">
        <v>79.734273939225702</v>
      </c>
    </row>
    <row r="33" spans="1:14" x14ac:dyDescent="0.35">
      <c r="A33" s="2">
        <v>42852</v>
      </c>
      <c r="B33" s="3">
        <v>19.921775801581202</v>
      </c>
      <c r="C33" s="3">
        <v>17.2999109177847</v>
      </c>
      <c r="D33" s="3">
        <v>18.785385202312199</v>
      </c>
      <c r="E33" s="3">
        <v>14.9122290221455</v>
      </c>
      <c r="F33" s="3">
        <v>15.6303105755657</v>
      </c>
      <c r="G33" s="3">
        <v>19.5043327836141</v>
      </c>
      <c r="H33" s="3">
        <v>16.8971062985336</v>
      </c>
      <c r="I33" s="3">
        <v>21.709492246460499</v>
      </c>
      <c r="J33" s="3">
        <v>19.253863457488698</v>
      </c>
      <c r="K33" s="3">
        <v>15.774105917935</v>
      </c>
      <c r="L33" s="3">
        <v>16.6562023797993</v>
      </c>
      <c r="M33" s="3">
        <v>17.6238446126311</v>
      </c>
      <c r="N33" s="3">
        <v>72.480792841732196</v>
      </c>
    </row>
    <row r="34" spans="1:14" x14ac:dyDescent="0.35">
      <c r="A34" s="2">
        <v>42881</v>
      </c>
      <c r="B34" s="3">
        <v>20.018662549414</v>
      </c>
      <c r="C34" s="3">
        <v>16.9521872566133</v>
      </c>
      <c r="D34" s="3">
        <v>18.582898109176799</v>
      </c>
      <c r="E34" s="3">
        <v>14.781198421535199</v>
      </c>
      <c r="F34" s="3">
        <v>15.643490033175</v>
      </c>
      <c r="G34" s="3">
        <v>19.538625454505599</v>
      </c>
      <c r="H34" s="3">
        <v>16.813623085605101</v>
      </c>
      <c r="I34" s="3">
        <v>21.968066775267499</v>
      </c>
      <c r="J34" s="3">
        <v>19.1914525240663</v>
      </c>
      <c r="K34" s="3">
        <v>15.805845667153999</v>
      </c>
      <c r="L34" s="3">
        <v>16.727256760788901</v>
      </c>
      <c r="M34" s="3">
        <v>18.090570105625101</v>
      </c>
      <c r="N34" s="3">
        <v>65.791575678426398</v>
      </c>
    </row>
    <row r="35" spans="1:14" x14ac:dyDescent="0.35">
      <c r="A35" s="2">
        <v>42913</v>
      </c>
      <c r="B35" s="3">
        <v>20.2074434494732</v>
      </c>
      <c r="C35" s="3">
        <v>16.746861680161199</v>
      </c>
      <c r="D35" s="3">
        <v>18.1061457683127</v>
      </c>
      <c r="E35" s="3">
        <v>14.678934027571501</v>
      </c>
      <c r="F35" s="3">
        <v>15.6409955880964</v>
      </c>
      <c r="G35" s="3">
        <v>19.490550641435402</v>
      </c>
      <c r="H35" s="3">
        <v>16.487853297085699</v>
      </c>
      <c r="I35" s="3">
        <v>21.706074950848201</v>
      </c>
      <c r="J35" s="3">
        <v>19.078941971826001</v>
      </c>
      <c r="K35" s="3">
        <v>15.6964732649685</v>
      </c>
      <c r="L35" s="3">
        <v>16.636385297462098</v>
      </c>
      <c r="M35" s="3">
        <v>17.613384423678301</v>
      </c>
      <c r="N35" s="3">
        <v>58.138683976467298</v>
      </c>
    </row>
    <row r="36" spans="1:14" x14ac:dyDescent="0.35">
      <c r="A36" s="2">
        <v>42943</v>
      </c>
      <c r="B36" s="3">
        <v>20.4067402595246</v>
      </c>
      <c r="C36" s="3">
        <v>16.911988519182799</v>
      </c>
      <c r="D36" s="3">
        <v>18.038448299351501</v>
      </c>
      <c r="E36" s="3">
        <v>14.3426108290986</v>
      </c>
      <c r="F36" s="3">
        <v>15.455107322131999</v>
      </c>
      <c r="G36" s="3">
        <v>19.3257328600005</v>
      </c>
      <c r="H36" s="3">
        <v>16.4765850654451</v>
      </c>
      <c r="I36" s="3">
        <v>22.141987948542099</v>
      </c>
      <c r="J36" s="3">
        <v>19.197726417150001</v>
      </c>
      <c r="K36" s="3">
        <v>15.682439433598701</v>
      </c>
      <c r="L36" s="3">
        <v>16.814940420051801</v>
      </c>
      <c r="M36" s="3">
        <v>17.406932914468701</v>
      </c>
      <c r="N36" s="3">
        <v>51.437422008867898</v>
      </c>
    </row>
    <row r="37" spans="1:14" x14ac:dyDescent="0.35">
      <c r="A37" s="2">
        <v>42972</v>
      </c>
      <c r="B37" s="3">
        <v>20.6911266485399</v>
      </c>
      <c r="C37" s="3">
        <v>16.743789197886301</v>
      </c>
      <c r="D37" s="3">
        <v>17.642847800019101</v>
      </c>
      <c r="E37" s="3">
        <v>14.1681228163519</v>
      </c>
      <c r="F37" s="3">
        <v>14.9226344247617</v>
      </c>
      <c r="G37" s="3">
        <v>19.152982320451301</v>
      </c>
      <c r="H37" s="3">
        <v>16.110822339419698</v>
      </c>
      <c r="I37" s="3">
        <v>21.8977762969064</v>
      </c>
      <c r="J37" s="3">
        <v>18.955652665003399</v>
      </c>
      <c r="K37" s="3">
        <v>15.463914753681101</v>
      </c>
      <c r="L37" s="3">
        <v>16.573543617261599</v>
      </c>
      <c r="M37" s="3">
        <v>16.813089691621599</v>
      </c>
      <c r="N37" s="3">
        <v>44.5532427194684</v>
      </c>
    </row>
    <row r="38" spans="1:14" x14ac:dyDescent="0.35">
      <c r="A38" s="2">
        <v>43005</v>
      </c>
      <c r="B38" s="3">
        <v>20.6852670584328</v>
      </c>
      <c r="C38" s="3">
        <v>16.292089007975601</v>
      </c>
      <c r="D38" s="3">
        <v>17.650692422515</v>
      </c>
      <c r="E38" s="3">
        <v>14.4790556682809</v>
      </c>
      <c r="F38" s="3">
        <v>15.0058623930357</v>
      </c>
      <c r="G38" s="3">
        <v>19.311571761374001</v>
      </c>
      <c r="H38" s="3">
        <v>15.7693850771043</v>
      </c>
      <c r="I38" s="3">
        <v>22.186141407224198</v>
      </c>
      <c r="J38" s="3">
        <v>19.240118668901999</v>
      </c>
      <c r="K38" s="3">
        <v>15.8024762135841</v>
      </c>
      <c r="L38" s="3">
        <v>16.8478108468986</v>
      </c>
      <c r="M38" s="3">
        <v>17.557506779143601</v>
      </c>
      <c r="N38" s="3">
        <v>37.0920517796973</v>
      </c>
    </row>
    <row r="39" spans="1:14" x14ac:dyDescent="0.35">
      <c r="A39" s="2">
        <v>43035</v>
      </c>
      <c r="B39" s="3">
        <v>21.273881692024599</v>
      </c>
      <c r="C39" s="3">
        <v>16.629462206132001</v>
      </c>
      <c r="D39" s="3">
        <v>17.573076258281901</v>
      </c>
      <c r="E39" s="3">
        <v>15.159184375997899</v>
      </c>
      <c r="F39" s="3">
        <v>15.521122583380601</v>
      </c>
      <c r="G39" s="3">
        <v>20.136078103029998</v>
      </c>
      <c r="H39" s="3">
        <v>15.635141326990601</v>
      </c>
      <c r="I39" s="3">
        <v>22.776154264742502</v>
      </c>
      <c r="J39" s="3">
        <v>19.651942196867299</v>
      </c>
      <c r="K39" s="3">
        <v>16.279360565361699</v>
      </c>
      <c r="L39" s="3">
        <v>17.269601362452399</v>
      </c>
      <c r="M39" s="3">
        <v>18.563745983751101</v>
      </c>
      <c r="N39" s="3">
        <v>30.270561998868001</v>
      </c>
    </row>
    <row r="40" spans="1:14" x14ac:dyDescent="0.35">
      <c r="A40" s="2">
        <v>43066</v>
      </c>
      <c r="B40" s="3">
        <v>21.479466219121502</v>
      </c>
      <c r="C40" s="3">
        <v>16.690563568400499</v>
      </c>
      <c r="D40" s="3">
        <v>17.278342255574302</v>
      </c>
      <c r="E40" s="3">
        <v>15.2083311145743</v>
      </c>
      <c r="F40" s="3">
        <v>15.949326156534701</v>
      </c>
      <c r="G40" s="3">
        <v>20.365016242951501</v>
      </c>
      <c r="H40" s="3">
        <v>15.188683032870999</v>
      </c>
      <c r="I40" s="3">
        <v>23.3171760651345</v>
      </c>
      <c r="J40" s="3">
        <v>19.7104774056405</v>
      </c>
      <c r="K40" s="3">
        <v>16.013991929172001</v>
      </c>
      <c r="L40" s="3">
        <v>17.202584538214602</v>
      </c>
      <c r="M40" s="3">
        <v>18.023812148159699</v>
      </c>
      <c r="N40" s="3">
        <v>22.905886544067801</v>
      </c>
    </row>
    <row r="41" spans="1:14" x14ac:dyDescent="0.35">
      <c r="A41" s="2">
        <v>43096</v>
      </c>
      <c r="B41" s="3">
        <v>22.3056845631207</v>
      </c>
      <c r="C41" s="3">
        <v>16.789436100101199</v>
      </c>
      <c r="D41" s="3">
        <v>17.214107585270099</v>
      </c>
      <c r="E41" s="3">
        <v>15.453138772192499</v>
      </c>
      <c r="F41" s="3">
        <v>16.482537226472299</v>
      </c>
      <c r="G41" s="3">
        <v>20.723154131334599</v>
      </c>
      <c r="H41" s="3">
        <v>15.3767205459112</v>
      </c>
      <c r="I41" s="3">
        <v>23.6619252938705</v>
      </c>
      <c r="J41" s="3">
        <v>20.305254465229201</v>
      </c>
      <c r="K41" s="3">
        <v>16.111905381223099</v>
      </c>
      <c r="L41" s="3">
        <v>17.330186992674498</v>
      </c>
      <c r="M41" s="3">
        <v>18.0972700383691</v>
      </c>
      <c r="N41" s="3">
        <v>16.1783546060419</v>
      </c>
    </row>
    <row r="42" spans="1:14" x14ac:dyDescent="0.35">
      <c r="A42" s="2">
        <v>43126</v>
      </c>
      <c r="B42" s="3">
        <v>22.049625333821702</v>
      </c>
      <c r="C42" s="3">
        <v>16.8083737695171</v>
      </c>
      <c r="D42" s="3">
        <v>17.1053973104326</v>
      </c>
      <c r="E42" s="3">
        <v>15.5625769581742</v>
      </c>
      <c r="F42" s="3">
        <v>16.791673731079602</v>
      </c>
      <c r="G42" s="3">
        <v>22.2579310036866</v>
      </c>
      <c r="H42" s="3">
        <v>15.6340012196857</v>
      </c>
      <c r="I42" s="3">
        <v>25.491867614769799</v>
      </c>
      <c r="J42" s="3">
        <v>21.453518208633799</v>
      </c>
      <c r="K42" s="3">
        <v>16.607592605887401</v>
      </c>
      <c r="L42" s="3">
        <v>17.524026269134598</v>
      </c>
      <c r="M42" s="3">
        <v>18.426780040026301</v>
      </c>
      <c r="N42" s="3">
        <v>15.931655200244499</v>
      </c>
    </row>
    <row r="43" spans="1:14" x14ac:dyDescent="0.35">
      <c r="A43" s="2">
        <v>43158</v>
      </c>
      <c r="B43" s="3">
        <v>22.638462535750001</v>
      </c>
      <c r="C43" s="3">
        <v>16.6777384487715</v>
      </c>
      <c r="D43" s="3">
        <v>16.120909869734898</v>
      </c>
      <c r="E43" s="3">
        <v>14.339168657572699</v>
      </c>
      <c r="F43" s="3">
        <v>14.733871602079899</v>
      </c>
      <c r="G43" s="3">
        <v>21.481799030980099</v>
      </c>
      <c r="H43" s="3">
        <v>14.0702675095195</v>
      </c>
      <c r="I43" s="3">
        <v>24.305263042821601</v>
      </c>
      <c r="J43" s="3">
        <v>20.031307963371098</v>
      </c>
      <c r="K43" s="3">
        <v>15.6892882721802</v>
      </c>
      <c r="L43" s="3">
        <v>16.725166075729799</v>
      </c>
      <c r="M43" s="3">
        <v>17.044878518351101</v>
      </c>
      <c r="N43" s="3">
        <v>14.235454085690399</v>
      </c>
    </row>
    <row r="44" spans="1:14" x14ac:dyDescent="0.35">
      <c r="A44" s="2">
        <v>43186</v>
      </c>
      <c r="B44" s="3">
        <v>22.5320539520892</v>
      </c>
      <c r="C44" s="3">
        <v>16.3299289546223</v>
      </c>
      <c r="D44" s="3">
        <v>15.6660420031615</v>
      </c>
      <c r="E44" s="3">
        <v>14.0714922989839</v>
      </c>
      <c r="F44" s="3">
        <v>14.292661088191799</v>
      </c>
      <c r="G44" s="3">
        <v>20.7127630084067</v>
      </c>
      <c r="H44" s="3">
        <v>13.8793306305655</v>
      </c>
      <c r="I44" s="3">
        <v>23.627000832920299</v>
      </c>
      <c r="J44" s="3">
        <v>19.419244286709201</v>
      </c>
      <c r="K44" s="3">
        <v>15.4452372214826</v>
      </c>
      <c r="L44" s="3">
        <v>16.546479475013602</v>
      </c>
      <c r="M44" s="3">
        <v>16.780665507535399</v>
      </c>
      <c r="N44" s="3">
        <v>14.0533349774293</v>
      </c>
    </row>
    <row r="45" spans="1:14" x14ac:dyDescent="0.35">
      <c r="A45" s="2">
        <v>43217</v>
      </c>
      <c r="B45" s="3">
        <v>22.266475355018098</v>
      </c>
      <c r="C45" s="3">
        <v>16.277084815913</v>
      </c>
      <c r="D45" s="3">
        <v>15.630743940345701</v>
      </c>
      <c r="E45" s="3">
        <v>14.1565295055017</v>
      </c>
      <c r="F45" s="3">
        <v>14.3063805276655</v>
      </c>
      <c r="G45" s="3">
        <v>20.337062096157101</v>
      </c>
      <c r="H45" s="3">
        <v>14.049700333515901</v>
      </c>
      <c r="I45" s="3">
        <v>23.243382750010799</v>
      </c>
      <c r="J45" s="3">
        <v>19.152642205807499</v>
      </c>
      <c r="K45" s="3">
        <v>15.594338334906601</v>
      </c>
      <c r="L45" s="3">
        <v>16.590227529807201</v>
      </c>
      <c r="M45" s="3">
        <v>16.830024806450499</v>
      </c>
      <c r="N45" s="3">
        <v>14.1811937174317</v>
      </c>
    </row>
    <row r="46" spans="1:14" x14ac:dyDescent="0.35">
      <c r="A46" s="2">
        <v>43245</v>
      </c>
      <c r="B46" s="3">
        <v>22.388654072534301</v>
      </c>
      <c r="C46" s="3">
        <v>16.239052514505001</v>
      </c>
      <c r="D46" s="3">
        <v>15.514966641215301</v>
      </c>
      <c r="E46" s="3">
        <v>14.1462469085437</v>
      </c>
      <c r="F46" s="3">
        <v>14.179086034397599</v>
      </c>
      <c r="G46" s="3">
        <v>19.9247140924011</v>
      </c>
      <c r="H46" s="3">
        <v>14.031655388303101</v>
      </c>
      <c r="I46" s="3">
        <v>23.212039935254101</v>
      </c>
      <c r="J46" s="3">
        <v>18.951352631013801</v>
      </c>
      <c r="K46" s="3">
        <v>15.5509828623392</v>
      </c>
      <c r="L46" s="3">
        <v>16.712467864896201</v>
      </c>
      <c r="M46" s="3">
        <v>16.7210733583433</v>
      </c>
      <c r="N46" s="3">
        <v>13.639176041730501</v>
      </c>
    </row>
    <row r="47" spans="1:14" x14ac:dyDescent="0.35">
      <c r="A47" s="2">
        <v>43278</v>
      </c>
      <c r="B47" s="3">
        <v>22.8961088177081</v>
      </c>
      <c r="C47" s="3">
        <v>16.267404615862201</v>
      </c>
      <c r="D47" s="3">
        <v>15.5235197765063</v>
      </c>
      <c r="E47" s="3">
        <v>13.9209081663496</v>
      </c>
      <c r="F47" s="3">
        <v>13.919616195403901</v>
      </c>
      <c r="G47" s="3">
        <v>19.212964528585101</v>
      </c>
      <c r="H47" s="3">
        <v>13.8391391610217</v>
      </c>
      <c r="I47" s="3">
        <v>22.889102652318599</v>
      </c>
      <c r="J47" s="3">
        <v>18.576379972965999</v>
      </c>
      <c r="K47" s="3">
        <v>15.1867242809926</v>
      </c>
      <c r="L47" s="3">
        <v>16.506505395195799</v>
      </c>
      <c r="M47" s="3">
        <v>16.386509938543401</v>
      </c>
      <c r="N47" s="3">
        <v>13.2886253224712</v>
      </c>
    </row>
    <row r="48" spans="1:14" x14ac:dyDescent="0.35">
      <c r="A48" s="2">
        <v>43308</v>
      </c>
      <c r="B48" s="3">
        <v>22.962122380079101</v>
      </c>
      <c r="C48" s="3">
        <v>16.3664375721876</v>
      </c>
      <c r="D48" s="3">
        <v>15.5014086612429</v>
      </c>
      <c r="E48" s="3">
        <v>14.223454063265001</v>
      </c>
      <c r="F48" s="3">
        <v>13.9870392098219</v>
      </c>
      <c r="G48" s="3">
        <v>19.357277205761701</v>
      </c>
      <c r="H48" s="3">
        <v>13.895111326733501</v>
      </c>
      <c r="I48" s="3">
        <v>23.079857056324901</v>
      </c>
      <c r="J48" s="3">
        <v>18.6682207451327</v>
      </c>
      <c r="K48" s="3">
        <v>15.3473106547823</v>
      </c>
      <c r="L48" s="3">
        <v>16.868121240514899</v>
      </c>
      <c r="M48" s="3">
        <v>16.624381962799301</v>
      </c>
      <c r="N48" s="3">
        <v>13.280805771565801</v>
      </c>
    </row>
    <row r="49" spans="1:14" x14ac:dyDescent="0.35">
      <c r="A49" s="2">
        <v>43339</v>
      </c>
      <c r="B49" s="3">
        <v>23.527037583841899</v>
      </c>
      <c r="C49" s="3">
        <v>16.3004059226827</v>
      </c>
      <c r="D49" s="3">
        <v>15.3793567010364</v>
      </c>
      <c r="E49" s="3">
        <v>14.127348148716999</v>
      </c>
      <c r="F49" s="3">
        <v>13.653321168126601</v>
      </c>
      <c r="G49" s="3">
        <v>18.912391531969501</v>
      </c>
      <c r="H49" s="3">
        <v>13.6525411464659</v>
      </c>
      <c r="I49" s="3">
        <v>23.295495133114802</v>
      </c>
      <c r="J49" s="3">
        <v>18.704613266971599</v>
      </c>
      <c r="K49" s="3">
        <v>15.163290661833299</v>
      </c>
      <c r="L49" s="3">
        <v>16.682376119042701</v>
      </c>
      <c r="M49" s="3">
        <v>16.8474931048091</v>
      </c>
      <c r="N49" s="3">
        <v>12.6838089793577</v>
      </c>
    </row>
    <row r="50" spans="1:14" x14ac:dyDescent="0.35">
      <c r="A50" s="2">
        <v>43370</v>
      </c>
      <c r="B50" s="3">
        <v>23.437874305162602</v>
      </c>
      <c r="C50" s="3">
        <v>16.014830070200802</v>
      </c>
      <c r="D50" s="3">
        <v>15.139803554317201</v>
      </c>
      <c r="E50" s="3">
        <v>14.0530685841655</v>
      </c>
      <c r="F50" s="3">
        <v>13.8800556294103</v>
      </c>
      <c r="G50" s="3">
        <v>18.619506903545702</v>
      </c>
      <c r="H50" s="3">
        <v>13.7001544336996</v>
      </c>
      <c r="I50" s="3">
        <v>23.2779611120197</v>
      </c>
      <c r="J50" s="3">
        <v>18.602201699423102</v>
      </c>
      <c r="K50" s="3">
        <v>15.192203577869</v>
      </c>
      <c r="L50" s="3">
        <v>16.401400102673101</v>
      </c>
      <c r="M50" s="3">
        <v>17.037371067072002</v>
      </c>
      <c r="N50" s="3">
        <v>12.6695813652879</v>
      </c>
    </row>
    <row r="51" spans="1:14" x14ac:dyDescent="0.35">
      <c r="A51" s="2">
        <v>43399</v>
      </c>
      <c r="B51" s="3">
        <v>22.152770553601101</v>
      </c>
      <c r="C51" s="3">
        <v>14.906488844542499</v>
      </c>
      <c r="D51" s="3">
        <v>14.039981153860699</v>
      </c>
      <c r="E51" s="3">
        <v>13.0385689251633</v>
      </c>
      <c r="F51" s="3">
        <v>12.5601466172745</v>
      </c>
      <c r="G51" s="3">
        <v>17.492504930414999</v>
      </c>
      <c r="H51" s="3">
        <v>12.6539028754221</v>
      </c>
      <c r="I51" s="3">
        <v>20.981212347148599</v>
      </c>
      <c r="J51" s="3">
        <v>17.077289874446201</v>
      </c>
      <c r="K51" s="3">
        <v>13.901818037007599</v>
      </c>
      <c r="L51" s="3">
        <v>15.236951736153699</v>
      </c>
      <c r="M51" s="3">
        <v>14.8901571378867</v>
      </c>
      <c r="N51" s="3">
        <v>11.3108001361022</v>
      </c>
    </row>
    <row r="52" spans="1:14" x14ac:dyDescent="0.35">
      <c r="A52" s="2">
        <v>43431</v>
      </c>
      <c r="B52" s="3">
        <v>22.342866923034901</v>
      </c>
      <c r="C52" s="3">
        <v>15.0210850389126</v>
      </c>
      <c r="D52" s="3">
        <v>13.8687049956769</v>
      </c>
      <c r="E52" s="3">
        <v>12.961808912961599</v>
      </c>
      <c r="F52" s="3">
        <v>12.676603925178</v>
      </c>
      <c r="G52" s="3">
        <v>17.560010678992299</v>
      </c>
      <c r="H52" s="3">
        <v>12.608582530719501</v>
      </c>
      <c r="I52" s="3">
        <v>20.128537235258701</v>
      </c>
      <c r="J52" s="3">
        <v>16.851943799453601</v>
      </c>
      <c r="K52" s="3">
        <v>13.7359982795191</v>
      </c>
      <c r="L52" s="3">
        <v>15.4098652413337</v>
      </c>
      <c r="M52" s="3">
        <v>14.796965615451199</v>
      </c>
      <c r="N52" s="3">
        <v>11.234509728406101</v>
      </c>
    </row>
    <row r="53" spans="1:14" x14ac:dyDescent="0.35">
      <c r="A53" s="2">
        <v>43461</v>
      </c>
      <c r="B53" s="3">
        <v>22.921620860436999</v>
      </c>
      <c r="C53" s="3">
        <v>14.504035038064901</v>
      </c>
      <c r="D53" s="3">
        <v>13.119280313505699</v>
      </c>
      <c r="E53" s="3">
        <v>11.862858232064299</v>
      </c>
      <c r="F53" s="3">
        <v>11.5647941543186</v>
      </c>
      <c r="G53" s="3">
        <v>15.8190149713285</v>
      </c>
      <c r="H53" s="3">
        <v>11.7013752307065</v>
      </c>
      <c r="I53" s="3">
        <v>18.665849615000301</v>
      </c>
      <c r="J53" s="3">
        <v>15.4321104911256</v>
      </c>
      <c r="K53" s="3">
        <v>12.602092109028501</v>
      </c>
      <c r="L53" s="3">
        <v>13.935080457273701</v>
      </c>
      <c r="M53" s="3">
        <v>13.5587191691495</v>
      </c>
      <c r="N53" s="3">
        <v>10.310648854480601</v>
      </c>
    </row>
    <row r="54" spans="1:14" x14ac:dyDescent="0.35">
      <c r="A54" s="2">
        <v>43490</v>
      </c>
      <c r="B54" s="3">
        <v>23.534881389336601</v>
      </c>
      <c r="C54" s="3">
        <v>15.379943196650499</v>
      </c>
      <c r="D54" s="3">
        <v>14.3356663879129</v>
      </c>
      <c r="E54" s="3">
        <v>12.9844578798768</v>
      </c>
      <c r="F54" s="3">
        <v>12.1044512092648</v>
      </c>
      <c r="G54" s="3">
        <v>17.505277794846599</v>
      </c>
      <c r="H54" s="3">
        <v>12.3215879560705</v>
      </c>
      <c r="I54" s="3">
        <v>20.0432632847245</v>
      </c>
      <c r="J54" s="3">
        <v>16.468925011740001</v>
      </c>
      <c r="K54" s="3">
        <v>13.559878520587599</v>
      </c>
      <c r="L54" s="3">
        <v>15.2333356268761</v>
      </c>
      <c r="M54" s="3">
        <v>16.155809581158898</v>
      </c>
      <c r="N54" s="3">
        <v>11.144565850974599</v>
      </c>
    </row>
    <row r="55" spans="1:14" x14ac:dyDescent="0.35">
      <c r="A55" s="2">
        <v>43523</v>
      </c>
      <c r="B55" s="3">
        <v>24.043056476504901</v>
      </c>
      <c r="C55" s="3">
        <v>15.8737472790146</v>
      </c>
      <c r="D55" s="3">
        <v>14.8770149244622</v>
      </c>
      <c r="E55" s="3">
        <v>13.1748940826179</v>
      </c>
      <c r="F55" s="3">
        <v>12.785086132348001</v>
      </c>
      <c r="G55" s="3">
        <v>18.383764408908299</v>
      </c>
      <c r="H55" s="3">
        <v>13.023491670544299</v>
      </c>
      <c r="I55" s="3">
        <v>20.965028445541801</v>
      </c>
      <c r="J55" s="3">
        <v>17.1603880554566</v>
      </c>
      <c r="K55" s="3">
        <v>14.5176591720485</v>
      </c>
      <c r="L55" s="3">
        <v>16.101185031339998</v>
      </c>
      <c r="M55" s="3">
        <v>18.191186689292401</v>
      </c>
      <c r="N55" s="3">
        <v>11.259327138826601</v>
      </c>
    </row>
    <row r="56" spans="1:14" x14ac:dyDescent="0.35">
      <c r="A56" s="2">
        <v>43551</v>
      </c>
      <c r="B56" s="3">
        <v>24.117870032817301</v>
      </c>
      <c r="C56" s="3">
        <v>15.8410118851193</v>
      </c>
      <c r="D56" s="3">
        <v>14.7194223554788</v>
      </c>
      <c r="E56" s="3">
        <v>13.1576039686048</v>
      </c>
      <c r="F56" s="3">
        <v>12.720038155762399</v>
      </c>
      <c r="G56" s="3">
        <v>18.248512589494901</v>
      </c>
      <c r="H56" s="3">
        <v>12.930957988285799</v>
      </c>
      <c r="I56" s="3">
        <v>20.989554017739099</v>
      </c>
      <c r="J56" s="3">
        <v>17.0972842351824</v>
      </c>
      <c r="K56" s="3">
        <v>14.5177372578066</v>
      </c>
      <c r="L56" s="3">
        <v>16.124791928157801</v>
      </c>
      <c r="M56" s="3">
        <v>17.890588303568901</v>
      </c>
      <c r="N56" s="3">
        <v>11.308740757943401</v>
      </c>
    </row>
    <row r="57" spans="1:14" x14ac:dyDescent="0.35">
      <c r="A57" s="2">
        <v>43581</v>
      </c>
      <c r="B57" s="3">
        <v>24.192150964945402</v>
      </c>
      <c r="C57" s="3">
        <v>15.922305153878201</v>
      </c>
      <c r="D57" s="3">
        <v>14.652872928544999</v>
      </c>
      <c r="E57" s="3">
        <v>13.403477466833801</v>
      </c>
      <c r="F57" s="3">
        <v>12.778366949311399</v>
      </c>
      <c r="G57" s="3">
        <v>18.290804645380401</v>
      </c>
      <c r="H57" s="3">
        <v>13.0001250357299</v>
      </c>
      <c r="I57" s="3">
        <v>21.459794636825301</v>
      </c>
      <c r="J57" s="3">
        <v>17.305794639778199</v>
      </c>
      <c r="K57" s="3">
        <v>14.6781481223226</v>
      </c>
      <c r="L57" s="3">
        <v>16.313457154666501</v>
      </c>
      <c r="M57" s="3">
        <v>17.972438528292301</v>
      </c>
      <c r="N57" s="3">
        <v>11.3367884322787</v>
      </c>
    </row>
    <row r="58" spans="1:14" x14ac:dyDescent="0.35">
      <c r="A58" s="2">
        <v>43609</v>
      </c>
      <c r="B58" s="3">
        <v>24.456895263509999</v>
      </c>
      <c r="C58" s="3">
        <v>15.9823662155039</v>
      </c>
      <c r="D58" s="3">
        <v>14.445384840155899</v>
      </c>
      <c r="E58" s="3">
        <v>13.172391095270299</v>
      </c>
      <c r="F58" s="3">
        <v>12.6513351699803</v>
      </c>
      <c r="G58" s="3">
        <v>18.172773524762601</v>
      </c>
      <c r="H58" s="3">
        <v>12.855863226542001</v>
      </c>
      <c r="I58" s="3">
        <v>20.9971913511962</v>
      </c>
      <c r="J58" s="3">
        <v>17.0593342108554</v>
      </c>
      <c r="K58" s="3">
        <v>14.438871423119799</v>
      </c>
      <c r="L58" s="3">
        <v>16.077401585186301</v>
      </c>
      <c r="M58" s="3">
        <v>17.316038967751201</v>
      </c>
      <c r="N58" s="3">
        <v>11.030853328770201</v>
      </c>
    </row>
    <row r="59" spans="1:14" x14ac:dyDescent="0.35">
      <c r="A59" s="2">
        <v>43643</v>
      </c>
      <c r="B59" s="3">
        <v>24.5890235314371</v>
      </c>
      <c r="C59" s="3">
        <v>16.3100449428342</v>
      </c>
      <c r="D59" s="3">
        <v>14.4573783510933</v>
      </c>
      <c r="E59" s="3">
        <v>13.3572916322277</v>
      </c>
      <c r="F59" s="3">
        <v>12.8629633932097</v>
      </c>
      <c r="G59" s="3">
        <v>18.320039863540799</v>
      </c>
      <c r="H59" s="3">
        <v>13.0194371750319</v>
      </c>
      <c r="I59" s="3">
        <v>21.581008322271501</v>
      </c>
      <c r="J59" s="3">
        <v>17.349038347668099</v>
      </c>
      <c r="K59" s="3">
        <v>14.619782815534</v>
      </c>
      <c r="L59" s="3">
        <v>16.316248563300601</v>
      </c>
      <c r="M59" s="3">
        <v>17.142953896041998</v>
      </c>
      <c r="N59" s="3">
        <v>11.0805127392256</v>
      </c>
    </row>
    <row r="60" spans="1:14" x14ac:dyDescent="0.35">
      <c r="A60" s="2">
        <v>43672</v>
      </c>
      <c r="B60" s="3">
        <v>25.209220493953701</v>
      </c>
      <c r="C60" s="3">
        <v>16.464363964217998</v>
      </c>
      <c r="D60" s="3">
        <v>14.5303190889753</v>
      </c>
      <c r="E60" s="3">
        <v>13.6674042358793</v>
      </c>
      <c r="F60" s="3">
        <v>13.0178773581738</v>
      </c>
      <c r="G60" s="3">
        <v>18.338674055182199</v>
      </c>
      <c r="H60" s="3">
        <v>13.1407658101612</v>
      </c>
      <c r="I60" s="3">
        <v>22.253871579522698</v>
      </c>
      <c r="J60" s="3">
        <v>17.7995704828345</v>
      </c>
      <c r="K60" s="3">
        <v>14.9554047587309</v>
      </c>
      <c r="L60" s="3">
        <v>16.768439817493402</v>
      </c>
      <c r="M60" s="3">
        <v>16.934657760765401</v>
      </c>
      <c r="N60" s="3">
        <v>11.2984827660761</v>
      </c>
    </row>
    <row r="61" spans="1:14" x14ac:dyDescent="0.35">
      <c r="A61" s="2">
        <v>43704</v>
      </c>
      <c r="B61" s="3">
        <v>27.5998592284285</v>
      </c>
      <c r="C61" s="3">
        <v>16.198473749864501</v>
      </c>
      <c r="D61" s="3">
        <v>14.297240058854101</v>
      </c>
      <c r="E61" s="3">
        <v>13.444268639891501</v>
      </c>
      <c r="F61" s="3">
        <v>12.7119068356297</v>
      </c>
      <c r="G61" s="3">
        <v>18.177199929194199</v>
      </c>
      <c r="H61" s="3">
        <v>12.6972206538862</v>
      </c>
      <c r="I61" s="3">
        <v>21.585787301530399</v>
      </c>
      <c r="J61" s="3">
        <v>17.2992977294723</v>
      </c>
      <c r="K61" s="3">
        <v>14.614687099653899</v>
      </c>
      <c r="L61" s="3">
        <v>16.318626265273199</v>
      </c>
      <c r="M61" s="3">
        <v>15.6897914611506</v>
      </c>
      <c r="N61" s="3">
        <v>11.005900610879999</v>
      </c>
    </row>
    <row r="62" spans="1:14" x14ac:dyDescent="0.35">
      <c r="A62" s="2">
        <v>43735</v>
      </c>
      <c r="B62" s="3">
        <v>28.3667682013023</v>
      </c>
      <c r="C62" s="3">
        <v>16.861405226974199</v>
      </c>
      <c r="D62" s="3">
        <v>14.6756536542687</v>
      </c>
      <c r="E62" s="3">
        <v>14.0483642067835</v>
      </c>
      <c r="F62" s="3">
        <v>13.5013232023661</v>
      </c>
      <c r="G62" s="3">
        <v>18.417292738605699</v>
      </c>
      <c r="H62" s="3">
        <v>13.196461785959</v>
      </c>
      <c r="I62" s="3">
        <v>21.6114240611209</v>
      </c>
      <c r="J62" s="3">
        <v>17.794849782291099</v>
      </c>
      <c r="K62" s="3">
        <v>15.1225834848552</v>
      </c>
      <c r="L62" s="3">
        <v>17.043682883513998</v>
      </c>
      <c r="M62" s="3">
        <v>16.519287087289701</v>
      </c>
      <c r="N62" s="3">
        <v>11.311892064974099</v>
      </c>
    </row>
    <row r="63" spans="1:14" x14ac:dyDescent="0.35">
      <c r="A63" s="2">
        <v>43763</v>
      </c>
      <c r="B63" s="3">
        <v>28.5998071790507</v>
      </c>
      <c r="C63" s="3">
        <v>17.289457196035599</v>
      </c>
      <c r="D63" s="3">
        <v>14.6770316582754</v>
      </c>
      <c r="E63" s="3">
        <v>14.7272506897877</v>
      </c>
      <c r="F63" s="3">
        <v>13.9434874926745</v>
      </c>
      <c r="G63" s="3">
        <v>18.5971199354437</v>
      </c>
      <c r="H63" s="3">
        <v>13.3162185088842</v>
      </c>
      <c r="I63" s="3">
        <v>22.397329746856499</v>
      </c>
      <c r="J63" s="3">
        <v>18.236458926835301</v>
      </c>
      <c r="K63" s="3">
        <v>15.5516527890922</v>
      </c>
      <c r="L63" s="3">
        <v>17.405944286076402</v>
      </c>
      <c r="M63" s="3">
        <v>16.946090590213199</v>
      </c>
      <c r="N63" s="3">
        <v>11.641979500927</v>
      </c>
    </row>
    <row r="64" spans="1:14" x14ac:dyDescent="0.35">
      <c r="A64" s="2">
        <v>43796</v>
      </c>
      <c r="B64" s="3">
        <v>30.6718305405671</v>
      </c>
      <c r="C64" s="3">
        <v>17.7744269237485</v>
      </c>
      <c r="D64" s="3">
        <v>15.158512549834301</v>
      </c>
      <c r="E64" s="3">
        <v>15.280095150258701</v>
      </c>
      <c r="F64" s="3">
        <v>14.7906726295521</v>
      </c>
      <c r="G64" s="3">
        <v>19.102929793480001</v>
      </c>
      <c r="H64" s="3">
        <v>13.649209496811499</v>
      </c>
      <c r="I64" s="3">
        <v>23.803275944345</v>
      </c>
      <c r="J64" s="3">
        <v>19.1487916367366</v>
      </c>
      <c r="K64" s="3">
        <v>16.1378360318384</v>
      </c>
      <c r="L64" s="3">
        <v>18.093815197542401</v>
      </c>
      <c r="M64" s="3">
        <v>15.957599909003299</v>
      </c>
      <c r="N64" s="3">
        <v>12.0199661032522</v>
      </c>
    </row>
    <row r="65" spans="1:14" x14ac:dyDescent="0.35">
      <c r="A65" s="2">
        <v>43826</v>
      </c>
      <c r="B65" s="3">
        <v>32.649818047243301</v>
      </c>
      <c r="C65" s="3">
        <v>18.064917494312201</v>
      </c>
      <c r="D65" s="3">
        <v>15.346576056085301</v>
      </c>
      <c r="E65" s="3">
        <v>15.5547283472162</v>
      </c>
      <c r="F65" s="3">
        <v>15.371724451247299</v>
      </c>
      <c r="G65" s="3">
        <v>19.7716261654978</v>
      </c>
      <c r="H65" s="3">
        <v>14.228080640765601</v>
      </c>
      <c r="I65" s="3">
        <v>25.0101550086892</v>
      </c>
      <c r="J65" s="3">
        <v>19.9048224943562</v>
      </c>
      <c r="K65" s="3">
        <v>16.622265833118099</v>
      </c>
      <c r="L65" s="3">
        <v>18.788398176672398</v>
      </c>
      <c r="M65" s="3">
        <v>16.449545740573299</v>
      </c>
      <c r="N65" s="3">
        <v>12.236921607506901</v>
      </c>
    </row>
    <row r="66" spans="1:14" x14ac:dyDescent="0.35">
      <c r="A66" s="2">
        <v>43857</v>
      </c>
      <c r="B66" s="3">
        <v>32.938363044992599</v>
      </c>
      <c r="C66" s="3">
        <v>18.682273668175299</v>
      </c>
      <c r="D66" s="3">
        <v>15.5351161310269</v>
      </c>
      <c r="E66" s="3">
        <v>15.3729069891411</v>
      </c>
      <c r="F66" s="3">
        <v>15.169466248104801</v>
      </c>
      <c r="G66" s="3">
        <v>19.8398647009823</v>
      </c>
      <c r="H66" s="3">
        <v>13.889415498538799</v>
      </c>
      <c r="I66" s="3">
        <v>25.215861011593699</v>
      </c>
      <c r="J66" s="3">
        <v>19.827517700634498</v>
      </c>
      <c r="K66" s="3">
        <v>16.174606820951901</v>
      </c>
      <c r="L66" s="3">
        <v>18.1928385557699</v>
      </c>
      <c r="M66" s="3">
        <v>13.952729218553801</v>
      </c>
      <c r="N66" s="3">
        <v>11.9873052523561</v>
      </c>
    </row>
    <row r="67" spans="1:14" x14ac:dyDescent="0.35">
      <c r="A67" s="2">
        <v>43888</v>
      </c>
      <c r="B67" s="3">
        <v>31.575952518791301</v>
      </c>
      <c r="C67" s="3">
        <v>17.616897959847801</v>
      </c>
      <c r="D67" s="3">
        <v>14.8053174002648</v>
      </c>
      <c r="E67" s="3">
        <v>14.568407444804899</v>
      </c>
      <c r="F67" s="3">
        <v>14.482421568222501</v>
      </c>
      <c r="G67" s="3">
        <v>18.642987184559399</v>
      </c>
      <c r="H67" s="3">
        <v>12.7749751285205</v>
      </c>
      <c r="I67" s="3">
        <v>23.265179855233701</v>
      </c>
      <c r="J67" s="3">
        <v>18.0548683056548</v>
      </c>
      <c r="K67" s="3">
        <v>15.1533115614096</v>
      </c>
      <c r="L67" s="3">
        <v>17.874727847010998</v>
      </c>
      <c r="M67" s="3">
        <v>13.250408956892199</v>
      </c>
      <c r="N67" s="3">
        <v>11.8016777242606</v>
      </c>
    </row>
    <row r="68" spans="1:14" x14ac:dyDescent="0.35">
      <c r="A68" s="2">
        <v>43917</v>
      </c>
      <c r="B68" s="3">
        <v>30.330586266632601</v>
      </c>
      <c r="C68" s="3">
        <v>16.158334839483398</v>
      </c>
      <c r="D68" s="3">
        <v>14.0306384669019</v>
      </c>
      <c r="E68" s="3">
        <v>13.738110960962899</v>
      </c>
      <c r="F68" s="3">
        <v>13.8489007002888</v>
      </c>
      <c r="G68" s="3">
        <v>17.656942754025899</v>
      </c>
      <c r="H68" s="3">
        <v>12.220870108495401</v>
      </c>
      <c r="I68" s="3">
        <v>22.860132900200099</v>
      </c>
      <c r="J68" s="3">
        <v>17.5178035616774</v>
      </c>
      <c r="K68" s="3">
        <v>14.3441610217297</v>
      </c>
      <c r="L68" s="3">
        <v>16.7781881219891</v>
      </c>
      <c r="M68" s="3">
        <v>12.759855699120999</v>
      </c>
      <c r="N68" s="3">
        <v>11.073265252706699</v>
      </c>
    </row>
    <row r="69" spans="1:14" x14ac:dyDescent="0.35">
      <c r="A69" s="2">
        <v>43948</v>
      </c>
      <c r="B69" s="3">
        <v>31.339589837329399</v>
      </c>
      <c r="C69" s="3">
        <v>17.040667067992999</v>
      </c>
      <c r="D69" s="3">
        <v>15.3330681352297</v>
      </c>
      <c r="E69" s="3">
        <v>14.7369706858873</v>
      </c>
      <c r="F69" s="3">
        <v>14.2275193323342</v>
      </c>
      <c r="G69" s="3">
        <v>18.560978720725799</v>
      </c>
      <c r="H69" s="3">
        <v>13.302162600559001</v>
      </c>
      <c r="I69" s="3">
        <v>24.236522513470799</v>
      </c>
      <c r="J69" s="3">
        <v>19.103158995014301</v>
      </c>
      <c r="K69" s="3">
        <v>15.6237076124649</v>
      </c>
      <c r="L69" s="3">
        <v>17.664338947055001</v>
      </c>
      <c r="M69" s="3">
        <v>14.3073894478773</v>
      </c>
      <c r="N69" s="3">
        <v>12.302219516512499</v>
      </c>
    </row>
    <row r="70" spans="1:14" x14ac:dyDescent="0.35">
      <c r="A70" s="2">
        <v>43978</v>
      </c>
      <c r="B70" s="3">
        <v>33.115063371192299</v>
      </c>
      <c r="C70" s="3">
        <v>18.032189110486499</v>
      </c>
      <c r="D70" s="3">
        <v>17.227871411157899</v>
      </c>
      <c r="E70" s="3">
        <v>16.179020964213802</v>
      </c>
      <c r="F70" s="3">
        <v>15.293325779676501</v>
      </c>
      <c r="G70" s="3">
        <v>18.9797829619014</v>
      </c>
      <c r="H70" s="3">
        <v>14.544084691441199</v>
      </c>
      <c r="I70" s="3">
        <v>25.6981666777451</v>
      </c>
      <c r="J70" s="3">
        <v>20.370442647652599</v>
      </c>
      <c r="K70" s="3">
        <v>16.769267158488699</v>
      </c>
      <c r="L70" s="3">
        <v>18.446298756216901</v>
      </c>
      <c r="M70" s="3">
        <v>15.699743309200899</v>
      </c>
      <c r="N70" s="3">
        <v>14.227268360839799</v>
      </c>
    </row>
    <row r="71" spans="1:14" x14ac:dyDescent="0.35">
      <c r="A71" s="2">
        <v>44008</v>
      </c>
      <c r="B71" s="3">
        <v>32.402352566887302</v>
      </c>
      <c r="C71" s="3">
        <v>18.387990641120201</v>
      </c>
      <c r="D71" s="3">
        <v>17.108307102466199</v>
      </c>
      <c r="E71" s="3">
        <v>17.306714000473502</v>
      </c>
      <c r="F71" s="3">
        <v>16.973903878386199</v>
      </c>
      <c r="G71" s="3">
        <v>19.4727075203472</v>
      </c>
      <c r="H71" s="3">
        <v>15.062372772986899</v>
      </c>
      <c r="I71" s="3">
        <v>26.5373809948528</v>
      </c>
      <c r="J71" s="3">
        <v>20.8154241315527</v>
      </c>
      <c r="K71" s="3">
        <v>18.2904883040773</v>
      </c>
      <c r="L71" s="3">
        <v>19.428603331772202</v>
      </c>
      <c r="M71" s="3">
        <v>17.074691918117601</v>
      </c>
      <c r="N71" s="3">
        <v>16.130415748497299</v>
      </c>
    </row>
    <row r="72" spans="1:14" x14ac:dyDescent="0.35">
      <c r="A72" s="2">
        <v>44039</v>
      </c>
      <c r="B72" s="3">
        <v>33.6074493772105</v>
      </c>
      <c r="C72" s="3">
        <v>19.148427392710602</v>
      </c>
      <c r="D72" s="3">
        <v>17.8294810666792</v>
      </c>
      <c r="E72" s="3">
        <v>18.913920153073999</v>
      </c>
      <c r="F72" s="3">
        <v>17.789543006679299</v>
      </c>
      <c r="G72" s="3">
        <v>20.142021413370799</v>
      </c>
      <c r="H72" s="3">
        <v>15.6492730687823</v>
      </c>
      <c r="I72" s="3">
        <v>28.225023377320699</v>
      </c>
      <c r="J72" s="3">
        <v>22.1885890500971</v>
      </c>
      <c r="K72" s="3">
        <v>20.322967519114901</v>
      </c>
      <c r="L72" s="3">
        <v>20.388717887448699</v>
      </c>
      <c r="M72" s="3">
        <v>17.189918010106499</v>
      </c>
      <c r="N72" s="3">
        <v>17.7048142302557</v>
      </c>
    </row>
    <row r="73" spans="1:14" x14ac:dyDescent="0.35">
      <c r="A73" s="2">
        <v>44070</v>
      </c>
      <c r="B73" s="3">
        <v>34.462443863541203</v>
      </c>
      <c r="C73" s="3">
        <v>19.856053993652498</v>
      </c>
      <c r="D73" s="3">
        <v>18.407335584053801</v>
      </c>
      <c r="E73" s="3">
        <v>20.0553823718625</v>
      </c>
      <c r="F73" s="3">
        <v>18.7660781089814</v>
      </c>
      <c r="G73" s="3">
        <v>20.671188177316001</v>
      </c>
      <c r="H73" s="3">
        <v>16.3770771389669</v>
      </c>
      <c r="I73" s="3">
        <v>30.338990167456199</v>
      </c>
      <c r="J73" s="3">
        <v>23.512715587415801</v>
      </c>
      <c r="K73" s="3">
        <v>22.604030248377398</v>
      </c>
      <c r="L73" s="3">
        <v>21.4295825472195</v>
      </c>
      <c r="M73" s="3">
        <v>17.315858086996599</v>
      </c>
      <c r="N73" s="3">
        <v>17.7527447310841</v>
      </c>
    </row>
    <row r="74" spans="1:14" x14ac:dyDescent="0.35">
      <c r="A74" s="2">
        <v>44099</v>
      </c>
      <c r="B74" s="3">
        <v>33.531476510224699</v>
      </c>
      <c r="C74" s="3">
        <v>19.397068156745402</v>
      </c>
      <c r="D74" s="3">
        <v>18.2102912366339</v>
      </c>
      <c r="E74" s="3">
        <v>19.810448658293499</v>
      </c>
      <c r="F74" s="3">
        <v>19.937149983274999</v>
      </c>
      <c r="G74" s="3">
        <v>20.587535983604699</v>
      </c>
      <c r="H74" s="3">
        <v>16.5230801314123</v>
      </c>
      <c r="I74" s="3">
        <v>29.480910162405198</v>
      </c>
      <c r="J74" s="3">
        <v>23.1042741263234</v>
      </c>
      <c r="K74" s="3">
        <v>22.514806766109999</v>
      </c>
      <c r="L74" s="3">
        <v>21.4444945067962</v>
      </c>
      <c r="M74" s="3">
        <v>17.6901100185666</v>
      </c>
      <c r="N74" s="3">
        <v>17.801421180080499</v>
      </c>
    </row>
    <row r="75" spans="1:14" x14ac:dyDescent="0.35">
      <c r="A75" s="2">
        <v>44131</v>
      </c>
      <c r="B75" s="3">
        <v>35.465035655605497</v>
      </c>
      <c r="C75" s="3">
        <v>19.953456036735801</v>
      </c>
      <c r="D75" s="3">
        <v>18.418979887648199</v>
      </c>
      <c r="E75" s="3">
        <v>19.293592544231899</v>
      </c>
      <c r="F75" s="3">
        <v>20.6040721216634</v>
      </c>
      <c r="G75" s="3">
        <v>20.332035021434901</v>
      </c>
      <c r="H75" s="3">
        <v>16.621112401336699</v>
      </c>
      <c r="I75" s="3">
        <v>30.977794524165901</v>
      </c>
      <c r="J75" s="3">
        <v>23.881217686240699</v>
      </c>
      <c r="K75" s="3">
        <v>23.6028964365699</v>
      </c>
      <c r="L75" s="3">
        <v>22.067535710494202</v>
      </c>
      <c r="M75" s="3">
        <v>15.3931044795413</v>
      </c>
      <c r="N75" s="3">
        <v>18.639968719724401</v>
      </c>
    </row>
    <row r="76" spans="1:14" x14ac:dyDescent="0.35">
      <c r="A76" s="2">
        <v>44162</v>
      </c>
      <c r="B76" s="3">
        <v>35.317192153772403</v>
      </c>
      <c r="C76" s="3">
        <v>22.2236447314244</v>
      </c>
      <c r="D76" s="3">
        <v>19.9683346506779</v>
      </c>
      <c r="E76" s="3">
        <v>21.779267319593401</v>
      </c>
      <c r="F76" s="3">
        <v>22.786798433839401</v>
      </c>
      <c r="G76" s="3">
        <v>21.3947244321635</v>
      </c>
      <c r="H76" s="3">
        <v>18.640922844052501</v>
      </c>
      <c r="I76" s="3">
        <v>32.286625285321001</v>
      </c>
      <c r="J76" s="3">
        <v>25.377006479886099</v>
      </c>
      <c r="K76" s="3">
        <v>28.156052575796</v>
      </c>
      <c r="L76" s="3">
        <v>25.2124997430295</v>
      </c>
      <c r="M76" s="3">
        <v>16.9423526935777</v>
      </c>
      <c r="N76" s="3">
        <v>22.070954228170201</v>
      </c>
    </row>
    <row r="77" spans="1:14" x14ac:dyDescent="0.35">
      <c r="A77" s="2">
        <v>44189</v>
      </c>
      <c r="B77" s="3">
        <v>37.802733876103503</v>
      </c>
      <c r="C77" s="3">
        <v>23.018444775657901</v>
      </c>
      <c r="D77" s="3">
        <v>20.487910687572398</v>
      </c>
      <c r="E77" s="3">
        <v>21.707170779083199</v>
      </c>
      <c r="F77" s="3">
        <v>22.970192741364102</v>
      </c>
      <c r="G77" s="3">
        <v>21.380412556360099</v>
      </c>
      <c r="H77" s="3">
        <v>19.613298857860801</v>
      </c>
      <c r="I77" s="3">
        <v>33.732574638442102</v>
      </c>
      <c r="J77" s="3">
        <v>26.877522591359799</v>
      </c>
      <c r="K77" s="3">
        <v>28.4644671517806</v>
      </c>
      <c r="L77" s="3">
        <v>27.091162116495902</v>
      </c>
      <c r="M77" s="3">
        <v>17.090427271746499</v>
      </c>
      <c r="N77" s="3">
        <v>23.053936561267001</v>
      </c>
    </row>
    <row r="78" spans="1:14" x14ac:dyDescent="0.35">
      <c r="A78" s="2">
        <v>44223</v>
      </c>
      <c r="B78" s="3">
        <v>37.587893072430099</v>
      </c>
      <c r="C78" s="3">
        <v>23.1717554419448</v>
      </c>
      <c r="D78" s="3">
        <v>20.270365174719</v>
      </c>
      <c r="E78" s="3">
        <v>21.156876778258798</v>
      </c>
      <c r="F78" s="3">
        <v>23.763212421894998</v>
      </c>
      <c r="G78" s="3">
        <v>21.5855042718531</v>
      </c>
      <c r="H78" s="3">
        <v>19.585205344534199</v>
      </c>
      <c r="I78" s="3">
        <v>34.131365069755503</v>
      </c>
      <c r="J78" s="3">
        <v>26.752570812137002</v>
      </c>
      <c r="K78" s="3">
        <v>27.662914903154</v>
      </c>
      <c r="L78" s="3">
        <v>27.2888395191036</v>
      </c>
      <c r="M78" s="3">
        <v>18.232387718531101</v>
      </c>
      <c r="N78" s="3">
        <v>20.3477034723972</v>
      </c>
    </row>
    <row r="79" spans="1:14" x14ac:dyDescent="0.35">
      <c r="A79" s="2">
        <v>44253</v>
      </c>
      <c r="B79" s="3">
        <v>34.343740925786598</v>
      </c>
      <c r="C79" s="3">
        <v>21.803472996264802</v>
      </c>
      <c r="D79" s="3">
        <v>19.9904739717302</v>
      </c>
      <c r="E79" s="3">
        <v>20.295086301686101</v>
      </c>
      <c r="F79" s="3">
        <v>21.6770992801852</v>
      </c>
      <c r="G79" s="3">
        <v>20.482314389170899</v>
      </c>
      <c r="H79" s="3">
        <v>18.805046187306701</v>
      </c>
      <c r="I79" s="3">
        <v>32.1615307774657</v>
      </c>
      <c r="J79" s="3">
        <v>26.293169447379899</v>
      </c>
      <c r="K79" s="3">
        <v>27.071057217756699</v>
      </c>
      <c r="L79" s="3">
        <v>28.983305238102801</v>
      </c>
      <c r="M79" s="3">
        <v>17.560412932187599</v>
      </c>
      <c r="N79" s="3">
        <v>20.352573516655301</v>
      </c>
    </row>
    <row r="80" spans="1:14" x14ac:dyDescent="0.35">
      <c r="A80" s="2">
        <v>44281</v>
      </c>
      <c r="B80" s="3">
        <v>34.383329221032398</v>
      </c>
      <c r="C80" s="3">
        <v>21.398570464646099</v>
      </c>
      <c r="D80" s="3">
        <v>19.650003408836699</v>
      </c>
      <c r="E80" s="3">
        <v>20.059631231353599</v>
      </c>
      <c r="F80" s="3">
        <v>21.428133704886999</v>
      </c>
      <c r="G80" s="3">
        <v>20.4682490884232</v>
      </c>
      <c r="H80" s="3">
        <v>18.359904990862201</v>
      </c>
      <c r="I80" s="3">
        <v>31.811240656021099</v>
      </c>
      <c r="J80" s="3">
        <v>26.0763066121878</v>
      </c>
      <c r="K80" s="3">
        <v>26.4099334526035</v>
      </c>
      <c r="L80" s="3">
        <v>28.624076890717301</v>
      </c>
      <c r="M80" s="3">
        <v>18.094700031835099</v>
      </c>
      <c r="N80" s="3">
        <v>19.862734581653299</v>
      </c>
    </row>
    <row r="81" spans="1:14" x14ac:dyDescent="0.35">
      <c r="A81" s="2">
        <v>44313</v>
      </c>
      <c r="B81" s="3">
        <v>34.513182401521803</v>
      </c>
      <c r="C81" s="3">
        <v>21.0625608069946</v>
      </c>
      <c r="D81" s="3">
        <v>19.291339326885701</v>
      </c>
      <c r="E81" s="3">
        <v>19.5303477147339</v>
      </c>
      <c r="F81" s="3">
        <v>20.791864466394099</v>
      </c>
      <c r="G81" s="3">
        <v>20.202720880970201</v>
      </c>
      <c r="H81" s="3">
        <v>17.759530413970399</v>
      </c>
      <c r="I81" s="3">
        <v>31.983074224918902</v>
      </c>
      <c r="J81" s="3">
        <v>25.810831674937099</v>
      </c>
      <c r="K81" s="3">
        <v>25.610802479081599</v>
      </c>
      <c r="L81" s="3">
        <v>28.094890284067102</v>
      </c>
      <c r="M81" s="3">
        <v>18.0824716809196</v>
      </c>
      <c r="N81" s="3">
        <v>19.244759753306301</v>
      </c>
    </row>
    <row r="82" spans="1:14" x14ac:dyDescent="0.35">
      <c r="A82" s="2">
        <v>44343</v>
      </c>
      <c r="B82" s="3">
        <v>34.6499552865601</v>
      </c>
      <c r="C82" s="3">
        <v>20.625201570381702</v>
      </c>
      <c r="D82" s="3">
        <v>18.7568100790523</v>
      </c>
      <c r="E82" s="3">
        <v>18.826214056213299</v>
      </c>
      <c r="F82" s="3">
        <v>20.199558140030199</v>
      </c>
      <c r="G82" s="3">
        <v>20.569017657236699</v>
      </c>
      <c r="H82" s="3">
        <v>17.187420755005402</v>
      </c>
      <c r="I82" s="3">
        <v>30.8205687332098</v>
      </c>
      <c r="J82" s="3">
        <v>25.130589919380299</v>
      </c>
      <c r="K82" s="3">
        <v>24.676097494822599</v>
      </c>
      <c r="L82" s="3">
        <v>27.218944219900798</v>
      </c>
      <c r="M82" s="3">
        <v>17.492362223280001</v>
      </c>
      <c r="N82" s="3">
        <v>18.566636319674402</v>
      </c>
    </row>
    <row r="83" spans="1:14" x14ac:dyDescent="0.35">
      <c r="A83" s="2">
        <v>44372</v>
      </c>
      <c r="B83" s="3">
        <v>35.844698057178803</v>
      </c>
      <c r="C83" s="3">
        <v>20.233287992705201</v>
      </c>
      <c r="D83" s="3">
        <v>18.5815296320512</v>
      </c>
      <c r="E83" s="3">
        <v>18.4824892672078</v>
      </c>
      <c r="F83" s="3">
        <v>19.9283780917869</v>
      </c>
      <c r="G83" s="3">
        <v>20.951417476707299</v>
      </c>
      <c r="H83" s="3">
        <v>16.6351024093841</v>
      </c>
      <c r="I83" s="3">
        <v>31.0425928131923</v>
      </c>
      <c r="J83" s="3">
        <v>24.8647699563105</v>
      </c>
      <c r="K83" s="3">
        <v>23.994255919082001</v>
      </c>
      <c r="L83" s="3">
        <v>26.717464512923101</v>
      </c>
      <c r="M83" s="3">
        <v>17.9423125334018</v>
      </c>
      <c r="N83" s="3">
        <v>18.204416338172901</v>
      </c>
    </row>
    <row r="84" spans="1:14" x14ac:dyDescent="0.35">
      <c r="A84" s="2">
        <v>44404</v>
      </c>
      <c r="B84" s="3">
        <v>36.392697477290604</v>
      </c>
      <c r="C84" s="3">
        <v>19.3431439639023</v>
      </c>
      <c r="D84" s="3">
        <v>17.933657047458102</v>
      </c>
      <c r="E84" s="3">
        <v>17.685795499057502</v>
      </c>
      <c r="F84" s="3">
        <v>19.252879734267001</v>
      </c>
      <c r="G84" s="3">
        <v>20.8339051892364</v>
      </c>
      <c r="H84" s="3">
        <v>15.6469440059268</v>
      </c>
      <c r="I84" s="3">
        <v>31.264252540989101</v>
      </c>
      <c r="J84" s="3">
        <v>24.458631792658601</v>
      </c>
      <c r="K84" s="3">
        <v>22.5120513822887</v>
      </c>
      <c r="L84" s="3">
        <v>26.0824913961624</v>
      </c>
      <c r="M84" s="3">
        <v>17.542130559610801</v>
      </c>
      <c r="N84" s="3">
        <v>17.3503995356789</v>
      </c>
    </row>
    <row r="85" spans="1:14" x14ac:dyDescent="0.35">
      <c r="A85" s="2">
        <v>44435</v>
      </c>
      <c r="B85" s="3">
        <v>37.922882961744698</v>
      </c>
      <c r="C85" s="3">
        <v>19.1099665227229</v>
      </c>
      <c r="D85" s="3">
        <v>17.269850977919699</v>
      </c>
      <c r="E85" s="3">
        <v>16.9936260460474</v>
      </c>
      <c r="F85" s="3">
        <v>18.300711447691</v>
      </c>
      <c r="G85" s="3">
        <v>21.230427356721201</v>
      </c>
      <c r="H85" s="3">
        <v>14.8110004640175</v>
      </c>
      <c r="I85" s="3">
        <v>30.9050527208761</v>
      </c>
      <c r="J85" s="3">
        <v>24.012985018129399</v>
      </c>
      <c r="K85" s="3">
        <v>21.162864754940699</v>
      </c>
      <c r="L85" s="3">
        <v>26.0662196061201</v>
      </c>
      <c r="M85" s="3">
        <v>17.540125372341102</v>
      </c>
      <c r="N85" s="3">
        <v>15.788278203871201</v>
      </c>
    </row>
    <row r="86" spans="1:14" x14ac:dyDescent="0.35">
      <c r="A86" s="2">
        <v>44466</v>
      </c>
      <c r="B86" s="3">
        <v>38.8577396514412</v>
      </c>
      <c r="C86" s="3">
        <v>18.656320294513801</v>
      </c>
      <c r="D86" s="3">
        <v>16.633558810400299</v>
      </c>
      <c r="E86" s="3">
        <v>16.192617569009599</v>
      </c>
      <c r="F86" s="3">
        <v>18.526470497351301</v>
      </c>
      <c r="G86" s="3">
        <v>20.219264168937201</v>
      </c>
      <c r="H86" s="3">
        <v>14.041812160439299</v>
      </c>
      <c r="I86" s="3">
        <v>30.328728250816599</v>
      </c>
      <c r="J86" s="3">
        <v>23.441974238781299</v>
      </c>
      <c r="K86" s="3">
        <v>20.022731597055799</v>
      </c>
      <c r="L86" s="3">
        <v>25.008023874242198</v>
      </c>
      <c r="M86" s="3">
        <v>17.224181253272501</v>
      </c>
      <c r="N86" s="3">
        <v>14.936898855965399</v>
      </c>
    </row>
    <row r="87" spans="1:14" x14ac:dyDescent="0.35">
      <c r="A87" s="2">
        <v>44496</v>
      </c>
      <c r="B87" s="3">
        <v>38.908892946388001</v>
      </c>
      <c r="C87" s="3">
        <v>18.8129703002095</v>
      </c>
      <c r="D87" s="3">
        <v>16.629167703264599</v>
      </c>
      <c r="E87" s="3">
        <v>15.761916578280699</v>
      </c>
      <c r="F87" s="3">
        <v>17.646701397782198</v>
      </c>
      <c r="G87" s="3">
        <v>20.572609170909299</v>
      </c>
      <c r="H87" s="3">
        <v>13.690924916850699</v>
      </c>
      <c r="I87" s="3">
        <v>30.324533040575901</v>
      </c>
      <c r="J87" s="3">
        <v>23.172737757340599</v>
      </c>
      <c r="K87" s="3">
        <v>18.909811667139799</v>
      </c>
      <c r="L87" s="3">
        <v>24.723435076481</v>
      </c>
      <c r="M87" s="3">
        <v>16.576798115061798</v>
      </c>
      <c r="N87" s="3">
        <v>14.362349882259901</v>
      </c>
    </row>
    <row r="88" spans="1:14" x14ac:dyDescent="0.35">
      <c r="A88" s="2">
        <v>44526</v>
      </c>
      <c r="B88" s="3">
        <v>37.687644036327697</v>
      </c>
      <c r="C88" s="3">
        <v>17.668962420470798</v>
      </c>
      <c r="D88" s="3">
        <v>15.9383858565328</v>
      </c>
      <c r="E88" s="3">
        <v>14.326653939516</v>
      </c>
      <c r="F88" s="3">
        <v>16.871634106743901</v>
      </c>
      <c r="G88" s="3">
        <v>20.414135954597398</v>
      </c>
      <c r="H88" s="3">
        <v>12.530978113906601</v>
      </c>
      <c r="I88" s="3">
        <v>30.792437723060601</v>
      </c>
      <c r="J88" s="3">
        <v>22.826410561865998</v>
      </c>
      <c r="K88" s="3">
        <v>17.375000648056499</v>
      </c>
      <c r="L88" s="3">
        <v>22.956033261362801</v>
      </c>
      <c r="M88" s="3">
        <v>16.268108997642202</v>
      </c>
      <c r="N88" s="3">
        <v>12.7672599545387</v>
      </c>
    </row>
    <row r="89" spans="1:14" x14ac:dyDescent="0.35">
      <c r="A89" s="2">
        <v>44557</v>
      </c>
      <c r="B89" s="3">
        <v>39.001452312175097</v>
      </c>
      <c r="C89" s="3">
        <v>17.811100930097599</v>
      </c>
      <c r="D89" s="3">
        <v>15.4833860889138</v>
      </c>
      <c r="E89" s="3">
        <v>14.1913966230141</v>
      </c>
      <c r="F89" s="3">
        <v>16.090796238629999</v>
      </c>
      <c r="G89" s="3">
        <v>21.573487894529901</v>
      </c>
      <c r="H89" s="3">
        <v>12.3785414784582</v>
      </c>
      <c r="I89" s="3">
        <v>31.719167584947201</v>
      </c>
      <c r="J89" s="3">
        <v>23.403023694680801</v>
      </c>
      <c r="K89" s="3">
        <v>17.290750273034501</v>
      </c>
      <c r="L89" s="3">
        <v>22.838840451867402</v>
      </c>
      <c r="M89" s="3">
        <v>16.792000765104799</v>
      </c>
      <c r="N89" s="3">
        <v>12.115096746087101</v>
      </c>
    </row>
    <row r="90" spans="1:14" x14ac:dyDescent="0.35">
      <c r="A90" s="2">
        <v>44588</v>
      </c>
      <c r="B90" s="3">
        <v>36.603306302183299</v>
      </c>
      <c r="C90" s="3">
        <v>16.091502852343901</v>
      </c>
      <c r="D90" s="3">
        <v>14.905091301862999</v>
      </c>
      <c r="E90" s="3">
        <v>13.642846932969301</v>
      </c>
      <c r="F90" s="3">
        <v>14.6919279771435</v>
      </c>
      <c r="G90" s="3">
        <v>19.932441353758399</v>
      </c>
      <c r="H90" s="3">
        <v>12.6583291794781</v>
      </c>
      <c r="I90" s="3">
        <v>26.437247673471699</v>
      </c>
      <c r="J90" s="3">
        <v>20.9133500613727</v>
      </c>
      <c r="K90" s="3">
        <v>16.460402408571401</v>
      </c>
      <c r="L90" s="3">
        <v>20.304187070565</v>
      </c>
      <c r="M90" s="3">
        <v>12.041437168525</v>
      </c>
      <c r="N90" s="3">
        <v>11.8524467945234</v>
      </c>
    </row>
    <row r="91" spans="1:14" x14ac:dyDescent="0.35">
      <c r="A91" s="2">
        <v>44617</v>
      </c>
      <c r="B91" s="3">
        <v>35.245554578918401</v>
      </c>
      <c r="C91" s="3">
        <v>15.5226364354252</v>
      </c>
      <c r="D91" s="3">
        <v>15.2370762119043</v>
      </c>
      <c r="E91" s="3">
        <v>12.6280547266543</v>
      </c>
      <c r="F91" s="3">
        <v>14.702745064573</v>
      </c>
      <c r="G91" s="3">
        <v>18.403220727085699</v>
      </c>
      <c r="H91" s="3">
        <v>12.598230376042</v>
      </c>
      <c r="I91" s="3">
        <v>26.063967657629</v>
      </c>
      <c r="J91" s="3">
        <v>20.793665005799198</v>
      </c>
      <c r="K91" s="3">
        <v>15.6958185141866</v>
      </c>
      <c r="L91" s="3">
        <v>18.329586061679301</v>
      </c>
      <c r="M91" s="3">
        <v>11.6476301231072</v>
      </c>
      <c r="N91" s="3">
        <v>10.7837623689634</v>
      </c>
    </row>
    <row r="92" spans="1:14" x14ac:dyDescent="0.35">
      <c r="A92" s="2">
        <v>44645</v>
      </c>
      <c r="B92" s="3">
        <v>34.998609108678203</v>
      </c>
      <c r="C92" s="3">
        <v>15.807882455642099</v>
      </c>
      <c r="D92" s="3">
        <v>15.0991309801464</v>
      </c>
      <c r="E92" s="3">
        <v>12.434372385204</v>
      </c>
      <c r="F92" s="3">
        <v>14.704707598015499</v>
      </c>
      <c r="G92" s="3">
        <v>18.544761604936902</v>
      </c>
      <c r="H92" s="3">
        <v>12.412752456578801</v>
      </c>
      <c r="I92" s="3">
        <v>26.247114194802599</v>
      </c>
      <c r="J92" s="3">
        <v>20.743411950355501</v>
      </c>
      <c r="K92" s="3">
        <v>15.2428178181554</v>
      </c>
      <c r="L92" s="3">
        <v>18.501232181385699</v>
      </c>
      <c r="M92" s="3">
        <v>11.948242088981599</v>
      </c>
      <c r="N92" s="3">
        <v>10.530148412729201</v>
      </c>
    </row>
    <row r="93" spans="1:14" x14ac:dyDescent="0.35">
      <c r="A93" s="2">
        <v>44678</v>
      </c>
      <c r="B93" s="3">
        <v>34.425888650599603</v>
      </c>
      <c r="C93" s="3">
        <v>15.3327980015781</v>
      </c>
      <c r="D93" s="3">
        <v>14.6149098851145</v>
      </c>
      <c r="E93" s="3">
        <v>12.2177095422536</v>
      </c>
      <c r="F93" s="3">
        <v>14.3059297294987</v>
      </c>
      <c r="G93" s="3">
        <v>18.458042854372898</v>
      </c>
      <c r="H93" s="3">
        <v>12.019649128285799</v>
      </c>
      <c r="I93" s="3">
        <v>25.244926945925901</v>
      </c>
      <c r="J93" s="3">
        <v>20.078754943938002</v>
      </c>
      <c r="K93" s="3">
        <v>14.866566866299999</v>
      </c>
      <c r="L93" s="3">
        <v>18.202610053897001</v>
      </c>
      <c r="M93" s="3">
        <v>12.2168376809714</v>
      </c>
      <c r="N93" s="3">
        <v>10.3562711448904</v>
      </c>
    </row>
    <row r="94" spans="1:14" x14ac:dyDescent="0.35">
      <c r="A94" s="2">
        <v>44708</v>
      </c>
      <c r="B94" s="3">
        <v>33.673016809890797</v>
      </c>
      <c r="C94" s="3">
        <v>15.0647434728267</v>
      </c>
      <c r="D94" s="3">
        <v>14.3362577197463</v>
      </c>
      <c r="E94" s="3">
        <v>12.131858299762399</v>
      </c>
      <c r="F94" s="3">
        <v>14.1735912290206</v>
      </c>
      <c r="G94" s="3">
        <v>18.252104237485501</v>
      </c>
      <c r="H94" s="3">
        <v>11.787785960517599</v>
      </c>
      <c r="I94" s="3">
        <v>24.884500176093201</v>
      </c>
      <c r="J94" s="3">
        <v>19.821781217382501</v>
      </c>
      <c r="K94" s="3">
        <v>14.4411733568777</v>
      </c>
      <c r="L94" s="3">
        <v>18.509684899321599</v>
      </c>
      <c r="M94" s="3">
        <v>13.676547167951201</v>
      </c>
      <c r="N94" s="3">
        <v>10.131362727942101</v>
      </c>
    </row>
    <row r="95" spans="1:14" x14ac:dyDescent="0.35">
      <c r="A95" s="2">
        <v>44739</v>
      </c>
      <c r="B95" s="3">
        <v>33.101556248573303</v>
      </c>
      <c r="C95" s="3">
        <v>14.229843676812401</v>
      </c>
      <c r="D95" s="3">
        <v>13.5749032207307</v>
      </c>
      <c r="E95" s="3">
        <v>11.568792954782101</v>
      </c>
      <c r="F95" s="3">
        <v>13.9323829177245</v>
      </c>
      <c r="G95" s="3">
        <v>17.700027851402702</v>
      </c>
      <c r="H95" s="3">
        <v>11.3193095923736</v>
      </c>
      <c r="I95" s="3">
        <v>24.023617632038398</v>
      </c>
      <c r="J95" s="3">
        <v>19.016839715848501</v>
      </c>
      <c r="K95" s="3">
        <v>13.740465576223199</v>
      </c>
      <c r="L95" s="3">
        <v>18.296598093959101</v>
      </c>
      <c r="M95" s="3">
        <v>13.4690260760048</v>
      </c>
      <c r="N95" s="3">
        <v>9.4570045491458501</v>
      </c>
    </row>
    <row r="96" spans="1:14" x14ac:dyDescent="0.35">
      <c r="A96" s="2">
        <v>44769</v>
      </c>
      <c r="B96" s="3">
        <v>32.730957671116599</v>
      </c>
      <c r="C96" s="3">
        <v>14.3672412000591</v>
      </c>
      <c r="D96" s="3">
        <v>13.2372716090821</v>
      </c>
      <c r="E96" s="3">
        <v>11.4019147219045</v>
      </c>
      <c r="F96" s="3">
        <v>13.974252923399799</v>
      </c>
      <c r="G96" s="3">
        <v>18.107207476001999</v>
      </c>
      <c r="H96" s="3">
        <v>10.9920251429413</v>
      </c>
      <c r="I96" s="3">
        <v>24.525895827332299</v>
      </c>
      <c r="J96" s="3">
        <v>19.078665630945199</v>
      </c>
      <c r="K96" s="3">
        <v>13.411593649312801</v>
      </c>
      <c r="L96" s="3">
        <v>19.383013846836398</v>
      </c>
      <c r="M96" s="3">
        <v>14.2947085656476</v>
      </c>
      <c r="N96" s="3">
        <v>8.97876824749566</v>
      </c>
    </row>
    <row r="97" spans="1:14" x14ac:dyDescent="0.35">
      <c r="A97" s="2">
        <v>44799</v>
      </c>
      <c r="B97" s="3">
        <v>34.767674069606301</v>
      </c>
      <c r="C97" s="3">
        <v>14.6102212547774</v>
      </c>
      <c r="D97" s="3">
        <v>13.091495403271299</v>
      </c>
      <c r="E97" s="3">
        <v>10.7798534425797</v>
      </c>
      <c r="F97" s="3">
        <v>13.9565337941476</v>
      </c>
      <c r="G97" s="3">
        <v>17.999495094741501</v>
      </c>
      <c r="H97" s="3">
        <v>10.5398680301368</v>
      </c>
      <c r="I97" s="3">
        <v>24.706281061631501</v>
      </c>
      <c r="J97" s="3">
        <v>18.999126927023401</v>
      </c>
      <c r="K97" s="3">
        <v>12.728279108057899</v>
      </c>
      <c r="L97" s="3">
        <v>18.994785856889301</v>
      </c>
      <c r="M97" s="3">
        <v>14.5367404165374</v>
      </c>
      <c r="N97" s="3">
        <v>8.4318568569455508</v>
      </c>
    </row>
    <row r="98" spans="1:14" x14ac:dyDescent="0.35">
      <c r="A98" s="2">
        <v>44831</v>
      </c>
      <c r="B98" s="3">
        <v>32.095491010459099</v>
      </c>
      <c r="C98" s="3">
        <v>13.3212065810356</v>
      </c>
      <c r="D98" s="3">
        <v>12.129194506686501</v>
      </c>
      <c r="E98" s="3">
        <v>10.167103061403701</v>
      </c>
      <c r="F98" s="3">
        <v>13.1742799236862</v>
      </c>
      <c r="G98" s="3">
        <v>16.829179000279701</v>
      </c>
      <c r="H98" s="3">
        <v>9.4535079964578106</v>
      </c>
      <c r="I98" s="3">
        <v>22.6441005469527</v>
      </c>
      <c r="J98" s="3">
        <v>17.4891820320783</v>
      </c>
      <c r="K98" s="3">
        <v>11.529290551378599</v>
      </c>
      <c r="L98" s="3">
        <v>17.3234222348492</v>
      </c>
      <c r="M98" s="3">
        <v>14.217521289652799</v>
      </c>
      <c r="N98" s="3">
        <v>8.0825455952745795</v>
      </c>
    </row>
    <row r="99" spans="1:14" x14ac:dyDescent="0.35">
      <c r="A99" s="2">
        <v>44861</v>
      </c>
      <c r="B99" s="3">
        <v>31.075880660332601</v>
      </c>
      <c r="C99" s="3">
        <v>13.575143408114601</v>
      </c>
      <c r="D99" s="3">
        <v>12.488654493353099</v>
      </c>
      <c r="E99" s="3">
        <v>10.5388514136709</v>
      </c>
      <c r="F99" s="3">
        <v>13.1521297283115</v>
      </c>
      <c r="G99" s="3">
        <v>17.7510176569712</v>
      </c>
      <c r="H99" s="3">
        <v>9.5811616204199996</v>
      </c>
      <c r="I99" s="3">
        <v>22.4555426757817</v>
      </c>
      <c r="J99" s="3">
        <v>17.875361672808101</v>
      </c>
      <c r="K99" s="3">
        <v>11.8493092517399</v>
      </c>
      <c r="L99" s="3">
        <v>18.134789037048598</v>
      </c>
      <c r="M99" s="3">
        <v>13.412122476744299</v>
      </c>
      <c r="N99" s="3">
        <v>8.1725515919403406</v>
      </c>
    </row>
    <row r="100" spans="1:14" x14ac:dyDescent="0.35">
      <c r="A100" s="2">
        <v>44890</v>
      </c>
      <c r="B100" s="3">
        <v>30.143198218041601</v>
      </c>
      <c r="C100" s="3">
        <v>14.466809272068</v>
      </c>
      <c r="D100" s="3">
        <v>12.7748052871226</v>
      </c>
      <c r="E100" s="3">
        <v>11.1645589056172</v>
      </c>
      <c r="F100" s="3">
        <v>13.722001067942999</v>
      </c>
      <c r="G100" s="3">
        <v>19.848209641084999</v>
      </c>
      <c r="H100" s="3">
        <v>9.8939550240540797</v>
      </c>
      <c r="I100" s="3">
        <v>23.2163585773039</v>
      </c>
      <c r="J100" s="3">
        <v>18.478384609414501</v>
      </c>
      <c r="K100" s="3">
        <v>12.2363999413787</v>
      </c>
      <c r="L100" s="3">
        <v>18.7200734612796</v>
      </c>
      <c r="M100" s="3">
        <v>14.375776368052801</v>
      </c>
      <c r="N100" s="3">
        <v>8.2859496386793197</v>
      </c>
    </row>
    <row r="101" spans="1:14" x14ac:dyDescent="0.35">
      <c r="A101" s="2">
        <v>44922</v>
      </c>
      <c r="B101" s="3">
        <v>29.229324608862999</v>
      </c>
      <c r="C101" s="3">
        <v>14.118135080479201</v>
      </c>
      <c r="D101" s="3">
        <v>12.1295259350099</v>
      </c>
      <c r="E101" s="3">
        <v>10.492566772035</v>
      </c>
      <c r="F101" s="3">
        <v>12.885592477495701</v>
      </c>
      <c r="G101" s="3">
        <v>20.231470383553201</v>
      </c>
      <c r="H101" s="3">
        <v>9.5978303078656406</v>
      </c>
      <c r="I101" s="3">
        <v>22.0956531834576</v>
      </c>
      <c r="J101" s="3">
        <v>17.393265945620499</v>
      </c>
      <c r="K101" s="3">
        <v>11.6778011120558</v>
      </c>
      <c r="L101" s="3">
        <v>17.844732729493298</v>
      </c>
      <c r="M101" s="3">
        <v>15.589699348656801</v>
      </c>
      <c r="N101" s="3">
        <v>7.4475208217289701</v>
      </c>
    </row>
    <row r="102" spans="1:14" x14ac:dyDescent="0.35">
      <c r="A102" s="2">
        <v>44953</v>
      </c>
      <c r="B102" s="3">
        <v>29.913517302316901</v>
      </c>
      <c r="C102" s="3">
        <v>14.9598157496564</v>
      </c>
      <c r="D102" s="3">
        <v>12.886890557934301</v>
      </c>
      <c r="E102" s="3">
        <v>11.4600910640014</v>
      </c>
      <c r="F102" s="3">
        <v>13.495202026473899</v>
      </c>
      <c r="G102" s="3">
        <v>21.145645125801298</v>
      </c>
      <c r="H102" s="3">
        <v>10.148755108235401</v>
      </c>
      <c r="I102" s="3">
        <v>24.7556471378373</v>
      </c>
      <c r="J102" s="3">
        <v>18.4998907487468</v>
      </c>
      <c r="K102" s="3">
        <v>12.8782828090318</v>
      </c>
      <c r="L102" s="3">
        <v>19.580126769127599</v>
      </c>
      <c r="M102" s="3">
        <v>24.813332195673301</v>
      </c>
      <c r="N102" s="3">
        <v>8.1357125415070293</v>
      </c>
    </row>
    <row r="103" spans="1:14" x14ac:dyDescent="0.35">
      <c r="A103" s="2">
        <v>44984</v>
      </c>
      <c r="B103" s="3">
        <v>29.389967300231799</v>
      </c>
      <c r="C103" s="3">
        <v>14.1601348206319</v>
      </c>
      <c r="D103" s="3">
        <v>12.5911475953103</v>
      </c>
      <c r="E103" s="3">
        <v>11.3687085511852</v>
      </c>
      <c r="F103" s="3">
        <v>13.5797609711392</v>
      </c>
      <c r="G103" s="3">
        <v>20.926137367287101</v>
      </c>
      <c r="H103" s="3">
        <v>10.2859449195964</v>
      </c>
      <c r="I103" s="3">
        <v>24.772354435900699</v>
      </c>
      <c r="J103" s="3">
        <v>18.1123683350622</v>
      </c>
      <c r="K103" s="3">
        <v>12.9518559226976</v>
      </c>
      <c r="L103" s="3">
        <v>20.834588286297901</v>
      </c>
      <c r="M103" s="3">
        <v>25.7725095879325</v>
      </c>
      <c r="N103" s="3">
        <v>8.2390976077202804</v>
      </c>
    </row>
    <row r="104" spans="1:14" x14ac:dyDescent="0.35">
      <c r="A104" s="2">
        <v>45012</v>
      </c>
      <c r="B104" s="3">
        <v>28.9043413133675</v>
      </c>
      <c r="C104" s="3">
        <v>14.117976318365301</v>
      </c>
      <c r="D104" s="3">
        <v>12.556854421212799</v>
      </c>
      <c r="E104" s="3">
        <v>11.2937991018531</v>
      </c>
      <c r="F104" s="3">
        <v>13.5735561250135</v>
      </c>
      <c r="G104" s="3">
        <v>20.3497930280882</v>
      </c>
      <c r="H104" s="3">
        <v>10.1662017587047</v>
      </c>
      <c r="I104" s="3">
        <v>24.902335233973801</v>
      </c>
      <c r="J104" s="3">
        <v>18.060695805427301</v>
      </c>
      <c r="K104" s="3">
        <v>12.8670886115135</v>
      </c>
      <c r="L104" s="3">
        <v>20.257912454102801</v>
      </c>
      <c r="M104" s="3">
        <v>24.4535629677945</v>
      </c>
      <c r="N104" s="3">
        <v>8.2286279895973191</v>
      </c>
    </row>
    <row r="105" spans="1:14" x14ac:dyDescent="0.35">
      <c r="A105" s="2">
        <v>45043</v>
      </c>
      <c r="B105" s="3">
        <v>28.457613261912201</v>
      </c>
      <c r="C105" s="3">
        <v>14.3246960734247</v>
      </c>
      <c r="D105" s="3">
        <v>12.794983742701699</v>
      </c>
      <c r="E105" s="3">
        <v>11.425139638519401</v>
      </c>
      <c r="F105" s="3">
        <v>13.7059802388083</v>
      </c>
      <c r="G105" s="3">
        <v>20.252914853089901</v>
      </c>
      <c r="H105" s="3">
        <v>10.4039473148034</v>
      </c>
      <c r="I105" s="3">
        <v>25.116184300865399</v>
      </c>
      <c r="J105" s="3">
        <v>18.289236266773301</v>
      </c>
      <c r="K105" s="3">
        <v>13.2120624654947</v>
      </c>
      <c r="L105" s="3">
        <v>19.852279753357202</v>
      </c>
      <c r="M105" s="3">
        <v>23.4248317143471</v>
      </c>
      <c r="N105" s="3">
        <v>8.3837828842156394</v>
      </c>
    </row>
    <row r="106" spans="1:14" x14ac:dyDescent="0.35">
      <c r="A106" s="2">
        <v>45072</v>
      </c>
      <c r="B106" s="3">
        <v>28.015046681685</v>
      </c>
      <c r="C106" s="3">
        <v>14.2076625511532</v>
      </c>
      <c r="D106" s="3">
        <v>12.8251301945017</v>
      </c>
      <c r="E106" s="3">
        <v>11.2915354973394</v>
      </c>
      <c r="F106" s="3">
        <v>14.047185483287199</v>
      </c>
      <c r="G106" s="3">
        <v>19.934896206884101</v>
      </c>
      <c r="H106" s="3">
        <v>10.266108034355501</v>
      </c>
      <c r="I106" s="3">
        <v>25.824182861140699</v>
      </c>
      <c r="J106" s="3">
        <v>18.439323211810699</v>
      </c>
      <c r="K106" s="3">
        <v>13.106316546675499</v>
      </c>
      <c r="L106" s="3">
        <v>19.621247380049201</v>
      </c>
      <c r="M106" s="3">
        <v>22.231183099723001</v>
      </c>
      <c r="N106" s="3">
        <v>8.2071572421250991</v>
      </c>
    </row>
    <row r="107" spans="1:14" x14ac:dyDescent="0.35">
      <c r="A107" s="2">
        <v>45104</v>
      </c>
      <c r="B107" s="3">
        <v>25.9018926766995</v>
      </c>
      <c r="C107" s="3">
        <v>14.501964717437399</v>
      </c>
      <c r="D107" s="3">
        <v>12.895206866228699</v>
      </c>
      <c r="E107" s="3">
        <v>11.200903461843</v>
      </c>
      <c r="F107" s="3">
        <v>14.4596401159245</v>
      </c>
      <c r="G107" s="3">
        <v>19.204258948881598</v>
      </c>
      <c r="H107" s="3">
        <v>10.2959430332719</v>
      </c>
      <c r="I107" s="3">
        <v>26.508843012595499</v>
      </c>
      <c r="J107" s="3">
        <v>18.951602587309502</v>
      </c>
      <c r="K107" s="3">
        <v>13.164104349787801</v>
      </c>
      <c r="L107" s="3">
        <v>19.0832037832445</v>
      </c>
      <c r="M107" s="3">
        <v>20.8617035324094</v>
      </c>
      <c r="N107" s="3">
        <v>8.4622193522449898</v>
      </c>
    </row>
    <row r="108" spans="1:14" x14ac:dyDescent="0.35">
      <c r="A108" s="2">
        <v>45134</v>
      </c>
      <c r="B108" s="3">
        <v>25.418953002448202</v>
      </c>
      <c r="C108" s="3">
        <v>15.1939517763178</v>
      </c>
      <c r="D108" s="3">
        <v>13.459526538497</v>
      </c>
      <c r="E108" s="3">
        <v>11.429001713870999</v>
      </c>
      <c r="F108" s="3">
        <v>14.6811081571615</v>
      </c>
      <c r="G108" s="3">
        <v>19.335105419560701</v>
      </c>
      <c r="H108" s="3">
        <v>10.619912009578799</v>
      </c>
      <c r="I108" s="3">
        <v>26.291847050311699</v>
      </c>
      <c r="J108" s="3">
        <v>19.564596526914901</v>
      </c>
      <c r="K108" s="3">
        <v>13.4351649709968</v>
      </c>
      <c r="L108" s="3">
        <v>19.164863807544801</v>
      </c>
      <c r="M108" s="3">
        <v>19.7091279218272</v>
      </c>
      <c r="N108" s="3">
        <v>8.5635150568834693</v>
      </c>
    </row>
    <row r="109" spans="1:14" x14ac:dyDescent="0.35">
      <c r="A109" s="2">
        <v>45163</v>
      </c>
      <c r="B109" s="3">
        <v>24.225819301481302</v>
      </c>
      <c r="C109" s="3">
        <v>14.787388248035899</v>
      </c>
      <c r="D109" s="3">
        <v>13.256179132377101</v>
      </c>
      <c r="E109" s="3">
        <v>11.111020204450201</v>
      </c>
      <c r="F109" s="3">
        <v>14.486180096024601</v>
      </c>
      <c r="G109" s="3">
        <v>18.702716739270201</v>
      </c>
      <c r="H109" s="3">
        <v>10.337875564223699</v>
      </c>
      <c r="I109" s="3">
        <v>25.598457309978599</v>
      </c>
      <c r="J109" s="3">
        <v>19.211032238759501</v>
      </c>
      <c r="K109" s="3">
        <v>13.1364251779138</v>
      </c>
      <c r="L109" s="3">
        <v>17.699702482043399</v>
      </c>
      <c r="M109" s="3">
        <v>17.921738520522599</v>
      </c>
      <c r="N109" s="3">
        <v>8.2088973125710094</v>
      </c>
    </row>
    <row r="110" spans="1:14" x14ac:dyDescent="0.35">
      <c r="A110" s="2">
        <v>45196</v>
      </c>
      <c r="B110" s="3">
        <v>23.7024546369191</v>
      </c>
      <c r="C110" s="3">
        <v>14.7088958939687</v>
      </c>
      <c r="D110" s="3">
        <v>13.2267519401003</v>
      </c>
      <c r="E110" s="3">
        <v>10.9712759904167</v>
      </c>
      <c r="F110" s="3">
        <v>15.0316807703466</v>
      </c>
      <c r="G110" s="3">
        <v>18.328482084767099</v>
      </c>
      <c r="H110" s="3">
        <v>10.555249816354699</v>
      </c>
      <c r="I110" s="3">
        <v>25.225093301595798</v>
      </c>
      <c r="J110" s="3">
        <v>18.988706587012501</v>
      </c>
      <c r="K110" s="3">
        <v>12.886297229060199</v>
      </c>
      <c r="L110" s="3">
        <v>16.606276310909202</v>
      </c>
      <c r="M110" s="3">
        <v>16.687938902921001</v>
      </c>
      <c r="N110" s="3">
        <v>8.2120434818886991</v>
      </c>
    </row>
    <row r="111" spans="1:14" x14ac:dyDescent="0.35">
      <c r="A111" s="2">
        <v>45226</v>
      </c>
      <c r="B111" s="3">
        <v>22.327443799857299</v>
      </c>
      <c r="C111" s="3">
        <v>14.453775921194801</v>
      </c>
      <c r="D111" s="3">
        <v>12.9051369837269</v>
      </c>
      <c r="E111" s="3">
        <v>10.6118195575951</v>
      </c>
      <c r="F111" s="3">
        <v>14.504327790270199</v>
      </c>
      <c r="G111" s="3">
        <v>17.470799882705901</v>
      </c>
      <c r="H111" s="3">
        <v>10.236477411294</v>
      </c>
      <c r="I111" s="3">
        <v>24.465784363951101</v>
      </c>
      <c r="J111" s="3">
        <v>18.560916815397398</v>
      </c>
      <c r="K111" s="3">
        <v>12.493802498175601</v>
      </c>
      <c r="L111" s="3">
        <v>15.7191842540295</v>
      </c>
      <c r="M111" s="3">
        <v>15.746182546979099</v>
      </c>
      <c r="N111" s="3">
        <v>7.9001782094870796</v>
      </c>
    </row>
    <row r="112" spans="1:14" x14ac:dyDescent="0.35">
      <c r="A112" s="2">
        <v>45257</v>
      </c>
      <c r="B112" s="3">
        <v>21.9699080813586</v>
      </c>
      <c r="C112" s="3">
        <v>15.0391772460179</v>
      </c>
      <c r="D112" s="3">
        <v>13.6957379781</v>
      </c>
      <c r="E112" s="3">
        <v>11.430596664682</v>
      </c>
      <c r="F112" s="3">
        <v>15.276041102915199</v>
      </c>
      <c r="G112" s="3">
        <v>17.9747263994654</v>
      </c>
      <c r="H112" s="3">
        <v>10.7669324980297</v>
      </c>
      <c r="I112" s="3">
        <v>27.087119567403601</v>
      </c>
      <c r="J112" s="3">
        <v>20.356191892274399</v>
      </c>
      <c r="K112" s="3">
        <v>13.315985874524801</v>
      </c>
      <c r="L112" s="3">
        <v>16.4729049665372</v>
      </c>
      <c r="M112" s="3">
        <v>16.123742099801301</v>
      </c>
      <c r="N112" s="3">
        <v>8.2695366677864293</v>
      </c>
    </row>
    <row r="113" spans="1:25" x14ac:dyDescent="0.35">
      <c r="A113" s="2">
        <v>45287</v>
      </c>
      <c r="B113" s="3">
        <v>23.844482510801399</v>
      </c>
      <c r="C113" s="3">
        <v>16.513045701089698</v>
      </c>
      <c r="D113" s="3">
        <v>14.6306153472528</v>
      </c>
      <c r="E113" s="3">
        <v>11.955350014932</v>
      </c>
      <c r="F113" s="3">
        <v>15.3010720377504</v>
      </c>
      <c r="G113" s="3">
        <v>18.368203646887402</v>
      </c>
      <c r="H113" s="3">
        <v>11.3153239739501</v>
      </c>
      <c r="I113" s="3">
        <v>28.640131444536401</v>
      </c>
      <c r="J113" s="3">
        <v>21.7474787706849</v>
      </c>
      <c r="K113" s="3">
        <v>14.122628587763799</v>
      </c>
      <c r="L113" s="3">
        <v>16.700389839604799</v>
      </c>
      <c r="M113" s="3">
        <v>18.0125159529216</v>
      </c>
      <c r="N113" s="3">
        <v>8.8692857426100904</v>
      </c>
    </row>
    <row r="114" spans="1:25" x14ac:dyDescent="0.35">
      <c r="A114" s="2">
        <v>45317</v>
      </c>
      <c r="B114" s="3">
        <v>23.423596294797299</v>
      </c>
      <c r="C114" s="3">
        <v>16.395828239186802</v>
      </c>
      <c r="D114" s="3">
        <v>14.7119450950337</v>
      </c>
      <c r="E114" s="3">
        <v>12.1003362152395</v>
      </c>
      <c r="F114" s="3">
        <v>16.147983196334199</v>
      </c>
      <c r="G114" s="3">
        <v>18.6721673798354</v>
      </c>
      <c r="H114" s="3">
        <v>11.365297287220701</v>
      </c>
      <c r="I114" s="3">
        <v>29.219831748216102</v>
      </c>
      <c r="J114" s="3">
        <v>22.2767169340949</v>
      </c>
      <c r="K114" s="3">
        <v>14.477433966308499</v>
      </c>
      <c r="L114" s="3">
        <v>17.387161139467899</v>
      </c>
      <c r="M114" s="3">
        <v>15.378847553283199</v>
      </c>
      <c r="N114" s="3">
        <v>9.0165700155623707</v>
      </c>
    </row>
    <row r="115" spans="1:25" x14ac:dyDescent="0.35">
      <c r="A115" s="2">
        <v>45349</v>
      </c>
      <c r="B115" s="3">
        <v>23.201494612123302</v>
      </c>
      <c r="C115" s="3">
        <v>16.590326807403201</v>
      </c>
      <c r="D115" s="3">
        <v>14.8451707178936</v>
      </c>
      <c r="E115" s="3">
        <v>12.4789974710061</v>
      </c>
      <c r="F115" s="3">
        <v>17.046163478332399</v>
      </c>
      <c r="G115" s="3">
        <v>19.277208032206001</v>
      </c>
      <c r="H115" s="3">
        <v>11.515573117932799</v>
      </c>
      <c r="I115" s="3">
        <v>29.572792586287399</v>
      </c>
      <c r="J115" s="3">
        <v>22.709905405194799</v>
      </c>
      <c r="K115" s="3">
        <v>15.548638373293601</v>
      </c>
      <c r="L115" s="3">
        <v>17.859013397932401</v>
      </c>
      <c r="M115" s="3">
        <v>15.7278507964825</v>
      </c>
      <c r="N115" s="3">
        <v>9.2996673567572508</v>
      </c>
    </row>
    <row r="116" spans="1:25" x14ac:dyDescent="0.35">
      <c r="A116" s="2">
        <v>45378</v>
      </c>
      <c r="B116" s="3">
        <v>24.033183925103302</v>
      </c>
      <c r="C116" s="3">
        <v>16.640106261607301</v>
      </c>
      <c r="D116" s="3">
        <v>14.955847585572201</v>
      </c>
      <c r="E116" s="3">
        <v>12.604259965124299</v>
      </c>
      <c r="F116" s="3">
        <v>17.0767247010589</v>
      </c>
      <c r="G116" s="3">
        <v>19.150773233073501</v>
      </c>
      <c r="H116" s="3">
        <v>11.526619142350199</v>
      </c>
      <c r="I116" s="3">
        <v>29.450389826776199</v>
      </c>
      <c r="J116" s="3">
        <v>22.766413132430198</v>
      </c>
      <c r="K116" s="3">
        <v>15.5320553001403</v>
      </c>
      <c r="L116" s="3">
        <v>18.459159101243198</v>
      </c>
      <c r="M116" s="3">
        <v>15.9626680490724</v>
      </c>
      <c r="N116" s="3">
        <v>9.4813444894225292</v>
      </c>
    </row>
    <row r="117" spans="1:25" x14ac:dyDescent="0.35">
      <c r="A117" s="2">
        <v>45408</v>
      </c>
      <c r="B117" s="3">
        <v>24.248008321684399</v>
      </c>
      <c r="C117" s="3">
        <v>16.5432021031293</v>
      </c>
      <c r="D117" s="3">
        <v>14.898614702165601</v>
      </c>
      <c r="E117" s="3">
        <v>12.5396099197817</v>
      </c>
      <c r="F117" s="3">
        <v>16.747091403873299</v>
      </c>
      <c r="G117" s="3">
        <v>18.833001985839498</v>
      </c>
      <c r="H117" s="3">
        <v>11.602537911101599</v>
      </c>
      <c r="I117" s="3">
        <v>29.080045239169301</v>
      </c>
      <c r="J117" s="3">
        <v>22.4334768306284</v>
      </c>
      <c r="K117" s="3">
        <v>15.4554193882825</v>
      </c>
      <c r="L117" s="3">
        <v>18.1866125099362</v>
      </c>
      <c r="M117" s="3">
        <v>15.906226978068901</v>
      </c>
      <c r="N117" s="3">
        <v>9.4560969899052001</v>
      </c>
    </row>
    <row r="118" spans="1:25" x14ac:dyDescent="0.35">
      <c r="A118" s="2">
        <v>45436</v>
      </c>
      <c r="B118" s="3">
        <v>24.541054371470501</v>
      </c>
      <c r="C118" s="3">
        <v>16.691074672690799</v>
      </c>
      <c r="D118" s="3">
        <v>14.9766466645381</v>
      </c>
      <c r="E118" s="3">
        <v>12.5612427438127</v>
      </c>
      <c r="F118" s="3">
        <v>16.748845787493401</v>
      </c>
      <c r="G118" s="3">
        <v>18.861439308747599</v>
      </c>
      <c r="H118" s="3">
        <v>11.7465820718981</v>
      </c>
      <c r="I118" s="3">
        <v>29.3588812902575</v>
      </c>
      <c r="J118" s="3">
        <v>22.566298973834801</v>
      </c>
      <c r="K118" s="3">
        <v>15.4303698128106</v>
      </c>
      <c r="L118" s="3">
        <v>18.359988350579101</v>
      </c>
      <c r="M118" s="3">
        <v>16.1085632733168</v>
      </c>
      <c r="N118" s="3">
        <v>9.5619115049097996</v>
      </c>
    </row>
    <row r="119" spans="1:25" x14ac:dyDescent="0.35">
      <c r="A119" s="2">
        <v>45470</v>
      </c>
      <c r="B119" s="3">
        <v>24.3636830454343</v>
      </c>
      <c r="C119" s="3">
        <v>16.848399143557199</v>
      </c>
      <c r="D119" s="3">
        <v>14.839913594390699</v>
      </c>
      <c r="E119" s="3">
        <v>12.4640532571058</v>
      </c>
      <c r="F119" s="3">
        <v>16.7359244002769</v>
      </c>
      <c r="G119" s="3">
        <v>18.781318748023502</v>
      </c>
      <c r="H119" s="3">
        <v>11.629674123254</v>
      </c>
      <c r="I119" s="3">
        <v>29.856668396584201</v>
      </c>
      <c r="J119" s="3">
        <v>22.8189986672052</v>
      </c>
      <c r="K119" s="3">
        <v>14.9189975890108</v>
      </c>
      <c r="L119" s="3">
        <v>18.2980536704641</v>
      </c>
      <c r="M119" s="3">
        <v>16.013808090047501</v>
      </c>
      <c r="N119" s="3">
        <v>9.42967734507865</v>
      </c>
    </row>
    <row r="120" spans="1:25" x14ac:dyDescent="0.35">
      <c r="A120" s="2">
        <v>45499</v>
      </c>
      <c r="B120" s="3">
        <v>25.2616755106319</v>
      </c>
      <c r="C120" s="3">
        <v>17.091602705178499</v>
      </c>
      <c r="D120" s="3">
        <v>15.175777895444501</v>
      </c>
      <c r="E120" s="3">
        <v>12.5820122601056</v>
      </c>
      <c r="F120" s="3">
        <v>16.2457170464935</v>
      </c>
      <c r="G120" s="3">
        <v>18.8671766792352</v>
      </c>
      <c r="H120" s="3">
        <v>11.8734583353024</v>
      </c>
      <c r="I120" s="3">
        <v>29.284101211090999</v>
      </c>
      <c r="J120" s="3">
        <v>22.764524635100301</v>
      </c>
      <c r="K120" s="3">
        <v>14.9886609144129</v>
      </c>
      <c r="L120" s="3">
        <v>17.884381791356201</v>
      </c>
      <c r="M120" s="3">
        <v>16.4271074229287</v>
      </c>
      <c r="N120" s="3">
        <v>9.7044103095186092</v>
      </c>
    </row>
    <row r="121" spans="1:25" x14ac:dyDescent="0.35">
      <c r="A121" s="2">
        <v>45531</v>
      </c>
      <c r="B121" s="3">
        <v>26.473485446874999</v>
      </c>
      <c r="C121" s="3">
        <v>17.558843216583298</v>
      </c>
      <c r="D121" s="3">
        <v>15.382109961348</v>
      </c>
      <c r="E121" s="3">
        <v>12.735388074571899</v>
      </c>
      <c r="F121" s="3">
        <v>15.978786483071101</v>
      </c>
      <c r="G121" s="3">
        <v>18.948576569711999</v>
      </c>
      <c r="H121" s="3">
        <v>12.1398037296106</v>
      </c>
      <c r="I121" s="3">
        <v>30.051539458540098</v>
      </c>
      <c r="J121" s="3">
        <v>23.1816978903924</v>
      </c>
      <c r="K121" s="3">
        <v>14.994419357359799</v>
      </c>
      <c r="L121" s="3">
        <v>17.6057221577219</v>
      </c>
      <c r="M121" s="3">
        <v>16.6444050474588</v>
      </c>
      <c r="N121" s="3">
        <v>9.8224737180996904</v>
      </c>
    </row>
    <row r="122" spans="1:25" x14ac:dyDescent="0.35">
      <c r="A122" s="2">
        <v>45560</v>
      </c>
      <c r="B122" s="3">
        <v>23.910466170381401</v>
      </c>
      <c r="C122" s="3">
        <v>17.960661110333799</v>
      </c>
      <c r="D122" s="3">
        <v>15.823911946996301</v>
      </c>
      <c r="E122" s="3">
        <v>13.2867478102051</v>
      </c>
      <c r="F122" s="3">
        <v>15.653215475317699</v>
      </c>
      <c r="G122" s="3">
        <v>18.645140587157599</v>
      </c>
      <c r="H122" s="3">
        <v>12.2193179613295</v>
      </c>
      <c r="I122" s="3">
        <v>30.584562555104199</v>
      </c>
      <c r="J122" s="3">
        <v>23.588756342030401</v>
      </c>
      <c r="K122" s="3">
        <v>15.0041790984051</v>
      </c>
      <c r="L122" s="3">
        <v>17.526442892116201</v>
      </c>
      <c r="M122" s="3">
        <v>17.429456590007</v>
      </c>
      <c r="N122" s="3">
        <v>10.0127578666945</v>
      </c>
    </row>
    <row r="124" spans="1:25" x14ac:dyDescent="0.35">
      <c r="A124" s="2" t="s">
        <v>91</v>
      </c>
      <c r="B124" s="3" cm="1">
        <f t="array" ref="B124">MIN(_xlfn._xlws.FILTER(B1:B122, ISNUMBER(B1:B122)))</f>
        <v>17.904143439210401</v>
      </c>
      <c r="C124" s="3" cm="1">
        <f t="array" ref="C124">MIN(_xlfn._xlws.FILTER(C1:C122, ISNUMBER(C1:C122)))</f>
        <v>13.3212065810356</v>
      </c>
      <c r="D124" s="3" cm="1">
        <f t="array" ref="D124">MIN(_xlfn._xlws.FILTER(D1:D122, ISNUMBER(D1:D122)))</f>
        <v>12.129194506686501</v>
      </c>
      <c r="E124" s="3" cm="1">
        <f t="array" ref="E124">MIN(_xlfn._xlws.FILTER(E1:E122, ISNUMBER(E1:E122)))</f>
        <v>10.167103061403701</v>
      </c>
      <c r="F124" s="3" cm="1">
        <f t="array" ref="F124">MIN(_xlfn._xlws.FILTER(F1:F122, ISNUMBER(F1:F122)))</f>
        <v>11.5647941543186</v>
      </c>
      <c r="G124" s="3" cm="1">
        <f t="array" ref="G124">MIN(_xlfn._xlws.FILTER(G1:G122, ISNUMBER(G1:G122)))</f>
        <v>15.8190149713285</v>
      </c>
      <c r="H124" s="3" cm="1">
        <f t="array" ref="H124">MIN(_xlfn._xlws.FILTER(H1:H122, ISNUMBER(H1:H122)))</f>
        <v>9.4535079964578106</v>
      </c>
      <c r="I124" s="3" cm="1">
        <f t="array" ref="I124">MIN(_xlfn._xlws.FILTER(I1:I122, ISNUMBER(I1:I122)))</f>
        <v>18.135911800014998</v>
      </c>
      <c r="J124" s="3" cm="1">
        <f t="array" ref="J124">MIN(_xlfn._xlws.FILTER(J1:J122, ISNUMBER(J1:J122)))</f>
        <v>15.4321104911256</v>
      </c>
      <c r="K124" s="3" cm="1">
        <f t="array" ref="K124">MIN(_xlfn._xlws.FILTER(K1:K122, ISNUMBER(K1:K122)))</f>
        <v>11.529290551378599</v>
      </c>
      <c r="L124" s="3" cm="1">
        <f t="array" ref="L124">MIN(_xlfn._xlws.FILTER(L1:L122, ISNUMBER(L1:L122)))</f>
        <v>13.935080457273701</v>
      </c>
      <c r="M124" s="3" cm="1">
        <f t="array" ref="M124">MIN(_xlfn._xlws.FILTER(M1:M122, ISNUMBER(M1:M122)))</f>
        <v>11.6476301231072</v>
      </c>
      <c r="N124" s="3" cm="1">
        <f t="array" ref="N124">MIN(_xlfn._xlws.FILTER(N1:N122, ISNUMBER(N1:N122)))</f>
        <v>7.4475208217289701</v>
      </c>
    </row>
    <row r="125" spans="1:25" x14ac:dyDescent="0.35">
      <c r="A125" s="2" t="s">
        <v>92</v>
      </c>
      <c r="B125" s="3" cm="1">
        <f t="array" ref="B125">MAX(_xlfn._xlws.FILTER(B1:B122, ISNUMBER(B1:B122)))</f>
        <v>39.001452312175097</v>
      </c>
      <c r="C125" s="3" cm="1">
        <f t="array" ref="C125">MAX(_xlfn._xlws.FILTER(C1:C122, ISNUMBER(C1:C122)))</f>
        <v>23.1717554419448</v>
      </c>
      <c r="D125" s="3" cm="1">
        <f t="array" ref="D125">MAX(_xlfn._xlws.FILTER(D1:D122, ISNUMBER(D1:D122)))</f>
        <v>20.487910687572398</v>
      </c>
      <c r="E125" s="3" cm="1">
        <f t="array" ref="E125">MAX(_xlfn._xlws.FILTER(E1:E122, ISNUMBER(E1:E122)))</f>
        <v>21.779267319593401</v>
      </c>
      <c r="F125" s="3" cm="1">
        <f t="array" ref="F125">MAX(_xlfn._xlws.FILTER(F1:F122, ISNUMBER(F1:F122)))</f>
        <v>23.763212421894998</v>
      </c>
      <c r="G125" s="3" cm="1">
        <f t="array" ref="G125">MAX(_xlfn._xlws.FILTER(G1:G122, ISNUMBER(G1:G122)))</f>
        <v>22.2579310036866</v>
      </c>
      <c r="H125" s="3" cm="1">
        <f t="array" ref="H125">MAX(_xlfn._xlws.FILTER(H1:H122, ISNUMBER(H1:H122)))</f>
        <v>19.613298857860801</v>
      </c>
      <c r="I125" s="3" cm="1">
        <f t="array" ref="I125">MAX(_xlfn._xlws.FILTER(I1:I122, ISNUMBER(I1:I122)))</f>
        <v>34.131365069755503</v>
      </c>
      <c r="J125" s="3" cm="1">
        <f t="array" ref="J125">MAX(_xlfn._xlws.FILTER(J1:J122, ISNUMBER(J1:J122)))</f>
        <v>26.877522591359799</v>
      </c>
      <c r="K125" s="3" cm="1">
        <f t="array" ref="K125">MAX(_xlfn._xlws.FILTER(K1:K122, ISNUMBER(K1:K122)))</f>
        <v>28.4644671517806</v>
      </c>
      <c r="L125" s="3" cm="1">
        <f t="array" ref="L125">MAX(_xlfn._xlws.FILTER(L1:L122, ISNUMBER(L1:L122)))</f>
        <v>28.983305238102801</v>
      </c>
      <c r="M125" s="3" cm="1">
        <f t="array" ref="M125">MAX(_xlfn._xlws.FILTER(M1:M122, ISNUMBER(M1:M122)))</f>
        <v>25.7725095879325</v>
      </c>
      <c r="N125" s="3" cm="1">
        <f t="array" ref="N125">MAX(_xlfn._xlws.FILTER(N1:N122, ISNUMBER(N1:N122)))</f>
        <v>86.062556440537904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0.61399999999999999</v>
      </c>
      <c r="C127" s="9" cm="1">
        <f t="array" ref="C127">_xlfn.PERCENTRANK.EXC(_xlfn._xlws.FILTER(C1:C122, ISNUMBER(C1:C122)),C121)</f>
        <v>0.76200000000000001</v>
      </c>
      <c r="D127" s="9" cm="1">
        <f t="array" ref="D127">_xlfn.PERCENTRANK.EXC(_xlfn._xlws.FILTER(D1:D122, ISNUMBER(D1:D122)),D121)</f>
        <v>0.434</v>
      </c>
      <c r="E127" s="9" cm="1">
        <f t="array" ref="E127">_xlfn.PERCENTRANK.EXC(_xlfn._xlws.FILTER(E1:E122, ISNUMBER(E1:E122)),E121)</f>
        <v>0.28599999999999998</v>
      </c>
      <c r="F127" s="9" cm="1">
        <f t="array" ref="F127">_xlfn.PERCENTRANK.EXC(_xlfn._xlws.FILTER(F1:F122, ISNUMBER(F1:F122)),F121)</f>
        <v>0.68</v>
      </c>
      <c r="G127" s="9" cm="1">
        <f t="array" ref="G127">_xlfn.PERCENTRANK.EXC(_xlfn._xlws.FILTER(G1:G122, ISNUMBER(G1:G122)),G121)</f>
        <v>0.55700000000000005</v>
      </c>
      <c r="H127" s="9" cm="1">
        <f t="array" ref="H127">_xlfn.PERCENTRANK.EXC(_xlfn._xlws.FILTER(H1:H122, ISNUMBER(H1:H122)),H121)</f>
        <v>0.245</v>
      </c>
      <c r="I127" s="9" cm="1">
        <f t="array" ref="I127">_xlfn.PERCENTRANK.EXC(_xlfn._xlws.FILTER(I1:I122, ISNUMBER(I1:I122)),I121)</f>
        <v>0.85199999999999998</v>
      </c>
      <c r="J127" s="9" cm="1">
        <f t="array" ref="J127">_xlfn.PERCENTRANK.EXC(_xlfn._xlws.FILTER(J1:J122, ISNUMBER(J1:J122)),J121)</f>
        <v>0.86799999999999999</v>
      </c>
      <c r="K127" s="9" cm="1">
        <f t="array" ref="K127">_xlfn.PERCENTRANK.EXC(_xlfn._xlws.FILTER(K1:K122, ISNUMBER(K1:K122)),K121)</f>
        <v>0.35199999999999998</v>
      </c>
      <c r="L127" s="9" cm="1">
        <f t="array" ref="L127">_xlfn.PERCENTRANK.EXC(_xlfn._xlws.FILTER(L1:L122, ISNUMBER(L1:L122)),L121)</f>
        <v>0.5</v>
      </c>
      <c r="M127" s="9" cm="1">
        <f t="array" ref="M127">_xlfn.PERCENTRANK.EXC(_xlfn._xlws.FILTER(M1:M122, ISNUMBER(M1:M122)),M121)</f>
        <v>0.434</v>
      </c>
      <c r="N127" s="9" cm="1">
        <f t="array" ref="N127">_xlfn.PERCENTRANK.EXC(_xlfn._xlws.FILTER(N1:N122, ISNUMBER(N1:N122)),N121)</f>
        <v>0.221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41908</v>
      </c>
      <c r="B2" s="3" cm="1">
        <f t="array" ref="B2:B122">_xll.FDS(B1,"FMA_PE(NTMA,-10AY,0,AM,""PORTAGG"",""MEANR"")")</f>
        <v>17.1408424546592</v>
      </c>
      <c r="C2" s="3" cm="1">
        <f t="array" ref="C2:C122">_xll.FDS(C1,"FMA_PE(NTMA,-10AY,0,AM,""PORTAGG"",""MEANR"")")</f>
        <v>13.9043161430432</v>
      </c>
      <c r="D2" s="3" cm="1">
        <f t="array" ref="D2:D122">_xll.FDS(D1,"FMA_PE(NTMA,-10AY,0,AM,""PORTAGG"",""MEANR"")")</f>
        <v>14.5606650456939</v>
      </c>
      <c r="E2" s="3" cm="1">
        <f t="array" ref="E2:E122">_xll.FDS(E1,"FMA_PE(NTMA,-10AY,0,AM,""PORTAGG"",""MEANR"")")</f>
        <v>12.509559707222</v>
      </c>
      <c r="F2" s="3" cm="1">
        <f t="array" ref="F2:F122">_xll.FDS(F1,"FMA_PE(NTMA,-10AY,0,AM,""PORTAGG"",""MEANR"")")</f>
        <v>14.110884482092899</v>
      </c>
      <c r="G2" s="3" cm="1">
        <f t="array" ref="G2:G122">_xll.FDS(G1,"FMA_PE(NTMA,-10AY,0,AM,""PORTAGG"",""MEANR"")")</f>
        <v>15.955430022902901</v>
      </c>
      <c r="H2" s="3" cm="1">
        <f t="array" ref="H2:H122">_xll.FDS(H1,"FMA_PE(NTMA,-10AY,0,AM,""PORTAGG"",""MEANR"")")</f>
        <v>13.1154853356456</v>
      </c>
      <c r="I2" s="3" cm="1">
        <f t="array" ref="I2:I122">_xll.FDS(I1,"FMA_PE(NTMA,-10AY,0,AM,""PORTAGG"",""MEANR"")")</f>
        <v>17.4832505886197</v>
      </c>
      <c r="J2" s="3" cm="1">
        <f t="array" ref="J2:J122">_xll.FDS(J1,"FMA_PE(NTMA,-10AY,0,AM,""PORTAGG"",""MEANR"")")</f>
        <v>15.0996256442277</v>
      </c>
      <c r="K2" s="3" cm="1">
        <f t="array" ref="K2:K122">_xll.FDS(K1,"FMA_PE(NTMA,-10AY,0,AM,""PORTAGG"",""MEANR"")")</f>
        <v>13.5612155928874</v>
      </c>
      <c r="L2" s="3" cm="1">
        <f t="array" ref="L2:L122">_xll.FDS(L1,"FMA_PE(NTMA,-10AY,0,AM,""PORTAGG"",""MEANR"")")</f>
        <v>14.6043634602116</v>
      </c>
      <c r="M2" s="3" cm="1">
        <f t="array" ref="M2:M122">_xll.FDS(M1,"FMA_PE(NTMA,-10AY,0,AM,""PORTAGG"",""MEANR"")")</f>
        <v>14.6050360839399</v>
      </c>
      <c r="N2" s="3" cm="1">
        <f t="array" ref="N2:N122">_xll.FDS(N1,"FMA_PE(NTMA,-10AY,0,AM,""PORTAGG"",""MEANR"")")</f>
        <v>13.731167184919601</v>
      </c>
    </row>
    <row r="3" spans="1:14" x14ac:dyDescent="0.35">
      <c r="A3" s="2">
        <v>41939</v>
      </c>
      <c r="B3" s="3">
        <v>17.448645917444502</v>
      </c>
      <c r="C3" s="3">
        <v>14.4566699338967</v>
      </c>
      <c r="D3" s="3">
        <v>14.1127374606288</v>
      </c>
      <c r="E3" s="3">
        <v>11.7582587615947</v>
      </c>
      <c r="F3" s="3">
        <v>13.204496145401</v>
      </c>
      <c r="G3" s="3">
        <v>15.4212247696793</v>
      </c>
      <c r="H3" s="3">
        <v>12.810054742299201</v>
      </c>
      <c r="I3" s="3">
        <v>17.2128327461269</v>
      </c>
      <c r="J3" s="3">
        <v>15.0497744508981</v>
      </c>
      <c r="K3" s="3">
        <v>12.7500170921071</v>
      </c>
      <c r="L3" s="3">
        <v>13.885780506176401</v>
      </c>
      <c r="M3" s="3">
        <v>14.116074011777901</v>
      </c>
      <c r="N3" s="3">
        <v>12.2764178348872</v>
      </c>
    </row>
    <row r="4" spans="1:14" x14ac:dyDescent="0.35">
      <c r="A4" s="2">
        <v>41969</v>
      </c>
      <c r="B4" s="3">
        <v>17.842408790062802</v>
      </c>
      <c r="C4" s="3">
        <v>14.151382457662599</v>
      </c>
      <c r="D4" s="3">
        <v>14.8652368524019</v>
      </c>
      <c r="E4" s="3">
        <v>12.9911323075462</v>
      </c>
      <c r="F4" s="3">
        <v>14.558320738685399</v>
      </c>
      <c r="G4" s="3">
        <v>16.258124500329</v>
      </c>
      <c r="H4" s="3">
        <v>13.604129159422699</v>
      </c>
      <c r="I4" s="3">
        <v>18.2441850270861</v>
      </c>
      <c r="J4" s="3">
        <v>15.8755455907236</v>
      </c>
      <c r="K4" s="3">
        <v>13.6937614828169</v>
      </c>
      <c r="L4" s="3">
        <v>15.0521252976918</v>
      </c>
      <c r="M4" s="3">
        <v>15.668201476479799</v>
      </c>
      <c r="N4" s="3">
        <v>12.997071083234101</v>
      </c>
    </row>
    <row r="5" spans="1:14" x14ac:dyDescent="0.35">
      <c r="A5" s="2">
        <v>41999</v>
      </c>
      <c r="B5" s="3">
        <v>18.195451601293701</v>
      </c>
      <c r="C5" s="3">
        <v>14.3533535242629</v>
      </c>
      <c r="D5" s="3">
        <v>15.4116897729477</v>
      </c>
      <c r="E5" s="3">
        <v>13.0047754445657</v>
      </c>
      <c r="F5" s="3">
        <v>14.533472192518699</v>
      </c>
      <c r="G5" s="3">
        <v>15.833227224787301</v>
      </c>
      <c r="H5" s="3">
        <v>13.853960125344701</v>
      </c>
      <c r="I5" s="3">
        <v>17.958339907237001</v>
      </c>
      <c r="J5" s="3">
        <v>16.206779925166298</v>
      </c>
      <c r="K5" s="3">
        <v>13.802425349279501</v>
      </c>
      <c r="L5" s="3">
        <v>14.8835903560663</v>
      </c>
      <c r="M5" s="3">
        <v>15.7046229483106</v>
      </c>
      <c r="N5" s="3">
        <v>12.5626614558153</v>
      </c>
    </row>
    <row r="6" spans="1:14" x14ac:dyDescent="0.35">
      <c r="A6" s="2">
        <v>42031</v>
      </c>
      <c r="B6" s="3">
        <v>18.990581052004799</v>
      </c>
      <c r="C6" s="3">
        <v>15.198022844883999</v>
      </c>
      <c r="D6" s="3">
        <v>16.424426805295301</v>
      </c>
      <c r="E6" s="3">
        <v>13.9164594422618</v>
      </c>
      <c r="F6" s="3">
        <v>14.149545751374299</v>
      </c>
      <c r="G6" s="3">
        <v>16.2055406010806</v>
      </c>
      <c r="H6" s="3">
        <v>15.0783688174315</v>
      </c>
      <c r="I6" s="3">
        <v>17.1445154587181</v>
      </c>
      <c r="J6" s="3">
        <v>16.290673860047001</v>
      </c>
      <c r="K6" s="3">
        <v>15.3285029208655</v>
      </c>
      <c r="L6" s="3">
        <v>15.754130987881901</v>
      </c>
      <c r="M6" s="3">
        <v>16.2111089175988</v>
      </c>
      <c r="N6" s="3">
        <v>13.932176196958601</v>
      </c>
    </row>
    <row r="7" spans="1:14" x14ac:dyDescent="0.35">
      <c r="A7" s="2">
        <v>42062</v>
      </c>
      <c r="B7" s="3">
        <v>19.300625418747899</v>
      </c>
      <c r="C7" s="3">
        <v>16.320292432707301</v>
      </c>
      <c r="D7" s="3">
        <v>17.500357880049499</v>
      </c>
      <c r="E7" s="3">
        <v>14.8213749994138</v>
      </c>
      <c r="F7" s="3">
        <v>15.101562261266899</v>
      </c>
      <c r="G7" s="3">
        <v>17.628133814780799</v>
      </c>
      <c r="H7" s="3">
        <v>15.7673388929755</v>
      </c>
      <c r="I7" s="3">
        <v>18.0987091619455</v>
      </c>
      <c r="J7" s="3">
        <v>16.900731634440199</v>
      </c>
      <c r="K7" s="3">
        <v>16.380690403267899</v>
      </c>
      <c r="L7" s="3">
        <v>16.924455546412901</v>
      </c>
      <c r="M7" s="3">
        <v>17.393614041026598</v>
      </c>
      <c r="N7" s="3">
        <v>15.551223659237801</v>
      </c>
    </row>
    <row r="8" spans="1:14" x14ac:dyDescent="0.35">
      <c r="A8" s="2">
        <v>42090</v>
      </c>
      <c r="B8" s="3">
        <v>18.104393129632701</v>
      </c>
      <c r="C8" s="3">
        <v>16.335547760344401</v>
      </c>
      <c r="D8" s="3">
        <v>16.909658081967201</v>
      </c>
      <c r="E8" s="3">
        <v>15.3290308983866</v>
      </c>
      <c r="F8" s="3">
        <v>15.3433500462714</v>
      </c>
      <c r="G8" s="3">
        <v>17.627552240631999</v>
      </c>
      <c r="H8" s="3">
        <v>15.5444133060368</v>
      </c>
      <c r="I8" s="3">
        <v>17.605947102359899</v>
      </c>
      <c r="J8" s="3">
        <v>16.487161652557401</v>
      </c>
      <c r="K8" s="3">
        <v>16.476633721981202</v>
      </c>
      <c r="L8" s="3">
        <v>17.036920140244199</v>
      </c>
      <c r="M8" s="3">
        <v>16.954559753963199</v>
      </c>
      <c r="N8" s="3">
        <v>15.661661168781601</v>
      </c>
    </row>
    <row r="9" spans="1:14" x14ac:dyDescent="0.35">
      <c r="A9" s="2">
        <v>42121</v>
      </c>
      <c r="B9" s="3">
        <v>18.1320264629741</v>
      </c>
      <c r="C9" s="3">
        <v>16.7465339807117</v>
      </c>
      <c r="D9" s="3">
        <v>17.410523032307701</v>
      </c>
      <c r="E9" s="3">
        <v>15.3891314285235</v>
      </c>
      <c r="F9" s="3">
        <v>15.9058766950377</v>
      </c>
      <c r="G9" s="3">
        <v>18.1962004450656</v>
      </c>
      <c r="H9" s="3">
        <v>16.3954359141688</v>
      </c>
      <c r="I9" s="3">
        <v>18.348872027868602</v>
      </c>
      <c r="J9" s="3">
        <v>16.7837962008856</v>
      </c>
      <c r="K9" s="3">
        <v>17.010175225711201</v>
      </c>
      <c r="L9" s="3">
        <v>17.671755360425902</v>
      </c>
      <c r="M9" s="3">
        <v>16.888271391678099</v>
      </c>
      <c r="N9" s="3">
        <v>16.1597186368042</v>
      </c>
    </row>
    <row r="10" spans="1:14" x14ac:dyDescent="0.35">
      <c r="A10" s="2">
        <v>42151</v>
      </c>
      <c r="B10" s="3">
        <v>18.127124149313602</v>
      </c>
      <c r="C10" s="3">
        <v>15.8798232798569</v>
      </c>
      <c r="D10" s="3">
        <v>16.675814858865198</v>
      </c>
      <c r="E10" s="3">
        <v>14.5727405736802</v>
      </c>
      <c r="F10" s="3">
        <v>16.3571333211768</v>
      </c>
      <c r="G10" s="3">
        <v>17.880461221460799</v>
      </c>
      <c r="H10" s="3">
        <v>16.140239324292398</v>
      </c>
      <c r="I10" s="3">
        <v>18.1797403186645</v>
      </c>
      <c r="J10" s="3">
        <v>16.679766935054001</v>
      </c>
      <c r="K10" s="3">
        <v>16.615088898841499</v>
      </c>
      <c r="L10" s="3">
        <v>17.314473484559699</v>
      </c>
      <c r="M10" s="3">
        <v>16.656642484972501</v>
      </c>
      <c r="N10" s="3">
        <v>16.0041943313555</v>
      </c>
    </row>
    <row r="11" spans="1:14" x14ac:dyDescent="0.35">
      <c r="A11" s="2">
        <v>42181</v>
      </c>
      <c r="B11" s="3">
        <v>17.768057403183601</v>
      </c>
      <c r="C11" s="3">
        <v>15.3132454893494</v>
      </c>
      <c r="D11" s="3">
        <v>16.1806781809928</v>
      </c>
      <c r="E11" s="3">
        <v>14.031354747149599</v>
      </c>
      <c r="F11" s="3">
        <v>15.7864572920246</v>
      </c>
      <c r="G11" s="3">
        <v>17.189865905725998</v>
      </c>
      <c r="H11" s="3">
        <v>15.5215753531369</v>
      </c>
      <c r="I11" s="3">
        <v>17.832079913245099</v>
      </c>
      <c r="J11" s="3">
        <v>16.4037494531471</v>
      </c>
      <c r="K11" s="3">
        <v>16.087115585993899</v>
      </c>
      <c r="L11" s="3">
        <v>16.922336439798698</v>
      </c>
      <c r="M11" s="3">
        <v>16.028233849607801</v>
      </c>
      <c r="N11" s="3">
        <v>15.595077236739799</v>
      </c>
    </row>
    <row r="12" spans="1:14" x14ac:dyDescent="0.35">
      <c r="A12" s="2">
        <v>42212</v>
      </c>
      <c r="B12" s="3">
        <v>18.1940156154748</v>
      </c>
      <c r="C12" s="3">
        <v>15.357734101054801</v>
      </c>
      <c r="D12" s="3">
        <v>15.0845179577679</v>
      </c>
      <c r="E12" s="3">
        <v>13.3853204229705</v>
      </c>
      <c r="F12" s="3">
        <v>15.3401031870695</v>
      </c>
      <c r="G12" s="3">
        <v>17.3512640547447</v>
      </c>
      <c r="H12" s="3">
        <v>14.9488357830037</v>
      </c>
      <c r="I12" s="3">
        <v>18.179202740471599</v>
      </c>
      <c r="J12" s="3">
        <v>16.139250181112502</v>
      </c>
      <c r="K12" s="3">
        <v>15.4659384091952</v>
      </c>
      <c r="L12" s="3">
        <v>16.5034942095125</v>
      </c>
      <c r="M12" s="3">
        <v>15.677719242757099</v>
      </c>
      <c r="N12" s="3">
        <v>14.7964986214104</v>
      </c>
    </row>
    <row r="13" spans="1:14" x14ac:dyDescent="0.35">
      <c r="A13" s="2">
        <v>42243</v>
      </c>
      <c r="B13" s="3">
        <v>17.444429328317199</v>
      </c>
      <c r="C13" s="3">
        <v>14.6121692640181</v>
      </c>
      <c r="D13" s="3">
        <v>14.812283029843501</v>
      </c>
      <c r="E13" s="3">
        <v>12.520439438231699</v>
      </c>
      <c r="F13" s="3">
        <v>13.886006008340001</v>
      </c>
      <c r="G13" s="3">
        <v>16.546137547581498</v>
      </c>
      <c r="H13" s="3">
        <v>14.1914253478544</v>
      </c>
      <c r="I13" s="3">
        <v>17.472863923562802</v>
      </c>
      <c r="J13" s="3">
        <v>15.468765741301199</v>
      </c>
      <c r="K13" s="3">
        <v>14.357690629618</v>
      </c>
      <c r="L13" s="3">
        <v>14.978361181898</v>
      </c>
      <c r="M13" s="3">
        <v>14.9620756212983</v>
      </c>
      <c r="N13" s="3">
        <v>14.5363566843596</v>
      </c>
    </row>
    <row r="14" spans="1:14" x14ac:dyDescent="0.35">
      <c r="A14" s="2">
        <v>42272</v>
      </c>
      <c r="B14" s="3">
        <v>17.237435411302201</v>
      </c>
      <c r="C14" s="3">
        <v>14.1964293388636</v>
      </c>
      <c r="D14" s="3">
        <v>14.5021462210472</v>
      </c>
      <c r="E14" s="3">
        <v>11.784971198313601</v>
      </c>
      <c r="F14" s="3">
        <v>13.3711799520933</v>
      </c>
      <c r="G14" s="3">
        <v>15.932203095902601</v>
      </c>
      <c r="H14" s="3">
        <v>14.303327050791999</v>
      </c>
      <c r="I14" s="3">
        <v>16.966144896900101</v>
      </c>
      <c r="J14" s="3">
        <v>15.0352963666916</v>
      </c>
      <c r="K14" s="3">
        <v>13.9622849365278</v>
      </c>
      <c r="L14" s="3">
        <v>14.459271826760499</v>
      </c>
      <c r="M14" s="3">
        <v>14.119600017297</v>
      </c>
      <c r="N14" s="3">
        <v>13.955759240311099</v>
      </c>
    </row>
    <row r="15" spans="1:14" x14ac:dyDescent="0.35">
      <c r="A15" s="2">
        <v>42304</v>
      </c>
      <c r="B15" s="3">
        <v>18.140187553284999</v>
      </c>
      <c r="C15" s="3">
        <v>15.2933597955941</v>
      </c>
      <c r="D15" s="3">
        <v>14.8963445317242</v>
      </c>
      <c r="E15" s="3">
        <v>13.090258151858</v>
      </c>
      <c r="F15" s="3">
        <v>14.243066167977901</v>
      </c>
      <c r="G15" s="3">
        <v>16.823017463936601</v>
      </c>
      <c r="H15" s="3">
        <v>15.192539571865799</v>
      </c>
      <c r="I15" s="3">
        <v>18.492134893604199</v>
      </c>
      <c r="J15" s="3">
        <v>16.184353512130102</v>
      </c>
      <c r="K15" s="3">
        <v>14.987418630173</v>
      </c>
      <c r="L15" s="3">
        <v>15.673244661869999</v>
      </c>
      <c r="M15" s="3">
        <v>15.340861513528299</v>
      </c>
      <c r="N15" s="3">
        <v>14.6186826182386</v>
      </c>
    </row>
    <row r="16" spans="1:14" x14ac:dyDescent="0.35">
      <c r="A16" s="2">
        <v>42335</v>
      </c>
      <c r="B16" s="3">
        <v>18.137960769750698</v>
      </c>
      <c r="C16" s="3">
        <v>15.110869179371599</v>
      </c>
      <c r="D16" s="3">
        <v>14.5163637920177</v>
      </c>
      <c r="E16" s="3">
        <v>14.057270350769899</v>
      </c>
      <c r="F16" s="3">
        <v>14.708083691978199</v>
      </c>
      <c r="G16" s="3">
        <v>16.989310425897798</v>
      </c>
      <c r="H16" s="3">
        <v>15.4114620864583</v>
      </c>
      <c r="I16" s="3">
        <v>18.713744725675301</v>
      </c>
      <c r="J16" s="3">
        <v>16.345395989343299</v>
      </c>
      <c r="K16" s="3">
        <v>15.3275994586794</v>
      </c>
      <c r="L16" s="3">
        <v>16.5384330968825</v>
      </c>
      <c r="M16" s="3">
        <v>15.564188975817499</v>
      </c>
      <c r="N16" s="3">
        <v>15.040050304735299</v>
      </c>
    </row>
    <row r="17" spans="1:14" x14ac:dyDescent="0.35">
      <c r="A17" s="2">
        <v>42362</v>
      </c>
      <c r="B17" s="3">
        <v>18.1928563698572</v>
      </c>
      <c r="C17" s="3">
        <v>15.437415839911599</v>
      </c>
      <c r="D17" s="3">
        <v>14.617622463005199</v>
      </c>
      <c r="E17" s="3">
        <v>13.333451218656901</v>
      </c>
      <c r="F17" s="3">
        <v>13.910665805109399</v>
      </c>
      <c r="G17" s="3">
        <v>16.822531777321501</v>
      </c>
      <c r="H17" s="3">
        <v>15.320554933019</v>
      </c>
      <c r="I17" s="3">
        <v>18.476129375243602</v>
      </c>
      <c r="J17" s="3">
        <v>16.1143801392714</v>
      </c>
      <c r="K17" s="3">
        <v>14.626809316331601</v>
      </c>
      <c r="L17" s="3">
        <v>15.6414498098419</v>
      </c>
      <c r="M17" s="3">
        <v>14.9834059643114</v>
      </c>
      <c r="N17" s="3">
        <v>14.148628497712</v>
      </c>
    </row>
    <row r="18" spans="1:14" x14ac:dyDescent="0.35">
      <c r="A18" s="2">
        <v>42396</v>
      </c>
      <c r="B18" s="3">
        <v>17.581296349702999</v>
      </c>
      <c r="C18" s="3">
        <v>14.974616468103999</v>
      </c>
      <c r="D18" s="3">
        <v>13.7715343718427</v>
      </c>
      <c r="E18" s="3">
        <v>12.4061913308085</v>
      </c>
      <c r="F18" s="3">
        <v>12.735365455938799</v>
      </c>
      <c r="G18" s="3">
        <v>16.146359236860398</v>
      </c>
      <c r="H18" s="3">
        <v>15.2835386195521</v>
      </c>
      <c r="I18" s="3">
        <v>16.711360320676501</v>
      </c>
      <c r="J18" s="3">
        <v>15.0367483336493</v>
      </c>
      <c r="K18" s="3">
        <v>14.1288221056277</v>
      </c>
      <c r="L18" s="3">
        <v>14.820875123744701</v>
      </c>
      <c r="M18" s="3">
        <v>14.4595090768457</v>
      </c>
      <c r="N18" s="3">
        <v>13.061960703701301</v>
      </c>
    </row>
    <row r="19" spans="1:14" x14ac:dyDescent="0.35">
      <c r="A19" s="2">
        <v>42426</v>
      </c>
      <c r="B19" s="3">
        <v>17.556685182503202</v>
      </c>
      <c r="C19" s="3">
        <v>15.077202287216</v>
      </c>
      <c r="D19" s="3">
        <v>14.839457177930999</v>
      </c>
      <c r="E19" s="3">
        <v>12.149438144862099</v>
      </c>
      <c r="F19" s="3">
        <v>12.368059138657401</v>
      </c>
      <c r="G19" s="3">
        <v>16.322451728857502</v>
      </c>
      <c r="H19" s="3">
        <v>15.5831509287384</v>
      </c>
      <c r="I19" s="3">
        <v>17.0070253303169</v>
      </c>
      <c r="J19" s="3">
        <v>15.5099438140132</v>
      </c>
      <c r="K19" s="3">
        <v>14.089952151827999</v>
      </c>
      <c r="L19" s="3">
        <v>14.735441091953501</v>
      </c>
      <c r="M19" s="3">
        <v>15.1124638352433</v>
      </c>
      <c r="N19" s="3">
        <v>12.8578699581264</v>
      </c>
    </row>
    <row r="20" spans="1:14" x14ac:dyDescent="0.35">
      <c r="A20" s="2">
        <v>42453</v>
      </c>
      <c r="B20" s="3">
        <v>18.015781966791899</v>
      </c>
      <c r="C20" s="3">
        <v>15.7665172006967</v>
      </c>
      <c r="D20" s="3">
        <v>15.9227504424342</v>
      </c>
      <c r="E20" s="3">
        <v>12.556369272463501</v>
      </c>
      <c r="F20" s="3">
        <v>12.8685116429064</v>
      </c>
      <c r="G20" s="3">
        <v>16.278073264284199</v>
      </c>
      <c r="H20" s="3">
        <v>15.896173455916999</v>
      </c>
      <c r="I20" s="3">
        <v>17.608628620535701</v>
      </c>
      <c r="J20" s="3">
        <v>15.516736353630501</v>
      </c>
      <c r="K20" s="3">
        <v>14.1620791105493</v>
      </c>
      <c r="L20" s="3">
        <v>15.2427230567229</v>
      </c>
      <c r="M20" s="3">
        <v>14.8304582920345</v>
      </c>
      <c r="N20" s="3">
        <v>13.193144022050401</v>
      </c>
    </row>
    <row r="21" spans="1:14" x14ac:dyDescent="0.35">
      <c r="A21" s="2">
        <v>42487</v>
      </c>
      <c r="B21" s="3">
        <v>18.623429864654401</v>
      </c>
      <c r="C21" s="3">
        <v>15.975812918868099</v>
      </c>
      <c r="D21" s="3">
        <v>16.558150130361799</v>
      </c>
      <c r="E21" s="3">
        <v>13.081696611375101</v>
      </c>
      <c r="F21" s="3">
        <v>13.3135353938638</v>
      </c>
      <c r="G21" s="3">
        <v>16.927838174679799</v>
      </c>
      <c r="H21" s="3">
        <v>16.450096852582199</v>
      </c>
      <c r="I21" s="3">
        <v>17.831239324662899</v>
      </c>
      <c r="J21" s="3">
        <v>16.500463546018398</v>
      </c>
      <c r="K21" s="3">
        <v>14.869469597142199</v>
      </c>
      <c r="L21" s="3">
        <v>15.201069234973501</v>
      </c>
      <c r="M21" s="3">
        <v>15.587570802129999</v>
      </c>
      <c r="N21" s="3">
        <v>13.626503775062501</v>
      </c>
    </row>
    <row r="22" spans="1:14" x14ac:dyDescent="0.35">
      <c r="A22" s="2">
        <v>42517</v>
      </c>
      <c r="B22" s="3">
        <v>19.331173304404999</v>
      </c>
      <c r="C22" s="3">
        <v>16.5798765196975</v>
      </c>
      <c r="D22" s="3">
        <v>16.6590359121926</v>
      </c>
      <c r="E22" s="3">
        <v>12.7593261998522</v>
      </c>
      <c r="F22" s="3">
        <v>13.357139434541599</v>
      </c>
      <c r="G22" s="3">
        <v>17.2976131951892</v>
      </c>
      <c r="H22" s="3">
        <v>16.030355452273898</v>
      </c>
      <c r="I22" s="3">
        <v>18.0088908096734</v>
      </c>
      <c r="J22" s="3">
        <v>16.630250009147701</v>
      </c>
      <c r="K22" s="3">
        <v>14.5972036241849</v>
      </c>
      <c r="L22" s="3">
        <v>15.3805035896872</v>
      </c>
      <c r="M22" s="3">
        <v>15.094183369829899</v>
      </c>
      <c r="N22" s="3">
        <v>13.781501328934301</v>
      </c>
    </row>
    <row r="23" spans="1:14" x14ac:dyDescent="0.35">
      <c r="A23" s="2">
        <v>42548</v>
      </c>
      <c r="B23" s="3">
        <v>18.473056128207102</v>
      </c>
      <c r="C23" s="3">
        <v>15.631362561841801</v>
      </c>
      <c r="D23" s="3">
        <v>15.893886083881799</v>
      </c>
      <c r="E23" s="3">
        <v>11.453288365635199</v>
      </c>
      <c r="F23" s="3">
        <v>12.3578227422705</v>
      </c>
      <c r="G23" s="3">
        <v>15.797204407712</v>
      </c>
      <c r="H23" s="3">
        <v>14.6553316334863</v>
      </c>
      <c r="I23" s="3">
        <v>16.764532286912399</v>
      </c>
      <c r="J23" s="3">
        <v>15.723802792860401</v>
      </c>
      <c r="K23" s="3">
        <v>12.771731337379</v>
      </c>
      <c r="L23" s="3">
        <v>13.325669581370599</v>
      </c>
      <c r="M23" s="3">
        <v>13.655570008647601</v>
      </c>
      <c r="N23" s="3">
        <v>11.007315935203501</v>
      </c>
    </row>
    <row r="24" spans="1:14" x14ac:dyDescent="0.35">
      <c r="A24" s="2">
        <v>42578</v>
      </c>
      <c r="B24" s="3">
        <v>20.1705412880731</v>
      </c>
      <c r="C24" s="3">
        <v>16.751012467756301</v>
      </c>
      <c r="D24" s="3">
        <v>16.418265182050899</v>
      </c>
      <c r="E24" s="3">
        <v>12.745030293541801</v>
      </c>
      <c r="F24" s="3">
        <v>13.5205941787247</v>
      </c>
      <c r="G24" s="3">
        <v>17.171607322192799</v>
      </c>
      <c r="H24" s="3">
        <v>16.123934407650601</v>
      </c>
      <c r="I24" s="3">
        <v>18.649313599468101</v>
      </c>
      <c r="J24" s="3">
        <v>16.9139967517347</v>
      </c>
      <c r="K24" s="3">
        <v>14.197774549360799</v>
      </c>
      <c r="L24" s="3">
        <v>14.855187491895901</v>
      </c>
      <c r="M24" s="3">
        <v>15.271759242827301</v>
      </c>
      <c r="N24" s="3">
        <v>12.491355882836601</v>
      </c>
    </row>
    <row r="25" spans="1:14" x14ac:dyDescent="0.35">
      <c r="A25" s="2">
        <v>42608</v>
      </c>
      <c r="B25" s="3">
        <v>20.425623103699099</v>
      </c>
      <c r="C25" s="3">
        <v>16.7436373869721</v>
      </c>
      <c r="D25" s="3">
        <v>16.316274317669802</v>
      </c>
      <c r="E25" s="3">
        <v>12.944933949685201</v>
      </c>
      <c r="F25" s="3">
        <v>13.088839342113999</v>
      </c>
      <c r="G25" s="3">
        <v>17.315083125937399</v>
      </c>
      <c r="H25" s="3">
        <v>16.127938229516001</v>
      </c>
      <c r="I25" s="3">
        <v>18.583055283831399</v>
      </c>
      <c r="J25" s="3">
        <v>16.789886143735099</v>
      </c>
      <c r="K25" s="3">
        <v>13.971425108289599</v>
      </c>
      <c r="L25" s="3">
        <v>14.922976271556699</v>
      </c>
      <c r="M25" s="3">
        <v>15.442615255348301</v>
      </c>
      <c r="N25" s="3">
        <v>12.5575035375855</v>
      </c>
    </row>
    <row r="26" spans="1:14" x14ac:dyDescent="0.35">
      <c r="A26" s="2">
        <v>42640</v>
      </c>
      <c r="B26" s="3">
        <v>20.005565834518901</v>
      </c>
      <c r="C26" s="3">
        <v>16.224666597915899</v>
      </c>
      <c r="D26" s="3">
        <v>15.9284260784714</v>
      </c>
      <c r="E26" s="3">
        <v>12.6996435266399</v>
      </c>
      <c r="F26" s="3">
        <v>13.615894625438701</v>
      </c>
      <c r="G26" s="3">
        <v>17.162782513535198</v>
      </c>
      <c r="H26" s="3">
        <v>15.5198382449109</v>
      </c>
      <c r="I26" s="3">
        <v>18.6597801812093</v>
      </c>
      <c r="J26" s="3">
        <v>16.6020496120457</v>
      </c>
      <c r="K26" s="3">
        <v>13.7189064736117</v>
      </c>
      <c r="L26" s="3">
        <v>14.7438460931618</v>
      </c>
      <c r="M26" s="3">
        <v>15.443296941617</v>
      </c>
      <c r="N26" s="3">
        <v>11.608467737946199</v>
      </c>
    </row>
    <row r="27" spans="1:14" x14ac:dyDescent="0.35">
      <c r="A27" s="2">
        <v>42670</v>
      </c>
      <c r="B27" s="3">
        <v>19.067186003263799</v>
      </c>
      <c r="C27" s="3">
        <v>15.6461758535283</v>
      </c>
      <c r="D27" s="3">
        <v>15.940080600713999</v>
      </c>
      <c r="E27" s="3">
        <v>12.9937936312694</v>
      </c>
      <c r="F27" s="3">
        <v>13.735786810911</v>
      </c>
      <c r="G27" s="3">
        <v>16.585372186643401</v>
      </c>
      <c r="H27" s="3">
        <v>14.9915967033168</v>
      </c>
      <c r="I27" s="3">
        <v>18.290133972445101</v>
      </c>
      <c r="J27" s="3">
        <v>16.2551646900239</v>
      </c>
      <c r="K27" s="3">
        <v>14.0005105541448</v>
      </c>
      <c r="L27" s="3">
        <v>14.752171319475201</v>
      </c>
      <c r="M27" s="3">
        <v>16.2604173202797</v>
      </c>
      <c r="N27" s="3">
        <v>12.253041190476001</v>
      </c>
    </row>
    <row r="28" spans="1:14" x14ac:dyDescent="0.35">
      <c r="A28" s="2">
        <v>42699</v>
      </c>
      <c r="B28" s="3">
        <v>18.8039193501757</v>
      </c>
      <c r="C28" s="3">
        <v>16.089970663858502</v>
      </c>
      <c r="D28" s="3">
        <v>16.025507000157202</v>
      </c>
      <c r="E28" s="3">
        <v>12.863521034403</v>
      </c>
      <c r="F28" s="3">
        <v>14.4447819648914</v>
      </c>
      <c r="G28" s="3">
        <v>16.3602574345351</v>
      </c>
      <c r="H28" s="3">
        <v>14.387931478018</v>
      </c>
      <c r="I28" s="3">
        <v>18.291097102394001</v>
      </c>
      <c r="J28" s="3">
        <v>16.820593626530801</v>
      </c>
      <c r="K28" s="3">
        <v>13.801787114606901</v>
      </c>
      <c r="L28" s="3">
        <v>14.7121136384034</v>
      </c>
      <c r="M28" s="3">
        <v>16.279111685150301</v>
      </c>
      <c r="N28" s="3">
        <v>11.5946242379158</v>
      </c>
    </row>
    <row r="29" spans="1:14" x14ac:dyDescent="0.35">
      <c r="A29" s="2">
        <v>42731</v>
      </c>
      <c r="B29" s="3">
        <v>18.5204374115071</v>
      </c>
      <c r="C29" s="3">
        <v>15.7020406029126</v>
      </c>
      <c r="D29" s="3">
        <v>15.866961581480499</v>
      </c>
      <c r="E29" s="3">
        <v>13.6422760690754</v>
      </c>
      <c r="F29" s="3">
        <v>14.831955075263799</v>
      </c>
      <c r="G29" s="3">
        <v>16.790438146587402</v>
      </c>
      <c r="H29" s="3">
        <v>14.268099722761001</v>
      </c>
      <c r="I29" s="3">
        <v>18.448311537785202</v>
      </c>
      <c r="J29" s="3">
        <v>17.051705798292801</v>
      </c>
      <c r="K29" s="3">
        <v>14.5390246219759</v>
      </c>
      <c r="L29" s="3">
        <v>15.087930328317899</v>
      </c>
      <c r="M29" s="3">
        <v>16.584580273835201</v>
      </c>
      <c r="N29" s="3">
        <v>13.779109008495899</v>
      </c>
    </row>
    <row r="30" spans="1:14" x14ac:dyDescent="0.35">
      <c r="A30" s="2">
        <v>42762</v>
      </c>
      <c r="B30" s="3">
        <v>19.194875225990799</v>
      </c>
      <c r="C30" s="3">
        <v>15.823793351226699</v>
      </c>
      <c r="D30" s="3">
        <v>16.167178844355</v>
      </c>
      <c r="E30" s="3">
        <v>13.950952794594</v>
      </c>
      <c r="F30" s="3">
        <v>14.7509543435014</v>
      </c>
      <c r="G30" s="3">
        <v>17.208593225508899</v>
      </c>
      <c r="H30" s="3">
        <v>14.3254374262404</v>
      </c>
      <c r="I30" s="3">
        <v>19.326498152341198</v>
      </c>
      <c r="J30" s="3">
        <v>17.183195450038799</v>
      </c>
      <c r="K30" s="3">
        <v>14.4162397548059</v>
      </c>
      <c r="L30" s="3">
        <v>15.1461186354191</v>
      </c>
      <c r="M30" s="3">
        <v>16.3948013417411</v>
      </c>
      <c r="N30" s="3">
        <v>13.0825952970425</v>
      </c>
    </row>
    <row r="31" spans="1:14" x14ac:dyDescent="0.35">
      <c r="A31" s="2">
        <v>42793</v>
      </c>
      <c r="B31" s="3">
        <v>18.1125402325845</v>
      </c>
      <c r="C31" s="3">
        <v>15.7823135388415</v>
      </c>
      <c r="D31" s="3">
        <v>15.9021530127775</v>
      </c>
      <c r="E31" s="3">
        <v>13.6740424265999</v>
      </c>
      <c r="F31" s="3">
        <v>14.1221897180168</v>
      </c>
      <c r="G31" s="3">
        <v>17.4746281649584</v>
      </c>
      <c r="H31" s="3">
        <v>14.3894193885371</v>
      </c>
      <c r="I31" s="3">
        <v>20.105694374995</v>
      </c>
      <c r="J31" s="3">
        <v>17.6761766468865</v>
      </c>
      <c r="K31" s="3">
        <v>14.1651949143384</v>
      </c>
      <c r="L31" s="3">
        <v>15.479733823558201</v>
      </c>
      <c r="M31" s="3">
        <v>16.335710059510902</v>
      </c>
      <c r="N31" s="3">
        <v>12.7812528841563</v>
      </c>
    </row>
    <row r="32" spans="1:14" x14ac:dyDescent="0.35">
      <c r="A32" s="2">
        <v>42821</v>
      </c>
      <c r="B32" s="3">
        <v>18.660497936990101</v>
      </c>
      <c r="C32" s="3">
        <v>15.5228663749749</v>
      </c>
      <c r="D32" s="3">
        <v>15.837149989864301</v>
      </c>
      <c r="E32" s="3">
        <v>13.7739526050404</v>
      </c>
      <c r="F32" s="3">
        <v>13.862401401409601</v>
      </c>
      <c r="G32" s="3">
        <v>17.603121222527701</v>
      </c>
      <c r="H32" s="3">
        <v>14.386939021290701</v>
      </c>
      <c r="I32" s="3">
        <v>19.950481061885899</v>
      </c>
      <c r="J32" s="3">
        <v>17.375182702464599</v>
      </c>
      <c r="K32" s="3">
        <v>14.664651532967801</v>
      </c>
      <c r="L32" s="3">
        <v>15.895736160413101</v>
      </c>
      <c r="M32" s="3">
        <v>17.030489784135899</v>
      </c>
      <c r="N32" s="3">
        <v>13.482203597509599</v>
      </c>
    </row>
    <row r="33" spans="1:14" x14ac:dyDescent="0.35">
      <c r="A33" s="2">
        <v>42852</v>
      </c>
      <c r="B33" s="3">
        <v>19.452046848377499</v>
      </c>
      <c r="C33" s="3">
        <v>15.942651686203501</v>
      </c>
      <c r="D33" s="3">
        <v>15.6046828476111</v>
      </c>
      <c r="E33" s="3">
        <v>13.9901571889823</v>
      </c>
      <c r="F33" s="3">
        <v>13.932042695301799</v>
      </c>
      <c r="G33" s="3">
        <v>17.844372718238802</v>
      </c>
      <c r="H33" s="3">
        <v>14.372310169001899</v>
      </c>
      <c r="I33" s="3">
        <v>20.381956603260999</v>
      </c>
      <c r="J33" s="3">
        <v>17.5064291403163</v>
      </c>
      <c r="K33" s="3">
        <v>15.2374850530811</v>
      </c>
      <c r="L33" s="3">
        <v>16.367510539699001</v>
      </c>
      <c r="M33" s="3">
        <v>17.065579039337798</v>
      </c>
      <c r="N33" s="3">
        <v>13.4391598272113</v>
      </c>
    </row>
    <row r="34" spans="1:14" x14ac:dyDescent="0.35">
      <c r="A34" s="2">
        <v>42881</v>
      </c>
      <c r="B34" s="3">
        <v>19.571460769237198</v>
      </c>
      <c r="C34" s="3">
        <v>15.3746191871798</v>
      </c>
      <c r="D34" s="3">
        <v>15.732657480677601</v>
      </c>
      <c r="E34" s="3">
        <v>13.752088725552399</v>
      </c>
      <c r="F34" s="3">
        <v>14.266143892528101</v>
      </c>
      <c r="G34" s="3">
        <v>18.0706202636987</v>
      </c>
      <c r="H34" s="3">
        <v>14.7786969487001</v>
      </c>
      <c r="I34" s="3">
        <v>20.949603082561101</v>
      </c>
      <c r="J34" s="3">
        <v>17.533398846944099</v>
      </c>
      <c r="K34" s="3">
        <v>15.235447872678</v>
      </c>
      <c r="L34" s="3">
        <v>16.3547968889701</v>
      </c>
      <c r="M34" s="3">
        <v>18.0171480827448</v>
      </c>
      <c r="N34" s="3">
        <v>13.548496763555899</v>
      </c>
    </row>
    <row r="35" spans="1:14" x14ac:dyDescent="0.35">
      <c r="A35" s="2">
        <v>42913</v>
      </c>
      <c r="B35" s="3">
        <v>19.762803133750101</v>
      </c>
      <c r="C35" s="3">
        <v>15.3253328260902</v>
      </c>
      <c r="D35" s="3">
        <v>15.287334096811101</v>
      </c>
      <c r="E35" s="3">
        <v>13.643380998495299</v>
      </c>
      <c r="F35" s="3">
        <v>14.424703556562299</v>
      </c>
      <c r="G35" s="3">
        <v>18.014435776962799</v>
      </c>
      <c r="H35" s="3">
        <v>14.5138723023369</v>
      </c>
      <c r="I35" s="3">
        <v>20.201845447287901</v>
      </c>
      <c r="J35" s="3">
        <v>17.4018770942773</v>
      </c>
      <c r="K35" s="3">
        <v>14.9086884044256</v>
      </c>
      <c r="L35" s="3">
        <v>15.9668160936693</v>
      </c>
      <c r="M35" s="3">
        <v>16.7085008873762</v>
      </c>
      <c r="N35" s="3">
        <v>13.179675705239299</v>
      </c>
    </row>
    <row r="36" spans="1:14" x14ac:dyDescent="0.35">
      <c r="A36" s="2">
        <v>42943</v>
      </c>
      <c r="B36" s="3">
        <v>19.747523159295199</v>
      </c>
      <c r="C36" s="3">
        <v>15.8453319312946</v>
      </c>
      <c r="D36" s="3">
        <v>15.645862600630499</v>
      </c>
      <c r="E36" s="3">
        <v>13.133697310392501</v>
      </c>
      <c r="F36" s="3">
        <v>14.260337906829999</v>
      </c>
      <c r="G36" s="3">
        <v>17.7765804036984</v>
      </c>
      <c r="H36" s="3">
        <v>14.8420737630214</v>
      </c>
      <c r="I36" s="3">
        <v>20.787891494817899</v>
      </c>
      <c r="J36" s="3">
        <v>17.6832722932655</v>
      </c>
      <c r="K36" s="3">
        <v>14.8088462425742</v>
      </c>
      <c r="L36" s="3">
        <v>16.151966852905201</v>
      </c>
      <c r="M36" s="3">
        <v>16.308428244590299</v>
      </c>
      <c r="N36" s="3">
        <v>13.536421738016299</v>
      </c>
    </row>
    <row r="37" spans="1:14" x14ac:dyDescent="0.35">
      <c r="A37" s="2">
        <v>42972</v>
      </c>
      <c r="B37" s="3">
        <v>20.080177614177799</v>
      </c>
      <c r="C37" s="3">
        <v>15.7824154832613</v>
      </c>
      <c r="D37" s="3">
        <v>15.447728041311301</v>
      </c>
      <c r="E37" s="3">
        <v>13.0306237102773</v>
      </c>
      <c r="F37" s="3">
        <v>13.623831418560901</v>
      </c>
      <c r="G37" s="3">
        <v>17.495341141380798</v>
      </c>
      <c r="H37" s="3">
        <v>14.5343493915413</v>
      </c>
      <c r="I37" s="3">
        <v>20.188545774654798</v>
      </c>
      <c r="J37" s="3">
        <v>17.331703403323399</v>
      </c>
      <c r="K37" s="3">
        <v>14.4613857225405</v>
      </c>
      <c r="L37" s="3">
        <v>15.6955542007074</v>
      </c>
      <c r="M37" s="3">
        <v>15.7196082429829</v>
      </c>
      <c r="N37" s="3">
        <v>13.287204120975399</v>
      </c>
    </row>
    <row r="38" spans="1:14" x14ac:dyDescent="0.35">
      <c r="A38" s="2">
        <v>43005</v>
      </c>
      <c r="B38" s="3">
        <v>19.885875639255602</v>
      </c>
      <c r="C38" s="3">
        <v>15.370412261031801</v>
      </c>
      <c r="D38" s="3">
        <v>15.768058573281801</v>
      </c>
      <c r="E38" s="3">
        <v>13.496846697955799</v>
      </c>
      <c r="F38" s="3">
        <v>13.946293357272699</v>
      </c>
      <c r="G38" s="3">
        <v>17.611754556846599</v>
      </c>
      <c r="H38" s="3">
        <v>14.4300108458728</v>
      </c>
      <c r="I38" s="3">
        <v>20.243682183152298</v>
      </c>
      <c r="J38" s="3">
        <v>17.6479443183486</v>
      </c>
      <c r="K38" s="3">
        <v>14.972789880147801</v>
      </c>
      <c r="L38" s="3">
        <v>15.8187706525756</v>
      </c>
      <c r="M38" s="3">
        <v>16.608563242721601</v>
      </c>
      <c r="N38" s="3">
        <v>13.576439235897601</v>
      </c>
    </row>
    <row r="39" spans="1:14" x14ac:dyDescent="0.35">
      <c r="A39" s="2">
        <v>43035</v>
      </c>
      <c r="B39" s="3">
        <v>20.372359561344901</v>
      </c>
      <c r="C39" s="3">
        <v>15.7763962109535</v>
      </c>
      <c r="D39" s="3">
        <v>15.8883441224396</v>
      </c>
      <c r="E39" s="3">
        <v>14.048184761066301</v>
      </c>
      <c r="F39" s="3">
        <v>14.6644285977656</v>
      </c>
      <c r="G39" s="3">
        <v>17.805690257749202</v>
      </c>
      <c r="H39" s="3">
        <v>14.490782578503</v>
      </c>
      <c r="I39" s="3">
        <v>20.7484258693142</v>
      </c>
      <c r="J39" s="3">
        <v>18.004798490693901</v>
      </c>
      <c r="K39" s="3">
        <v>15.378269150774001</v>
      </c>
      <c r="L39" s="3">
        <v>16.256597185170801</v>
      </c>
      <c r="M39" s="3">
        <v>17.320738781628201</v>
      </c>
      <c r="N39" s="3">
        <v>13.5765474854277</v>
      </c>
    </row>
    <row r="40" spans="1:14" x14ac:dyDescent="0.35">
      <c r="A40" s="2">
        <v>43066</v>
      </c>
      <c r="B40" s="3">
        <v>20.224502320121999</v>
      </c>
      <c r="C40" s="3">
        <v>15.9429864310487</v>
      </c>
      <c r="D40" s="3">
        <v>15.836436288381901</v>
      </c>
      <c r="E40" s="3">
        <v>13.7809001464367</v>
      </c>
      <c r="F40" s="3">
        <v>14.638518568604701</v>
      </c>
      <c r="G40" s="3">
        <v>17.679353652009802</v>
      </c>
      <c r="H40" s="3">
        <v>14.206835952843599</v>
      </c>
      <c r="I40" s="3">
        <v>21.053762697434699</v>
      </c>
      <c r="J40" s="3">
        <v>17.946553284595801</v>
      </c>
      <c r="K40" s="3">
        <v>14.9665551595722</v>
      </c>
      <c r="L40" s="3">
        <v>15.9591989523976</v>
      </c>
      <c r="M40" s="3">
        <v>16.5644682485486</v>
      </c>
      <c r="N40" s="3">
        <v>13.1181095123255</v>
      </c>
    </row>
    <row r="41" spans="1:14" x14ac:dyDescent="0.35">
      <c r="A41" s="2">
        <v>43096</v>
      </c>
      <c r="B41" s="3">
        <v>20.863591886109301</v>
      </c>
      <c r="C41" s="3">
        <v>15.992142499654999</v>
      </c>
      <c r="D41" s="3">
        <v>15.9214450674394</v>
      </c>
      <c r="E41" s="3">
        <v>13.9073955714943</v>
      </c>
      <c r="F41" s="3">
        <v>14.8290910351548</v>
      </c>
      <c r="G41" s="3">
        <v>17.704509499277101</v>
      </c>
      <c r="H41" s="3">
        <v>14.598609887326401</v>
      </c>
      <c r="I41" s="3">
        <v>20.938212719175699</v>
      </c>
      <c r="J41" s="3">
        <v>18.2197883861155</v>
      </c>
      <c r="K41" s="3">
        <v>14.9232394332591</v>
      </c>
      <c r="L41" s="3">
        <v>16.007244791482599</v>
      </c>
      <c r="M41" s="3">
        <v>16.314048655051501</v>
      </c>
      <c r="N41" s="3">
        <v>13.169430200613499</v>
      </c>
    </row>
    <row r="42" spans="1:14" x14ac:dyDescent="0.35">
      <c r="A42" s="2">
        <v>43126</v>
      </c>
      <c r="B42" s="3">
        <v>20.571632576232499</v>
      </c>
      <c r="C42" s="3">
        <v>15.825534674446001</v>
      </c>
      <c r="D42" s="3">
        <v>15.494546975873799</v>
      </c>
      <c r="E42" s="3">
        <v>14.0254595617577</v>
      </c>
      <c r="F42" s="3">
        <v>15.129532392133299</v>
      </c>
      <c r="G42" s="3">
        <v>17.920254159191</v>
      </c>
      <c r="H42" s="3">
        <v>14.6387740817537</v>
      </c>
      <c r="I42" s="3">
        <v>22.122789293918402</v>
      </c>
      <c r="J42" s="3">
        <v>18.454811483150198</v>
      </c>
      <c r="K42" s="3">
        <v>15.3227740976272</v>
      </c>
      <c r="L42" s="3">
        <v>16.3819912514202</v>
      </c>
      <c r="M42" s="3">
        <v>16.6833353702567</v>
      </c>
      <c r="N42" s="3">
        <v>13.462837678326601</v>
      </c>
    </row>
    <row r="43" spans="1:14" x14ac:dyDescent="0.35">
      <c r="A43" s="2">
        <v>43158</v>
      </c>
      <c r="B43" s="3">
        <v>20.832171124976199</v>
      </c>
      <c r="C43" s="3">
        <v>15.675672700232999</v>
      </c>
      <c r="D43" s="3">
        <v>14.6429066440567</v>
      </c>
      <c r="E43" s="3">
        <v>13.139765747333101</v>
      </c>
      <c r="F43" s="3">
        <v>13.498481653436199</v>
      </c>
      <c r="G43" s="3">
        <v>16.745552886924798</v>
      </c>
      <c r="H43" s="3">
        <v>13.260059671751799</v>
      </c>
      <c r="I43" s="3">
        <v>20.9434237032862</v>
      </c>
      <c r="J43" s="3">
        <v>17.073477139209501</v>
      </c>
      <c r="K43" s="3">
        <v>14.7039672784442</v>
      </c>
      <c r="L43" s="3">
        <v>15.6572035847256</v>
      </c>
      <c r="M43" s="3">
        <v>16.445157790266801</v>
      </c>
      <c r="N43" s="3">
        <v>12.5667726374013</v>
      </c>
    </row>
    <row r="44" spans="1:14" x14ac:dyDescent="0.35">
      <c r="A44" s="2">
        <v>43186</v>
      </c>
      <c r="B44" s="3">
        <v>20.495380353054099</v>
      </c>
      <c r="C44" s="3">
        <v>14.894643832457399</v>
      </c>
      <c r="D44" s="3">
        <v>14.0366583778577</v>
      </c>
      <c r="E44" s="3">
        <v>12.6168341279337</v>
      </c>
      <c r="F44" s="3">
        <v>12.806002076139601</v>
      </c>
      <c r="G44" s="3">
        <v>15.920630096925001</v>
      </c>
      <c r="H44" s="3">
        <v>13.1652705595897</v>
      </c>
      <c r="I44" s="3">
        <v>19.630935586046199</v>
      </c>
      <c r="J44" s="3">
        <v>16.163996900292801</v>
      </c>
      <c r="K44" s="3">
        <v>14.087437154553101</v>
      </c>
      <c r="L44" s="3">
        <v>15.3066244880089</v>
      </c>
      <c r="M44" s="3">
        <v>15.582095725926401</v>
      </c>
      <c r="N44" s="3">
        <v>12.2981398733133</v>
      </c>
    </row>
    <row r="45" spans="1:14" x14ac:dyDescent="0.35">
      <c r="A45" s="2">
        <v>43217</v>
      </c>
      <c r="B45" s="3">
        <v>19.9113535617366</v>
      </c>
      <c r="C45" s="3">
        <v>15.114586430601101</v>
      </c>
      <c r="D45" s="3">
        <v>14.222455732604301</v>
      </c>
      <c r="E45" s="3">
        <v>13.1752751880771</v>
      </c>
      <c r="F45" s="3">
        <v>13.250043244442599</v>
      </c>
      <c r="G45" s="3">
        <v>16.147131038019499</v>
      </c>
      <c r="H45" s="3">
        <v>13.8111767484273</v>
      </c>
      <c r="I45" s="3">
        <v>19.496332881482999</v>
      </c>
      <c r="J45" s="3">
        <v>16.2202375877396</v>
      </c>
      <c r="K45" s="3">
        <v>14.782047139732899</v>
      </c>
      <c r="L45" s="3">
        <v>15.677400198192</v>
      </c>
      <c r="M45" s="3">
        <v>15.9748155896869</v>
      </c>
      <c r="N45" s="3">
        <v>13.027850490567801</v>
      </c>
    </row>
    <row r="46" spans="1:14" x14ac:dyDescent="0.35">
      <c r="A46" s="2">
        <v>43245</v>
      </c>
      <c r="B46" s="3">
        <v>20.430895281563402</v>
      </c>
      <c r="C46" s="3">
        <v>15.254972277061301</v>
      </c>
      <c r="D46" s="3">
        <v>14.153889958105699</v>
      </c>
      <c r="E46" s="3">
        <v>13.2782878689112</v>
      </c>
      <c r="F46" s="3">
        <v>13.118619992775599</v>
      </c>
      <c r="G46" s="3">
        <v>16.007548754668999</v>
      </c>
      <c r="H46" s="3">
        <v>13.735938952783499</v>
      </c>
      <c r="I46" s="3">
        <v>20.078991194066401</v>
      </c>
      <c r="J46" s="3">
        <v>16.286433787531099</v>
      </c>
      <c r="K46" s="3">
        <v>14.7040720812829</v>
      </c>
      <c r="L46" s="3">
        <v>15.9930823957064</v>
      </c>
      <c r="M46" s="3">
        <v>15.7591945336442</v>
      </c>
      <c r="N46" s="3">
        <v>11.778886222645999</v>
      </c>
    </row>
    <row r="47" spans="1:14" x14ac:dyDescent="0.35">
      <c r="A47" s="2">
        <v>43278</v>
      </c>
      <c r="B47" s="3">
        <v>21.333541869583101</v>
      </c>
      <c r="C47" s="3">
        <v>15.451193557834999</v>
      </c>
      <c r="D47" s="3">
        <v>14.258013947317</v>
      </c>
      <c r="E47" s="3">
        <v>12.791128257978601</v>
      </c>
      <c r="F47" s="3">
        <v>12.788618412434101</v>
      </c>
      <c r="G47" s="3">
        <v>15.41626037202</v>
      </c>
      <c r="H47" s="3">
        <v>13.2708949145256</v>
      </c>
      <c r="I47" s="3">
        <v>19.895766557975499</v>
      </c>
      <c r="J47" s="3">
        <v>16.019390829324799</v>
      </c>
      <c r="K47" s="3">
        <v>13.9968619854187</v>
      </c>
      <c r="L47" s="3">
        <v>15.5192752835164</v>
      </c>
      <c r="M47" s="3">
        <v>15.1607233780546</v>
      </c>
      <c r="N47" s="3">
        <v>11.3484099570077</v>
      </c>
    </row>
    <row r="48" spans="1:14" x14ac:dyDescent="0.35">
      <c r="A48" s="2">
        <v>43308</v>
      </c>
      <c r="B48" s="3">
        <v>21.162953913898399</v>
      </c>
      <c r="C48" s="3">
        <v>15.6759553130813</v>
      </c>
      <c r="D48" s="3">
        <v>14.1865297614449</v>
      </c>
      <c r="E48" s="3">
        <v>13.2768399613465</v>
      </c>
      <c r="F48" s="3">
        <v>13.0674705273985</v>
      </c>
      <c r="G48" s="3">
        <v>16.358453265245998</v>
      </c>
      <c r="H48" s="3">
        <v>13.253871360350301</v>
      </c>
      <c r="I48" s="3">
        <v>20.460585093366799</v>
      </c>
      <c r="J48" s="3">
        <v>16.521598266072299</v>
      </c>
      <c r="K48" s="3">
        <v>14.2527946614026</v>
      </c>
      <c r="L48" s="3">
        <v>16.070430194522501</v>
      </c>
      <c r="M48" s="3">
        <v>15.615132520972599</v>
      </c>
      <c r="N48" s="3">
        <v>11.590095834428</v>
      </c>
    </row>
    <row r="49" spans="1:14" x14ac:dyDescent="0.35">
      <c r="A49" s="2">
        <v>43339</v>
      </c>
      <c r="B49" s="3">
        <v>21.820050526447801</v>
      </c>
      <c r="C49" s="3">
        <v>15.6049309022443</v>
      </c>
      <c r="D49" s="3">
        <v>13.9992275475893</v>
      </c>
      <c r="E49" s="3">
        <v>13.0093281883098</v>
      </c>
      <c r="F49" s="3">
        <v>12.685192330254701</v>
      </c>
      <c r="G49" s="3">
        <v>16.142394800677501</v>
      </c>
      <c r="H49" s="3">
        <v>12.8436989390931</v>
      </c>
      <c r="I49" s="3">
        <v>20.903086267594599</v>
      </c>
      <c r="J49" s="3">
        <v>16.795489380907</v>
      </c>
      <c r="K49" s="3">
        <v>13.981039880631499</v>
      </c>
      <c r="L49" s="3">
        <v>15.6085846804704</v>
      </c>
      <c r="M49" s="3">
        <v>15.922978724918901</v>
      </c>
      <c r="N49" s="3">
        <v>10.8743785135577</v>
      </c>
    </row>
    <row r="50" spans="1:14" x14ac:dyDescent="0.35">
      <c r="A50" s="2">
        <v>43370</v>
      </c>
      <c r="B50" s="3">
        <v>21.3380392266907</v>
      </c>
      <c r="C50" s="3">
        <v>15.217868079156901</v>
      </c>
      <c r="D50" s="3">
        <v>13.692899924982701</v>
      </c>
      <c r="E50" s="3">
        <v>12.8313579737342</v>
      </c>
      <c r="F50" s="3">
        <v>13.2064101438368</v>
      </c>
      <c r="G50" s="3">
        <v>16.10493851991</v>
      </c>
      <c r="H50" s="3">
        <v>12.869588764263399</v>
      </c>
      <c r="I50" s="3">
        <v>20.8834719303178</v>
      </c>
      <c r="J50" s="3">
        <v>16.782392436335002</v>
      </c>
      <c r="K50" s="3">
        <v>13.9810057240083</v>
      </c>
      <c r="L50" s="3">
        <v>15.0773059590103</v>
      </c>
      <c r="M50" s="3">
        <v>16.018400054452702</v>
      </c>
      <c r="N50" s="3">
        <v>11.0201782413345</v>
      </c>
    </row>
    <row r="51" spans="1:14" x14ac:dyDescent="0.35">
      <c r="A51" s="2">
        <v>43399</v>
      </c>
      <c r="B51" s="3">
        <v>19.619626257141402</v>
      </c>
      <c r="C51" s="3">
        <v>13.873551572367299</v>
      </c>
      <c r="D51" s="3">
        <v>12.428995998694001</v>
      </c>
      <c r="E51" s="3">
        <v>11.670187331541999</v>
      </c>
      <c r="F51" s="3">
        <v>11.653360445233</v>
      </c>
      <c r="G51" s="3">
        <v>15.1076594589004</v>
      </c>
      <c r="H51" s="3">
        <v>11.578120299786701</v>
      </c>
      <c r="I51" s="3">
        <v>18.511370267478299</v>
      </c>
      <c r="J51" s="3">
        <v>15.175338212088599</v>
      </c>
      <c r="K51" s="3">
        <v>12.5029569648839</v>
      </c>
      <c r="L51" s="3">
        <v>13.7349906754253</v>
      </c>
      <c r="M51" s="3">
        <v>13.917139311949301</v>
      </c>
      <c r="N51" s="3">
        <v>9.5971437989314392</v>
      </c>
    </row>
    <row r="52" spans="1:14" x14ac:dyDescent="0.35">
      <c r="A52" s="2">
        <v>43431</v>
      </c>
      <c r="B52" s="3">
        <v>19.6398107166439</v>
      </c>
      <c r="C52" s="3">
        <v>14.223431558826301</v>
      </c>
      <c r="D52" s="3">
        <v>12.4739003179637</v>
      </c>
      <c r="E52" s="3">
        <v>11.591912966799001</v>
      </c>
      <c r="F52" s="3">
        <v>12.078818895451199</v>
      </c>
      <c r="G52" s="3">
        <v>15.467101264628701</v>
      </c>
      <c r="H52" s="3">
        <v>11.740606169639999</v>
      </c>
      <c r="I52" s="3">
        <v>18.150349213381499</v>
      </c>
      <c r="J52" s="3">
        <v>15.3014496427389</v>
      </c>
      <c r="K52" s="3">
        <v>12.4675069148525</v>
      </c>
      <c r="L52" s="3">
        <v>14.1219955351945</v>
      </c>
      <c r="M52" s="3">
        <v>14.017936936281799</v>
      </c>
      <c r="N52" s="3">
        <v>9.6371043779726904</v>
      </c>
    </row>
    <row r="53" spans="1:14" x14ac:dyDescent="0.35">
      <c r="A53" s="2">
        <v>43461</v>
      </c>
      <c r="B53" s="3">
        <v>20.031392597130701</v>
      </c>
      <c r="C53" s="3">
        <v>13.826922948062601</v>
      </c>
      <c r="D53" s="3">
        <v>11.9969910892318</v>
      </c>
      <c r="E53" s="3">
        <v>10.7620841032786</v>
      </c>
      <c r="F53" s="3">
        <v>11.183970274689999</v>
      </c>
      <c r="G53" s="3">
        <v>14.1155673779636</v>
      </c>
      <c r="H53" s="3">
        <v>11.1361025301408</v>
      </c>
      <c r="I53" s="3">
        <v>17.114154864227</v>
      </c>
      <c r="J53" s="3">
        <v>14.304144647010499</v>
      </c>
      <c r="K53" s="3">
        <v>11.560556662930001</v>
      </c>
      <c r="L53" s="3">
        <v>12.7760364784078</v>
      </c>
      <c r="M53" s="3">
        <v>13.0785621842097</v>
      </c>
      <c r="N53" s="3">
        <v>9.0431663314743904</v>
      </c>
    </row>
    <row r="54" spans="1:14" x14ac:dyDescent="0.35">
      <c r="A54" s="2">
        <v>43490</v>
      </c>
      <c r="B54" s="3">
        <v>20.634905232582</v>
      </c>
      <c r="C54" s="3">
        <v>14.769617869442801</v>
      </c>
      <c r="D54" s="3">
        <v>13.5128194772534</v>
      </c>
      <c r="E54" s="3">
        <v>11.883778961671</v>
      </c>
      <c r="F54" s="3">
        <v>11.876042687182</v>
      </c>
      <c r="G54" s="3">
        <v>15.470504412874</v>
      </c>
      <c r="H54" s="3">
        <v>11.895389779979499</v>
      </c>
      <c r="I54" s="3">
        <v>18.6337869979162</v>
      </c>
      <c r="J54" s="3">
        <v>15.480909018284001</v>
      </c>
      <c r="K54" s="3">
        <v>12.6846410356428</v>
      </c>
      <c r="L54" s="3">
        <v>14.045119654772201</v>
      </c>
      <c r="M54" s="3">
        <v>13.497610921581099</v>
      </c>
      <c r="N54" s="3">
        <v>9.8969749676626009</v>
      </c>
    </row>
    <row r="55" spans="1:14" x14ac:dyDescent="0.35">
      <c r="A55" s="2">
        <v>43523</v>
      </c>
      <c r="B55" s="3">
        <v>21.397471868972101</v>
      </c>
      <c r="C55" s="3">
        <v>15.3379678024131</v>
      </c>
      <c r="D55" s="3">
        <v>14.168141544455199</v>
      </c>
      <c r="E55" s="3">
        <v>12.0727364765775</v>
      </c>
      <c r="F55" s="3">
        <v>12.5490707828392</v>
      </c>
      <c r="G55" s="3">
        <v>16.2532634697254</v>
      </c>
      <c r="H55" s="3">
        <v>12.4743405121783</v>
      </c>
      <c r="I55" s="3">
        <v>19.704128290822801</v>
      </c>
      <c r="J55" s="3">
        <v>16.2682835127423</v>
      </c>
      <c r="K55" s="3">
        <v>13.4138784448417</v>
      </c>
      <c r="L55" s="3">
        <v>14.8145905089576</v>
      </c>
      <c r="M55" s="3">
        <v>14.8060453311379</v>
      </c>
      <c r="N55" s="3">
        <v>10.5083408650835</v>
      </c>
    </row>
    <row r="56" spans="1:14" x14ac:dyDescent="0.35">
      <c r="A56" s="2">
        <v>43551</v>
      </c>
      <c r="B56" s="3">
        <v>22.0682110116012</v>
      </c>
      <c r="C56" s="3">
        <v>15.171685815116099</v>
      </c>
      <c r="D56" s="3">
        <v>14.130307729216399</v>
      </c>
      <c r="E56" s="3">
        <v>12.099541539408801</v>
      </c>
      <c r="F56" s="3">
        <v>12.6073110397069</v>
      </c>
      <c r="G56" s="3">
        <v>16.438742475534799</v>
      </c>
      <c r="H56" s="3">
        <v>12.462748921921399</v>
      </c>
      <c r="I56" s="3">
        <v>20.157576256746299</v>
      </c>
      <c r="J56" s="3">
        <v>16.2649153261112</v>
      </c>
      <c r="K56" s="3">
        <v>13.480798051056</v>
      </c>
      <c r="L56" s="3">
        <v>15.0392840923921</v>
      </c>
      <c r="M56" s="3">
        <v>14.8203732515254</v>
      </c>
      <c r="N56" s="3">
        <v>10.7316166337319</v>
      </c>
    </row>
    <row r="57" spans="1:14" x14ac:dyDescent="0.35">
      <c r="A57" s="2">
        <v>43581</v>
      </c>
      <c r="B57" s="3">
        <v>22.656241883512799</v>
      </c>
      <c r="C57" s="3">
        <v>15.543007785613099</v>
      </c>
      <c r="D57" s="3">
        <v>13.9518569273026</v>
      </c>
      <c r="E57" s="3">
        <v>12.996511226302999</v>
      </c>
      <c r="F57" s="3">
        <v>12.7370376328623</v>
      </c>
      <c r="G57" s="3">
        <v>16.909582008761799</v>
      </c>
      <c r="H57" s="3">
        <v>12.661174008425199</v>
      </c>
      <c r="I57" s="3">
        <v>21.407128373124699</v>
      </c>
      <c r="J57" s="3">
        <v>16.902202174316798</v>
      </c>
      <c r="K57" s="3">
        <v>14.099702078520201</v>
      </c>
      <c r="L57" s="3">
        <v>15.681772093142101</v>
      </c>
      <c r="M57" s="3">
        <v>15.889131138921501</v>
      </c>
      <c r="N57" s="3">
        <v>10.864354512141601</v>
      </c>
    </row>
    <row r="58" spans="1:14" x14ac:dyDescent="0.35">
      <c r="A58" s="2">
        <v>43609</v>
      </c>
      <c r="B58" s="3">
        <v>23.346084943639099</v>
      </c>
      <c r="C58" s="3">
        <v>15.6744808786086</v>
      </c>
      <c r="D58" s="3">
        <v>13.482806202935199</v>
      </c>
      <c r="E58" s="3">
        <v>12.301885589372301</v>
      </c>
      <c r="F58" s="3">
        <v>12.306404162138801</v>
      </c>
      <c r="G58" s="3">
        <v>16.735455163495601</v>
      </c>
      <c r="H58" s="3">
        <v>12.2191402150941</v>
      </c>
      <c r="I58" s="3">
        <v>19.8598179647481</v>
      </c>
      <c r="J58" s="3">
        <v>16.135533515330099</v>
      </c>
      <c r="K58" s="3">
        <v>13.4359249598246</v>
      </c>
      <c r="L58" s="3">
        <v>14.998142057993499</v>
      </c>
      <c r="M58" s="3">
        <v>14.674033854925099</v>
      </c>
      <c r="N58" s="3">
        <v>10.1556415681396</v>
      </c>
    </row>
    <row r="59" spans="1:14" x14ac:dyDescent="0.35">
      <c r="A59" s="2">
        <v>43643</v>
      </c>
      <c r="B59" s="3">
        <v>23.536032675805501</v>
      </c>
      <c r="C59" s="3">
        <v>16.29815378831</v>
      </c>
      <c r="D59" s="3">
        <v>13.6104043145885</v>
      </c>
      <c r="E59" s="3">
        <v>12.609787309510899</v>
      </c>
      <c r="F59" s="3">
        <v>12.735072218799299</v>
      </c>
      <c r="G59" s="3">
        <v>17.0754732670169</v>
      </c>
      <c r="H59" s="3">
        <v>12.5284427700962</v>
      </c>
      <c r="I59" s="3">
        <v>20.776422764835701</v>
      </c>
      <c r="J59" s="3">
        <v>16.6303026373159</v>
      </c>
      <c r="K59" s="3">
        <v>13.7885829945017</v>
      </c>
      <c r="L59" s="3">
        <v>15.3447167536234</v>
      </c>
      <c r="M59" s="3">
        <v>14.998620879880701</v>
      </c>
      <c r="N59" s="3">
        <v>10.405124435409601</v>
      </c>
    </row>
    <row r="60" spans="1:14" x14ac:dyDescent="0.35">
      <c r="A60" s="2">
        <v>43672</v>
      </c>
      <c r="B60" s="3">
        <v>24.455051715669502</v>
      </c>
      <c r="C60" s="3">
        <v>16.388720713714601</v>
      </c>
      <c r="D60" s="3">
        <v>13.741239514338</v>
      </c>
      <c r="E60" s="3">
        <v>13.0103525290126</v>
      </c>
      <c r="F60" s="3">
        <v>12.912706996372901</v>
      </c>
      <c r="G60" s="3">
        <v>17.099839459551902</v>
      </c>
      <c r="H60" s="3">
        <v>12.6421405434335</v>
      </c>
      <c r="I60" s="3">
        <v>21.531458446038599</v>
      </c>
      <c r="J60" s="3">
        <v>17.214526634445999</v>
      </c>
      <c r="K60" s="3">
        <v>14.210611540927999</v>
      </c>
      <c r="L60" s="3">
        <v>15.98423343854</v>
      </c>
      <c r="M60" s="3">
        <v>15.029821851869899</v>
      </c>
      <c r="N60" s="3">
        <v>10.758513118256801</v>
      </c>
    </row>
    <row r="61" spans="1:14" x14ac:dyDescent="0.35">
      <c r="A61" s="2">
        <v>43704</v>
      </c>
      <c r="B61" s="3">
        <v>25.374977006805</v>
      </c>
      <c r="C61" s="3">
        <v>15.8740979403228</v>
      </c>
      <c r="D61" s="3">
        <v>13.4570786401537</v>
      </c>
      <c r="E61" s="3">
        <v>12.416315070676999</v>
      </c>
      <c r="F61" s="3">
        <v>12.365329058565999</v>
      </c>
      <c r="G61" s="3">
        <v>16.800350198911101</v>
      </c>
      <c r="H61" s="3">
        <v>11.8473487489156</v>
      </c>
      <c r="I61" s="3">
        <v>20.136847490521401</v>
      </c>
      <c r="J61" s="3">
        <v>16.254694176783101</v>
      </c>
      <c r="K61" s="3">
        <v>13.579083510705001</v>
      </c>
      <c r="L61" s="3">
        <v>15.137747759643499</v>
      </c>
      <c r="M61" s="3">
        <v>13.5734053831937</v>
      </c>
      <c r="N61" s="3">
        <v>10.338097495534599</v>
      </c>
    </row>
    <row r="62" spans="1:14" x14ac:dyDescent="0.35">
      <c r="A62" s="2">
        <v>43735</v>
      </c>
      <c r="B62" s="3">
        <v>25.272523486364101</v>
      </c>
      <c r="C62" s="3">
        <v>16.744998263379799</v>
      </c>
      <c r="D62" s="3">
        <v>13.9521813679657</v>
      </c>
      <c r="E62" s="3">
        <v>13.015560921491</v>
      </c>
      <c r="F62" s="3">
        <v>13.313704832097001</v>
      </c>
      <c r="G62" s="3">
        <v>17.1095214315649</v>
      </c>
      <c r="H62" s="3">
        <v>12.486249694022</v>
      </c>
      <c r="I62" s="3">
        <v>19.831165972278999</v>
      </c>
      <c r="J62" s="3">
        <v>16.721889248558401</v>
      </c>
      <c r="K62" s="3">
        <v>14.130046186120699</v>
      </c>
      <c r="L62" s="3">
        <v>16.184677901640999</v>
      </c>
      <c r="M62" s="3">
        <v>15.045300204875099</v>
      </c>
      <c r="N62" s="3">
        <v>10.779550435768</v>
      </c>
    </row>
    <row r="63" spans="1:14" x14ac:dyDescent="0.35">
      <c r="A63" s="2">
        <v>43763</v>
      </c>
      <c r="B63" s="3">
        <v>24.760953623602799</v>
      </c>
      <c r="C63" s="3">
        <v>16.994818098305998</v>
      </c>
      <c r="D63" s="3">
        <v>13.865887683561001</v>
      </c>
      <c r="E63" s="3">
        <v>13.5369346580929</v>
      </c>
      <c r="F63" s="3">
        <v>13.714448807687599</v>
      </c>
      <c r="G63" s="3">
        <v>17.239469450315401</v>
      </c>
      <c r="H63" s="3">
        <v>12.6464656518125</v>
      </c>
      <c r="I63" s="3">
        <v>20.525744072600599</v>
      </c>
      <c r="J63" s="3">
        <v>17.099271063805901</v>
      </c>
      <c r="K63" s="3">
        <v>14.427702931039301</v>
      </c>
      <c r="L63" s="3">
        <v>16.268088788558501</v>
      </c>
      <c r="M63" s="3">
        <v>15.809437681871101</v>
      </c>
      <c r="N63" s="3">
        <v>11.0901514356213</v>
      </c>
    </row>
    <row r="64" spans="1:14" x14ac:dyDescent="0.35">
      <c r="A64" s="2">
        <v>43796</v>
      </c>
      <c r="B64" s="3">
        <v>25.569469355029302</v>
      </c>
      <c r="C64" s="3">
        <v>17.420519217170199</v>
      </c>
      <c r="D64" s="3">
        <v>14.4573253792407</v>
      </c>
      <c r="E64" s="3">
        <v>14.1510919036298</v>
      </c>
      <c r="F64" s="3">
        <v>14.3076340111758</v>
      </c>
      <c r="G64" s="3">
        <v>17.601780254849501</v>
      </c>
      <c r="H64" s="3">
        <v>13.111736329634599</v>
      </c>
      <c r="I64" s="3">
        <v>21.614072197961899</v>
      </c>
      <c r="J64" s="3">
        <v>17.792281409853601</v>
      </c>
      <c r="K64" s="3">
        <v>14.810816817474899</v>
      </c>
      <c r="L64" s="3">
        <v>16.764542615478099</v>
      </c>
      <c r="M64" s="3">
        <v>15.686203468992399</v>
      </c>
      <c r="N64" s="3">
        <v>11.355849471257001</v>
      </c>
    </row>
    <row r="65" spans="1:14" x14ac:dyDescent="0.35">
      <c r="A65" s="2">
        <v>43826</v>
      </c>
      <c r="B65" s="3">
        <v>26.0858022951486</v>
      </c>
      <c r="C65" s="3">
        <v>17.493347667885502</v>
      </c>
      <c r="D65" s="3">
        <v>14.5184964660452</v>
      </c>
      <c r="E65" s="3">
        <v>14.1887287403125</v>
      </c>
      <c r="F65" s="3">
        <v>14.633284938359299</v>
      </c>
      <c r="G65" s="3">
        <v>17.972033160403299</v>
      </c>
      <c r="H65" s="3">
        <v>13.589534560947399</v>
      </c>
      <c r="I65" s="3">
        <v>22.313318401608701</v>
      </c>
      <c r="J65" s="3">
        <v>18.227378151420201</v>
      </c>
      <c r="K65" s="3">
        <v>15.0434682547017</v>
      </c>
      <c r="L65" s="3">
        <v>17.1821495250251</v>
      </c>
      <c r="M65" s="3">
        <v>16.348804069966601</v>
      </c>
      <c r="N65" s="3">
        <v>11.5142226201628</v>
      </c>
    </row>
    <row r="66" spans="1:14" x14ac:dyDescent="0.35">
      <c r="A66" s="2">
        <v>43857</v>
      </c>
      <c r="B66" s="3">
        <v>26.395271732609199</v>
      </c>
      <c r="C66" s="3">
        <v>18.094025075523799</v>
      </c>
      <c r="D66" s="3">
        <v>14.5847540153017</v>
      </c>
      <c r="E66" s="3">
        <v>14.033747952793799</v>
      </c>
      <c r="F66" s="3">
        <v>14.356261387934</v>
      </c>
      <c r="G66" s="3">
        <v>17.9215248703509</v>
      </c>
      <c r="H66" s="3">
        <v>13.1512647295124</v>
      </c>
      <c r="I66" s="3">
        <v>22.467299101391699</v>
      </c>
      <c r="J66" s="3">
        <v>18.137014764714401</v>
      </c>
      <c r="K66" s="3">
        <v>14.637667149012399</v>
      </c>
      <c r="L66" s="3">
        <v>16.9640895140998</v>
      </c>
      <c r="M66" s="3">
        <v>16.0667192397765</v>
      </c>
      <c r="N66" s="3">
        <v>11.274314345539199</v>
      </c>
    </row>
    <row r="67" spans="1:14" x14ac:dyDescent="0.35">
      <c r="A67" s="2">
        <v>43888</v>
      </c>
      <c r="B67" s="3">
        <v>26.307442880960799</v>
      </c>
      <c r="C67" s="3">
        <v>17.121761750661399</v>
      </c>
      <c r="D67" s="3">
        <v>14.0728972285703</v>
      </c>
      <c r="E67" s="3">
        <v>13.132431694889</v>
      </c>
      <c r="F67" s="3">
        <v>13.4207131451641</v>
      </c>
      <c r="G67" s="3">
        <v>17.065800665010901</v>
      </c>
      <c r="H67" s="3">
        <v>12.2733855367788</v>
      </c>
      <c r="I67" s="3">
        <v>20.807521230329399</v>
      </c>
      <c r="J67" s="3">
        <v>16.702884285661199</v>
      </c>
      <c r="K67" s="3">
        <v>13.9047975941785</v>
      </c>
      <c r="L67" s="3">
        <v>16.157735268782101</v>
      </c>
      <c r="M67" s="3">
        <v>15.5083359290222</v>
      </c>
      <c r="N67" s="3">
        <v>10.976076452499401</v>
      </c>
    </row>
    <row r="68" spans="1:14" x14ac:dyDescent="0.35">
      <c r="A68" s="2">
        <v>43917</v>
      </c>
      <c r="B68" s="3">
        <v>24.064006929166499</v>
      </c>
      <c r="C68" s="3">
        <v>13.2649218761222</v>
      </c>
      <c r="D68" s="3">
        <v>12.3404217780512</v>
      </c>
      <c r="E68" s="3">
        <v>11.572129881241301</v>
      </c>
      <c r="F68" s="3">
        <v>12.6663557739952</v>
      </c>
      <c r="G68" s="3">
        <v>15.3945458553283</v>
      </c>
      <c r="H68" s="3">
        <v>11.3509568945755</v>
      </c>
      <c r="I68" s="3">
        <v>19.4918061985612</v>
      </c>
      <c r="J68" s="3">
        <v>15.1716266611203</v>
      </c>
      <c r="K68" s="3">
        <v>12.396268142546299</v>
      </c>
      <c r="L68" s="3">
        <v>13.7338412928161</v>
      </c>
      <c r="M68" s="3">
        <v>13.5125281930114</v>
      </c>
      <c r="N68" s="3">
        <v>9.4438765415497308</v>
      </c>
    </row>
    <row r="69" spans="1:14" x14ac:dyDescent="0.35">
      <c r="A69" s="2">
        <v>43948</v>
      </c>
      <c r="B69" s="3">
        <v>28.501118900291299</v>
      </c>
      <c r="C69" s="3">
        <v>16.588566050677301</v>
      </c>
      <c r="D69" s="3">
        <v>15.965177187957099</v>
      </c>
      <c r="E69" s="3">
        <v>14.4749763569442</v>
      </c>
      <c r="F69" s="3">
        <v>13.817617129086599</v>
      </c>
      <c r="G69" s="3">
        <v>18.313477779750301</v>
      </c>
      <c r="H69" s="3">
        <v>14.191451660411801</v>
      </c>
      <c r="I69" s="3">
        <v>23.977590052980101</v>
      </c>
      <c r="J69" s="3">
        <v>19.8518467030671</v>
      </c>
      <c r="K69" s="3">
        <v>15.924730829029601</v>
      </c>
      <c r="L69" s="3">
        <v>16.800818620829698</v>
      </c>
      <c r="M69" s="3">
        <v>16.635963187188</v>
      </c>
      <c r="N69" s="3">
        <v>12.729947175244501</v>
      </c>
    </row>
    <row r="70" spans="1:14" x14ac:dyDescent="0.35">
      <c r="A70" s="2">
        <v>43978</v>
      </c>
      <c r="B70" s="3">
        <v>32.315334752433699</v>
      </c>
      <c r="C70" s="3">
        <v>18.617650404820498</v>
      </c>
      <c r="D70" s="3">
        <v>18.72388624977</v>
      </c>
      <c r="E70" s="3">
        <v>16.691871667805302</v>
      </c>
      <c r="F70" s="3">
        <v>15.8158662881702</v>
      </c>
      <c r="G70" s="3">
        <v>18.7293055485164</v>
      </c>
      <c r="H70" s="3">
        <v>15.9108643416417</v>
      </c>
      <c r="I70" s="3">
        <v>26.4163796254823</v>
      </c>
      <c r="J70" s="3">
        <v>21.600875709422599</v>
      </c>
      <c r="K70" s="3">
        <v>17.4389774507945</v>
      </c>
      <c r="L70" s="3">
        <v>18.2474585258574</v>
      </c>
      <c r="M70" s="3">
        <v>18.475913171131999</v>
      </c>
      <c r="N70" s="3">
        <v>15.6200602523654</v>
      </c>
    </row>
    <row r="71" spans="1:14" x14ac:dyDescent="0.35">
      <c r="A71" s="2">
        <v>44008</v>
      </c>
      <c r="B71" s="3">
        <v>30.42766345727</v>
      </c>
      <c r="C71" s="3">
        <v>18.823478961166199</v>
      </c>
      <c r="D71" s="3">
        <v>17.364011557392601</v>
      </c>
      <c r="E71" s="3">
        <v>17.3644500058966</v>
      </c>
      <c r="F71" s="3">
        <v>17.850933855598299</v>
      </c>
      <c r="G71" s="3">
        <v>19.2339199768474</v>
      </c>
      <c r="H71" s="3">
        <v>15.805159886074399</v>
      </c>
      <c r="I71" s="3">
        <v>26.952494651854501</v>
      </c>
      <c r="J71" s="3">
        <v>21.1139260468067</v>
      </c>
      <c r="K71" s="3">
        <v>18.629253779574402</v>
      </c>
      <c r="L71" s="3">
        <v>19.400091377086401</v>
      </c>
      <c r="M71" s="3">
        <v>19.220469240516799</v>
      </c>
      <c r="N71" s="3">
        <v>17.1626935860264</v>
      </c>
    </row>
    <row r="72" spans="1:14" x14ac:dyDescent="0.35">
      <c r="A72" s="2">
        <v>44039</v>
      </c>
      <c r="B72" s="3">
        <v>31.885161939931098</v>
      </c>
      <c r="C72" s="3">
        <v>19.3746011546462</v>
      </c>
      <c r="D72" s="3">
        <v>17.463515743278901</v>
      </c>
      <c r="E72" s="3">
        <v>18.182508683782</v>
      </c>
      <c r="F72" s="3">
        <v>17.901814413850499</v>
      </c>
      <c r="G72" s="3">
        <v>19.711573301968599</v>
      </c>
      <c r="H72" s="3">
        <v>15.614064654128301</v>
      </c>
      <c r="I72" s="3">
        <v>28.3880854048377</v>
      </c>
      <c r="J72" s="3">
        <v>22.109024483001399</v>
      </c>
      <c r="K72" s="3">
        <v>19.417477963459302</v>
      </c>
      <c r="L72" s="3">
        <v>20.033684537633</v>
      </c>
      <c r="M72" s="3">
        <v>18.8023559700035</v>
      </c>
      <c r="N72" s="3">
        <v>17.413075150523099</v>
      </c>
    </row>
    <row r="73" spans="1:14" x14ac:dyDescent="0.35">
      <c r="A73" s="2">
        <v>44070</v>
      </c>
      <c r="B73" s="3">
        <v>33.342435406785</v>
      </c>
      <c r="C73" s="3">
        <v>19.662501534060901</v>
      </c>
      <c r="D73" s="3">
        <v>17.451403067771501</v>
      </c>
      <c r="E73" s="3">
        <v>18.017851992962601</v>
      </c>
      <c r="F73" s="3">
        <v>18.100316237505702</v>
      </c>
      <c r="G73" s="3">
        <v>19.585454843892801</v>
      </c>
      <c r="H73" s="3">
        <v>15.276965601509</v>
      </c>
      <c r="I73" s="3">
        <v>30.3785535889436</v>
      </c>
      <c r="J73" s="3">
        <v>22.812913650331399</v>
      </c>
      <c r="K73" s="3">
        <v>19.597033194305801</v>
      </c>
      <c r="L73" s="3">
        <v>20.060976127542101</v>
      </c>
      <c r="M73" s="3">
        <v>18.377678099082399</v>
      </c>
      <c r="N73" s="3">
        <v>15.907143564229299</v>
      </c>
    </row>
    <row r="74" spans="1:14" x14ac:dyDescent="0.35">
      <c r="A74" s="2">
        <v>44099</v>
      </c>
      <c r="B74" s="3">
        <v>31.7262486568135</v>
      </c>
      <c r="C74" s="3">
        <v>18.471502179878001</v>
      </c>
      <c r="D74" s="3">
        <v>16.236707615585001</v>
      </c>
      <c r="E74" s="3">
        <v>16.5187691366732</v>
      </c>
      <c r="F74" s="3">
        <v>18.215985756517298</v>
      </c>
      <c r="G74" s="3">
        <v>18.8842584519426</v>
      </c>
      <c r="H74" s="3">
        <v>14.2811928907146</v>
      </c>
      <c r="I74" s="3">
        <v>27.9460327888103</v>
      </c>
      <c r="J74" s="3">
        <v>21.167588603195501</v>
      </c>
      <c r="K74" s="3">
        <v>17.7649641348861</v>
      </c>
      <c r="L74" s="3">
        <v>18.926897434403099</v>
      </c>
      <c r="M74" s="3">
        <v>17.859413085237001</v>
      </c>
      <c r="N74" s="3">
        <v>14.606581570575701</v>
      </c>
    </row>
    <row r="75" spans="1:14" x14ac:dyDescent="0.35">
      <c r="A75" s="2">
        <v>44131</v>
      </c>
      <c r="B75" s="3">
        <v>33.089982628921902</v>
      </c>
      <c r="C75" s="3">
        <v>18.295042350155601</v>
      </c>
      <c r="D75" s="3">
        <v>15.6385448415393</v>
      </c>
      <c r="E75" s="3">
        <v>15.286789860672</v>
      </c>
      <c r="F75" s="3">
        <v>17.589025949697302</v>
      </c>
      <c r="G75" s="3">
        <v>18.184546000628099</v>
      </c>
      <c r="H75" s="3">
        <v>13.596883984388899</v>
      </c>
      <c r="I75" s="3">
        <v>28.477032353273199</v>
      </c>
      <c r="J75" s="3">
        <v>21.156371710933399</v>
      </c>
      <c r="K75" s="3">
        <v>17.2006153686368</v>
      </c>
      <c r="L75" s="3">
        <v>19.048167622550899</v>
      </c>
      <c r="M75" s="3">
        <v>16.6743312705885</v>
      </c>
      <c r="N75" s="3">
        <v>13.905235834616199</v>
      </c>
    </row>
    <row r="76" spans="1:14" x14ac:dyDescent="0.35">
      <c r="A76" s="2">
        <v>44162</v>
      </c>
      <c r="B76" s="3">
        <v>32.1588818109295</v>
      </c>
      <c r="C76" s="3">
        <v>19.607374176134201</v>
      </c>
      <c r="D76" s="3">
        <v>16.308155510449598</v>
      </c>
      <c r="E76" s="3">
        <v>16.1996170361077</v>
      </c>
      <c r="F76" s="3">
        <v>18.813793081773301</v>
      </c>
      <c r="G76" s="3">
        <v>18.8436571141205</v>
      </c>
      <c r="H76" s="3">
        <v>14.6335219592291</v>
      </c>
      <c r="I76" s="3">
        <v>28.984151643013199</v>
      </c>
      <c r="J76" s="3">
        <v>21.917789451590199</v>
      </c>
      <c r="K76" s="3">
        <v>19.2150152310092</v>
      </c>
      <c r="L76" s="3">
        <v>20.734021447467999</v>
      </c>
      <c r="M76" s="3">
        <v>17.503349581095598</v>
      </c>
      <c r="N76" s="3">
        <v>15.123910768472101</v>
      </c>
    </row>
    <row r="77" spans="1:14" x14ac:dyDescent="0.35">
      <c r="A77" s="2">
        <v>44189</v>
      </c>
      <c r="B77" s="3">
        <v>34.369768229868399</v>
      </c>
      <c r="C77" s="3">
        <v>19.240537911018698</v>
      </c>
      <c r="D77" s="3">
        <v>16.022561482940901</v>
      </c>
      <c r="E77" s="3">
        <v>16.001357051930601</v>
      </c>
      <c r="F77" s="3">
        <v>18.1484885676693</v>
      </c>
      <c r="G77" s="3">
        <v>18.4028477199364</v>
      </c>
      <c r="H77" s="3">
        <v>14.5525563760566</v>
      </c>
      <c r="I77" s="3">
        <v>29.085105373071499</v>
      </c>
      <c r="J77" s="3">
        <v>22.230086956080601</v>
      </c>
      <c r="K77" s="3">
        <v>18.0728492237821</v>
      </c>
      <c r="L77" s="3">
        <v>20.681193040256499</v>
      </c>
      <c r="M77" s="3">
        <v>17.076698830784999</v>
      </c>
      <c r="N77" s="3">
        <v>14.8376441783332</v>
      </c>
    </row>
    <row r="78" spans="1:14" x14ac:dyDescent="0.35">
      <c r="A78" s="2">
        <v>44223</v>
      </c>
      <c r="B78" s="3">
        <v>34.179449745723801</v>
      </c>
      <c r="C78" s="3">
        <v>19.154732468889101</v>
      </c>
      <c r="D78" s="3">
        <v>15.5191512861834</v>
      </c>
      <c r="E78" s="3">
        <v>15.601614476082601</v>
      </c>
      <c r="F78" s="3">
        <v>18.659501118694301</v>
      </c>
      <c r="G78" s="3">
        <v>18.8995814853727</v>
      </c>
      <c r="H78" s="3">
        <v>14.092900544540299</v>
      </c>
      <c r="I78" s="3">
        <v>29.060548922050302</v>
      </c>
      <c r="J78" s="3">
        <v>21.690110251829498</v>
      </c>
      <c r="K78" s="3">
        <v>17.479814790542399</v>
      </c>
      <c r="L78" s="3">
        <v>20.923273023486601</v>
      </c>
      <c r="M78" s="3">
        <v>18.775995846574901</v>
      </c>
      <c r="N78" s="3">
        <v>13.356672950897201</v>
      </c>
    </row>
    <row r="79" spans="1:14" x14ac:dyDescent="0.35">
      <c r="A79" s="2">
        <v>44253</v>
      </c>
      <c r="B79" s="3">
        <v>31.507983403909002</v>
      </c>
      <c r="C79" s="3">
        <v>17.9550506901397</v>
      </c>
      <c r="D79" s="3">
        <v>15.117728459974501</v>
      </c>
      <c r="E79" s="3">
        <v>15.3083667940233</v>
      </c>
      <c r="F79" s="3">
        <v>17.643021478725199</v>
      </c>
      <c r="G79" s="3">
        <v>18.237486592664901</v>
      </c>
      <c r="H79" s="3">
        <v>13.758327150189199</v>
      </c>
      <c r="I79" s="3">
        <v>27.233536184635199</v>
      </c>
      <c r="J79" s="3">
        <v>21.385940576224399</v>
      </c>
      <c r="K79" s="3">
        <v>17.731265895785999</v>
      </c>
      <c r="L79" s="3">
        <v>21.416699370011202</v>
      </c>
      <c r="M79" s="3">
        <v>18.7197263433983</v>
      </c>
      <c r="N79" s="3">
        <v>13.701980133488</v>
      </c>
    </row>
    <row r="80" spans="1:14" x14ac:dyDescent="0.35">
      <c r="A80" s="2">
        <v>44281</v>
      </c>
      <c r="B80" s="3">
        <v>31.976178130951801</v>
      </c>
      <c r="C80" s="3">
        <v>17.7369305706919</v>
      </c>
      <c r="D80" s="3">
        <v>15.370318025223799</v>
      </c>
      <c r="E80" s="3">
        <v>15.9046684397728</v>
      </c>
      <c r="F80" s="3">
        <v>17.814432164378101</v>
      </c>
      <c r="G80" s="3">
        <v>18.797294737943101</v>
      </c>
      <c r="H80" s="3">
        <v>13.634310452981</v>
      </c>
      <c r="I80" s="3">
        <v>27.187584287661</v>
      </c>
      <c r="J80" s="3">
        <v>21.952386966548701</v>
      </c>
      <c r="K80" s="3">
        <v>18.128003034009801</v>
      </c>
      <c r="L80" s="3">
        <v>22.289181552451002</v>
      </c>
      <c r="M80" s="3">
        <v>20.249308693453699</v>
      </c>
      <c r="N80" s="3">
        <v>13.929269466026801</v>
      </c>
    </row>
    <row r="81" spans="1:14" x14ac:dyDescent="0.35">
      <c r="A81" s="2">
        <v>44313</v>
      </c>
      <c r="B81" s="3">
        <v>32.245200077709299</v>
      </c>
      <c r="C81" s="3">
        <v>17.9885773563214</v>
      </c>
      <c r="D81" s="3">
        <v>15.5301762265322</v>
      </c>
      <c r="E81" s="3">
        <v>15.482602561094</v>
      </c>
      <c r="F81" s="3">
        <v>16.784410469624</v>
      </c>
      <c r="G81" s="3">
        <v>18.445547499709299</v>
      </c>
      <c r="H81" s="3">
        <v>13.3436537864194</v>
      </c>
      <c r="I81" s="3">
        <v>28.721448678777801</v>
      </c>
      <c r="J81" s="3">
        <v>22.196054348963798</v>
      </c>
      <c r="K81" s="3">
        <v>18.149160016449901</v>
      </c>
      <c r="L81" s="3">
        <v>22.307658169131901</v>
      </c>
      <c r="M81" s="3">
        <v>19.405230660283799</v>
      </c>
      <c r="N81" s="3">
        <v>13.6709228981465</v>
      </c>
    </row>
    <row r="82" spans="1:14" x14ac:dyDescent="0.35">
      <c r="A82" s="2">
        <v>44343</v>
      </c>
      <c r="B82" s="3">
        <v>31.910666357576101</v>
      </c>
      <c r="C82" s="3">
        <v>17.805281976039598</v>
      </c>
      <c r="D82" s="3">
        <v>15.2598765510898</v>
      </c>
      <c r="E82" s="3">
        <v>14.7348846499868</v>
      </c>
      <c r="F82" s="3">
        <v>16.276338074840201</v>
      </c>
      <c r="G82" s="3">
        <v>19.263146017039499</v>
      </c>
      <c r="H82" s="3">
        <v>13.1816168736866</v>
      </c>
      <c r="I82" s="3">
        <v>26.407461280670901</v>
      </c>
      <c r="J82" s="3">
        <v>21.255604535212498</v>
      </c>
      <c r="K82" s="3">
        <v>17.784210026831701</v>
      </c>
      <c r="L82" s="3">
        <v>21.391531947317901</v>
      </c>
      <c r="M82" s="3">
        <v>17.8374325903102</v>
      </c>
      <c r="N82" s="3">
        <v>13.394850093695901</v>
      </c>
    </row>
    <row r="83" spans="1:14" x14ac:dyDescent="0.35">
      <c r="A83" s="2">
        <v>44372</v>
      </c>
      <c r="B83" s="3">
        <v>33.6499530399348</v>
      </c>
      <c r="C83" s="3">
        <v>17.741509502416498</v>
      </c>
      <c r="D83" s="3">
        <v>15.691891792139399</v>
      </c>
      <c r="E83" s="3">
        <v>14.8550789378823</v>
      </c>
      <c r="F83" s="3">
        <v>16.422662138578701</v>
      </c>
      <c r="G83" s="3">
        <v>19.943239712284701</v>
      </c>
      <c r="H83" s="3">
        <v>13.004711128655099</v>
      </c>
      <c r="I83" s="3">
        <v>27.444464667649601</v>
      </c>
      <c r="J83" s="3">
        <v>21.334521257329499</v>
      </c>
      <c r="K83" s="3">
        <v>17.839858088589999</v>
      </c>
      <c r="L83" s="3">
        <v>21.383178000184</v>
      </c>
      <c r="M83" s="3">
        <v>18.6648337951173</v>
      </c>
      <c r="N83" s="3">
        <v>13.6286796464373</v>
      </c>
    </row>
    <row r="84" spans="1:14" x14ac:dyDescent="0.35">
      <c r="A84" s="2">
        <v>44404</v>
      </c>
      <c r="B84" s="3">
        <v>33.693215083114502</v>
      </c>
      <c r="C84" s="3">
        <v>16.937340771808799</v>
      </c>
      <c r="D84" s="3">
        <v>15.1635719508373</v>
      </c>
      <c r="E84" s="3">
        <v>14.368933521679301</v>
      </c>
      <c r="F84" s="3">
        <v>15.8915595115188</v>
      </c>
      <c r="G84" s="3">
        <v>19.578528569290199</v>
      </c>
      <c r="H84" s="3">
        <v>12.3520910251163</v>
      </c>
      <c r="I84" s="3">
        <v>28.181370325593601</v>
      </c>
      <c r="J84" s="3">
        <v>21.319831789694401</v>
      </c>
      <c r="K84" s="3">
        <v>16.8445626578023</v>
      </c>
      <c r="L84" s="3">
        <v>21.075290502293001</v>
      </c>
      <c r="M84" s="3">
        <v>18.505519164187799</v>
      </c>
      <c r="N84" s="3">
        <v>13.028533730703099</v>
      </c>
    </row>
    <row r="85" spans="1:14" x14ac:dyDescent="0.35">
      <c r="A85" s="2">
        <v>44435</v>
      </c>
      <c r="B85" s="3">
        <v>34.767216585694399</v>
      </c>
      <c r="C85" s="3">
        <v>17.212406577729801</v>
      </c>
      <c r="D85" s="3">
        <v>14.9317314841787</v>
      </c>
      <c r="E85" s="3">
        <v>14.2402664861022</v>
      </c>
      <c r="F85" s="3">
        <v>15.1205359365878</v>
      </c>
      <c r="G85" s="3">
        <v>19.953701835484399</v>
      </c>
      <c r="H85" s="3">
        <v>12.1572964849437</v>
      </c>
      <c r="I85" s="3">
        <v>27.857721465312999</v>
      </c>
      <c r="J85" s="3">
        <v>21.174194557297898</v>
      </c>
      <c r="K85" s="3">
        <v>16.309194644286698</v>
      </c>
      <c r="L85" s="3">
        <v>21.916182578456599</v>
      </c>
      <c r="M85" s="3">
        <v>18.537591375690301</v>
      </c>
      <c r="N85" s="3">
        <v>11.9968823855508</v>
      </c>
    </row>
    <row r="86" spans="1:14" x14ac:dyDescent="0.35">
      <c r="A86" s="2">
        <v>44466</v>
      </c>
      <c r="B86" s="3">
        <v>34.563993739536102</v>
      </c>
      <c r="C86" s="3">
        <v>17.140359726527699</v>
      </c>
      <c r="D86" s="3">
        <v>14.6377182914961</v>
      </c>
      <c r="E86" s="3">
        <v>13.8267623483991</v>
      </c>
      <c r="F86" s="3">
        <v>15.938972375336199</v>
      </c>
      <c r="G86" s="3">
        <v>18.491669552114999</v>
      </c>
      <c r="H86" s="3">
        <v>11.9369130692477</v>
      </c>
      <c r="I86" s="3">
        <v>27.186688321905098</v>
      </c>
      <c r="J86" s="3">
        <v>20.746737303513701</v>
      </c>
      <c r="K86" s="3">
        <v>15.9690178983137</v>
      </c>
      <c r="L86" s="3">
        <v>21.207942038018199</v>
      </c>
      <c r="M86" s="3">
        <v>18.179713348851699</v>
      </c>
      <c r="N86" s="3">
        <v>11.806825306164701</v>
      </c>
    </row>
    <row r="87" spans="1:14" x14ac:dyDescent="0.35">
      <c r="A87" s="2">
        <v>44496</v>
      </c>
      <c r="B87" s="3">
        <v>33.538524742311097</v>
      </c>
      <c r="C87" s="3">
        <v>17.671770053276799</v>
      </c>
      <c r="D87" s="3">
        <v>14.8797882284568</v>
      </c>
      <c r="E87" s="3">
        <v>13.796066697341701</v>
      </c>
      <c r="F87" s="3">
        <v>15.254213969252101</v>
      </c>
      <c r="G87" s="3">
        <v>18.909451790571801</v>
      </c>
      <c r="H87" s="3">
        <v>12.214598003843999</v>
      </c>
      <c r="I87" s="3">
        <v>27.730045721987999</v>
      </c>
      <c r="J87" s="3">
        <v>20.930190663516601</v>
      </c>
      <c r="K87" s="3">
        <v>15.6477595720315</v>
      </c>
      <c r="L87" s="3">
        <v>21.241041048229999</v>
      </c>
      <c r="M87" s="3">
        <v>18.306826774642801</v>
      </c>
      <c r="N87" s="3">
        <v>11.7870237161357</v>
      </c>
    </row>
    <row r="88" spans="1:14" x14ac:dyDescent="0.35">
      <c r="A88" s="2">
        <v>44526</v>
      </c>
      <c r="B88" s="3">
        <v>31.618648657824199</v>
      </c>
      <c r="C88" s="3">
        <v>16.911174781327301</v>
      </c>
      <c r="D88" s="3">
        <v>14.534128579926101</v>
      </c>
      <c r="E88" s="3">
        <v>12.984283613373799</v>
      </c>
      <c r="F88" s="3">
        <v>14.830425052577599</v>
      </c>
      <c r="G88" s="3">
        <v>18.689155144724001</v>
      </c>
      <c r="H88" s="3">
        <v>11.604969020595</v>
      </c>
      <c r="I88" s="3">
        <v>28.262604912613501</v>
      </c>
      <c r="J88" s="3">
        <v>20.8352854272405</v>
      </c>
      <c r="K88" s="3">
        <v>15.1145108290868</v>
      </c>
      <c r="L88" s="3">
        <v>20.2241606212676</v>
      </c>
      <c r="M88" s="3">
        <v>17.8354785772976</v>
      </c>
      <c r="N88" s="3">
        <v>10.981136378192801</v>
      </c>
    </row>
    <row r="89" spans="1:14" x14ac:dyDescent="0.35">
      <c r="A89" s="2">
        <v>44557</v>
      </c>
      <c r="B89" s="3">
        <v>32.170064015008897</v>
      </c>
      <c r="C89" s="3">
        <v>17.4467529537819</v>
      </c>
      <c r="D89" s="3">
        <v>14.449490866922799</v>
      </c>
      <c r="E89" s="3">
        <v>13.3687337952045</v>
      </c>
      <c r="F89" s="3">
        <v>14.445651678508799</v>
      </c>
      <c r="G89" s="3">
        <v>19.719616992667799</v>
      </c>
      <c r="H89" s="3">
        <v>12.148595209849701</v>
      </c>
      <c r="I89" s="3">
        <v>29.0253366278241</v>
      </c>
      <c r="J89" s="3">
        <v>21.503037275243202</v>
      </c>
      <c r="K89" s="3">
        <v>15.7834594028868</v>
      </c>
      <c r="L89" s="3">
        <v>20.552067609821801</v>
      </c>
      <c r="M89" s="3">
        <v>18.488784606164899</v>
      </c>
      <c r="N89" s="3">
        <v>11.027910716001101</v>
      </c>
    </row>
    <row r="90" spans="1:14" x14ac:dyDescent="0.35">
      <c r="A90" s="2">
        <v>44588</v>
      </c>
      <c r="B90" s="3">
        <v>29.8589538741236</v>
      </c>
      <c r="C90" s="3">
        <v>15.809841443790001</v>
      </c>
      <c r="D90" s="3">
        <v>13.7378583986601</v>
      </c>
      <c r="E90" s="3">
        <v>12.9423122091279</v>
      </c>
      <c r="F90" s="3">
        <v>13.2600585630484</v>
      </c>
      <c r="G90" s="3">
        <v>18.110613660680901</v>
      </c>
      <c r="H90" s="3">
        <v>12.3135382267747</v>
      </c>
      <c r="I90" s="3">
        <v>24.256232651069599</v>
      </c>
      <c r="J90" s="3">
        <v>19.189672535450001</v>
      </c>
      <c r="K90" s="3">
        <v>15.015332507726299</v>
      </c>
      <c r="L90" s="3">
        <v>18.432569493042301</v>
      </c>
      <c r="M90" s="3">
        <v>16.460717549604801</v>
      </c>
      <c r="N90" s="3">
        <v>10.818788394652801</v>
      </c>
    </row>
    <row r="91" spans="1:14" x14ac:dyDescent="0.35">
      <c r="A91" s="2">
        <v>44617</v>
      </c>
      <c r="B91" s="3">
        <v>28.908843392253299</v>
      </c>
      <c r="C91" s="3">
        <v>15.3303438290753</v>
      </c>
      <c r="D91" s="3">
        <v>13.920345181544301</v>
      </c>
      <c r="E91" s="3">
        <v>11.9246212459917</v>
      </c>
      <c r="F91" s="3">
        <v>13.248260040116101</v>
      </c>
      <c r="G91" s="3">
        <v>18.004263407887201</v>
      </c>
      <c r="H91" s="3">
        <v>12.0535602267491</v>
      </c>
      <c r="I91" s="3">
        <v>24.240791051903098</v>
      </c>
      <c r="J91" s="3">
        <v>19.159022295988699</v>
      </c>
      <c r="K91" s="3">
        <v>14.078124869281799</v>
      </c>
      <c r="L91" s="3">
        <v>17.470894222069099</v>
      </c>
      <c r="M91" s="3">
        <v>15.1580977838716</v>
      </c>
      <c r="N91" s="3">
        <v>9.9670891322372697</v>
      </c>
    </row>
    <row r="92" spans="1:14" x14ac:dyDescent="0.35">
      <c r="A92" s="2">
        <v>44645</v>
      </c>
      <c r="B92" s="3">
        <v>29.1736298449636</v>
      </c>
      <c r="C92" s="3">
        <v>16.207878895908198</v>
      </c>
      <c r="D92" s="3">
        <v>13.7049784168976</v>
      </c>
      <c r="E92" s="3">
        <v>11.540451202558</v>
      </c>
      <c r="F92" s="3">
        <v>13.5439132139413</v>
      </c>
      <c r="G92" s="3">
        <v>18.211573776821599</v>
      </c>
      <c r="H92" s="3">
        <v>11.573627185643801</v>
      </c>
      <c r="I92" s="3">
        <v>25.026155954065</v>
      </c>
      <c r="J92" s="3">
        <v>19.559176142296401</v>
      </c>
      <c r="K92" s="3">
        <v>13.375572137852</v>
      </c>
      <c r="L92" s="3">
        <v>18.201679442279602</v>
      </c>
      <c r="M92" s="3">
        <v>15.0101862994421</v>
      </c>
      <c r="N92" s="3">
        <v>9.5485122298851799</v>
      </c>
    </row>
    <row r="93" spans="1:14" x14ac:dyDescent="0.35">
      <c r="A93" s="2">
        <v>44678</v>
      </c>
      <c r="B93" s="3">
        <v>28.2312582861009</v>
      </c>
      <c r="C93" s="3">
        <v>14.685714032219</v>
      </c>
      <c r="D93" s="3">
        <v>12.610186570006199</v>
      </c>
      <c r="E93" s="3">
        <v>10.9911092145766</v>
      </c>
      <c r="F93" s="3">
        <v>12.6247704278278</v>
      </c>
      <c r="G93" s="3">
        <v>17.745103635075601</v>
      </c>
      <c r="H93" s="3">
        <v>10.6507947730866</v>
      </c>
      <c r="I93" s="3">
        <v>21.915765948756299</v>
      </c>
      <c r="J93" s="3">
        <v>17.679480987327999</v>
      </c>
      <c r="K93" s="3">
        <v>12.778545361382401</v>
      </c>
      <c r="L93" s="3">
        <v>16.907167054942299</v>
      </c>
      <c r="M93" s="3">
        <v>14.5558327399247</v>
      </c>
      <c r="N93" s="3">
        <v>9.27392567045821</v>
      </c>
    </row>
    <row r="94" spans="1:14" x14ac:dyDescent="0.35">
      <c r="A94" s="2">
        <v>44708</v>
      </c>
      <c r="B94" s="3">
        <v>26.780744768853001</v>
      </c>
      <c r="C94" s="3">
        <v>14.241696053553101</v>
      </c>
      <c r="D94" s="3">
        <v>12.4983161589908</v>
      </c>
      <c r="E94" s="3">
        <v>10.9876829322855</v>
      </c>
      <c r="F94" s="3">
        <v>12.669330876903</v>
      </c>
      <c r="G94" s="3">
        <v>17.116980505736599</v>
      </c>
      <c r="H94" s="3">
        <v>10.5366120594284</v>
      </c>
      <c r="I94" s="3">
        <v>21.485753841541801</v>
      </c>
      <c r="J94" s="3">
        <v>17.4728508521221</v>
      </c>
      <c r="K94" s="3">
        <v>12.427890498243199</v>
      </c>
      <c r="L94" s="3">
        <v>17.261307815528799</v>
      </c>
      <c r="M94" s="3">
        <v>16.119144621038402</v>
      </c>
      <c r="N94" s="3">
        <v>9.0774400011007401</v>
      </c>
    </row>
    <row r="95" spans="1:14" x14ac:dyDescent="0.35">
      <c r="A95" s="2">
        <v>44739</v>
      </c>
      <c r="B95" s="3">
        <v>25.967774433438301</v>
      </c>
      <c r="C95" s="3">
        <v>12.8803714605896</v>
      </c>
      <c r="D95" s="3">
        <v>11.417488878375501</v>
      </c>
      <c r="E95" s="3">
        <v>10.0334789960755</v>
      </c>
      <c r="F95" s="3">
        <v>12.463573749893101</v>
      </c>
      <c r="G95" s="3">
        <v>15.937761392349101</v>
      </c>
      <c r="H95" s="3">
        <v>9.9190601082603607</v>
      </c>
      <c r="I95" s="3">
        <v>20.226059375702199</v>
      </c>
      <c r="J95" s="3">
        <v>16.270745306922699</v>
      </c>
      <c r="K95" s="3">
        <v>11.4819283086361</v>
      </c>
      <c r="L95" s="3">
        <v>16.4038497802477</v>
      </c>
      <c r="M95" s="3">
        <v>14.546543704445099</v>
      </c>
      <c r="N95" s="3">
        <v>7.9363277923142004</v>
      </c>
    </row>
    <row r="96" spans="1:14" x14ac:dyDescent="0.35">
      <c r="A96" s="2">
        <v>44769</v>
      </c>
      <c r="B96" s="3">
        <v>25.517226261295701</v>
      </c>
      <c r="C96" s="3">
        <v>13.5511722172213</v>
      </c>
      <c r="D96" s="3">
        <v>11.3518231970426</v>
      </c>
      <c r="E96" s="3">
        <v>10.0568020565242</v>
      </c>
      <c r="F96" s="3">
        <v>12.7902121040601</v>
      </c>
      <c r="G96" s="3">
        <v>16.556747931056702</v>
      </c>
      <c r="H96" s="3">
        <v>9.8017047042488894</v>
      </c>
      <c r="I96" s="3">
        <v>21.599333096368301</v>
      </c>
      <c r="J96" s="3">
        <v>16.9081001757894</v>
      </c>
      <c r="K96" s="3">
        <v>11.597617524173099</v>
      </c>
      <c r="L96" s="3">
        <v>17.6028276335757</v>
      </c>
      <c r="M96" s="3">
        <v>14.8810555069918</v>
      </c>
      <c r="N96" s="3">
        <v>7.5545731201804598</v>
      </c>
    </row>
    <row r="97" spans="1:14" x14ac:dyDescent="0.35">
      <c r="A97" s="2">
        <v>44799</v>
      </c>
      <c r="B97" s="3">
        <v>27.594040650586098</v>
      </c>
      <c r="C97" s="3">
        <v>14.231778233133101</v>
      </c>
      <c r="D97" s="3">
        <v>11.6703099684881</v>
      </c>
      <c r="E97" s="3">
        <v>9.6424788761400198</v>
      </c>
      <c r="F97" s="3">
        <v>12.970801012752499</v>
      </c>
      <c r="G97" s="3">
        <v>16.286018106137899</v>
      </c>
      <c r="H97" s="3">
        <v>9.5652970355673599</v>
      </c>
      <c r="I97" s="3">
        <v>22.002161077401901</v>
      </c>
      <c r="J97" s="3">
        <v>17.100365547380701</v>
      </c>
      <c r="K97" s="3">
        <v>11.2848215831429</v>
      </c>
      <c r="L97" s="3">
        <v>16.717259005105301</v>
      </c>
      <c r="M97" s="3">
        <v>14.216306427792199</v>
      </c>
      <c r="N97" s="3">
        <v>7.4297650302586504</v>
      </c>
    </row>
    <row r="98" spans="1:14" x14ac:dyDescent="0.35">
      <c r="A98" s="2">
        <v>44831</v>
      </c>
      <c r="B98" s="3">
        <v>24.4873431125088</v>
      </c>
      <c r="C98" s="3">
        <v>12.6328724529608</v>
      </c>
      <c r="D98" s="3">
        <v>10.680734373476</v>
      </c>
      <c r="E98" s="3">
        <v>9.0205482210237893</v>
      </c>
      <c r="F98" s="3">
        <v>12.143451095728899</v>
      </c>
      <c r="G98" s="3">
        <v>14.7522959652628</v>
      </c>
      <c r="H98" s="3">
        <v>8.4681314688778997</v>
      </c>
      <c r="I98" s="3">
        <v>19.5595042444893</v>
      </c>
      <c r="J98" s="3">
        <v>15.3845605508101</v>
      </c>
      <c r="K98" s="3">
        <v>10.166025460405701</v>
      </c>
      <c r="L98" s="3">
        <v>14.4712714513109</v>
      </c>
      <c r="M98" s="3">
        <v>13.011077968869801</v>
      </c>
      <c r="N98" s="3">
        <v>7.2583886718570003</v>
      </c>
    </row>
    <row r="99" spans="1:14" x14ac:dyDescent="0.35">
      <c r="A99" s="2">
        <v>44861</v>
      </c>
      <c r="B99" s="3">
        <v>23.357767048009801</v>
      </c>
      <c r="C99" s="3">
        <v>13.3985222783614</v>
      </c>
      <c r="D99" s="3">
        <v>11.460410670149701</v>
      </c>
      <c r="E99" s="3">
        <v>9.8490884790307405</v>
      </c>
      <c r="F99" s="3">
        <v>12.3274603234079</v>
      </c>
      <c r="G99" s="3">
        <v>15.716300557689999</v>
      </c>
      <c r="H99" s="3">
        <v>9.0387180156624396</v>
      </c>
      <c r="I99" s="3">
        <v>20.0847112939447</v>
      </c>
      <c r="J99" s="3">
        <v>16.360783269105902</v>
      </c>
      <c r="K99" s="3">
        <v>11.184504403435801</v>
      </c>
      <c r="L99" s="3">
        <v>15.2325822403307</v>
      </c>
      <c r="M99" s="3">
        <v>13.1887142713315</v>
      </c>
      <c r="N99" s="3">
        <v>7.8620360371915003</v>
      </c>
    </row>
    <row r="100" spans="1:14" x14ac:dyDescent="0.35">
      <c r="A100" s="2">
        <v>44890</v>
      </c>
      <c r="B100" s="3">
        <v>23.386775136221701</v>
      </c>
      <c r="C100" s="3">
        <v>14.6000012130907</v>
      </c>
      <c r="D100" s="3">
        <v>12.169371403558801</v>
      </c>
      <c r="E100" s="3">
        <v>10.8239952070708</v>
      </c>
      <c r="F100" s="3">
        <v>13.0892738410548</v>
      </c>
      <c r="G100" s="3">
        <v>16.960306208829302</v>
      </c>
      <c r="H100" s="3">
        <v>9.7760231391970098</v>
      </c>
      <c r="I100" s="3">
        <v>21.401184383566999</v>
      </c>
      <c r="J100" s="3">
        <v>17.4056015681915</v>
      </c>
      <c r="K100" s="3">
        <v>12.0874630666911</v>
      </c>
      <c r="L100" s="3">
        <v>16.568134862373402</v>
      </c>
      <c r="M100" s="3">
        <v>13.133370721590801</v>
      </c>
      <c r="N100" s="3">
        <v>8.2343516977561908</v>
      </c>
    </row>
    <row r="101" spans="1:14" x14ac:dyDescent="0.35">
      <c r="A101" s="2">
        <v>44922</v>
      </c>
      <c r="B101" s="3">
        <v>23.165680370777299</v>
      </c>
      <c r="C101" s="3">
        <v>14.2593563157512</v>
      </c>
      <c r="D101" s="3">
        <v>11.96965036764</v>
      </c>
      <c r="E101" s="3">
        <v>10.4938153887908</v>
      </c>
      <c r="F101" s="3">
        <v>12.315250469343599</v>
      </c>
      <c r="G101" s="3">
        <v>16.344073833739799</v>
      </c>
      <c r="H101" s="3">
        <v>9.8393594168156095</v>
      </c>
      <c r="I101" s="3">
        <v>20.267888691938001</v>
      </c>
      <c r="J101" s="3">
        <v>16.599680740686001</v>
      </c>
      <c r="K101" s="3">
        <v>11.9349569138731</v>
      </c>
      <c r="L101" s="3">
        <v>15.502408965124999</v>
      </c>
      <c r="M101" s="3">
        <v>12.79150787312</v>
      </c>
      <c r="N101" s="3">
        <v>7.6767663192780198</v>
      </c>
    </row>
    <row r="102" spans="1:14" x14ac:dyDescent="0.35">
      <c r="A102" s="2">
        <v>44953</v>
      </c>
      <c r="B102" s="3">
        <v>24.029081940329601</v>
      </c>
      <c r="C102" s="3">
        <v>14.9980664475796</v>
      </c>
      <c r="D102" s="3">
        <v>13.005344745391501</v>
      </c>
      <c r="E102" s="3">
        <v>11.545301353681801</v>
      </c>
      <c r="F102" s="3">
        <v>12.9582729645987</v>
      </c>
      <c r="G102" s="3">
        <v>17.337647712322301</v>
      </c>
      <c r="H102" s="3">
        <v>10.557497808927</v>
      </c>
      <c r="I102" s="3">
        <v>23.097809650710801</v>
      </c>
      <c r="J102" s="3">
        <v>17.944269404409699</v>
      </c>
      <c r="K102" s="3">
        <v>13.172292265651301</v>
      </c>
      <c r="L102" s="3">
        <v>17.131947211804999</v>
      </c>
      <c r="M102" s="3">
        <v>14.0768479507097</v>
      </c>
      <c r="N102" s="3">
        <v>8.4231740159718598</v>
      </c>
    </row>
    <row r="103" spans="1:14" x14ac:dyDescent="0.35">
      <c r="A103" s="2">
        <v>44984</v>
      </c>
      <c r="B103" s="3">
        <v>23.826869342268601</v>
      </c>
      <c r="C103" s="3">
        <v>14.4003830411861</v>
      </c>
      <c r="D103" s="3">
        <v>12.677549958828701</v>
      </c>
      <c r="E103" s="3">
        <v>11.536384353606399</v>
      </c>
      <c r="F103" s="3">
        <v>13.047891789566499</v>
      </c>
      <c r="G103" s="3">
        <v>17.230956561271899</v>
      </c>
      <c r="H103" s="3">
        <v>10.551536867411199</v>
      </c>
      <c r="I103" s="3">
        <v>22.725938359676899</v>
      </c>
      <c r="J103" s="3">
        <v>17.5498675720123</v>
      </c>
      <c r="K103" s="3">
        <v>13.267790325290299</v>
      </c>
      <c r="L103" s="3">
        <v>16.5789135907768</v>
      </c>
      <c r="M103" s="3">
        <v>14.116938331422901</v>
      </c>
      <c r="N103" s="3">
        <v>8.2506465841825491</v>
      </c>
    </row>
    <row r="104" spans="1:14" x14ac:dyDescent="0.35">
      <c r="A104" s="2">
        <v>45012</v>
      </c>
      <c r="B104" s="3">
        <v>22.892812982617901</v>
      </c>
      <c r="C104" s="3">
        <v>13.7828925769658</v>
      </c>
      <c r="D104" s="3">
        <v>12.4369341969769</v>
      </c>
      <c r="E104" s="3">
        <v>11.088831567130301</v>
      </c>
      <c r="F104" s="3">
        <v>12.8272105568574</v>
      </c>
      <c r="G104" s="3">
        <v>16.677772708411499</v>
      </c>
      <c r="H104" s="3">
        <v>9.9972059568214497</v>
      </c>
      <c r="I104" s="3">
        <v>23.6323312441708</v>
      </c>
      <c r="J104" s="3">
        <v>17.463444733056001</v>
      </c>
      <c r="K104" s="3">
        <v>12.816374223677199</v>
      </c>
      <c r="L104" s="3">
        <v>15.979541115581499</v>
      </c>
      <c r="M104" s="3">
        <v>13.176841870678899</v>
      </c>
      <c r="N104" s="3">
        <v>8.1992223899040706</v>
      </c>
    </row>
    <row r="105" spans="1:14" x14ac:dyDescent="0.35">
      <c r="A105" s="2">
        <v>45043</v>
      </c>
      <c r="B105" s="3">
        <v>23.3694298096013</v>
      </c>
      <c r="C105" s="3">
        <v>14.552445192751</v>
      </c>
      <c r="D105" s="3">
        <v>13.009930080029701</v>
      </c>
      <c r="E105" s="3">
        <v>11.360578430358199</v>
      </c>
      <c r="F105" s="3">
        <v>13.3210968217057</v>
      </c>
      <c r="G105" s="3">
        <v>17.366446844279299</v>
      </c>
      <c r="H105" s="3">
        <v>10.727709703573501</v>
      </c>
      <c r="I105" s="3">
        <v>24.0422645367894</v>
      </c>
      <c r="J105" s="3">
        <v>18.052973168132301</v>
      </c>
      <c r="K105" s="3">
        <v>13.6986701963574</v>
      </c>
      <c r="L105" s="3">
        <v>15.787582690101701</v>
      </c>
      <c r="M105" s="3">
        <v>13.840867850333099</v>
      </c>
      <c r="N105" s="3">
        <v>8.6189876100970899</v>
      </c>
    </row>
    <row r="106" spans="1:14" x14ac:dyDescent="0.35">
      <c r="A106" s="2">
        <v>45072</v>
      </c>
      <c r="B106" s="3">
        <v>23.4845394606897</v>
      </c>
      <c r="C106" s="3">
        <v>14.190273495057699</v>
      </c>
      <c r="D106" s="3">
        <v>12.843166475262001</v>
      </c>
      <c r="E106" s="3">
        <v>10.9150254299427</v>
      </c>
      <c r="F106" s="3">
        <v>14.0898732906333</v>
      </c>
      <c r="G106" s="3">
        <v>17.200557524222301</v>
      </c>
      <c r="H106" s="3">
        <v>10.2359726728006</v>
      </c>
      <c r="I106" s="3">
        <v>25.335454303770199</v>
      </c>
      <c r="J106" s="3">
        <v>18.156537521596402</v>
      </c>
      <c r="K106" s="3">
        <v>13.138907796446301</v>
      </c>
      <c r="L106" s="3">
        <v>15.9876793315927</v>
      </c>
      <c r="M106" s="3">
        <v>13.539760546031999</v>
      </c>
      <c r="N106" s="3">
        <v>8.1243631272949592</v>
      </c>
    </row>
    <row r="107" spans="1:14" x14ac:dyDescent="0.35">
      <c r="A107" s="2">
        <v>45104</v>
      </c>
      <c r="B107" s="3">
        <v>20.4428902065766</v>
      </c>
      <c r="C107" s="3">
        <v>14.758713948884701</v>
      </c>
      <c r="D107" s="3">
        <v>12.7583198308965</v>
      </c>
      <c r="E107" s="3">
        <v>10.6617804430451</v>
      </c>
      <c r="F107" s="3">
        <v>14.672972423750901</v>
      </c>
      <c r="G107" s="3">
        <v>16.259625430841002</v>
      </c>
      <c r="H107" s="3">
        <v>10.245644013078101</v>
      </c>
      <c r="I107" s="3">
        <v>25.943181648970398</v>
      </c>
      <c r="J107" s="3">
        <v>18.8237447123518</v>
      </c>
      <c r="K107" s="3">
        <v>13.0168558524052</v>
      </c>
      <c r="L107" s="3">
        <v>15.5086088909362</v>
      </c>
      <c r="M107" s="3">
        <v>13.267040071237099</v>
      </c>
      <c r="N107" s="3">
        <v>8.5581311386010999</v>
      </c>
    </row>
    <row r="108" spans="1:14" x14ac:dyDescent="0.35">
      <c r="A108" s="2">
        <v>45134</v>
      </c>
      <c r="B108" s="3">
        <v>20.966824794332702</v>
      </c>
      <c r="C108" s="3">
        <v>15.825299510501599</v>
      </c>
      <c r="D108" s="3">
        <v>13.4133611567096</v>
      </c>
      <c r="E108" s="3">
        <v>11.0117762719649</v>
      </c>
      <c r="F108" s="3">
        <v>14.729235304071899</v>
      </c>
      <c r="G108" s="3">
        <v>17.037205823892901</v>
      </c>
      <c r="H108" s="3">
        <v>10.746373717656899</v>
      </c>
      <c r="I108" s="3">
        <v>24.9496456407789</v>
      </c>
      <c r="J108" s="3">
        <v>19.385801440742998</v>
      </c>
      <c r="K108" s="3">
        <v>13.326379832309</v>
      </c>
      <c r="L108" s="3">
        <v>16.1746395759404</v>
      </c>
      <c r="M108" s="3">
        <v>13.408661196874499</v>
      </c>
      <c r="N108" s="3">
        <v>8.8051384669720392</v>
      </c>
    </row>
    <row r="109" spans="1:14" x14ac:dyDescent="0.35">
      <c r="A109" s="2">
        <v>45163</v>
      </c>
      <c r="B109" s="3">
        <v>20.048441417843001</v>
      </c>
      <c r="C109" s="3">
        <v>15.0249232458851</v>
      </c>
      <c r="D109" s="3">
        <v>12.830391170383599</v>
      </c>
      <c r="E109" s="3">
        <v>10.4781078203806</v>
      </c>
      <c r="F109" s="3">
        <v>14.164955043533499</v>
      </c>
      <c r="G109" s="3">
        <v>16.3471486394983</v>
      </c>
      <c r="H109" s="3">
        <v>10.161485961364599</v>
      </c>
      <c r="I109" s="3">
        <v>23.423696381836901</v>
      </c>
      <c r="J109" s="3">
        <v>18.464449933468501</v>
      </c>
      <c r="K109" s="3">
        <v>12.7628352496434</v>
      </c>
      <c r="L109" s="3">
        <v>14.5038525997559</v>
      </c>
      <c r="M109" s="3">
        <v>12.529576387620301</v>
      </c>
      <c r="N109" s="3">
        <v>8.2339323635501405</v>
      </c>
    </row>
    <row r="110" spans="1:14" x14ac:dyDescent="0.35">
      <c r="A110" s="2">
        <v>45196</v>
      </c>
      <c r="B110" s="3">
        <v>20.266148210117102</v>
      </c>
      <c r="C110" s="3">
        <v>14.769951016202301</v>
      </c>
      <c r="D110" s="3">
        <v>12.501469514799901</v>
      </c>
      <c r="E110" s="3">
        <v>10.227252164667</v>
      </c>
      <c r="F110" s="3">
        <v>14.692901702656499</v>
      </c>
      <c r="G110" s="3">
        <v>16.037405114960201</v>
      </c>
      <c r="H110" s="3">
        <v>10.3720560567901</v>
      </c>
      <c r="I110" s="3">
        <v>22.503836158210699</v>
      </c>
      <c r="J110" s="3">
        <v>17.781180171492998</v>
      </c>
      <c r="K110" s="3">
        <v>12.3405024446967</v>
      </c>
      <c r="L110" s="3">
        <v>13.4372472606206</v>
      </c>
      <c r="M110" s="3">
        <v>12.7287373495511</v>
      </c>
      <c r="N110" s="3">
        <v>8.1984967016004493</v>
      </c>
    </row>
    <row r="111" spans="1:14" x14ac:dyDescent="0.35">
      <c r="A111" s="2">
        <v>45226</v>
      </c>
      <c r="B111" s="3">
        <v>19.149481409455898</v>
      </c>
      <c r="C111" s="3">
        <v>14.3833890488939</v>
      </c>
      <c r="D111" s="3">
        <v>12.0004294186304</v>
      </c>
      <c r="E111" s="3">
        <v>9.7961883140945591</v>
      </c>
      <c r="F111" s="3">
        <v>13.8151888343672</v>
      </c>
      <c r="G111" s="3">
        <v>15.2779235753588</v>
      </c>
      <c r="H111" s="3">
        <v>9.91957556055225</v>
      </c>
      <c r="I111" s="3">
        <v>21.5335423105073</v>
      </c>
      <c r="J111" s="3">
        <v>17.047351645769599</v>
      </c>
      <c r="K111" s="3">
        <v>11.956160090298001</v>
      </c>
      <c r="L111" s="3">
        <v>13.1268538228727</v>
      </c>
      <c r="M111" s="3">
        <v>12.391385085972599</v>
      </c>
      <c r="N111" s="3">
        <v>7.7854451322322502</v>
      </c>
    </row>
    <row r="112" spans="1:14" x14ac:dyDescent="0.35">
      <c r="A112" s="2">
        <v>45257</v>
      </c>
      <c r="B112" s="3">
        <v>20.128560599555499</v>
      </c>
      <c r="C112" s="3">
        <v>15.0582128778828</v>
      </c>
      <c r="D112" s="3">
        <v>12.7389448120956</v>
      </c>
      <c r="E112" s="3">
        <v>10.7897968887657</v>
      </c>
      <c r="F112" s="3">
        <v>14.373813689777</v>
      </c>
      <c r="G112" s="3">
        <v>16.245210899415799</v>
      </c>
      <c r="H112" s="3">
        <v>10.457465590644199</v>
      </c>
      <c r="I112" s="3">
        <v>23.8637186863659</v>
      </c>
      <c r="J112" s="3">
        <v>18.678147507696099</v>
      </c>
      <c r="K112" s="3">
        <v>12.870362995924999</v>
      </c>
      <c r="L112" s="3">
        <v>14.682845197472201</v>
      </c>
      <c r="M112" s="3">
        <v>13.4353892877317</v>
      </c>
      <c r="N112" s="3">
        <v>8.2863258858548008</v>
      </c>
    </row>
    <row r="113" spans="1:25" x14ac:dyDescent="0.35">
      <c r="A113" s="2">
        <v>45287</v>
      </c>
      <c r="B113" s="3">
        <v>22.714775792190199</v>
      </c>
      <c r="C113" s="3">
        <v>16.413956978986398</v>
      </c>
      <c r="D113" s="3">
        <v>13.7080744594597</v>
      </c>
      <c r="E113" s="3">
        <v>11.175954211864999</v>
      </c>
      <c r="F113" s="3">
        <v>14.064324569447701</v>
      </c>
      <c r="G113" s="3">
        <v>16.791543882382399</v>
      </c>
      <c r="H113" s="3">
        <v>10.974931621197101</v>
      </c>
      <c r="I113" s="3">
        <v>24.744342369261599</v>
      </c>
      <c r="J113" s="3">
        <v>19.567490726213201</v>
      </c>
      <c r="K113" s="3">
        <v>13.474245899532299</v>
      </c>
      <c r="L113" s="3">
        <v>15.138270139894701</v>
      </c>
      <c r="M113" s="3">
        <v>15.7174771892811</v>
      </c>
      <c r="N113" s="3">
        <v>8.9144314208552</v>
      </c>
    </row>
    <row r="114" spans="1:25" x14ac:dyDescent="0.35">
      <c r="A114" s="2">
        <v>45317</v>
      </c>
      <c r="B114" s="3">
        <v>22.456094414443101</v>
      </c>
      <c r="C114" s="3">
        <v>16.331120244021999</v>
      </c>
      <c r="D114" s="3">
        <v>13.879807729277999</v>
      </c>
      <c r="E114" s="3">
        <v>11.5174449838852</v>
      </c>
      <c r="F114" s="3">
        <v>14.7366073048346</v>
      </c>
      <c r="G114" s="3">
        <v>17.231631933871899</v>
      </c>
      <c r="H114" s="3">
        <v>11.093045210981201</v>
      </c>
      <c r="I114" s="3">
        <v>25.450646220020602</v>
      </c>
      <c r="J114" s="3">
        <v>20.0329894329276</v>
      </c>
      <c r="K114" s="3">
        <v>13.7306007337442</v>
      </c>
      <c r="L114" s="3">
        <v>15.767419379366</v>
      </c>
      <c r="M114" s="3">
        <v>15.4849573842263</v>
      </c>
      <c r="N114" s="3">
        <v>8.95295433427642</v>
      </c>
    </row>
    <row r="115" spans="1:25" x14ac:dyDescent="0.35">
      <c r="A115" s="2">
        <v>45349</v>
      </c>
      <c r="B115" s="3">
        <v>22.334690405231999</v>
      </c>
      <c r="C115" s="3">
        <v>16.5329407270724</v>
      </c>
      <c r="D115" s="3">
        <v>14.1547041334415</v>
      </c>
      <c r="E115" s="3">
        <v>11.9525406122281</v>
      </c>
      <c r="F115" s="3">
        <v>15.557590442402599</v>
      </c>
      <c r="G115" s="3">
        <v>17.509865011722901</v>
      </c>
      <c r="H115" s="3">
        <v>11.224524025041299</v>
      </c>
      <c r="I115" s="3">
        <v>25.674242399112501</v>
      </c>
      <c r="J115" s="3">
        <v>20.431195909500399</v>
      </c>
      <c r="K115" s="3">
        <v>14.3176783984492</v>
      </c>
      <c r="L115" s="3">
        <v>16.3848453411957</v>
      </c>
      <c r="M115" s="3">
        <v>16.204097459487301</v>
      </c>
      <c r="N115" s="3">
        <v>9.2756411352313393</v>
      </c>
    </row>
    <row r="116" spans="1:25" x14ac:dyDescent="0.35">
      <c r="A116" s="2">
        <v>45378</v>
      </c>
      <c r="B116" s="3">
        <v>25.266691012045101</v>
      </c>
      <c r="C116" s="3">
        <v>16.662037694246301</v>
      </c>
      <c r="D116" s="3">
        <v>14.6068351036267</v>
      </c>
      <c r="E116" s="3">
        <v>12.3821969120599</v>
      </c>
      <c r="F116" s="3">
        <v>16.063943395990901</v>
      </c>
      <c r="G116" s="3">
        <v>17.620584841780101</v>
      </c>
      <c r="H116" s="3">
        <v>11.511304687027</v>
      </c>
      <c r="I116" s="3">
        <v>25.7828989053132</v>
      </c>
      <c r="J116" s="3">
        <v>20.943186665917398</v>
      </c>
      <c r="K116" s="3">
        <v>14.712980688908001</v>
      </c>
      <c r="L116" s="3">
        <v>16.3655677905865</v>
      </c>
      <c r="M116" s="3">
        <v>16.661004991665099</v>
      </c>
      <c r="N116" s="3">
        <v>9.8080096371339298</v>
      </c>
    </row>
    <row r="117" spans="1:25" x14ac:dyDescent="0.35">
      <c r="A117" s="2">
        <v>45408</v>
      </c>
      <c r="B117" s="3">
        <v>24.9748671395893</v>
      </c>
      <c r="C117" s="3">
        <v>16.252208619928599</v>
      </c>
      <c r="D117" s="3">
        <v>14.289712984980801</v>
      </c>
      <c r="E117" s="3">
        <v>12.037677630334199</v>
      </c>
      <c r="F117" s="3">
        <v>15.185579232499601</v>
      </c>
      <c r="G117" s="3">
        <v>16.820161580225001</v>
      </c>
      <c r="H117" s="3">
        <v>11.5903700483516</v>
      </c>
      <c r="I117" s="3">
        <v>25.1802716804252</v>
      </c>
      <c r="J117" s="3">
        <v>20.105745357746201</v>
      </c>
      <c r="K117" s="3">
        <v>14.5275707578538</v>
      </c>
      <c r="L117" s="3">
        <v>15.7723527811648</v>
      </c>
      <c r="M117" s="3">
        <v>16.038716973167801</v>
      </c>
      <c r="N117" s="3">
        <v>9.5799727957121199</v>
      </c>
    </row>
    <row r="118" spans="1:25" x14ac:dyDescent="0.35">
      <c r="A118" s="2">
        <v>45436</v>
      </c>
      <c r="B118" s="3">
        <v>25.151749201909301</v>
      </c>
      <c r="C118" s="3">
        <v>16.623822524587599</v>
      </c>
      <c r="D118" s="3">
        <v>14.3921265571365</v>
      </c>
      <c r="E118" s="3">
        <v>12.023731396926101</v>
      </c>
      <c r="F118" s="3">
        <v>15.4418630752516</v>
      </c>
      <c r="G118" s="3">
        <v>17.199678726503699</v>
      </c>
      <c r="H118" s="3">
        <v>11.7775811707806</v>
      </c>
      <c r="I118" s="3">
        <v>26.214817747665101</v>
      </c>
      <c r="J118" s="3">
        <v>20.629545181472</v>
      </c>
      <c r="K118" s="3">
        <v>14.4947529207033</v>
      </c>
      <c r="L118" s="3">
        <v>16.387904327163199</v>
      </c>
      <c r="M118" s="3">
        <v>16.381581493356901</v>
      </c>
      <c r="N118" s="3">
        <v>9.7149570062342807</v>
      </c>
    </row>
    <row r="119" spans="1:25" x14ac:dyDescent="0.35">
      <c r="A119" s="2">
        <v>45470</v>
      </c>
      <c r="B119" s="3">
        <v>24.183572018991299</v>
      </c>
      <c r="C119" s="3">
        <v>16.845474432383401</v>
      </c>
      <c r="D119" s="3">
        <v>13.9828241599112</v>
      </c>
      <c r="E119" s="3">
        <v>11.7235384137803</v>
      </c>
      <c r="F119" s="3">
        <v>15.4956427470006</v>
      </c>
      <c r="G119" s="3">
        <v>17.1253511693162</v>
      </c>
      <c r="H119" s="3">
        <v>11.3598666959158</v>
      </c>
      <c r="I119" s="3">
        <v>27.105112385843601</v>
      </c>
      <c r="J119" s="3">
        <v>21.0951028596516</v>
      </c>
      <c r="K119" s="3">
        <v>13.4752341707547</v>
      </c>
      <c r="L119" s="3">
        <v>16.245528363241899</v>
      </c>
      <c r="M119" s="3">
        <v>15.8736039305407</v>
      </c>
      <c r="N119" s="3">
        <v>9.3154473151551809</v>
      </c>
    </row>
    <row r="120" spans="1:25" x14ac:dyDescent="0.35">
      <c r="A120" s="2">
        <v>45499</v>
      </c>
      <c r="B120" s="3">
        <v>25.404427046613399</v>
      </c>
      <c r="C120" s="3">
        <v>17.201293479848498</v>
      </c>
      <c r="D120" s="3">
        <v>14.374696540619899</v>
      </c>
      <c r="E120" s="3">
        <v>11.8374522539594</v>
      </c>
      <c r="F120" s="3">
        <v>14.7266379573037</v>
      </c>
      <c r="G120" s="3">
        <v>17.372242709734401</v>
      </c>
      <c r="H120" s="3">
        <v>11.6102540528411</v>
      </c>
      <c r="I120" s="3">
        <v>25.789169466747602</v>
      </c>
      <c r="J120" s="3">
        <v>20.834754706475898</v>
      </c>
      <c r="K120" s="3">
        <v>13.648388263453899</v>
      </c>
      <c r="L120" s="3">
        <v>15.5054093267863</v>
      </c>
      <c r="M120" s="3">
        <v>16.139701293323199</v>
      </c>
      <c r="N120" s="3">
        <v>9.6808519766813799</v>
      </c>
    </row>
    <row r="121" spans="1:25" x14ac:dyDescent="0.35">
      <c r="A121" s="2">
        <v>45531</v>
      </c>
      <c r="B121" s="3">
        <v>26.7652298797179</v>
      </c>
      <c r="C121" s="3">
        <v>17.861499792689798</v>
      </c>
      <c r="D121" s="3">
        <v>14.562149067573699</v>
      </c>
      <c r="E121" s="3">
        <v>11.9542415275622</v>
      </c>
      <c r="F121" s="3">
        <v>14.430100372605001</v>
      </c>
      <c r="G121" s="3">
        <v>17.566438553175399</v>
      </c>
      <c r="H121" s="3">
        <v>11.7611678959406</v>
      </c>
      <c r="I121" s="3">
        <v>26.364875944924499</v>
      </c>
      <c r="J121" s="3">
        <v>21.210432807490101</v>
      </c>
      <c r="K121" s="3">
        <v>13.708865499522201</v>
      </c>
      <c r="L121" s="3">
        <v>15.134568951524001</v>
      </c>
      <c r="M121" s="3">
        <v>16.072845433671599</v>
      </c>
      <c r="N121" s="3">
        <v>9.7201388917040692</v>
      </c>
    </row>
    <row r="122" spans="1:25" x14ac:dyDescent="0.35">
      <c r="A122" s="2">
        <v>45560</v>
      </c>
      <c r="B122" s="3">
        <v>23.595340526767899</v>
      </c>
      <c r="C122" s="3">
        <v>18.2511322643686</v>
      </c>
      <c r="D122" s="3">
        <v>15.0475020481594</v>
      </c>
      <c r="E122" s="3">
        <v>12.4655541418536</v>
      </c>
      <c r="F122" s="3">
        <v>14.1577403378745</v>
      </c>
      <c r="G122" s="3">
        <v>17.157837174802602</v>
      </c>
      <c r="H122" s="3">
        <v>11.810782678873499</v>
      </c>
      <c r="I122" s="3">
        <v>26.584613303100401</v>
      </c>
      <c r="J122" s="3">
        <v>21.484239366615899</v>
      </c>
      <c r="K122" s="3">
        <v>13.781186418203299</v>
      </c>
      <c r="L122" s="3">
        <v>14.899619844645301</v>
      </c>
      <c r="M122" s="3">
        <v>16.357298859789399</v>
      </c>
      <c r="N122" s="3">
        <v>9.9330888455353197</v>
      </c>
    </row>
    <row r="124" spans="1:25" x14ac:dyDescent="0.35">
      <c r="A124" s="2" t="s">
        <v>91</v>
      </c>
      <c r="B124" s="3" cm="1">
        <f t="array" ref="B124">MIN(_xlfn._xlws.FILTER(B1:B122, ISNUMBER(B1:B122)))</f>
        <v>17.1408424546592</v>
      </c>
      <c r="C124" s="3" cm="1">
        <f t="array" ref="C124">MIN(_xlfn._xlws.FILTER(C1:C122, ISNUMBER(C1:C122)))</f>
        <v>12.6328724529608</v>
      </c>
      <c r="D124" s="3" cm="1">
        <f t="array" ref="D124">MIN(_xlfn._xlws.FILTER(D1:D122, ISNUMBER(D1:D122)))</f>
        <v>10.680734373476</v>
      </c>
      <c r="E124" s="3" cm="1">
        <f t="array" ref="E124">MIN(_xlfn._xlws.FILTER(E1:E122, ISNUMBER(E1:E122)))</f>
        <v>9.0205482210237893</v>
      </c>
      <c r="F124" s="3" cm="1">
        <f t="array" ref="F124">MIN(_xlfn._xlws.FILTER(F1:F122, ISNUMBER(F1:F122)))</f>
        <v>11.183970274689999</v>
      </c>
      <c r="G124" s="3" cm="1">
        <f t="array" ref="G124">MIN(_xlfn._xlws.FILTER(G1:G122, ISNUMBER(G1:G122)))</f>
        <v>14.1155673779636</v>
      </c>
      <c r="H124" s="3" cm="1">
        <f t="array" ref="H124">MIN(_xlfn._xlws.FILTER(H1:H122, ISNUMBER(H1:H122)))</f>
        <v>8.4681314688778997</v>
      </c>
      <c r="I124" s="3" cm="1">
        <f t="array" ref="I124">MIN(_xlfn._xlws.FILTER(I1:I122, ISNUMBER(I1:I122)))</f>
        <v>16.711360320676501</v>
      </c>
      <c r="J124" s="3" cm="1">
        <f t="array" ref="J124">MIN(_xlfn._xlws.FILTER(J1:J122, ISNUMBER(J1:J122)))</f>
        <v>14.304144647010499</v>
      </c>
      <c r="K124" s="3" cm="1">
        <f t="array" ref="K124">MIN(_xlfn._xlws.FILTER(K1:K122, ISNUMBER(K1:K122)))</f>
        <v>10.166025460405701</v>
      </c>
      <c r="L124" s="3" cm="1">
        <f t="array" ref="L124">MIN(_xlfn._xlws.FILTER(L1:L122, ISNUMBER(L1:L122)))</f>
        <v>12.7760364784078</v>
      </c>
      <c r="M124" s="3" cm="1">
        <f t="array" ref="M124">MIN(_xlfn._xlws.FILTER(M1:M122, ISNUMBER(M1:M122)))</f>
        <v>12.391385085972599</v>
      </c>
      <c r="N124" s="3" cm="1">
        <f t="array" ref="N124">MIN(_xlfn._xlws.FILTER(N1:N122, ISNUMBER(N1:N122)))</f>
        <v>7.2583886718570003</v>
      </c>
    </row>
    <row r="125" spans="1:25" x14ac:dyDescent="0.35">
      <c r="A125" s="2" t="s">
        <v>92</v>
      </c>
      <c r="B125" s="3" cm="1">
        <f t="array" ref="B125">MAX(_xlfn._xlws.FILTER(B1:B122, ISNUMBER(B1:B122)))</f>
        <v>34.767216585694399</v>
      </c>
      <c r="C125" s="3" cm="1">
        <f t="array" ref="C125">MAX(_xlfn._xlws.FILTER(C1:C122, ISNUMBER(C1:C122)))</f>
        <v>19.662501534060901</v>
      </c>
      <c r="D125" s="3" cm="1">
        <f t="array" ref="D125">MAX(_xlfn._xlws.FILTER(D1:D122, ISNUMBER(D1:D122)))</f>
        <v>18.72388624977</v>
      </c>
      <c r="E125" s="3" cm="1">
        <f t="array" ref="E125">MAX(_xlfn._xlws.FILTER(E1:E122, ISNUMBER(E1:E122)))</f>
        <v>18.182508683782</v>
      </c>
      <c r="F125" s="3" cm="1">
        <f t="array" ref="F125">MAX(_xlfn._xlws.FILTER(F1:F122, ISNUMBER(F1:F122)))</f>
        <v>18.813793081773301</v>
      </c>
      <c r="G125" s="3" cm="1">
        <f t="array" ref="G125">MAX(_xlfn._xlws.FILTER(G1:G122, ISNUMBER(G1:G122)))</f>
        <v>19.953701835484399</v>
      </c>
      <c r="H125" s="3" cm="1">
        <f t="array" ref="H125">MAX(_xlfn._xlws.FILTER(H1:H122, ISNUMBER(H1:H122)))</f>
        <v>16.450096852582199</v>
      </c>
      <c r="I125" s="3" cm="1">
        <f t="array" ref="I125">MAX(_xlfn._xlws.FILTER(I1:I122, ISNUMBER(I1:I122)))</f>
        <v>30.3785535889436</v>
      </c>
      <c r="J125" s="3" cm="1">
        <f t="array" ref="J125">MAX(_xlfn._xlws.FILTER(J1:J122, ISNUMBER(J1:J122)))</f>
        <v>22.812913650331399</v>
      </c>
      <c r="K125" s="3" cm="1">
        <f t="array" ref="K125">MAX(_xlfn._xlws.FILTER(K1:K122, ISNUMBER(K1:K122)))</f>
        <v>19.597033194305801</v>
      </c>
      <c r="L125" s="3" cm="1">
        <f t="array" ref="L125">MAX(_xlfn._xlws.FILTER(L1:L122, ISNUMBER(L1:L122)))</f>
        <v>22.307658169131901</v>
      </c>
      <c r="M125" s="3" cm="1">
        <f t="array" ref="M125">MAX(_xlfn._xlws.FILTER(M1:M122, ISNUMBER(M1:M122)))</f>
        <v>20.249308693453699</v>
      </c>
      <c r="N125" s="3" cm="1">
        <f t="array" ref="N125">MAX(_xlfn._xlws.FILTER(N1:N122, ISNUMBER(N1:N122)))</f>
        <v>17.413075150523099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0.60599999999999998</v>
      </c>
      <c r="C127" s="9" cm="1">
        <f t="array" ref="C127">_xlfn.PERCENTRANK.EXC(_xlfn._xlws.FILTER(C1:C122, ISNUMBER(C1:C122)),C122)</f>
        <v>0.91800000000000004</v>
      </c>
      <c r="D127" s="9" cm="1">
        <f t="array" ref="D127">_xlfn.PERCENTRANK.EXC(_xlfn._xlws.FILTER(D1:D122, ISNUMBER(D1:D122)),D122)</f>
        <v>0.60599999999999998</v>
      </c>
      <c r="E127" s="9" cm="1">
        <f t="array" ref="E127">_xlfn.PERCENTRANK.EXC(_xlfn._xlws.FILTER(E1:E122, ISNUMBER(E1:E122)),E122)</f>
        <v>0.377</v>
      </c>
      <c r="F127" s="9" cm="1">
        <f t="array" ref="F127">_xlfn.PERCENTRANK.EXC(_xlfn._xlws.FILTER(F1:F122, ISNUMBER(F1:F122)),F122)</f>
        <v>0.53200000000000003</v>
      </c>
      <c r="G127" s="9" cm="1">
        <f t="array" ref="G127">_xlfn.PERCENTRANK.EXC(_xlfn._xlws.FILTER(G1:G122, ISNUMBER(G1:G122)),G122)</f>
        <v>0.48299999999999998</v>
      </c>
      <c r="H127" s="9" cm="1">
        <f t="array" ref="H127">_xlfn.PERCENTRANK.EXC(_xlfn._xlws.FILTER(H1:H122, ISNUMBER(H1:H122)),H122)</f>
        <v>0.29499999999999998</v>
      </c>
      <c r="I127" s="9" cm="1">
        <f t="array" ref="I127">_xlfn.PERCENTRANK.EXC(_xlfn._xlws.FILTER(I1:I122, ISNUMBER(I1:I122)),I122)</f>
        <v>0.83599999999999997</v>
      </c>
      <c r="J127" s="9" cm="1">
        <f t="array" ref="J127">_xlfn.PERCENTRANK.EXC(_xlfn._xlws.FILTER(J1:J122, ISNUMBER(J1:J122)),J122)</f>
        <v>0.91800000000000004</v>
      </c>
      <c r="K127" s="9" cm="1">
        <f t="array" ref="K127">_xlfn.PERCENTRANK.EXC(_xlfn._xlws.FILTER(K1:K122, ISNUMBER(K1:K122)),K122)</f>
        <v>0.33600000000000002</v>
      </c>
      <c r="L127" s="9" cm="1">
        <f t="array" ref="L127">_xlfn.PERCENTRANK.EXC(_xlfn._xlws.FILTER(L1:L122, ISNUMBER(L1:L122)),L122)</f>
        <v>0.188</v>
      </c>
      <c r="M127" s="9" cm="1">
        <f t="array" ref="M127">_xlfn.PERCENTRANK.EXC(_xlfn._xlws.FILTER(M1:M122, ISNUMBER(M1:M122)),M122)</f>
        <v>0.67200000000000004</v>
      </c>
      <c r="N127" s="9" cm="1">
        <f t="array" ref="N127">_xlfn.PERCENTRANK.EXC(_xlfn._xlws.FILTER(N1:N122, ISNUMBER(N1:N122)),N122)</f>
        <v>0.29499999999999998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41908</v>
      </c>
      <c r="B2" s="3" cm="1">
        <f t="array" ref="B2:B122">_xll.FDS(B1,"FMA_DIV_YLD(NTMA,-10AY,0,AM,""PORTAGG"",""MEANR"")")</f>
        <v>4.5717291016015897</v>
      </c>
      <c r="C2" s="3" cm="1">
        <f t="array" ref="C2:C122">_xll.FDS(C1,"FMA_DIV_YLD(NTMA,-10AY,0,AM,""PORTAGG"",""MEANR"")")</f>
        <v>5.0398027740074598</v>
      </c>
      <c r="D2" s="3" cm="1">
        <f t="array" ref="D2:D122">_xll.FDS(D1,"FMA_DIV_YLD(NTMA,-10AY,0,AM,""PORTAGG"",""MEANR"")")</f>
        <v>2.8605059011202401</v>
      </c>
      <c r="E2" s="3" cm="1">
        <f t="array" ref="E2:E122">_xll.FDS(E1,"FMA_DIV_YLD(NTMA,-10AY,0,AM,""PORTAGG"",""MEANR"")")</f>
        <v>3.1829353313770001</v>
      </c>
      <c r="F2" s="3" cm="1">
        <f t="array" ref="F2:F122">_xll.FDS(F1,"FMA_DIV_YLD(NTMA,-10AY,0,AM,""PORTAGG"",""MEANR"")")</f>
        <v>2.0087800782741998</v>
      </c>
      <c r="G2" s="3" cm="1">
        <f t="array" ref="G2:G122">_xll.FDS(G1,"FMA_DIV_YLD(NTMA,-10AY,0,AM,""PORTAGG"",""MEANR"")")</f>
        <v>3.3332329527283</v>
      </c>
      <c r="H2" s="3" cm="1">
        <f t="array" ref="H2:H122">_xll.FDS(H1,"FMA_DIV_YLD(NTMA,-10AY,0,AM,""PORTAGG"",""MEANR"")")</f>
        <v>4.0172238355599301</v>
      </c>
      <c r="I2" s="3" cm="1">
        <f t="array" ref="I2:I122">_xll.FDS(I1,"FMA_DIV_YLD(NTMA,-10AY,0,AM,""PORTAGG"",""MEANR"")")</f>
        <v>1.23977901612741</v>
      </c>
      <c r="J2" s="3" cm="1">
        <f t="array" ref="J2:J122">_xll.FDS(J1,"FMA_DIV_YLD(NTMA,-10AY,0,AM,""PORTAGG"",""MEANR"")")</f>
        <v>2.12250204907716</v>
      </c>
      <c r="K2" s="3" cm="1">
        <f t="array" ref="K2:K122">_xll.FDS(K1,"FMA_DIV_YLD(NTMA,-10AY,0,AM,""PORTAGG"",""MEANR"")")</f>
        <v>3.5756533349762298</v>
      </c>
      <c r="L2" s="3" cm="1">
        <f t="array" ref="L2:L122">_xll.FDS(L1,"FMA_DIV_YLD(NTMA,-10AY,0,AM,""PORTAGG"",""MEANR"")")</f>
        <v>3.00692373312957</v>
      </c>
      <c r="M2" s="3" cm="1">
        <f t="array" ref="M2:M122">_xll.FDS(M1,"FMA_DIV_YLD(NTMA,-10AY,0,AM,""PORTAGG"",""MEANR"")")</f>
        <v>4.2270126681448597</v>
      </c>
      <c r="N2" s="3" cm="1">
        <f t="array" ref="N2:N122">_xll.FDS(N1,"FMA_DIV_YLD(NTMA,-10AY,0,AM,""PORTAGG"",""MEANR"")")</f>
        <v>3.6034078742135001</v>
      </c>
    </row>
    <row r="3" spans="1:14" x14ac:dyDescent="0.35">
      <c r="A3" s="2">
        <v>41939</v>
      </c>
      <c r="B3" s="3">
        <v>4.5416687132377298</v>
      </c>
      <c r="C3" s="3">
        <v>4.8849452667494404</v>
      </c>
      <c r="D3" s="3">
        <v>2.9994835181124899</v>
      </c>
      <c r="E3" s="3">
        <v>3.4157346223434</v>
      </c>
      <c r="F3" s="3">
        <v>2.1556984583044199</v>
      </c>
      <c r="G3" s="3">
        <v>3.4393683631461598</v>
      </c>
      <c r="H3" s="3">
        <v>4.1996792700384296</v>
      </c>
      <c r="I3" s="3">
        <v>1.25733327829193</v>
      </c>
      <c r="J3" s="3">
        <v>2.1610040010349301</v>
      </c>
      <c r="K3" s="3">
        <v>3.81437654721327</v>
      </c>
      <c r="L3" s="3">
        <v>3.2280439576351001</v>
      </c>
      <c r="M3" s="3">
        <v>4.3380973232642503</v>
      </c>
      <c r="N3" s="3">
        <v>4.0318123548816898</v>
      </c>
    </row>
    <row r="4" spans="1:14" x14ac:dyDescent="0.35">
      <c r="A4" s="2">
        <v>41969</v>
      </c>
      <c r="B4" s="3">
        <v>4.5235812604771803</v>
      </c>
      <c r="C4" s="3">
        <v>4.9942700283039896</v>
      </c>
      <c r="D4" s="3">
        <v>2.8897925904984199</v>
      </c>
      <c r="E4" s="3">
        <v>3.1425009238678498</v>
      </c>
      <c r="F4" s="3">
        <v>1.95034048233183</v>
      </c>
      <c r="G4" s="3">
        <v>3.2253816621081799</v>
      </c>
      <c r="H4" s="3">
        <v>4.0081127341594804</v>
      </c>
      <c r="I4" s="3">
        <v>1.19435301390254</v>
      </c>
      <c r="J4" s="3">
        <v>2.0638566230284199</v>
      </c>
      <c r="K4" s="3">
        <v>3.5752089023401399</v>
      </c>
      <c r="L4" s="3">
        <v>3.0620732297661202</v>
      </c>
      <c r="M4" s="3">
        <v>4.0807700565887801</v>
      </c>
      <c r="N4" s="3">
        <v>3.8745030744284401</v>
      </c>
    </row>
    <row r="5" spans="1:14" x14ac:dyDescent="0.35">
      <c r="A5" s="2">
        <v>41999</v>
      </c>
      <c r="B5" s="3">
        <v>4.4532055061177003</v>
      </c>
      <c r="C5" s="3">
        <v>4.9885167442505001</v>
      </c>
      <c r="D5" s="3">
        <v>2.9450481258539698</v>
      </c>
      <c r="E5" s="3">
        <v>3.1522328219522202</v>
      </c>
      <c r="F5" s="3">
        <v>1.9397517000776801</v>
      </c>
      <c r="G5" s="3">
        <v>3.2787376614970301</v>
      </c>
      <c r="H5" s="3">
        <v>4.1110020253932804</v>
      </c>
      <c r="I5" s="3">
        <v>1.2060491069155299</v>
      </c>
      <c r="J5" s="3">
        <v>2.0684374143626898</v>
      </c>
      <c r="K5" s="3">
        <v>3.6279729413225001</v>
      </c>
      <c r="L5" s="3">
        <v>3.0661349929476498</v>
      </c>
      <c r="M5" s="3">
        <v>4.0819351447352101</v>
      </c>
      <c r="N5" s="3">
        <v>4.0040158390313803</v>
      </c>
    </row>
    <row r="6" spans="1:14" x14ac:dyDescent="0.35">
      <c r="A6" s="2">
        <v>42031</v>
      </c>
      <c r="B6" s="3">
        <v>4.30584593029256</v>
      </c>
      <c r="C6" s="3">
        <v>4.8675916092004403</v>
      </c>
      <c r="D6" s="3">
        <v>2.9167653992807501</v>
      </c>
      <c r="E6" s="3">
        <v>2.9560519567633698</v>
      </c>
      <c r="F6" s="3">
        <v>1.9802835569577599</v>
      </c>
      <c r="G6" s="3">
        <v>3.3800200614407401</v>
      </c>
      <c r="H6" s="3">
        <v>4.0118554275068696</v>
      </c>
      <c r="I6" s="3">
        <v>1.2371360627563801</v>
      </c>
      <c r="J6" s="3">
        <v>2.15073826326707</v>
      </c>
      <c r="K6" s="3">
        <v>3.35093503590792</v>
      </c>
      <c r="L6" s="3">
        <v>2.9124565669084799</v>
      </c>
      <c r="M6" s="3">
        <v>3.9506519471189701</v>
      </c>
      <c r="N6" s="3">
        <v>3.7951887623021201</v>
      </c>
    </row>
    <row r="7" spans="1:14" x14ac:dyDescent="0.35">
      <c r="A7" s="2">
        <v>42062</v>
      </c>
      <c r="B7" s="3">
        <v>4.2622728581580498</v>
      </c>
      <c r="C7" s="3">
        <v>4.5482874033505203</v>
      </c>
      <c r="D7" s="3">
        <v>2.84975029796081</v>
      </c>
      <c r="E7" s="3">
        <v>2.7817321445467802</v>
      </c>
      <c r="F7" s="3">
        <v>1.87834190262488</v>
      </c>
      <c r="G7" s="3">
        <v>3.1584835698833902</v>
      </c>
      <c r="H7" s="3">
        <v>3.8845579202623099</v>
      </c>
      <c r="I7" s="3">
        <v>1.21346631716943</v>
      </c>
      <c r="J7" s="3">
        <v>2.0987376201391101</v>
      </c>
      <c r="K7" s="3">
        <v>3.12865411889008</v>
      </c>
      <c r="L7" s="3">
        <v>2.71372282178949</v>
      </c>
      <c r="M7" s="3">
        <v>3.5944542145726501</v>
      </c>
      <c r="N7" s="3">
        <v>3.4145751083191298</v>
      </c>
    </row>
    <row r="8" spans="1:14" x14ac:dyDescent="0.35">
      <c r="A8" s="2">
        <v>42090</v>
      </c>
      <c r="B8" s="3">
        <v>4.3996304710816698</v>
      </c>
      <c r="C8" s="3">
        <v>4.5684427082027002</v>
      </c>
      <c r="D8" s="3">
        <v>2.9488040344037301</v>
      </c>
      <c r="E8" s="3">
        <v>2.7015323768703898</v>
      </c>
      <c r="F8" s="3">
        <v>1.86334318932593</v>
      </c>
      <c r="G8" s="3">
        <v>3.14103229440832</v>
      </c>
      <c r="H8" s="3">
        <v>4.0029644938880704</v>
      </c>
      <c r="I8" s="3">
        <v>1.2761080634073101</v>
      </c>
      <c r="J8" s="3">
        <v>2.19605947647737</v>
      </c>
      <c r="K8" s="3">
        <v>3.19378604686373</v>
      </c>
      <c r="L8" s="3">
        <v>2.7023614581936299</v>
      </c>
      <c r="M8" s="3">
        <v>3.6795337160799702</v>
      </c>
      <c r="N8" s="3">
        <v>3.125377393635</v>
      </c>
    </row>
    <row r="9" spans="1:14" x14ac:dyDescent="0.35">
      <c r="A9" s="2">
        <v>42121</v>
      </c>
      <c r="B9" s="3">
        <v>4.5088783119995703</v>
      </c>
      <c r="C9" s="3">
        <v>4.5268440416544298</v>
      </c>
      <c r="D9" s="3">
        <v>2.8139052126319299</v>
      </c>
      <c r="E9" s="3">
        <v>2.7109244872352098</v>
      </c>
      <c r="F9" s="3">
        <v>1.81937439400501</v>
      </c>
      <c r="G9" s="3">
        <v>3.0289894694290198</v>
      </c>
      <c r="H9" s="3">
        <v>3.8273011410552602</v>
      </c>
      <c r="I9" s="3">
        <v>1.22977971195639</v>
      </c>
      <c r="J9" s="3">
        <v>2.1462458006681899</v>
      </c>
      <c r="K9" s="3">
        <v>3.06811322575706</v>
      </c>
      <c r="L9" s="3">
        <v>2.62082511423199</v>
      </c>
      <c r="M9" s="3">
        <v>3.57626879904765</v>
      </c>
      <c r="N9" s="3">
        <v>3.0840018744448701</v>
      </c>
    </row>
    <row r="10" spans="1:14" x14ac:dyDescent="0.35">
      <c r="A10" s="2">
        <v>42151</v>
      </c>
      <c r="B10" s="3">
        <v>4.4774365593673</v>
      </c>
      <c r="C10" s="3">
        <v>4.7608726048252299</v>
      </c>
      <c r="D10" s="3">
        <v>2.8807210608744902</v>
      </c>
      <c r="E10" s="3">
        <v>2.8415752094036</v>
      </c>
      <c r="F10" s="3">
        <v>1.8373342480827399</v>
      </c>
      <c r="G10" s="3">
        <v>3.0770220026792501</v>
      </c>
      <c r="H10" s="3">
        <v>3.88058257294293</v>
      </c>
      <c r="I10" s="3">
        <v>1.2274962906757201</v>
      </c>
      <c r="J10" s="3">
        <v>2.1441039613348201</v>
      </c>
      <c r="K10" s="3">
        <v>3.1967742831853401</v>
      </c>
      <c r="L10" s="3">
        <v>2.76884608425858</v>
      </c>
      <c r="M10" s="3">
        <v>3.7529343993667501</v>
      </c>
      <c r="N10" s="3">
        <v>3.1230891730475601</v>
      </c>
    </row>
    <row r="11" spans="1:14" x14ac:dyDescent="0.35">
      <c r="A11" s="2">
        <v>42181</v>
      </c>
      <c r="B11" s="3">
        <v>4.6530036777984698</v>
      </c>
      <c r="C11" s="3">
        <v>4.8975504316982503</v>
      </c>
      <c r="D11" s="3">
        <v>2.94861272083552</v>
      </c>
      <c r="E11" s="3">
        <v>2.94388490543508</v>
      </c>
      <c r="F11" s="3">
        <v>1.8727507545402999</v>
      </c>
      <c r="G11" s="3">
        <v>3.2109754336471799</v>
      </c>
      <c r="H11" s="3">
        <v>4.05538028785399</v>
      </c>
      <c r="I11" s="3">
        <v>1.2507104426381801</v>
      </c>
      <c r="J11" s="3">
        <v>2.1730121241325699</v>
      </c>
      <c r="K11" s="3">
        <v>3.2772683404201799</v>
      </c>
      <c r="L11" s="3">
        <v>2.8315402024819698</v>
      </c>
      <c r="M11" s="3">
        <v>3.9033222059336801</v>
      </c>
      <c r="N11" s="3">
        <v>3.2064496620164902</v>
      </c>
    </row>
    <row r="12" spans="1:14" x14ac:dyDescent="0.35">
      <c r="A12" s="2">
        <v>42212</v>
      </c>
      <c r="B12" s="3">
        <v>4.5931481665919902</v>
      </c>
      <c r="C12" s="3">
        <v>4.90189974626451</v>
      </c>
      <c r="D12" s="3">
        <v>3.1804869790172199</v>
      </c>
      <c r="E12" s="3">
        <v>3.0837928984561902</v>
      </c>
      <c r="F12" s="3">
        <v>1.92702166110916</v>
      </c>
      <c r="G12" s="3">
        <v>3.1834102398839401</v>
      </c>
      <c r="H12" s="3">
        <v>4.2456914573079398</v>
      </c>
      <c r="I12" s="3">
        <v>1.27303194925717</v>
      </c>
      <c r="J12" s="3">
        <v>2.2267866589669998</v>
      </c>
      <c r="K12" s="3">
        <v>3.3664917687156399</v>
      </c>
      <c r="L12" s="3">
        <v>2.9315343590990799</v>
      </c>
      <c r="M12" s="3">
        <v>4.02831503738682</v>
      </c>
      <c r="N12" s="3">
        <v>3.3072426742027101</v>
      </c>
    </row>
    <row r="13" spans="1:14" x14ac:dyDescent="0.35">
      <c r="A13" s="2">
        <v>42243</v>
      </c>
      <c r="B13" s="3">
        <v>5.0513715565407997</v>
      </c>
      <c r="C13" s="3">
        <v>5.2722192211648604</v>
      </c>
      <c r="D13" s="3">
        <v>3.1746637457689801</v>
      </c>
      <c r="E13" s="3">
        <v>3.3124194529523301</v>
      </c>
      <c r="F13" s="3">
        <v>2.11908704930176</v>
      </c>
      <c r="G13" s="3">
        <v>3.3194131352402501</v>
      </c>
      <c r="H13" s="3">
        <v>4.4416400377628804</v>
      </c>
      <c r="I13" s="3">
        <v>1.34606413281061</v>
      </c>
      <c r="J13" s="3">
        <v>2.3308165300759698</v>
      </c>
      <c r="K13" s="3">
        <v>3.60229482065178</v>
      </c>
      <c r="L13" s="3">
        <v>3.4079872133214502</v>
      </c>
      <c r="M13" s="3">
        <v>4.2855047498268304</v>
      </c>
      <c r="N13" s="3">
        <v>3.3314769779604898</v>
      </c>
    </row>
    <row r="14" spans="1:14" x14ac:dyDescent="0.35">
      <c r="A14" s="2">
        <v>42272</v>
      </c>
      <c r="B14" s="3">
        <v>5.15988508179072</v>
      </c>
      <c r="C14" s="3">
        <v>5.4941219962070704</v>
      </c>
      <c r="D14" s="3">
        <v>3.2926492875030098</v>
      </c>
      <c r="E14" s="3">
        <v>3.4739309104101199</v>
      </c>
      <c r="F14" s="3">
        <v>2.2050241677702802</v>
      </c>
      <c r="G14" s="3">
        <v>3.4657828700167701</v>
      </c>
      <c r="H14" s="3">
        <v>4.4633931686472703</v>
      </c>
      <c r="I14" s="3">
        <v>1.3845305230193099</v>
      </c>
      <c r="J14" s="3">
        <v>2.4104005699400002</v>
      </c>
      <c r="K14" s="3">
        <v>3.74803408456056</v>
      </c>
      <c r="L14" s="3">
        <v>3.5571813864659401</v>
      </c>
      <c r="M14" s="3">
        <v>4.5650044750766696</v>
      </c>
      <c r="N14" s="3">
        <v>3.52094113730961</v>
      </c>
    </row>
    <row r="15" spans="1:14" x14ac:dyDescent="0.35">
      <c r="A15" s="2">
        <v>42304</v>
      </c>
      <c r="B15" s="3">
        <v>4.9073164922823196</v>
      </c>
      <c r="C15" s="3">
        <v>5.1105943950779897</v>
      </c>
      <c r="D15" s="3">
        <v>3.2196288059694198</v>
      </c>
      <c r="E15" s="3">
        <v>3.1357170420843601</v>
      </c>
      <c r="F15" s="3">
        <v>2.0711387964616002</v>
      </c>
      <c r="G15" s="3">
        <v>3.2987608363642802</v>
      </c>
      <c r="H15" s="3">
        <v>4.2622861401800396</v>
      </c>
      <c r="I15" s="3">
        <v>1.2734252564164701</v>
      </c>
      <c r="J15" s="3">
        <v>2.2627280679684501</v>
      </c>
      <c r="K15" s="3">
        <v>3.4662386361737898</v>
      </c>
      <c r="L15" s="3">
        <v>3.2865226611150402</v>
      </c>
      <c r="M15" s="3">
        <v>4.23476655750303</v>
      </c>
      <c r="N15" s="3">
        <v>3.5771748994453199</v>
      </c>
    </row>
    <row r="16" spans="1:14" x14ac:dyDescent="0.35">
      <c r="A16" s="2">
        <v>42335</v>
      </c>
      <c r="B16" s="3">
        <v>4.8137217314643896</v>
      </c>
      <c r="C16" s="3">
        <v>5.25630061437879</v>
      </c>
      <c r="D16" s="3">
        <v>3.31381762917627</v>
      </c>
      <c r="E16" s="3">
        <v>2.8826875982688498</v>
      </c>
      <c r="F16" s="3">
        <v>2.0198194904826701</v>
      </c>
      <c r="G16" s="3">
        <v>3.2473612459849499</v>
      </c>
      <c r="H16" s="3">
        <v>4.1896908694027903</v>
      </c>
      <c r="I16" s="3">
        <v>1.27662096760661</v>
      </c>
      <c r="J16" s="3">
        <v>2.2697344956662699</v>
      </c>
      <c r="K16" s="3">
        <v>3.4079172777839299</v>
      </c>
      <c r="L16" s="3">
        <v>3.1019797110299199</v>
      </c>
      <c r="M16" s="3">
        <v>4.1233946905676504</v>
      </c>
      <c r="N16" s="3">
        <v>3.5514159722484999</v>
      </c>
    </row>
    <row r="17" spans="1:14" x14ac:dyDescent="0.35">
      <c r="A17" s="2">
        <v>42362</v>
      </c>
      <c r="B17" s="3">
        <v>4.8055790656828998</v>
      </c>
      <c r="C17" s="3">
        <v>5.1980798271140802</v>
      </c>
      <c r="D17" s="3">
        <v>3.3091978952929102</v>
      </c>
      <c r="E17" s="3">
        <v>3.04073095866105</v>
      </c>
      <c r="F17" s="3">
        <v>2.1209822242942602</v>
      </c>
      <c r="G17" s="3">
        <v>3.28940463021131</v>
      </c>
      <c r="H17" s="3">
        <v>4.2818182194840899</v>
      </c>
      <c r="I17" s="3">
        <v>1.2880671474126399</v>
      </c>
      <c r="J17" s="3">
        <v>2.2936027257130398</v>
      </c>
      <c r="K17" s="3">
        <v>3.5841253066521199</v>
      </c>
      <c r="L17" s="3">
        <v>3.2779092314832998</v>
      </c>
      <c r="M17" s="3">
        <v>4.3162416701649402</v>
      </c>
      <c r="N17" s="3">
        <v>3.8273669802505301</v>
      </c>
    </row>
    <row r="18" spans="1:14" x14ac:dyDescent="0.35">
      <c r="A18" s="2">
        <v>42396</v>
      </c>
      <c r="B18" s="3">
        <v>4.8999781473893798</v>
      </c>
      <c r="C18" s="3">
        <v>5.2444175946888603</v>
      </c>
      <c r="D18" s="3">
        <v>3.5438504247754099</v>
      </c>
      <c r="E18" s="3">
        <v>3.3220253328754201</v>
      </c>
      <c r="F18" s="3">
        <v>2.3275764236506</v>
      </c>
      <c r="G18" s="3">
        <v>3.4800605384172099</v>
      </c>
      <c r="H18" s="3">
        <v>4.4944566338372596</v>
      </c>
      <c r="I18" s="3">
        <v>1.40993245051603</v>
      </c>
      <c r="J18" s="3">
        <v>2.5258290165631001</v>
      </c>
      <c r="K18" s="3">
        <v>3.8116414966641101</v>
      </c>
      <c r="L18" s="3">
        <v>3.2760985971199799</v>
      </c>
      <c r="M18" s="3">
        <v>4.4734709524859602</v>
      </c>
      <c r="N18" s="3">
        <v>4.3809984818740801</v>
      </c>
    </row>
    <row r="19" spans="1:14" x14ac:dyDescent="0.35">
      <c r="A19" s="2">
        <v>42426</v>
      </c>
      <c r="B19" s="3">
        <v>4.8511650912255204</v>
      </c>
      <c r="C19" s="3">
        <v>5.0519028286952503</v>
      </c>
      <c r="D19" s="3">
        <v>3.3657106028669701</v>
      </c>
      <c r="E19" s="3">
        <v>3.4575395448675801</v>
      </c>
      <c r="F19" s="3">
        <v>2.46253262238801</v>
      </c>
      <c r="G19" s="3">
        <v>3.5391464882419701</v>
      </c>
      <c r="H19" s="3">
        <v>4.5058056586483302</v>
      </c>
      <c r="I19" s="3">
        <v>1.4038081507573701</v>
      </c>
      <c r="J19" s="3">
        <v>2.4518202590146898</v>
      </c>
      <c r="K19" s="3">
        <v>3.8481231472021902</v>
      </c>
      <c r="L19" s="3">
        <v>3.38990219841549</v>
      </c>
      <c r="M19" s="3">
        <v>4.3841795952021601</v>
      </c>
      <c r="N19" s="3">
        <v>4.5390371446940296</v>
      </c>
    </row>
    <row r="20" spans="1:14" x14ac:dyDescent="0.35">
      <c r="A20" s="2">
        <v>42453</v>
      </c>
      <c r="B20" s="3">
        <v>4.6105656303603197</v>
      </c>
      <c r="C20" s="3">
        <v>4.8293214045906101</v>
      </c>
      <c r="D20" s="3">
        <v>3.1778264405907701</v>
      </c>
      <c r="E20" s="3">
        <v>3.3297448407724102</v>
      </c>
      <c r="F20" s="3">
        <v>2.38870174554736</v>
      </c>
      <c r="G20" s="3">
        <v>3.5668438562328202</v>
      </c>
      <c r="H20" s="3">
        <v>4.4368924295249297</v>
      </c>
      <c r="I20" s="3">
        <v>1.3556680856727199</v>
      </c>
      <c r="J20" s="3">
        <v>2.4751977345461702</v>
      </c>
      <c r="K20" s="3">
        <v>3.8225216634958299</v>
      </c>
      <c r="L20" s="3">
        <v>3.3183560123189002</v>
      </c>
      <c r="M20" s="3">
        <v>4.4540715353803799</v>
      </c>
      <c r="N20" s="3">
        <v>4.3563789181144097</v>
      </c>
    </row>
    <row r="21" spans="1:14" x14ac:dyDescent="0.35">
      <c r="A21" s="2">
        <v>42487</v>
      </c>
      <c r="B21" s="3">
        <v>4.6195574068938798</v>
      </c>
      <c r="C21" s="3">
        <v>4.7300698428304999</v>
      </c>
      <c r="D21" s="3">
        <v>3.0598312133090402</v>
      </c>
      <c r="E21" s="3">
        <v>3.2010301433256099</v>
      </c>
      <c r="F21" s="3">
        <v>2.3126832434151599</v>
      </c>
      <c r="G21" s="3">
        <v>3.4668660034402201</v>
      </c>
      <c r="H21" s="3">
        <v>4.2279222134424597</v>
      </c>
      <c r="I21" s="3">
        <v>1.3665342145194399</v>
      </c>
      <c r="J21" s="3">
        <v>2.2917987413403398</v>
      </c>
      <c r="K21" s="3">
        <v>3.6313906100868198</v>
      </c>
      <c r="L21" s="3">
        <v>3.2980154868034002</v>
      </c>
      <c r="M21" s="3">
        <v>4.2668027237910504</v>
      </c>
      <c r="N21" s="3">
        <v>4.2872053113095498</v>
      </c>
    </row>
    <row r="22" spans="1:14" x14ac:dyDescent="0.35">
      <c r="A22" s="2">
        <v>42517</v>
      </c>
      <c r="B22" s="3">
        <v>4.4475531803026902</v>
      </c>
      <c r="C22" s="3">
        <v>4.5362987598256002</v>
      </c>
      <c r="D22" s="3">
        <v>3.0266124489975699</v>
      </c>
      <c r="E22" s="3">
        <v>3.2707564702792702</v>
      </c>
      <c r="F22" s="3">
        <v>2.3684439177949699</v>
      </c>
      <c r="G22" s="3">
        <v>3.4296613763784101</v>
      </c>
      <c r="H22" s="3">
        <v>4.2638912168929597</v>
      </c>
      <c r="I22" s="3">
        <v>1.34470187579383</v>
      </c>
      <c r="J22" s="3">
        <v>2.26932855728746</v>
      </c>
      <c r="K22" s="3">
        <v>3.6820882209492001</v>
      </c>
      <c r="L22" s="3">
        <v>3.25821120153716</v>
      </c>
      <c r="M22" s="3">
        <v>4.3467577698066702</v>
      </c>
      <c r="N22" s="3">
        <v>4.4658646167713503</v>
      </c>
    </row>
    <row r="23" spans="1:14" x14ac:dyDescent="0.35">
      <c r="A23" s="2">
        <v>42548</v>
      </c>
      <c r="B23" s="3">
        <v>4.5666892225492903</v>
      </c>
      <c r="C23" s="3">
        <v>4.7797008339648297</v>
      </c>
      <c r="D23" s="3">
        <v>3.15970137576145</v>
      </c>
      <c r="E23" s="3">
        <v>3.6454567734600398</v>
      </c>
      <c r="F23" s="3">
        <v>2.5820032481675601</v>
      </c>
      <c r="G23" s="3">
        <v>3.76149359350168</v>
      </c>
      <c r="H23" s="3">
        <v>4.6198355023009698</v>
      </c>
      <c r="I23" s="3">
        <v>1.4329811257499001</v>
      </c>
      <c r="J23" s="3">
        <v>2.3927067759941001</v>
      </c>
      <c r="K23" s="3">
        <v>4.1612459944611597</v>
      </c>
      <c r="L23" s="3">
        <v>3.54465698019595</v>
      </c>
      <c r="M23" s="3">
        <v>4.8054091117620104</v>
      </c>
      <c r="N23" s="3">
        <v>5.4075492189187697</v>
      </c>
    </row>
    <row r="24" spans="1:14" x14ac:dyDescent="0.35">
      <c r="A24" s="2">
        <v>42578</v>
      </c>
      <c r="B24" s="3">
        <v>4.1528832228656096</v>
      </c>
      <c r="C24" s="3">
        <v>4.4356044070831597</v>
      </c>
      <c r="D24" s="3">
        <v>3.0090681969982902</v>
      </c>
      <c r="E24" s="3">
        <v>3.2707022863935298</v>
      </c>
      <c r="F24" s="3">
        <v>2.381466159161</v>
      </c>
      <c r="G24" s="3">
        <v>3.4819956184676402</v>
      </c>
      <c r="H24" s="3">
        <v>4.1189285330614798</v>
      </c>
      <c r="I24" s="3">
        <v>1.29848416508957</v>
      </c>
      <c r="J24" s="3">
        <v>2.2192420516891702</v>
      </c>
      <c r="K24" s="3">
        <v>3.7225350792684599</v>
      </c>
      <c r="L24" s="3">
        <v>3.18376122808615</v>
      </c>
      <c r="M24" s="3">
        <v>4.3008530489760899</v>
      </c>
      <c r="N24" s="3">
        <v>4.7478692174149497</v>
      </c>
    </row>
    <row r="25" spans="1:14" x14ac:dyDescent="0.35">
      <c r="A25" s="2">
        <v>42608</v>
      </c>
      <c r="B25" s="3">
        <v>4.2146173586719797</v>
      </c>
      <c r="C25" s="3">
        <v>4.4539298539888996</v>
      </c>
      <c r="D25" s="3">
        <v>2.9589098286000399</v>
      </c>
      <c r="E25" s="3">
        <v>3.18279060008877</v>
      </c>
      <c r="F25" s="3">
        <v>2.4441813919170099</v>
      </c>
      <c r="G25" s="3">
        <v>3.4623313584425901</v>
      </c>
      <c r="H25" s="3">
        <v>4.0800272810693796</v>
      </c>
      <c r="I25" s="3">
        <v>1.28464100681007</v>
      </c>
      <c r="J25" s="3">
        <v>2.2217396841002501</v>
      </c>
      <c r="K25" s="3">
        <v>3.73095252396423</v>
      </c>
      <c r="L25" s="3">
        <v>3.13844750914302</v>
      </c>
      <c r="M25" s="3">
        <v>4.2431077758399596</v>
      </c>
      <c r="N25" s="3">
        <v>4.7270365598606299</v>
      </c>
    </row>
    <row r="26" spans="1:14" x14ac:dyDescent="0.35">
      <c r="A26" s="2">
        <v>42640</v>
      </c>
      <c r="B26" s="3">
        <v>4.3762496877686301</v>
      </c>
      <c r="C26" s="3">
        <v>4.5558677133440604</v>
      </c>
      <c r="D26" s="3">
        <v>2.9703707983416501</v>
      </c>
      <c r="E26" s="3">
        <v>3.2365818054383899</v>
      </c>
      <c r="F26" s="3">
        <v>2.36198467296756</v>
      </c>
      <c r="G26" s="3">
        <v>3.48815204261845</v>
      </c>
      <c r="H26" s="3">
        <v>4.2126149200493197</v>
      </c>
      <c r="I26" s="3">
        <v>1.2614097015938199</v>
      </c>
      <c r="J26" s="3">
        <v>2.2284118938696</v>
      </c>
      <c r="K26" s="3">
        <v>3.7627524508401202</v>
      </c>
      <c r="L26" s="3">
        <v>3.1631988044580299</v>
      </c>
      <c r="M26" s="3">
        <v>4.2461482597944897</v>
      </c>
      <c r="N26" s="3">
        <v>5.0571650660398104</v>
      </c>
    </row>
    <row r="27" spans="1:14" x14ac:dyDescent="0.35">
      <c r="A27" s="2">
        <v>42670</v>
      </c>
      <c r="B27" s="3">
        <v>4.5704273409897302</v>
      </c>
      <c r="C27" s="3">
        <v>4.6721766349347398</v>
      </c>
      <c r="D27" s="3">
        <v>2.9142329704656</v>
      </c>
      <c r="E27" s="3">
        <v>3.1343310502166801</v>
      </c>
      <c r="F27" s="3">
        <v>2.3205059251287601</v>
      </c>
      <c r="G27" s="3">
        <v>3.6109282843611501</v>
      </c>
      <c r="H27" s="3">
        <v>4.3208906234470703</v>
      </c>
      <c r="I27" s="3">
        <v>1.2749131698480101</v>
      </c>
      <c r="J27" s="3">
        <v>2.2669605199912501</v>
      </c>
      <c r="K27" s="3">
        <v>3.7217548699081302</v>
      </c>
      <c r="L27" s="3">
        <v>3.1086149019018898</v>
      </c>
      <c r="M27" s="3">
        <v>4.0753340824197801</v>
      </c>
      <c r="N27" s="3">
        <v>4.6917166226946501</v>
      </c>
    </row>
    <row r="28" spans="1:14" x14ac:dyDescent="0.35">
      <c r="A28" s="2">
        <v>42699</v>
      </c>
      <c r="B28" s="3">
        <v>4.6011069962060196</v>
      </c>
      <c r="C28" s="3">
        <v>4.51534005831292</v>
      </c>
      <c r="D28" s="3">
        <v>2.8668375364302201</v>
      </c>
      <c r="E28" s="3">
        <v>3.1680996836222799</v>
      </c>
      <c r="F28" s="3">
        <v>2.1935654753281399</v>
      </c>
      <c r="G28" s="3">
        <v>3.6558548715542498</v>
      </c>
      <c r="H28" s="3">
        <v>4.3846701453005101</v>
      </c>
      <c r="I28" s="3">
        <v>1.2790800132756199</v>
      </c>
      <c r="J28" s="3">
        <v>2.1986197492527402</v>
      </c>
      <c r="K28" s="3">
        <v>3.6932901265548899</v>
      </c>
      <c r="L28" s="3">
        <v>3.1067661406874998</v>
      </c>
      <c r="M28" s="3">
        <v>4.0071362266679396</v>
      </c>
      <c r="N28" s="3">
        <v>4.8780491954770797</v>
      </c>
    </row>
    <row r="29" spans="1:14" x14ac:dyDescent="0.35">
      <c r="A29" s="2">
        <v>42731</v>
      </c>
      <c r="B29" s="3">
        <v>4.6271739495595501</v>
      </c>
      <c r="C29" s="3">
        <v>4.5527831055489401</v>
      </c>
      <c r="D29" s="3">
        <v>2.8295167464173998</v>
      </c>
      <c r="E29" s="3">
        <v>2.9736486575413301</v>
      </c>
      <c r="F29" s="3">
        <v>2.09503822794803</v>
      </c>
      <c r="G29" s="3">
        <v>3.5543316351851</v>
      </c>
      <c r="H29" s="3">
        <v>4.3298032570125899</v>
      </c>
      <c r="I29" s="3">
        <v>1.2752987632236199</v>
      </c>
      <c r="J29" s="3">
        <v>2.1590557397477799</v>
      </c>
      <c r="K29" s="3">
        <v>3.4810824654297501</v>
      </c>
      <c r="L29" s="3">
        <v>2.9543755780337699</v>
      </c>
      <c r="M29" s="3">
        <v>3.8650134464017598</v>
      </c>
      <c r="N29" s="3">
        <v>4.2637126493062301</v>
      </c>
    </row>
    <row r="30" spans="1:14" x14ac:dyDescent="0.35">
      <c r="A30" s="2">
        <v>42762</v>
      </c>
      <c r="B30" s="3">
        <v>4.4793961611348703</v>
      </c>
      <c r="C30" s="3">
        <v>4.5141225654100996</v>
      </c>
      <c r="D30" s="3">
        <v>2.8025202052335301</v>
      </c>
      <c r="E30" s="3">
        <v>2.9053995318107799</v>
      </c>
      <c r="F30" s="3">
        <v>2.1009157386001198</v>
      </c>
      <c r="G30" s="3">
        <v>3.46166022077229</v>
      </c>
      <c r="H30" s="3">
        <v>4.2772885398994704</v>
      </c>
      <c r="I30" s="3">
        <v>1.2325720995023699</v>
      </c>
      <c r="J30" s="3">
        <v>2.1508347199740498</v>
      </c>
      <c r="K30" s="3">
        <v>3.4752757828412801</v>
      </c>
      <c r="L30" s="3">
        <v>2.9548515012710199</v>
      </c>
      <c r="M30" s="3">
        <v>3.69026279021395</v>
      </c>
      <c r="N30" s="3">
        <v>4.35892248650116</v>
      </c>
    </row>
    <row r="31" spans="1:14" x14ac:dyDescent="0.35">
      <c r="A31" s="2">
        <v>42793</v>
      </c>
      <c r="B31" s="3">
        <v>4.7178270773334496</v>
      </c>
      <c r="C31" s="3">
        <v>4.5612671001610501</v>
      </c>
      <c r="D31" s="3">
        <v>2.8629870764477499</v>
      </c>
      <c r="E31" s="3">
        <v>2.9565330529606801</v>
      </c>
      <c r="F31" s="3">
        <v>2.16122340169539</v>
      </c>
      <c r="G31" s="3">
        <v>3.3914719840832999</v>
      </c>
      <c r="H31" s="3">
        <v>4.3008844574478697</v>
      </c>
      <c r="I31" s="3">
        <v>1.2192624488597701</v>
      </c>
      <c r="J31" s="3">
        <v>2.1032636266546199</v>
      </c>
      <c r="K31" s="3">
        <v>3.5194140428854999</v>
      </c>
      <c r="L31" s="3">
        <v>2.8728227381718701</v>
      </c>
      <c r="M31" s="3">
        <v>3.6624588455584002</v>
      </c>
      <c r="N31" s="3">
        <v>4.3141744953504597</v>
      </c>
    </row>
    <row r="32" spans="1:14" x14ac:dyDescent="0.35">
      <c r="A32" s="2">
        <v>42821</v>
      </c>
      <c r="B32" s="3">
        <v>4.6699396992918398</v>
      </c>
      <c r="C32" s="3">
        <v>4.6069335374854896</v>
      </c>
      <c r="D32" s="3">
        <v>2.9235524191509099</v>
      </c>
      <c r="E32" s="3">
        <v>2.9762924647136701</v>
      </c>
      <c r="F32" s="3">
        <v>2.2025441181428498</v>
      </c>
      <c r="G32" s="3">
        <v>3.35376178132036</v>
      </c>
      <c r="H32" s="3">
        <v>4.3336176585541999</v>
      </c>
      <c r="I32" s="3">
        <v>1.2183273028088699</v>
      </c>
      <c r="J32" s="3">
        <v>2.1313713427571801</v>
      </c>
      <c r="K32" s="3">
        <v>3.4104245603161099</v>
      </c>
      <c r="L32" s="3">
        <v>2.7903069988670799</v>
      </c>
      <c r="M32" s="3">
        <v>3.6690804976745102</v>
      </c>
      <c r="N32" s="3">
        <v>3.9779538434414401</v>
      </c>
    </row>
    <row r="33" spans="1:14" x14ac:dyDescent="0.35">
      <c r="A33" s="2">
        <v>42852</v>
      </c>
      <c r="B33" s="3">
        <v>4.4767159246862303</v>
      </c>
      <c r="C33" s="3">
        <v>4.4884626248261998</v>
      </c>
      <c r="D33" s="3">
        <v>2.9472667658335698</v>
      </c>
      <c r="E33" s="3">
        <v>2.89373404341814</v>
      </c>
      <c r="F33" s="3">
        <v>2.2011452523514698</v>
      </c>
      <c r="G33" s="3">
        <v>3.3337071827021099</v>
      </c>
      <c r="H33" s="3">
        <v>4.3572410684682898</v>
      </c>
      <c r="I33" s="3">
        <v>1.19094667421548</v>
      </c>
      <c r="J33" s="3">
        <v>2.1049508721849</v>
      </c>
      <c r="K33" s="3">
        <v>3.26151569356306</v>
      </c>
      <c r="L33" s="3">
        <v>2.7326258095594</v>
      </c>
      <c r="M33" s="3">
        <v>3.5709463597743301</v>
      </c>
      <c r="N33" s="3">
        <v>3.9192919077061501</v>
      </c>
    </row>
    <row r="34" spans="1:14" x14ac:dyDescent="0.35">
      <c r="A34" s="2">
        <v>42881</v>
      </c>
      <c r="B34" s="3">
        <v>4.4432215904413299</v>
      </c>
      <c r="C34" s="3">
        <v>4.6383672605413002</v>
      </c>
      <c r="D34" s="3">
        <v>2.9246009333677798</v>
      </c>
      <c r="E34" s="3">
        <v>2.9355644890377302</v>
      </c>
      <c r="F34" s="3">
        <v>2.19172837721417</v>
      </c>
      <c r="G34" s="3">
        <v>3.2881782297773201</v>
      </c>
      <c r="H34" s="3">
        <v>4.22907210147073</v>
      </c>
      <c r="I34" s="3">
        <v>1.15696651354697</v>
      </c>
      <c r="J34" s="3">
        <v>2.0939789692741</v>
      </c>
      <c r="K34" s="3">
        <v>3.2319818074374602</v>
      </c>
      <c r="L34" s="3">
        <v>2.7259085439847701</v>
      </c>
      <c r="M34" s="3">
        <v>3.3724479854966001</v>
      </c>
      <c r="N34" s="3">
        <v>3.8357499841452198</v>
      </c>
    </row>
    <row r="35" spans="1:14" x14ac:dyDescent="0.35">
      <c r="A35" s="2">
        <v>42913</v>
      </c>
      <c r="B35" s="3">
        <v>4.3409323590373399</v>
      </c>
      <c r="C35" s="3">
        <v>4.6521507620861797</v>
      </c>
      <c r="D35" s="3">
        <v>3.0293275061557901</v>
      </c>
      <c r="E35" s="3">
        <v>2.9540422772238499</v>
      </c>
      <c r="F35" s="3">
        <v>2.1588894612966998</v>
      </c>
      <c r="G35" s="3">
        <v>3.2399354027674598</v>
      </c>
      <c r="H35" s="3">
        <v>4.31228851905552</v>
      </c>
      <c r="I35" s="3">
        <v>1.19227739669948</v>
      </c>
      <c r="J35" s="3">
        <v>2.1042739625018698</v>
      </c>
      <c r="K35" s="3">
        <v>3.3043887720420999</v>
      </c>
      <c r="L35" s="3">
        <v>2.7568411179114598</v>
      </c>
      <c r="M35" s="3">
        <v>3.5496789966389199</v>
      </c>
      <c r="N35" s="3">
        <v>3.8340421974652998</v>
      </c>
    </row>
    <row r="36" spans="1:14" x14ac:dyDescent="0.35">
      <c r="A36" s="2">
        <v>42943</v>
      </c>
      <c r="B36" s="3">
        <v>4.3841990103250499</v>
      </c>
      <c r="C36" s="3">
        <v>4.5377018005794403</v>
      </c>
      <c r="D36" s="3">
        <v>3.0366709332471999</v>
      </c>
      <c r="E36" s="3">
        <v>3.0649514752326201</v>
      </c>
      <c r="F36" s="3">
        <v>2.1623059559061901</v>
      </c>
      <c r="G36" s="3">
        <v>3.2836217804565599</v>
      </c>
      <c r="H36" s="3">
        <v>4.25134429645877</v>
      </c>
      <c r="I36" s="3">
        <v>1.1665800537444</v>
      </c>
      <c r="J36" s="3">
        <v>2.0803419466911501</v>
      </c>
      <c r="K36" s="3">
        <v>3.3419601102037202</v>
      </c>
      <c r="L36" s="3">
        <v>2.7374648615913899</v>
      </c>
      <c r="M36" s="3">
        <v>3.6815006155531602</v>
      </c>
      <c r="N36" s="3">
        <v>3.73415572708703</v>
      </c>
    </row>
    <row r="37" spans="1:14" x14ac:dyDescent="0.35">
      <c r="A37" s="2">
        <v>42972</v>
      </c>
      <c r="B37" s="3">
        <v>4.2679825055044196</v>
      </c>
      <c r="C37" s="3">
        <v>4.5558183801353502</v>
      </c>
      <c r="D37" s="3">
        <v>3.0783111968330599</v>
      </c>
      <c r="E37" s="3">
        <v>3.1232249655800799</v>
      </c>
      <c r="F37" s="3">
        <v>2.22814089173754</v>
      </c>
      <c r="G37" s="3">
        <v>3.3219813852260902</v>
      </c>
      <c r="H37" s="3">
        <v>4.3508745577946</v>
      </c>
      <c r="I37" s="3">
        <v>1.1919619236579799</v>
      </c>
      <c r="J37" s="3">
        <v>2.1197948657494301</v>
      </c>
      <c r="K37" s="3">
        <v>3.4176085703535999</v>
      </c>
      <c r="L37" s="3">
        <v>2.83224646980785</v>
      </c>
      <c r="M37" s="3">
        <v>3.7914809550911301</v>
      </c>
      <c r="N37" s="3">
        <v>3.77414331734819</v>
      </c>
    </row>
    <row r="38" spans="1:14" x14ac:dyDescent="0.35">
      <c r="A38" s="2">
        <v>43005</v>
      </c>
      <c r="B38" s="3">
        <v>4.3981918227836898</v>
      </c>
      <c r="C38" s="3">
        <v>4.6278821541025499</v>
      </c>
      <c r="D38" s="3">
        <v>2.9863765640772701</v>
      </c>
      <c r="E38" s="3">
        <v>3.0282440765751599</v>
      </c>
      <c r="F38" s="3">
        <v>2.1646104078574702</v>
      </c>
      <c r="G38" s="3">
        <v>3.3005881315188002</v>
      </c>
      <c r="H38" s="3">
        <v>4.3324868213490397</v>
      </c>
      <c r="I38" s="3">
        <v>1.1705727146010301</v>
      </c>
      <c r="J38" s="3">
        <v>2.0702603092087601</v>
      </c>
      <c r="K38" s="3">
        <v>3.31803899486665</v>
      </c>
      <c r="L38" s="3">
        <v>2.81818251097897</v>
      </c>
      <c r="M38" s="3">
        <v>3.5921846796175401</v>
      </c>
      <c r="N38" s="3">
        <v>3.68233100119549</v>
      </c>
    </row>
    <row r="39" spans="1:14" x14ac:dyDescent="0.35">
      <c r="A39" s="2">
        <v>43035</v>
      </c>
      <c r="B39" s="3">
        <v>4.3662958480459704</v>
      </c>
      <c r="C39" s="3">
        <v>4.5051458263675501</v>
      </c>
      <c r="D39" s="3">
        <v>2.9254974688941799</v>
      </c>
      <c r="E39" s="3">
        <v>2.9048563417356199</v>
      </c>
      <c r="F39" s="3">
        <v>2.0553196888809699</v>
      </c>
      <c r="G39" s="3">
        <v>3.2664453595398202</v>
      </c>
      <c r="H39" s="3">
        <v>4.3069266309711098</v>
      </c>
      <c r="I39" s="3">
        <v>1.1226420873206</v>
      </c>
      <c r="J39" s="3">
        <v>2.0237369968513801</v>
      </c>
      <c r="K39" s="3">
        <v>3.24307618743418</v>
      </c>
      <c r="L39" s="3">
        <v>2.7456784637201999</v>
      </c>
      <c r="M39" s="3">
        <v>3.5177609916028598</v>
      </c>
      <c r="N39" s="3">
        <v>3.8040724565784498</v>
      </c>
    </row>
    <row r="40" spans="1:14" x14ac:dyDescent="0.35">
      <c r="A40" s="2">
        <v>43066</v>
      </c>
      <c r="B40" s="3">
        <v>4.34600666802113</v>
      </c>
      <c r="C40" s="3">
        <v>4.4678756310452297</v>
      </c>
      <c r="D40" s="3">
        <v>2.9267435621010298</v>
      </c>
      <c r="E40" s="3">
        <v>2.9518418176419798</v>
      </c>
      <c r="F40" s="3">
        <v>2.0913003641208201</v>
      </c>
      <c r="G40" s="3">
        <v>3.2431972531687299</v>
      </c>
      <c r="H40" s="3">
        <v>4.3771621788221102</v>
      </c>
      <c r="I40" s="3">
        <v>1.09629727121038</v>
      </c>
      <c r="J40" s="3">
        <v>2.0050653534733098</v>
      </c>
      <c r="K40" s="3">
        <v>3.31440522202135</v>
      </c>
      <c r="L40" s="3">
        <v>2.8305770779191999</v>
      </c>
      <c r="M40" s="3">
        <v>3.66644834816428</v>
      </c>
      <c r="N40" s="3">
        <v>3.91893394045375</v>
      </c>
    </row>
    <row r="41" spans="1:14" x14ac:dyDescent="0.35">
      <c r="A41" s="2">
        <v>43096</v>
      </c>
      <c r="B41" s="3">
        <v>4.2244990042703003</v>
      </c>
      <c r="C41" s="3">
        <v>4.4521026264175898</v>
      </c>
      <c r="D41" s="3">
        <v>2.90678369262901</v>
      </c>
      <c r="E41" s="3">
        <v>2.9170389206262901</v>
      </c>
      <c r="F41" s="3">
        <v>2.0453286869500902</v>
      </c>
      <c r="G41" s="3">
        <v>3.2129261129776401</v>
      </c>
      <c r="H41" s="3">
        <v>4.2434899758197799</v>
      </c>
      <c r="I41" s="3">
        <v>1.0939475959982301</v>
      </c>
      <c r="J41" s="3">
        <v>1.9544917348868001</v>
      </c>
      <c r="K41" s="3">
        <v>3.28887079226338</v>
      </c>
      <c r="L41" s="3">
        <v>2.8372736208364602</v>
      </c>
      <c r="M41" s="3">
        <v>3.72964408901335</v>
      </c>
      <c r="N41" s="3">
        <v>3.9198150558593698</v>
      </c>
    </row>
    <row r="42" spans="1:14" x14ac:dyDescent="0.35">
      <c r="A42" s="2">
        <v>43126</v>
      </c>
      <c r="B42" s="3">
        <v>4.2642733946398499</v>
      </c>
      <c r="C42" s="3">
        <v>4.5034632422417999</v>
      </c>
      <c r="D42" s="3">
        <v>2.9194201489514602</v>
      </c>
      <c r="E42" s="3">
        <v>2.8920811335680798</v>
      </c>
      <c r="F42" s="3">
        <v>2.00458359395599</v>
      </c>
      <c r="G42" s="3">
        <v>3.1411242150804202</v>
      </c>
      <c r="H42" s="3">
        <v>4.1654052541655</v>
      </c>
      <c r="I42" s="3">
        <v>1.0180863141968299</v>
      </c>
      <c r="J42" s="3">
        <v>1.84898557050246</v>
      </c>
      <c r="K42" s="3">
        <v>3.2009986521513798</v>
      </c>
      <c r="L42" s="3">
        <v>2.7766580226076498</v>
      </c>
      <c r="M42" s="3">
        <v>3.6910008867578599</v>
      </c>
      <c r="N42" s="3">
        <v>3.7154869278040001</v>
      </c>
    </row>
    <row r="43" spans="1:14" x14ac:dyDescent="0.35">
      <c r="A43" s="2">
        <v>43158</v>
      </c>
      <c r="B43" s="3">
        <v>4.24862446970248</v>
      </c>
      <c r="C43" s="3">
        <v>4.5585063968025903</v>
      </c>
      <c r="D43" s="3">
        <v>3.07745082866195</v>
      </c>
      <c r="E43" s="3">
        <v>3.11846274003579</v>
      </c>
      <c r="F43" s="3">
        <v>2.1556175206914499</v>
      </c>
      <c r="G43" s="3">
        <v>3.3610739589180998</v>
      </c>
      <c r="H43" s="3">
        <v>4.5712942525925104</v>
      </c>
      <c r="I43" s="3">
        <v>1.05714342493833</v>
      </c>
      <c r="J43" s="3">
        <v>1.9612992956198401</v>
      </c>
      <c r="K43" s="3">
        <v>3.35512160346493</v>
      </c>
      <c r="L43" s="3">
        <v>2.91918987949713</v>
      </c>
      <c r="M43" s="3">
        <v>3.8258450921016598</v>
      </c>
      <c r="N43" s="3">
        <v>3.9566650588786199</v>
      </c>
    </row>
    <row r="44" spans="1:14" x14ac:dyDescent="0.35">
      <c r="A44" s="2">
        <v>43186</v>
      </c>
      <c r="B44" s="3">
        <v>4.2150153990599204</v>
      </c>
      <c r="C44" s="3">
        <v>4.7987476820347998</v>
      </c>
      <c r="D44" s="3">
        <v>3.2194883582634199</v>
      </c>
      <c r="E44" s="3">
        <v>3.2742810416988299</v>
      </c>
      <c r="F44" s="3">
        <v>2.2658648056093198</v>
      </c>
      <c r="G44" s="3">
        <v>3.5270816785100401</v>
      </c>
      <c r="H44" s="3">
        <v>4.5858997701470097</v>
      </c>
      <c r="I44" s="3">
        <v>1.1301300825323399</v>
      </c>
      <c r="J44" s="3">
        <v>2.0778786747447802</v>
      </c>
      <c r="K44" s="3">
        <v>3.4915924369553002</v>
      </c>
      <c r="L44" s="3">
        <v>3.0073241709667</v>
      </c>
      <c r="M44" s="3">
        <v>4.0950661059765503</v>
      </c>
      <c r="N44" s="3">
        <v>4.15888295141146</v>
      </c>
    </row>
    <row r="45" spans="1:14" x14ac:dyDescent="0.35">
      <c r="A45" s="2">
        <v>43217</v>
      </c>
      <c r="B45" s="3">
        <v>4.3112202706886196</v>
      </c>
      <c r="C45" s="3">
        <v>4.7398671024550696</v>
      </c>
      <c r="D45" s="3">
        <v>3.1393849930569</v>
      </c>
      <c r="E45" s="3">
        <v>3.1638252241692801</v>
      </c>
      <c r="F45" s="3">
        <v>2.2067518767558201</v>
      </c>
      <c r="G45" s="3">
        <v>3.4718009551598099</v>
      </c>
      <c r="H45" s="3">
        <v>4.3455082697663103</v>
      </c>
      <c r="I45" s="3">
        <v>1.11922655516481</v>
      </c>
      <c r="J45" s="3">
        <v>2.0558728844196898</v>
      </c>
      <c r="K45" s="3">
        <v>3.3163207590803401</v>
      </c>
      <c r="L45" s="3">
        <v>2.93298881130635</v>
      </c>
      <c r="M45" s="3">
        <v>4.0028194333767901</v>
      </c>
      <c r="N45" s="3">
        <v>3.8997361198477298</v>
      </c>
    </row>
    <row r="46" spans="1:14" x14ac:dyDescent="0.35">
      <c r="A46" s="2">
        <v>43245</v>
      </c>
      <c r="B46" s="3">
        <v>4.21781842953627</v>
      </c>
      <c r="C46" s="3">
        <v>4.67852969101817</v>
      </c>
      <c r="D46" s="3">
        <v>3.0784555797297002</v>
      </c>
      <c r="E46" s="3">
        <v>3.1247405987394701</v>
      </c>
      <c r="F46" s="3">
        <v>2.2427239131794199</v>
      </c>
      <c r="G46" s="3">
        <v>3.49187449598824</v>
      </c>
      <c r="H46" s="3">
        <v>4.3076784458672499</v>
      </c>
      <c r="I46" s="3">
        <v>1.08412595675409</v>
      </c>
      <c r="J46" s="3">
        <v>2.0331625396047199</v>
      </c>
      <c r="K46" s="3">
        <v>3.3072336356364</v>
      </c>
      <c r="L46" s="3">
        <v>2.8808652309889902</v>
      </c>
      <c r="M46" s="3">
        <v>4.0376519831124904</v>
      </c>
      <c r="N46" s="3">
        <v>4.2663193425616397</v>
      </c>
    </row>
    <row r="47" spans="1:14" x14ac:dyDescent="0.35">
      <c r="A47" s="2">
        <v>43278</v>
      </c>
      <c r="B47" s="3">
        <v>4.0261677227833603</v>
      </c>
      <c r="C47" s="3">
        <v>4.6359769011907197</v>
      </c>
      <c r="D47" s="3">
        <v>3.0777724049345001</v>
      </c>
      <c r="E47" s="3">
        <v>3.2584447576582201</v>
      </c>
      <c r="F47" s="3">
        <v>2.3008454015596098</v>
      </c>
      <c r="G47" s="3">
        <v>3.6096379385117401</v>
      </c>
      <c r="H47" s="3">
        <v>4.4185166482098097</v>
      </c>
      <c r="I47" s="3">
        <v>1.0859084204959799</v>
      </c>
      <c r="J47" s="3">
        <v>2.0655485605693999</v>
      </c>
      <c r="K47" s="3">
        <v>3.46103147021805</v>
      </c>
      <c r="L47" s="3">
        <v>2.9354731305020301</v>
      </c>
      <c r="M47" s="3">
        <v>4.17733516668949</v>
      </c>
      <c r="N47" s="3">
        <v>4.5100318776834598</v>
      </c>
    </row>
    <row r="48" spans="1:14" x14ac:dyDescent="0.35">
      <c r="A48" s="2">
        <v>43308</v>
      </c>
      <c r="B48" s="3">
        <v>4.0591369702541504</v>
      </c>
      <c r="C48" s="3">
        <v>4.5473807027983701</v>
      </c>
      <c r="D48" s="3">
        <v>3.07079172608658</v>
      </c>
      <c r="E48" s="3">
        <v>3.1388737739988799</v>
      </c>
      <c r="F48" s="3">
        <v>2.25156992187565</v>
      </c>
      <c r="G48" s="3">
        <v>3.3614143810583399</v>
      </c>
      <c r="H48" s="3">
        <v>4.3874015017216896</v>
      </c>
      <c r="I48" s="3">
        <v>1.09273382555311</v>
      </c>
      <c r="J48" s="3">
        <v>2.0001956530687699</v>
      </c>
      <c r="K48" s="3">
        <v>3.3698291501203301</v>
      </c>
      <c r="L48" s="3">
        <v>2.8459491717604899</v>
      </c>
      <c r="M48" s="3">
        <v>4.0923174210180697</v>
      </c>
      <c r="N48" s="3">
        <v>4.3825683159902002</v>
      </c>
    </row>
    <row r="49" spans="1:14" x14ac:dyDescent="0.35">
      <c r="A49" s="2">
        <v>43339</v>
      </c>
      <c r="B49" s="3">
        <v>3.93290505624039</v>
      </c>
      <c r="C49" s="3">
        <v>4.6430807370196696</v>
      </c>
      <c r="D49" s="3">
        <v>3.0826091480820201</v>
      </c>
      <c r="E49" s="3">
        <v>3.2142625477335098</v>
      </c>
      <c r="F49" s="3">
        <v>2.3206743331940798</v>
      </c>
      <c r="G49" s="3">
        <v>3.39171190901097</v>
      </c>
      <c r="H49" s="3">
        <v>4.5076766492557496</v>
      </c>
      <c r="I49" s="3">
        <v>1.06065433975846</v>
      </c>
      <c r="J49" s="3">
        <v>1.96039431660604</v>
      </c>
      <c r="K49" s="3">
        <v>3.4064182280113</v>
      </c>
      <c r="L49" s="3">
        <v>2.88805668314926</v>
      </c>
      <c r="M49" s="3">
        <v>4.0093557010568599</v>
      </c>
      <c r="N49" s="3">
        <v>4.6382028695087598</v>
      </c>
    </row>
    <row r="50" spans="1:14" x14ac:dyDescent="0.35">
      <c r="A50" s="2">
        <v>43370</v>
      </c>
      <c r="B50" s="3">
        <v>4.00378028540137</v>
      </c>
      <c r="C50" s="3">
        <v>4.7673475600008599</v>
      </c>
      <c r="D50" s="3">
        <v>3.1436096562113498</v>
      </c>
      <c r="E50" s="3">
        <v>3.2762840507818698</v>
      </c>
      <c r="F50" s="3">
        <v>2.2415625013682901</v>
      </c>
      <c r="G50" s="3">
        <v>3.3972294685826601</v>
      </c>
      <c r="H50" s="3">
        <v>4.4840127863394503</v>
      </c>
      <c r="I50" s="3">
        <v>1.05988057173237</v>
      </c>
      <c r="J50" s="3">
        <v>1.9556467103192701</v>
      </c>
      <c r="K50" s="3">
        <v>3.4002150117210301</v>
      </c>
      <c r="L50" s="3">
        <v>2.9928522059060998</v>
      </c>
      <c r="M50" s="3">
        <v>3.9977264329477298</v>
      </c>
      <c r="N50" s="3">
        <v>4.5304503647115704</v>
      </c>
    </row>
    <row r="51" spans="1:14" x14ac:dyDescent="0.35">
      <c r="A51" s="2">
        <v>43399</v>
      </c>
      <c r="B51" s="3">
        <v>4.3860737930646199</v>
      </c>
      <c r="C51" s="3">
        <v>5.2097459136575202</v>
      </c>
      <c r="D51" s="3">
        <v>3.45289813058303</v>
      </c>
      <c r="E51" s="3">
        <v>3.6315685407922</v>
      </c>
      <c r="F51" s="3">
        <v>2.5297122309419899</v>
      </c>
      <c r="G51" s="3">
        <v>3.6281172865429001</v>
      </c>
      <c r="H51" s="3">
        <v>4.95942358424014</v>
      </c>
      <c r="I51" s="3">
        <v>1.2006494946614801</v>
      </c>
      <c r="J51" s="3">
        <v>2.1645228401685199</v>
      </c>
      <c r="K51" s="3">
        <v>3.79993301081582</v>
      </c>
      <c r="L51" s="3">
        <v>3.26781195888478</v>
      </c>
      <c r="M51" s="3">
        <v>4.5075208652277601</v>
      </c>
      <c r="N51" s="3">
        <v>5.1551153124638898</v>
      </c>
    </row>
    <row r="52" spans="1:14" x14ac:dyDescent="0.35">
      <c r="A52" s="2">
        <v>43431</v>
      </c>
      <c r="B52" s="3">
        <v>4.3135458782039402</v>
      </c>
      <c r="C52" s="3">
        <v>5.2539526634349896</v>
      </c>
      <c r="D52" s="3">
        <v>3.4483739114651399</v>
      </c>
      <c r="E52" s="3">
        <v>3.65662735376532</v>
      </c>
      <c r="F52" s="3">
        <v>2.4932347278281699</v>
      </c>
      <c r="G52" s="3">
        <v>3.56216523949535</v>
      </c>
      <c r="H52" s="3">
        <v>4.9567083566604504</v>
      </c>
      <c r="I52" s="3">
        <v>1.2334764103482301</v>
      </c>
      <c r="J52" s="3">
        <v>2.1425253914762101</v>
      </c>
      <c r="K52" s="3">
        <v>3.8086099107794298</v>
      </c>
      <c r="L52" s="3">
        <v>3.2284728679393502</v>
      </c>
      <c r="M52" s="3">
        <v>4.5158842877145302</v>
      </c>
      <c r="N52" s="3">
        <v>5.1196250501766496</v>
      </c>
    </row>
    <row r="53" spans="1:14" x14ac:dyDescent="0.35">
      <c r="A53" s="2">
        <v>43461</v>
      </c>
      <c r="B53" s="3">
        <v>4.1839670354587097</v>
      </c>
      <c r="C53" s="3">
        <v>5.40609609837683</v>
      </c>
      <c r="D53" s="3">
        <v>3.6396775306332798</v>
      </c>
      <c r="E53" s="3">
        <v>4.0264135034401898</v>
      </c>
      <c r="F53" s="3">
        <v>2.7381239491390801</v>
      </c>
      <c r="G53" s="3">
        <v>3.8048206221171199</v>
      </c>
      <c r="H53" s="3">
        <v>5.4597817995428999</v>
      </c>
      <c r="I53" s="3">
        <v>1.3276455080695699</v>
      </c>
      <c r="J53" s="3">
        <v>2.3345145597296</v>
      </c>
      <c r="K53" s="3">
        <v>4.1182907938660298</v>
      </c>
      <c r="L53" s="3">
        <v>3.5421385938827301</v>
      </c>
      <c r="M53" s="3">
        <v>4.8402820502796002</v>
      </c>
      <c r="N53" s="3">
        <v>5.5218628468801798</v>
      </c>
    </row>
    <row r="54" spans="1:14" x14ac:dyDescent="0.35">
      <c r="A54" s="2">
        <v>43490</v>
      </c>
      <c r="B54" s="3">
        <v>4.0422000709048396</v>
      </c>
      <c r="C54" s="3">
        <v>5.0811575641348297</v>
      </c>
      <c r="D54" s="3">
        <v>3.3616518774292401</v>
      </c>
      <c r="E54" s="3">
        <v>3.6735671514594301</v>
      </c>
      <c r="F54" s="3">
        <v>2.6322841690557399</v>
      </c>
      <c r="G54" s="3">
        <v>3.4883139183887502</v>
      </c>
      <c r="H54" s="3">
        <v>5.1781797540085304</v>
      </c>
      <c r="I54" s="3">
        <v>1.2385091259910199</v>
      </c>
      <c r="J54" s="3">
        <v>2.1899100356641501</v>
      </c>
      <c r="K54" s="3">
        <v>3.8417315356205899</v>
      </c>
      <c r="L54" s="3">
        <v>3.2833214080870499</v>
      </c>
      <c r="M54" s="3">
        <v>4.4045256580055296</v>
      </c>
      <c r="N54" s="3">
        <v>5.0674420678767103</v>
      </c>
    </row>
    <row r="55" spans="1:14" x14ac:dyDescent="0.35">
      <c r="A55" s="2">
        <v>43523</v>
      </c>
      <c r="B55" s="3">
        <v>3.9776204553159902</v>
      </c>
      <c r="C55" s="3">
        <v>4.9332388192760401</v>
      </c>
      <c r="D55" s="3">
        <v>3.2519574962121398</v>
      </c>
      <c r="E55" s="3">
        <v>3.6226107385792998</v>
      </c>
      <c r="F55" s="3">
        <v>2.5474588475427402</v>
      </c>
      <c r="G55" s="3">
        <v>3.3329411133918301</v>
      </c>
      <c r="H55" s="3">
        <v>4.9426807195037004</v>
      </c>
      <c r="I55" s="3">
        <v>1.17455148459093</v>
      </c>
      <c r="J55" s="3">
        <v>2.1012779460055802</v>
      </c>
      <c r="K55" s="3">
        <v>3.65496490624369</v>
      </c>
      <c r="L55" s="3">
        <v>3.1295935777920301</v>
      </c>
      <c r="M55" s="3">
        <v>4.1513080941556098</v>
      </c>
      <c r="N55" s="3">
        <v>4.8550342158842898</v>
      </c>
    </row>
    <row r="56" spans="1:14" x14ac:dyDescent="0.35">
      <c r="A56" s="2">
        <v>43551</v>
      </c>
      <c r="B56" s="3">
        <v>3.8136599769717199</v>
      </c>
      <c r="C56" s="3">
        <v>4.9888105476998499</v>
      </c>
      <c r="D56" s="3">
        <v>3.2797246532411299</v>
      </c>
      <c r="E56" s="3">
        <v>3.62821826851297</v>
      </c>
      <c r="F56" s="3">
        <v>2.5712851370213299</v>
      </c>
      <c r="G56" s="3">
        <v>3.35221700582251</v>
      </c>
      <c r="H56" s="3">
        <v>4.9400563593137496</v>
      </c>
      <c r="I56" s="3">
        <v>1.14942800975148</v>
      </c>
      <c r="J56" s="3">
        <v>2.10639138750498</v>
      </c>
      <c r="K56" s="3">
        <v>3.6374921590331599</v>
      </c>
      <c r="L56" s="3">
        <v>3.08265591965006</v>
      </c>
      <c r="M56" s="3">
        <v>4.1777609803136304</v>
      </c>
      <c r="N56" s="3">
        <v>4.6920428713331397</v>
      </c>
    </row>
    <row r="57" spans="1:14" x14ac:dyDescent="0.35">
      <c r="A57" s="2">
        <v>43581</v>
      </c>
      <c r="B57" s="3">
        <v>3.6946858763509698</v>
      </c>
      <c r="C57" s="3">
        <v>4.8241955723794296</v>
      </c>
      <c r="D57" s="3">
        <v>3.17756322093136</v>
      </c>
      <c r="E57" s="3">
        <v>3.3910146121107099</v>
      </c>
      <c r="F57" s="3">
        <v>2.5640880388891101</v>
      </c>
      <c r="G57" s="3">
        <v>3.2574867296927201</v>
      </c>
      <c r="H57" s="3">
        <v>4.8512743048979399</v>
      </c>
      <c r="I57" s="3">
        <v>1.08623572906665</v>
      </c>
      <c r="J57" s="3">
        <v>2.0276678188305901</v>
      </c>
      <c r="K57" s="3">
        <v>3.4785846522685602</v>
      </c>
      <c r="L57" s="3">
        <v>2.9731074703266001</v>
      </c>
      <c r="M57" s="3">
        <v>3.9630835872824099</v>
      </c>
      <c r="N57" s="3">
        <v>4.6484628029274404</v>
      </c>
    </row>
    <row r="58" spans="1:14" x14ac:dyDescent="0.35">
      <c r="A58" s="2">
        <v>43609</v>
      </c>
      <c r="B58" s="3">
        <v>3.6666451640195299</v>
      </c>
      <c r="C58" s="3">
        <v>4.7983965029072602</v>
      </c>
      <c r="D58" s="3">
        <v>3.3424537769329699</v>
      </c>
      <c r="E58" s="3">
        <v>3.5962988092082999</v>
      </c>
      <c r="F58" s="3">
        <v>2.69499000610706</v>
      </c>
      <c r="G58" s="3">
        <v>3.2846983871066202</v>
      </c>
      <c r="H58" s="3">
        <v>4.9283810063294302</v>
      </c>
      <c r="I58" s="3">
        <v>1.16801979339755</v>
      </c>
      <c r="J58" s="3">
        <v>2.11801994786456</v>
      </c>
      <c r="K58" s="3">
        <v>3.65358853813825</v>
      </c>
      <c r="L58" s="3">
        <v>3.1098546512917999</v>
      </c>
      <c r="M58" s="3">
        <v>4.2887993002306501</v>
      </c>
      <c r="N58" s="3">
        <v>4.9736343492652599</v>
      </c>
    </row>
    <row r="59" spans="1:14" x14ac:dyDescent="0.35">
      <c r="A59" s="2">
        <v>43643</v>
      </c>
      <c r="B59" s="3">
        <v>3.5878512248421801</v>
      </c>
      <c r="C59" s="3">
        <v>4.5829707740842398</v>
      </c>
      <c r="D59" s="3">
        <v>3.3359380286756899</v>
      </c>
      <c r="E59" s="3">
        <v>3.5264615824711001</v>
      </c>
      <c r="F59" s="3">
        <v>2.6795312698637401</v>
      </c>
      <c r="G59" s="3">
        <v>3.2301201970103302</v>
      </c>
      <c r="H59" s="3">
        <v>4.8049596927765599</v>
      </c>
      <c r="I59" s="3">
        <v>1.1157634525216999</v>
      </c>
      <c r="J59" s="3">
        <v>2.05986525014404</v>
      </c>
      <c r="K59" s="3">
        <v>3.5558152152092699</v>
      </c>
      <c r="L59" s="3">
        <v>3.03397414049646</v>
      </c>
      <c r="M59" s="3">
        <v>4.1483302548630903</v>
      </c>
      <c r="N59" s="3">
        <v>4.8706032302853401</v>
      </c>
    </row>
    <row r="60" spans="1:14" x14ac:dyDescent="0.35">
      <c r="A60" s="2">
        <v>43672</v>
      </c>
      <c r="B60" s="3">
        <v>3.4178013896589801</v>
      </c>
      <c r="C60" s="3">
        <v>4.5301883556159002</v>
      </c>
      <c r="D60" s="3">
        <v>3.3183365863833898</v>
      </c>
      <c r="E60" s="3">
        <v>3.4077204018306899</v>
      </c>
      <c r="F60" s="3">
        <v>2.6569840972415899</v>
      </c>
      <c r="G60" s="3">
        <v>3.2191532941858698</v>
      </c>
      <c r="H60" s="3">
        <v>4.7953903319433104</v>
      </c>
      <c r="I60" s="3">
        <v>1.07165789970463</v>
      </c>
      <c r="J60" s="3">
        <v>2.0017979579782499</v>
      </c>
      <c r="K60" s="3">
        <v>3.49586977148978</v>
      </c>
      <c r="L60" s="3">
        <v>2.88271115152012</v>
      </c>
      <c r="M60" s="3">
        <v>4.0238467455594904</v>
      </c>
      <c r="N60" s="3">
        <v>4.72456656508602</v>
      </c>
    </row>
    <row r="61" spans="1:14" x14ac:dyDescent="0.35">
      <c r="A61" s="2">
        <v>43704</v>
      </c>
      <c r="B61" s="3">
        <v>3.4629470295120299</v>
      </c>
      <c r="C61" s="3">
        <v>4.6891666816000601</v>
      </c>
      <c r="D61" s="3">
        <v>3.4406637260438302</v>
      </c>
      <c r="E61" s="3">
        <v>3.5821245784737799</v>
      </c>
      <c r="F61" s="3">
        <v>2.7928107576676102</v>
      </c>
      <c r="G61" s="3">
        <v>3.2719458308799299</v>
      </c>
      <c r="H61" s="3">
        <v>5.1330245532216603</v>
      </c>
      <c r="I61" s="3">
        <v>1.13587552958511</v>
      </c>
      <c r="J61" s="3">
        <v>2.1202974951981401</v>
      </c>
      <c r="K61" s="3">
        <v>3.65949644391578</v>
      </c>
      <c r="L61" s="3">
        <v>3.02213514990272</v>
      </c>
      <c r="M61" s="3">
        <v>4.2829343295588398</v>
      </c>
      <c r="N61" s="3">
        <v>4.9467522398285899</v>
      </c>
    </row>
    <row r="62" spans="1:14" x14ac:dyDescent="0.35">
      <c r="A62" s="2">
        <v>43735</v>
      </c>
      <c r="B62" s="3">
        <v>3.37937427518384</v>
      </c>
      <c r="C62" s="3">
        <v>4.4281010788262396</v>
      </c>
      <c r="D62" s="3">
        <v>3.3268529779654998</v>
      </c>
      <c r="E62" s="3">
        <v>3.40266575427458</v>
      </c>
      <c r="F62" s="3">
        <v>2.597275251738</v>
      </c>
      <c r="G62" s="3">
        <v>3.2060075925750402</v>
      </c>
      <c r="H62" s="3">
        <v>4.8724066702733104</v>
      </c>
      <c r="I62" s="3">
        <v>1.1464699417848301</v>
      </c>
      <c r="J62" s="3">
        <v>2.06091678664029</v>
      </c>
      <c r="K62" s="3">
        <v>3.5086238433772601</v>
      </c>
      <c r="L62" s="3">
        <v>2.7551650485113099</v>
      </c>
      <c r="M62" s="3">
        <v>3.9046309522073201</v>
      </c>
      <c r="N62" s="3">
        <v>4.7435282005886696</v>
      </c>
    </row>
    <row r="63" spans="1:14" x14ac:dyDescent="0.35">
      <c r="A63" s="2">
        <v>43763</v>
      </c>
      <c r="B63" s="3">
        <v>3.3848204009677598</v>
      </c>
      <c r="C63" s="3">
        <v>4.3624519330169997</v>
      </c>
      <c r="D63" s="3">
        <v>3.3696647402792999</v>
      </c>
      <c r="E63" s="3">
        <v>3.2740862452611701</v>
      </c>
      <c r="F63" s="3">
        <v>2.5405221632792001</v>
      </c>
      <c r="G63" s="3">
        <v>3.1715560567542198</v>
      </c>
      <c r="H63" s="3">
        <v>4.8242497853803599</v>
      </c>
      <c r="I63" s="3">
        <v>1.1104985154679501</v>
      </c>
      <c r="J63" s="3">
        <v>2.03424956163611</v>
      </c>
      <c r="K63" s="3">
        <v>3.4595144044302701</v>
      </c>
      <c r="L63" s="3">
        <v>2.7306798803697498</v>
      </c>
      <c r="M63" s="3">
        <v>3.7067610896716898</v>
      </c>
      <c r="N63" s="3">
        <v>4.6520091869842197</v>
      </c>
    </row>
    <row r="64" spans="1:14" x14ac:dyDescent="0.35">
      <c r="A64" s="2">
        <v>43796</v>
      </c>
      <c r="B64" s="3">
        <v>3.2798360695558402</v>
      </c>
      <c r="C64" s="3">
        <v>4.2693570333769397</v>
      </c>
      <c r="D64" s="3">
        <v>3.2310918925107002</v>
      </c>
      <c r="E64" s="3">
        <v>3.0844569278076102</v>
      </c>
      <c r="F64" s="3">
        <v>2.4558599482427299</v>
      </c>
      <c r="G64" s="3">
        <v>3.08427872313246</v>
      </c>
      <c r="H64" s="3">
        <v>4.7148881479789697</v>
      </c>
      <c r="I64" s="3">
        <v>1.0869386225961799</v>
      </c>
      <c r="J64" s="3">
        <v>1.9673831238834001</v>
      </c>
      <c r="K64" s="3">
        <v>3.3646994595501698</v>
      </c>
      <c r="L64" s="3">
        <v>2.6426193761780401</v>
      </c>
      <c r="M64" s="3">
        <v>3.6904394650825201</v>
      </c>
      <c r="N64" s="3">
        <v>4.5297825190118104</v>
      </c>
    </row>
    <row r="65" spans="1:14" x14ac:dyDescent="0.35">
      <c r="A65" s="2">
        <v>43826</v>
      </c>
      <c r="B65" s="3">
        <v>3.14079418403057</v>
      </c>
      <c r="C65" s="3">
        <v>4.2324518177413903</v>
      </c>
      <c r="D65" s="3">
        <v>3.2416019672710701</v>
      </c>
      <c r="E65" s="3">
        <v>3.0773504787497101</v>
      </c>
      <c r="F65" s="3">
        <v>2.4260793734539301</v>
      </c>
      <c r="G65" s="3">
        <v>3.0174494916088199</v>
      </c>
      <c r="H65" s="3">
        <v>4.5343839261641099</v>
      </c>
      <c r="I65" s="3">
        <v>1.0630796824966899</v>
      </c>
      <c r="J65" s="3">
        <v>1.9265942904275399</v>
      </c>
      <c r="K65" s="3">
        <v>3.3207556896252499</v>
      </c>
      <c r="L65" s="3">
        <v>2.5738621901291299</v>
      </c>
      <c r="M65" s="3">
        <v>3.5683964293280499</v>
      </c>
      <c r="N65" s="3">
        <v>4.4469321696564403</v>
      </c>
    </row>
    <row r="66" spans="1:14" x14ac:dyDescent="0.35">
      <c r="A66" s="2">
        <v>43857</v>
      </c>
      <c r="B66" s="3">
        <v>3.0828564991684901</v>
      </c>
      <c r="C66" s="3">
        <v>4.1285200603691097</v>
      </c>
      <c r="D66" s="3">
        <v>3.2481448972902398</v>
      </c>
      <c r="E66" s="3">
        <v>3.1066648291713501</v>
      </c>
      <c r="F66" s="3">
        <v>2.4750252929830099</v>
      </c>
      <c r="G66" s="3">
        <v>3.0192859812124802</v>
      </c>
      <c r="H66" s="3">
        <v>4.6883476430581803</v>
      </c>
      <c r="I66" s="3">
        <v>1.04754550324398</v>
      </c>
      <c r="J66" s="3">
        <v>1.93871549239893</v>
      </c>
      <c r="K66" s="3">
        <v>3.40950462009623</v>
      </c>
      <c r="L66" s="3">
        <v>2.66406730017246</v>
      </c>
      <c r="M66" s="3">
        <v>3.62734160055287</v>
      </c>
      <c r="N66" s="3">
        <v>4.5755366275599698</v>
      </c>
    </row>
    <row r="67" spans="1:14" x14ac:dyDescent="0.35">
      <c r="A67" s="2">
        <v>43888</v>
      </c>
      <c r="B67" s="3">
        <v>3.1283356002947902</v>
      </c>
      <c r="C67" s="3">
        <v>4.3299969670691301</v>
      </c>
      <c r="D67" s="3">
        <v>3.4544522629622101</v>
      </c>
      <c r="E67" s="3">
        <v>3.3202564823767799</v>
      </c>
      <c r="F67" s="3">
        <v>2.6606934873695902</v>
      </c>
      <c r="G67" s="3">
        <v>3.1864049962020999</v>
      </c>
      <c r="H67" s="3">
        <v>5.1502166556660898</v>
      </c>
      <c r="I67" s="3">
        <v>1.1198082407334899</v>
      </c>
      <c r="J67" s="3">
        <v>2.1274578829010999</v>
      </c>
      <c r="K67" s="3">
        <v>3.6015301350136202</v>
      </c>
      <c r="L67" s="3">
        <v>2.7833000751858901</v>
      </c>
      <c r="M67" s="3">
        <v>3.7221537722623901</v>
      </c>
      <c r="N67" s="3">
        <v>4.8156562918043999</v>
      </c>
    </row>
    <row r="68" spans="1:14" x14ac:dyDescent="0.35">
      <c r="A68" s="2">
        <v>43917</v>
      </c>
      <c r="B68" s="3">
        <v>3.44708922141302</v>
      </c>
      <c r="C68" s="3">
        <v>5.57965878441175</v>
      </c>
      <c r="D68" s="3">
        <v>4.5668817703100499</v>
      </c>
      <c r="E68" s="3">
        <v>4.05034714806665</v>
      </c>
      <c r="F68" s="3">
        <v>2.8719650953409301</v>
      </c>
      <c r="G68" s="3">
        <v>3.6033958334493801</v>
      </c>
      <c r="H68" s="3">
        <v>6.4018013341814397</v>
      </c>
      <c r="I68" s="3">
        <v>1.24822689425736</v>
      </c>
      <c r="J68" s="3">
        <v>2.47778136080602</v>
      </c>
      <c r="K68" s="3">
        <v>4.3959183982075398</v>
      </c>
      <c r="L68" s="3">
        <v>3.4064605063791098</v>
      </c>
      <c r="M68" s="3">
        <v>4.3606118669496903</v>
      </c>
      <c r="N68" s="3">
        <v>6.3224917830841099</v>
      </c>
    </row>
    <row r="69" spans="1:14" x14ac:dyDescent="0.35">
      <c r="A69" s="2">
        <v>43948</v>
      </c>
      <c r="B69" s="3">
        <v>2.7573510585808201</v>
      </c>
      <c r="C69" s="3">
        <v>4.1663128478037201</v>
      </c>
      <c r="D69" s="3">
        <v>3.9265555286849101</v>
      </c>
      <c r="E69" s="3">
        <v>3.42122100979668</v>
      </c>
      <c r="F69" s="3">
        <v>2.83028760639165</v>
      </c>
      <c r="G69" s="3">
        <v>3.2897836521313999</v>
      </c>
      <c r="H69" s="3">
        <v>5.3769445744676601</v>
      </c>
      <c r="I69" s="3">
        <v>1.0666745846991099</v>
      </c>
      <c r="J69" s="3">
        <v>2.1296782634635099</v>
      </c>
      <c r="K69" s="3">
        <v>3.6557928732158</v>
      </c>
      <c r="L69" s="3">
        <v>2.7724916749688902</v>
      </c>
      <c r="M69" s="3">
        <v>3.38879636460881</v>
      </c>
      <c r="N69" s="3">
        <v>5.4583908677759201</v>
      </c>
    </row>
    <row r="70" spans="1:14" x14ac:dyDescent="0.35">
      <c r="A70" s="2">
        <v>43978</v>
      </c>
      <c r="B70" s="3">
        <v>2.46022815166799</v>
      </c>
      <c r="C70" s="3">
        <v>3.5650984990486498</v>
      </c>
      <c r="D70" s="3">
        <v>3.6154970841268499</v>
      </c>
      <c r="E70" s="3">
        <v>3.1014602770756001</v>
      </c>
      <c r="F70" s="3">
        <v>2.6135683113946002</v>
      </c>
      <c r="G70" s="3">
        <v>3.2121780523129702</v>
      </c>
      <c r="H70" s="3">
        <v>4.2296836868734298</v>
      </c>
      <c r="I70" s="3">
        <v>0.98232473773604001</v>
      </c>
      <c r="J70" s="3">
        <v>1.99050507871232</v>
      </c>
      <c r="K70" s="3">
        <v>3.3458233910958599</v>
      </c>
      <c r="L70" s="3">
        <v>2.50112834208235</v>
      </c>
      <c r="M70" s="3">
        <v>3.1715042537686799</v>
      </c>
      <c r="N70" s="3">
        <v>4.7286923718371199</v>
      </c>
    </row>
    <row r="71" spans="1:14" x14ac:dyDescent="0.35">
      <c r="A71" s="2">
        <v>44008</v>
      </c>
      <c r="B71" s="3">
        <v>2.5645785273520199</v>
      </c>
      <c r="C71" s="3">
        <v>3.4848758835211502</v>
      </c>
      <c r="D71" s="3">
        <v>3.6279989937272901</v>
      </c>
      <c r="E71" s="3">
        <v>2.9699923231035399</v>
      </c>
      <c r="F71" s="3">
        <v>2.4785365005050202</v>
      </c>
      <c r="G71" s="3">
        <v>3.0998295707782599</v>
      </c>
      <c r="H71" s="3">
        <v>4.17210476398723</v>
      </c>
      <c r="I71" s="3">
        <v>0.94107598205898502</v>
      </c>
      <c r="J71" s="3">
        <v>1.9933258365031601</v>
      </c>
      <c r="K71" s="3">
        <v>3.1834549719541601</v>
      </c>
      <c r="L71" s="3">
        <v>2.39351188293154</v>
      </c>
      <c r="M71" s="3">
        <v>3.0707531081897401</v>
      </c>
      <c r="N71" s="3">
        <v>4.4130319974047998</v>
      </c>
    </row>
    <row r="72" spans="1:14" x14ac:dyDescent="0.35">
      <c r="A72" s="2">
        <v>44039</v>
      </c>
      <c r="B72" s="3">
        <v>2.4447847906892899</v>
      </c>
      <c r="C72" s="3">
        <v>3.42767296943713</v>
      </c>
      <c r="D72" s="3">
        <v>3.4201616963942199</v>
      </c>
      <c r="E72" s="3">
        <v>2.82853202987787</v>
      </c>
      <c r="F72" s="3">
        <v>2.4786554988609901</v>
      </c>
      <c r="G72" s="3">
        <v>2.9443138258155401</v>
      </c>
      <c r="H72" s="3">
        <v>4.0771360225637103</v>
      </c>
      <c r="I72" s="3">
        <v>0.87111558856603499</v>
      </c>
      <c r="J72" s="3">
        <v>1.8342988598735399</v>
      </c>
      <c r="K72" s="3">
        <v>3.1343980491198802</v>
      </c>
      <c r="L72" s="3">
        <v>2.3407242864839</v>
      </c>
      <c r="M72" s="3">
        <v>2.9799424225862001</v>
      </c>
      <c r="N72" s="3">
        <v>4.3035472773567296</v>
      </c>
    </row>
    <row r="73" spans="1:14" x14ac:dyDescent="0.35">
      <c r="A73" s="2">
        <v>44070</v>
      </c>
      <c r="B73" s="3">
        <v>2.2918314078651698</v>
      </c>
      <c r="C73" s="3">
        <v>3.3809788274687702</v>
      </c>
      <c r="D73" s="3">
        <v>3.3017369543842299</v>
      </c>
      <c r="E73" s="3">
        <v>2.7816514914263601</v>
      </c>
      <c r="F73" s="3">
        <v>2.3847512864967202</v>
      </c>
      <c r="G73" s="3">
        <v>2.9338243739177399</v>
      </c>
      <c r="H73" s="3">
        <v>4.0497363103620501</v>
      </c>
      <c r="I73" s="3">
        <v>0.78085721236100503</v>
      </c>
      <c r="J73" s="3">
        <v>1.7110072181679701</v>
      </c>
      <c r="K73" s="3">
        <v>3.1067739966432999</v>
      </c>
      <c r="L73" s="3">
        <v>2.2855843176731501</v>
      </c>
      <c r="M73" s="3">
        <v>2.97115311380785</v>
      </c>
      <c r="N73" s="3">
        <v>3.9999996027350102</v>
      </c>
    </row>
    <row r="74" spans="1:14" x14ac:dyDescent="0.35">
      <c r="A74" s="2">
        <v>44099</v>
      </c>
      <c r="B74" s="3">
        <v>2.4310414979994901</v>
      </c>
      <c r="C74" s="3">
        <v>3.6016447288023699</v>
      </c>
      <c r="D74" s="3">
        <v>3.45705584137625</v>
      </c>
      <c r="E74" s="3">
        <v>2.9543745167733402</v>
      </c>
      <c r="F74" s="3">
        <v>2.38059250682507</v>
      </c>
      <c r="G74" s="3">
        <v>2.9873299500778798</v>
      </c>
      <c r="H74" s="3">
        <v>4.2623383932901504</v>
      </c>
      <c r="I74" s="3">
        <v>0.83772379037797595</v>
      </c>
      <c r="J74" s="3">
        <v>1.80702702857506</v>
      </c>
      <c r="K74" s="3">
        <v>3.3464852632908699</v>
      </c>
      <c r="L74" s="3">
        <v>2.3990983246564301</v>
      </c>
      <c r="M74" s="3">
        <v>3.0681418054877199</v>
      </c>
      <c r="N74" s="3">
        <v>4.2625264102260401</v>
      </c>
    </row>
    <row r="75" spans="1:14" x14ac:dyDescent="0.35">
      <c r="A75" s="2">
        <v>44131</v>
      </c>
      <c r="B75" s="3">
        <v>2.4039424423621298</v>
      </c>
      <c r="C75" s="3">
        <v>3.6645962393338301</v>
      </c>
      <c r="D75" s="3">
        <v>3.4898003338255799</v>
      </c>
      <c r="E75" s="3">
        <v>3.0554926208198001</v>
      </c>
      <c r="F75" s="3">
        <v>2.40441452026054</v>
      </c>
      <c r="G75" s="3">
        <v>3.0439050571964299</v>
      </c>
      <c r="H75" s="3">
        <v>4.4342335049857704</v>
      </c>
      <c r="I75" s="3">
        <v>0.81794807015557003</v>
      </c>
      <c r="J75" s="3">
        <v>1.76597381810325</v>
      </c>
      <c r="K75" s="3">
        <v>3.3390575270319598</v>
      </c>
      <c r="L75" s="3">
        <v>2.3548023897535799</v>
      </c>
      <c r="M75" s="3">
        <v>3.2239675568322501</v>
      </c>
      <c r="N75" s="3">
        <v>4.3310417649995703</v>
      </c>
    </row>
    <row r="76" spans="1:14" x14ac:dyDescent="0.35">
      <c r="A76" s="2">
        <v>44162</v>
      </c>
      <c r="B76" s="3">
        <v>2.44193551866225</v>
      </c>
      <c r="C76" s="3">
        <v>3.4687711916757999</v>
      </c>
      <c r="D76" s="3">
        <v>3.1723628221026199</v>
      </c>
      <c r="E76" s="3">
        <v>2.81345230526804</v>
      </c>
      <c r="F76" s="3">
        <v>2.1668641688677099</v>
      </c>
      <c r="G76" s="3">
        <v>2.8825707240893101</v>
      </c>
      <c r="H76" s="3">
        <v>3.9859630558838899</v>
      </c>
      <c r="I76" s="3">
        <v>0.77352551801385006</v>
      </c>
      <c r="J76" s="3">
        <v>1.64990023620791</v>
      </c>
      <c r="K76" s="3">
        <v>2.8659411257841301</v>
      </c>
      <c r="L76" s="3">
        <v>2.1523524163442298</v>
      </c>
      <c r="M76" s="3">
        <v>2.9842301616616198</v>
      </c>
      <c r="N76" s="3">
        <v>3.8705919391985901</v>
      </c>
    </row>
    <row r="77" spans="1:14" x14ac:dyDescent="0.35">
      <c r="A77" s="2">
        <v>44189</v>
      </c>
      <c r="B77" s="3">
        <v>2.3981791453064401</v>
      </c>
      <c r="C77" s="3">
        <v>3.5444162890139599</v>
      </c>
      <c r="D77" s="3">
        <v>3.1012833068221202</v>
      </c>
      <c r="E77" s="3">
        <v>2.7403738149908099</v>
      </c>
      <c r="F77" s="3">
        <v>2.1765297357633799</v>
      </c>
      <c r="G77" s="3">
        <v>2.8989386327382398</v>
      </c>
      <c r="H77" s="3">
        <v>3.9222346574171998</v>
      </c>
      <c r="I77" s="3">
        <v>0.79003455413423596</v>
      </c>
      <c r="J77" s="3">
        <v>1.59893301247311</v>
      </c>
      <c r="K77" s="3">
        <v>2.9441017578906599</v>
      </c>
      <c r="L77" s="3">
        <v>2.0111524500768501</v>
      </c>
      <c r="M77" s="3">
        <v>3.1131626665844001</v>
      </c>
      <c r="N77" s="3">
        <v>3.94607956638372</v>
      </c>
    </row>
    <row r="78" spans="1:14" x14ac:dyDescent="0.35">
      <c r="A78" s="2">
        <v>44223</v>
      </c>
      <c r="B78" s="3">
        <v>2.4153534475852498</v>
      </c>
      <c r="C78" s="3">
        <v>3.5516922547641001</v>
      </c>
      <c r="D78" s="3">
        <v>3.1440040085668102</v>
      </c>
      <c r="E78" s="3">
        <v>2.7757441513096999</v>
      </c>
      <c r="F78" s="3">
        <v>2.0863278093342599</v>
      </c>
      <c r="G78" s="3">
        <v>2.80983464954297</v>
      </c>
      <c r="H78" s="3">
        <v>3.9799413953025802</v>
      </c>
      <c r="I78" s="3">
        <v>0.77148681127913099</v>
      </c>
      <c r="J78" s="3">
        <v>1.5877639849410501</v>
      </c>
      <c r="K78" s="3">
        <v>2.9931124055712099</v>
      </c>
      <c r="L78" s="3">
        <v>2.0163654852912001</v>
      </c>
      <c r="M78" s="3">
        <v>2.9959931460879901</v>
      </c>
      <c r="N78" s="3">
        <v>4.1492473284989302</v>
      </c>
    </row>
    <row r="79" spans="1:14" x14ac:dyDescent="0.35">
      <c r="A79" s="2">
        <v>44253</v>
      </c>
      <c r="B79" s="3">
        <v>2.6390537541132901</v>
      </c>
      <c r="C79" s="3">
        <v>3.9257667662464799</v>
      </c>
      <c r="D79" s="3">
        <v>2.9804457227924002</v>
      </c>
      <c r="E79" s="3">
        <v>2.84200926461744</v>
      </c>
      <c r="F79" s="3">
        <v>2.12331496657383</v>
      </c>
      <c r="G79" s="3">
        <v>2.91272826287135</v>
      </c>
      <c r="H79" s="3">
        <v>4.0687187592258498</v>
      </c>
      <c r="I79" s="3">
        <v>0.79186470282851296</v>
      </c>
      <c r="J79" s="3">
        <v>1.5792533927719701</v>
      </c>
      <c r="K79" s="3">
        <v>2.88006278463723</v>
      </c>
      <c r="L79" s="3">
        <v>2.0089015450111498</v>
      </c>
      <c r="M79" s="3">
        <v>2.9905458544825101</v>
      </c>
      <c r="N79" s="3">
        <v>4.1215827209711202</v>
      </c>
    </row>
    <row r="80" spans="1:14" x14ac:dyDescent="0.35">
      <c r="A80" s="2">
        <v>44281</v>
      </c>
      <c r="B80" s="3">
        <v>2.60452674752452</v>
      </c>
      <c r="C80" s="3">
        <v>3.9597550554337002</v>
      </c>
      <c r="D80" s="3">
        <v>2.8488607074519101</v>
      </c>
      <c r="E80" s="3">
        <v>2.75160039071943</v>
      </c>
      <c r="F80" s="3">
        <v>2.0406660248738602</v>
      </c>
      <c r="G80" s="3">
        <v>2.7973695367118201</v>
      </c>
      <c r="H80" s="3">
        <v>4.0334396133860304</v>
      </c>
      <c r="I80" s="3">
        <v>0.79007808429917004</v>
      </c>
      <c r="J80" s="3">
        <v>1.5202354700671299</v>
      </c>
      <c r="K80" s="3">
        <v>2.7825773910890099</v>
      </c>
      <c r="L80" s="3">
        <v>1.9646446099352901</v>
      </c>
      <c r="M80" s="3">
        <v>2.7595488793940302</v>
      </c>
      <c r="N80" s="3">
        <v>4.03481708851624</v>
      </c>
    </row>
    <row r="81" spans="1:14" x14ac:dyDescent="0.35">
      <c r="A81" s="2">
        <v>44313</v>
      </c>
      <c r="B81" s="3">
        <v>2.58176965498938</v>
      </c>
      <c r="C81" s="3">
        <v>3.9185192013407502</v>
      </c>
      <c r="D81" s="3">
        <v>2.75840167084207</v>
      </c>
      <c r="E81" s="3">
        <v>2.7321238130677798</v>
      </c>
      <c r="F81" s="3">
        <v>2.14536295987959</v>
      </c>
      <c r="G81" s="3">
        <v>2.7530866630047099</v>
      </c>
      <c r="H81" s="3">
        <v>3.96669329756191</v>
      </c>
      <c r="I81" s="3">
        <v>0.740199295738312</v>
      </c>
      <c r="J81" s="3">
        <v>1.4569290208910901</v>
      </c>
      <c r="K81" s="3">
        <v>2.6968308375967101</v>
      </c>
      <c r="L81" s="3">
        <v>1.91667816653069</v>
      </c>
      <c r="M81" s="3">
        <v>2.7562725713981902</v>
      </c>
      <c r="N81" s="3">
        <v>4.1331065938460299</v>
      </c>
    </row>
    <row r="82" spans="1:14" x14ac:dyDescent="0.35">
      <c r="A82" s="2">
        <v>44343</v>
      </c>
      <c r="B82" s="3">
        <v>2.72906450683982</v>
      </c>
      <c r="C82" s="3">
        <v>3.9362124189643501</v>
      </c>
      <c r="D82" s="3">
        <v>2.6702985968283302</v>
      </c>
      <c r="E82" s="3">
        <v>2.8437527488321299</v>
      </c>
      <c r="F82" s="3">
        <v>2.1844222283085899</v>
      </c>
      <c r="G82" s="3">
        <v>2.7214899322300399</v>
      </c>
      <c r="H82" s="3">
        <v>3.9096305345722802</v>
      </c>
      <c r="I82" s="3">
        <v>0.75805279067007703</v>
      </c>
      <c r="J82" s="3">
        <v>1.45889645446778</v>
      </c>
      <c r="K82" s="3">
        <v>2.6940164541529299</v>
      </c>
      <c r="L82" s="3">
        <v>1.97586635335139</v>
      </c>
      <c r="M82" s="3">
        <v>2.85119555017959</v>
      </c>
      <c r="N82" s="3">
        <v>4.1494680903041399</v>
      </c>
    </row>
    <row r="83" spans="1:14" x14ac:dyDescent="0.35">
      <c r="A83" s="2">
        <v>44372</v>
      </c>
      <c r="B83" s="3">
        <v>2.6682214160024098</v>
      </c>
      <c r="C83" s="3">
        <v>3.95651633350665</v>
      </c>
      <c r="D83" s="3">
        <v>2.69773013206501</v>
      </c>
      <c r="E83" s="3">
        <v>2.7908697764217401</v>
      </c>
      <c r="F83" s="3">
        <v>2.1696208501803702</v>
      </c>
      <c r="G83" s="3">
        <v>2.6122531505003002</v>
      </c>
      <c r="H83" s="3">
        <v>3.91935749053019</v>
      </c>
      <c r="I83" s="3">
        <v>0.72906950682514304</v>
      </c>
      <c r="J83" s="3">
        <v>1.4452597631805799</v>
      </c>
      <c r="K83" s="3">
        <v>2.6549983498560601</v>
      </c>
      <c r="L83" s="3">
        <v>1.99093713507646</v>
      </c>
      <c r="M83" s="3">
        <v>2.6904766294629301</v>
      </c>
      <c r="N83" s="3">
        <v>4.0821199208117802</v>
      </c>
    </row>
    <row r="84" spans="1:14" x14ac:dyDescent="0.35">
      <c r="A84" s="2">
        <v>44404</v>
      </c>
      <c r="B84" s="3">
        <v>2.6532478630888501</v>
      </c>
      <c r="C84" s="3">
        <v>4.1093550214705896</v>
      </c>
      <c r="D84" s="3">
        <v>2.7204128236726302</v>
      </c>
      <c r="E84" s="3">
        <v>2.8334931405216399</v>
      </c>
      <c r="F84" s="3">
        <v>2.2297799699127001</v>
      </c>
      <c r="G84" s="3">
        <v>2.6197163183700098</v>
      </c>
      <c r="H84" s="3">
        <v>4.0969138149411997</v>
      </c>
      <c r="I84" s="3">
        <v>0.71673305281400501</v>
      </c>
      <c r="J84" s="3">
        <v>1.4240548869621401</v>
      </c>
      <c r="K84" s="3">
        <v>2.7242380160733402</v>
      </c>
      <c r="L84" s="3">
        <v>1.9903716844535799</v>
      </c>
      <c r="M84" s="3">
        <v>2.7171517536844099</v>
      </c>
      <c r="N84" s="3">
        <v>4.2472878021771798</v>
      </c>
    </row>
    <row r="85" spans="1:14" x14ac:dyDescent="0.35">
      <c r="A85" s="2">
        <v>44435</v>
      </c>
      <c r="B85" s="3">
        <v>2.5845547155993902</v>
      </c>
      <c r="C85" s="3">
        <v>4.0641257100598702</v>
      </c>
      <c r="D85" s="3">
        <v>2.7264607209465801</v>
      </c>
      <c r="E85" s="3">
        <v>2.8521751337254599</v>
      </c>
      <c r="F85" s="3">
        <v>2.28376227151313</v>
      </c>
      <c r="G85" s="3">
        <v>2.5537120487565401</v>
      </c>
      <c r="H85" s="3">
        <v>4.2032925148049198</v>
      </c>
      <c r="I85" s="3">
        <v>0.69950458608201904</v>
      </c>
      <c r="J85" s="3">
        <v>1.4021861733730001</v>
      </c>
      <c r="K85" s="3">
        <v>2.7579184962656398</v>
      </c>
      <c r="L85" s="3">
        <v>1.8301757940090599</v>
      </c>
      <c r="M85" s="3">
        <v>2.7123957014437301</v>
      </c>
      <c r="N85" s="3">
        <v>4.3901508423615301</v>
      </c>
    </row>
    <row r="86" spans="1:14" x14ac:dyDescent="0.35">
      <c r="A86" s="2">
        <v>44466</v>
      </c>
      <c r="B86" s="3">
        <v>2.61375162467515</v>
      </c>
      <c r="C86" s="3">
        <v>4.04362398575896</v>
      </c>
      <c r="D86" s="3">
        <v>2.7779197918479501</v>
      </c>
      <c r="E86" s="3">
        <v>2.9221532983964398</v>
      </c>
      <c r="F86" s="3">
        <v>2.1435392208469701</v>
      </c>
      <c r="G86" s="3">
        <v>2.7364895427505802</v>
      </c>
      <c r="H86" s="3">
        <v>4.1819281950650602</v>
      </c>
      <c r="I86" s="3">
        <v>0.71561805608153295</v>
      </c>
      <c r="J86" s="3">
        <v>1.42673786497358</v>
      </c>
      <c r="K86" s="3">
        <v>2.8059267375811601</v>
      </c>
      <c r="L86" s="3">
        <v>1.89221996756421</v>
      </c>
      <c r="M86" s="3">
        <v>2.8298425957760198</v>
      </c>
      <c r="N86" s="3">
        <v>4.4739425375612196</v>
      </c>
    </row>
    <row r="87" spans="1:14" x14ac:dyDescent="0.35">
      <c r="A87" s="2">
        <v>44496</v>
      </c>
      <c r="B87" s="3">
        <v>2.67966029659449</v>
      </c>
      <c r="C87" s="3">
        <v>3.9240146255118402</v>
      </c>
      <c r="D87" s="3">
        <v>2.7196811645879402</v>
      </c>
      <c r="E87" s="3">
        <v>2.9413981009521502</v>
      </c>
      <c r="F87" s="3">
        <v>2.2309557066536101</v>
      </c>
      <c r="G87" s="3">
        <v>2.6626971428521502</v>
      </c>
      <c r="H87" s="3">
        <v>4.0239956833093897</v>
      </c>
      <c r="I87" s="3">
        <v>0.70245721190470001</v>
      </c>
      <c r="J87" s="3">
        <v>1.4056855659627101</v>
      </c>
      <c r="K87" s="3">
        <v>2.8196721984611601</v>
      </c>
      <c r="L87" s="3">
        <v>1.9008231439681</v>
      </c>
      <c r="M87" s="3">
        <v>3.0156157523281601</v>
      </c>
      <c r="N87" s="3">
        <v>4.3674293693001296</v>
      </c>
    </row>
    <row r="88" spans="1:14" x14ac:dyDescent="0.35">
      <c r="A88" s="2">
        <v>44526</v>
      </c>
      <c r="B88" s="3">
        <v>2.7688991710715598</v>
      </c>
      <c r="C88" s="3">
        <v>4.0686939432585003</v>
      </c>
      <c r="D88" s="3">
        <v>2.7701077037463899</v>
      </c>
      <c r="E88" s="3">
        <v>3.1229511994272001</v>
      </c>
      <c r="F88" s="3">
        <v>2.2933435040116001</v>
      </c>
      <c r="G88" s="3">
        <v>2.6629902999122002</v>
      </c>
      <c r="H88" s="3">
        <v>4.1806050305050499</v>
      </c>
      <c r="I88" s="3">
        <v>0.69484636538465006</v>
      </c>
      <c r="J88" s="3">
        <v>1.40079731690933</v>
      </c>
      <c r="K88" s="3">
        <v>2.8832240441870498</v>
      </c>
      <c r="L88" s="3">
        <v>1.96408127467891</v>
      </c>
      <c r="M88" s="3">
        <v>3.1192935695679198</v>
      </c>
      <c r="N88" s="3">
        <v>4.61918034586619</v>
      </c>
    </row>
    <row r="89" spans="1:14" x14ac:dyDescent="0.35">
      <c r="A89" s="2">
        <v>44557</v>
      </c>
      <c r="B89" s="3">
        <v>2.7821831608034202</v>
      </c>
      <c r="C89" s="3">
        <v>3.88918284527574</v>
      </c>
      <c r="D89" s="3">
        <v>2.7760702264652299</v>
      </c>
      <c r="E89" s="3">
        <v>3.0402519126680301</v>
      </c>
      <c r="F89" s="3">
        <v>2.3232179430507802</v>
      </c>
      <c r="G89" s="3">
        <v>2.5354445612873202</v>
      </c>
      <c r="H89" s="3">
        <v>3.9288850045555601</v>
      </c>
      <c r="I89" s="3">
        <v>0.67679754255579605</v>
      </c>
      <c r="J89" s="3">
        <v>1.3469570847387999</v>
      </c>
      <c r="K89" s="3">
        <v>2.7460982176101898</v>
      </c>
      <c r="L89" s="3">
        <v>1.9330223360947201</v>
      </c>
      <c r="M89" s="3">
        <v>2.8478527044863502</v>
      </c>
      <c r="N89" s="3">
        <v>4.6114530975116503</v>
      </c>
    </row>
    <row r="90" spans="1:14" x14ac:dyDescent="0.35">
      <c r="A90" s="2">
        <v>44588</v>
      </c>
      <c r="B90" s="3">
        <v>3.01508316139331</v>
      </c>
      <c r="C90" s="3">
        <v>4.2606776590704403</v>
      </c>
      <c r="D90" s="3">
        <v>2.9055229177810098</v>
      </c>
      <c r="E90" s="3">
        <v>3.1592590697297598</v>
      </c>
      <c r="F90" s="3">
        <v>2.5284641853638701</v>
      </c>
      <c r="G90" s="3">
        <v>2.7402241719919198</v>
      </c>
      <c r="H90" s="3">
        <v>3.8458745859932302</v>
      </c>
      <c r="I90" s="3">
        <v>0.80826147330792497</v>
      </c>
      <c r="J90" s="3">
        <v>1.5099925679594499</v>
      </c>
      <c r="K90" s="3">
        <v>2.83036947877194</v>
      </c>
      <c r="L90" s="3">
        <v>2.21420343502656</v>
      </c>
      <c r="M90" s="3">
        <v>2.9036651032365399</v>
      </c>
      <c r="N90" s="3">
        <v>4.7527636646317504</v>
      </c>
    </row>
    <row r="91" spans="1:14" x14ac:dyDescent="0.35">
      <c r="A91" s="2">
        <v>44617</v>
      </c>
      <c r="B91" s="3">
        <v>3.0666375587183401</v>
      </c>
      <c r="C91" s="3">
        <v>4.4331394638379402</v>
      </c>
      <c r="D91" s="3">
        <v>2.8736095338395198</v>
      </c>
      <c r="E91" s="3">
        <v>3.4457317013149402</v>
      </c>
      <c r="F91" s="3">
        <v>2.5402369571307002</v>
      </c>
      <c r="G91" s="3">
        <v>2.81237262410996</v>
      </c>
      <c r="H91" s="3">
        <v>3.8922976070891302</v>
      </c>
      <c r="I91" s="3">
        <v>0.81336547195470199</v>
      </c>
      <c r="J91" s="3">
        <v>1.50685137768787</v>
      </c>
      <c r="K91" s="3">
        <v>3.04247609047547</v>
      </c>
      <c r="L91" s="3">
        <v>2.3314306420042099</v>
      </c>
      <c r="M91" s="3">
        <v>3.1393760667145498</v>
      </c>
      <c r="N91" s="3">
        <v>4.9994054116056299</v>
      </c>
    </row>
    <row r="92" spans="1:14" x14ac:dyDescent="0.35">
      <c r="A92" s="2">
        <v>44645</v>
      </c>
      <c r="B92" s="3">
        <v>3.0647757746714799</v>
      </c>
      <c r="C92" s="3">
        <v>4.1964248357025902</v>
      </c>
      <c r="D92" s="3">
        <v>2.7737518664304099</v>
      </c>
      <c r="E92" s="3">
        <v>3.5598235181707998</v>
      </c>
      <c r="F92" s="3">
        <v>2.46445997904461</v>
      </c>
      <c r="G92" s="3">
        <v>2.7987486175399798</v>
      </c>
      <c r="H92" s="3">
        <v>3.9370006204094099</v>
      </c>
      <c r="I92" s="3">
        <v>0.78510540421191599</v>
      </c>
      <c r="J92" s="3">
        <v>1.4496069550661801</v>
      </c>
      <c r="K92" s="3">
        <v>3.1437760945742301</v>
      </c>
      <c r="L92" s="3">
        <v>2.25249176939939</v>
      </c>
      <c r="M92" s="3">
        <v>3.1538314018606801</v>
      </c>
      <c r="N92" s="3">
        <v>5.1730319872177599</v>
      </c>
    </row>
    <row r="93" spans="1:14" x14ac:dyDescent="0.35">
      <c r="A93" s="2">
        <v>44678</v>
      </c>
      <c r="B93" s="3">
        <v>3.1795555627997398</v>
      </c>
      <c r="C93" s="3">
        <v>4.5847769425322999</v>
      </c>
      <c r="D93" s="3">
        <v>3.0637590184046601</v>
      </c>
      <c r="E93" s="3">
        <v>3.7412196039985401</v>
      </c>
      <c r="F93" s="3">
        <v>2.6404600702411898</v>
      </c>
      <c r="G93" s="3">
        <v>2.8670103576505999</v>
      </c>
      <c r="H93" s="3">
        <v>4.1238269067904998</v>
      </c>
      <c r="I93" s="3">
        <v>0.89689649326257304</v>
      </c>
      <c r="J93" s="3">
        <v>1.5803375125090799</v>
      </c>
      <c r="K93" s="3">
        <v>3.1977406772928001</v>
      </c>
      <c r="L93" s="3">
        <v>2.42845066783608</v>
      </c>
      <c r="M93" s="3">
        <v>3.27221628502484</v>
      </c>
      <c r="N93" s="3">
        <v>5.2121292040534</v>
      </c>
    </row>
    <row r="94" spans="1:14" x14ac:dyDescent="0.35">
      <c r="A94" s="2">
        <v>44708</v>
      </c>
      <c r="B94" s="3">
        <v>3.2768821415840299</v>
      </c>
      <c r="C94" s="3">
        <v>4.6507694190251501</v>
      </c>
      <c r="D94" s="3">
        <v>3.1028852809866398</v>
      </c>
      <c r="E94" s="3">
        <v>3.7434850450066302</v>
      </c>
      <c r="F94" s="3">
        <v>2.6354194505156601</v>
      </c>
      <c r="G94" s="3">
        <v>2.9475501073830701</v>
      </c>
      <c r="H94" s="3">
        <v>4.0358564637267298</v>
      </c>
      <c r="I94" s="3">
        <v>0.92434258438101702</v>
      </c>
      <c r="J94" s="3">
        <v>1.59571010469078</v>
      </c>
      <c r="K94" s="3">
        <v>3.19027310512518</v>
      </c>
      <c r="L94" s="3">
        <v>2.5281305335556099</v>
      </c>
      <c r="M94" s="3">
        <v>3.3265432977430902</v>
      </c>
      <c r="N94" s="3">
        <v>5.0943570602557804</v>
      </c>
    </row>
    <row r="95" spans="1:14" x14ac:dyDescent="0.35">
      <c r="A95" s="2">
        <v>44739</v>
      </c>
      <c r="B95" s="3">
        <v>3.34529005787721</v>
      </c>
      <c r="C95" s="3">
        <v>5.1374134450202096</v>
      </c>
      <c r="D95" s="3">
        <v>3.3573446609455702</v>
      </c>
      <c r="E95" s="3">
        <v>4.0736649608205502</v>
      </c>
      <c r="F95" s="3">
        <v>2.6766920108341901</v>
      </c>
      <c r="G95" s="3">
        <v>3.1508898648132999</v>
      </c>
      <c r="H95" s="3">
        <v>4.2468997056741502</v>
      </c>
      <c r="I95" s="3">
        <v>0.98360966511345904</v>
      </c>
      <c r="J95" s="3">
        <v>1.7196693298477099</v>
      </c>
      <c r="K95" s="3">
        <v>3.46368696989133</v>
      </c>
      <c r="L95" s="3">
        <v>3.3616444483177799</v>
      </c>
      <c r="M95" s="3">
        <v>3.5325306354622099</v>
      </c>
      <c r="N95" s="3">
        <v>5.7821260177515699</v>
      </c>
    </row>
    <row r="96" spans="1:14" x14ac:dyDescent="0.35">
      <c r="A96" s="2">
        <v>44769</v>
      </c>
      <c r="B96" s="3">
        <v>3.3541141409984299</v>
      </c>
      <c r="C96" s="3">
        <v>4.9342811984566497</v>
      </c>
      <c r="D96" s="3">
        <v>3.3737771838075901</v>
      </c>
      <c r="E96" s="3">
        <v>4.1223402726969001</v>
      </c>
      <c r="F96" s="3">
        <v>2.5996889164994301</v>
      </c>
      <c r="G96" s="3">
        <v>3.1053296962756498</v>
      </c>
      <c r="H96" s="3">
        <v>4.2168713720143902</v>
      </c>
      <c r="I96" s="3">
        <v>0.942510058908135</v>
      </c>
      <c r="J96" s="3">
        <v>1.67287258145923</v>
      </c>
      <c r="K96" s="3">
        <v>3.3632039511823102</v>
      </c>
      <c r="L96" s="3">
        <v>3.13157754251923</v>
      </c>
      <c r="M96" s="3">
        <v>3.5815408707568599</v>
      </c>
      <c r="N96" s="3">
        <v>6.0014252631049301</v>
      </c>
    </row>
    <row r="97" spans="1:14" x14ac:dyDescent="0.35">
      <c r="A97" s="2">
        <v>44799</v>
      </c>
      <c r="B97" s="3">
        <v>3.197992672027</v>
      </c>
      <c r="C97" s="3">
        <v>4.6588894388701299</v>
      </c>
      <c r="D97" s="3">
        <v>3.3526875884296898</v>
      </c>
      <c r="E97" s="3">
        <v>4.1832950857592897</v>
      </c>
      <c r="F97" s="3">
        <v>2.5778764552400402</v>
      </c>
      <c r="G97" s="3">
        <v>3.17405100149736</v>
      </c>
      <c r="H97" s="3">
        <v>4.3036135901887196</v>
      </c>
      <c r="I97" s="3">
        <v>0.94837037588471496</v>
      </c>
      <c r="J97" s="3">
        <v>1.6809567877754501</v>
      </c>
      <c r="K97" s="3">
        <v>3.4291882367070801</v>
      </c>
      <c r="L97" s="3">
        <v>3.6537786840608701</v>
      </c>
      <c r="M97" s="3">
        <v>3.6390317942352799</v>
      </c>
      <c r="N97" s="3">
        <v>5.8092080616023001</v>
      </c>
    </row>
    <row r="98" spans="1:14" x14ac:dyDescent="0.35">
      <c r="A98" s="2">
        <v>44831</v>
      </c>
      <c r="B98" s="3">
        <v>3.3730215317092802</v>
      </c>
      <c r="C98" s="3">
        <v>5.2209023775887902</v>
      </c>
      <c r="D98" s="3">
        <v>3.6598783647169699</v>
      </c>
      <c r="E98" s="3">
        <v>4.4728028702343803</v>
      </c>
      <c r="F98" s="3">
        <v>2.7539924939180098</v>
      </c>
      <c r="G98" s="3">
        <v>3.4741728042328899</v>
      </c>
      <c r="H98" s="3">
        <v>4.8100013305772498</v>
      </c>
      <c r="I98" s="3">
        <v>1.0696588700313501</v>
      </c>
      <c r="J98" s="3">
        <v>1.87691467130246</v>
      </c>
      <c r="K98" s="3">
        <v>3.7894669304565101</v>
      </c>
      <c r="L98" s="3">
        <v>3.0528475499751599</v>
      </c>
      <c r="M98" s="3">
        <v>3.8031784058740401</v>
      </c>
      <c r="N98" s="3">
        <v>6.12111876292823</v>
      </c>
    </row>
    <row r="99" spans="1:14" x14ac:dyDescent="0.35">
      <c r="A99" s="2">
        <v>44861</v>
      </c>
      <c r="B99" s="3">
        <v>3.4428695690981601</v>
      </c>
      <c r="C99" s="3">
        <v>4.9505990320138</v>
      </c>
      <c r="D99" s="3">
        <v>3.4619219592128601</v>
      </c>
      <c r="E99" s="3">
        <v>4.1176912551252496</v>
      </c>
      <c r="F99" s="3">
        <v>2.7130889214314098</v>
      </c>
      <c r="G99" s="3">
        <v>3.2964450052122798</v>
      </c>
      <c r="H99" s="3">
        <v>4.5132082196026602</v>
      </c>
      <c r="I99" s="3">
        <v>1.08660782119819</v>
      </c>
      <c r="J99" s="3">
        <v>1.81188972862748</v>
      </c>
      <c r="K99" s="3">
        <v>3.4983165631977702</v>
      </c>
      <c r="L99" s="3">
        <v>2.9186792393601002</v>
      </c>
      <c r="M99" s="3">
        <v>3.7424643080950499</v>
      </c>
      <c r="N99" s="3">
        <v>5.7458099177098596</v>
      </c>
    </row>
    <row r="100" spans="1:14" x14ac:dyDescent="0.35">
      <c r="A100" s="2">
        <v>44890</v>
      </c>
      <c r="B100" s="3">
        <v>3.3537449321339401</v>
      </c>
      <c r="C100" s="3">
        <v>4.4900983028743404</v>
      </c>
      <c r="D100" s="3">
        <v>3.28327547881648</v>
      </c>
      <c r="E100" s="3">
        <v>3.72220864372385</v>
      </c>
      <c r="F100" s="3">
        <v>2.5629152241264301</v>
      </c>
      <c r="G100" s="3">
        <v>3.0964002846402998</v>
      </c>
      <c r="H100" s="3">
        <v>4.2582515306667501</v>
      </c>
      <c r="I100" s="3">
        <v>1.0382626726413799</v>
      </c>
      <c r="J100" s="3">
        <v>1.7216332585669201</v>
      </c>
      <c r="K100" s="3">
        <v>3.26724499082431</v>
      </c>
      <c r="L100" s="3">
        <v>2.6536036426127398</v>
      </c>
      <c r="M100" s="3">
        <v>3.5614594512085902</v>
      </c>
      <c r="N100" s="3">
        <v>5.4363335847015</v>
      </c>
    </row>
    <row r="101" spans="1:14" x14ac:dyDescent="0.35">
      <c r="A101" s="2">
        <v>44922</v>
      </c>
      <c r="B101" s="3">
        <v>3.4533395105592501</v>
      </c>
      <c r="C101" s="3">
        <v>4.5197265692462096</v>
      </c>
      <c r="D101" s="3">
        <v>3.45073159405643</v>
      </c>
      <c r="E101" s="3">
        <v>3.8414580784597399</v>
      </c>
      <c r="F101" s="3">
        <v>2.7357780755397401</v>
      </c>
      <c r="G101" s="3">
        <v>3.2074457854445702</v>
      </c>
      <c r="H101" s="3">
        <v>4.2730121955931599</v>
      </c>
      <c r="I101" s="3">
        <v>1.0784975943427999</v>
      </c>
      <c r="J101" s="3">
        <v>1.8129264224718999</v>
      </c>
      <c r="K101" s="3">
        <v>3.3465482545672298</v>
      </c>
      <c r="L101" s="3">
        <v>2.7874330379764398</v>
      </c>
      <c r="M101" s="3">
        <v>3.7172696141434001</v>
      </c>
      <c r="N101" s="3">
        <v>5.8864688937917897</v>
      </c>
    </row>
    <row r="102" spans="1:14" x14ac:dyDescent="0.35">
      <c r="A102" s="2">
        <v>44953</v>
      </c>
      <c r="B102" s="3">
        <v>3.3143519884008001</v>
      </c>
      <c r="C102" s="3">
        <v>4.2475112710782996</v>
      </c>
      <c r="D102" s="3">
        <v>3.27844192565659</v>
      </c>
      <c r="E102" s="3">
        <v>3.5015276919581999</v>
      </c>
      <c r="F102" s="3">
        <v>2.61531946236751</v>
      </c>
      <c r="G102" s="3">
        <v>3.05170334571278</v>
      </c>
      <c r="H102" s="3">
        <v>4.10075309702097</v>
      </c>
      <c r="I102" s="3">
        <v>0.96999640631138495</v>
      </c>
      <c r="J102" s="3">
        <v>1.71561595406949</v>
      </c>
      <c r="K102" s="3">
        <v>3.10200267917803</v>
      </c>
      <c r="L102" s="3">
        <v>2.5291883841143101</v>
      </c>
      <c r="M102" s="3">
        <v>3.55990232791439</v>
      </c>
      <c r="N102" s="3">
        <v>5.4292954080574898</v>
      </c>
    </row>
    <row r="103" spans="1:14" x14ac:dyDescent="0.35">
      <c r="A103" s="2">
        <v>44984</v>
      </c>
      <c r="B103" s="3">
        <v>3.3958718881779899</v>
      </c>
      <c r="C103" s="3">
        <v>4.5002413719995298</v>
      </c>
      <c r="D103" s="3">
        <v>3.346984413301</v>
      </c>
      <c r="E103" s="3">
        <v>3.5094072181257498</v>
      </c>
      <c r="F103" s="3">
        <v>2.6230509989703998</v>
      </c>
      <c r="G103" s="3">
        <v>3.09938890156895</v>
      </c>
      <c r="H103" s="3">
        <v>4.1121315696808702</v>
      </c>
      <c r="I103" s="3">
        <v>0.98736774497850499</v>
      </c>
      <c r="J103" s="3">
        <v>1.76312891466279</v>
      </c>
      <c r="K103" s="3">
        <v>3.1437660959634801</v>
      </c>
      <c r="L103" s="3">
        <v>2.6574084040713002</v>
      </c>
      <c r="M103" s="3">
        <v>3.5443553355897701</v>
      </c>
      <c r="N103" s="3">
        <v>5.5698411830303698</v>
      </c>
    </row>
    <row r="104" spans="1:14" x14ac:dyDescent="0.35">
      <c r="A104" s="2">
        <v>45012</v>
      </c>
      <c r="B104" s="3">
        <v>3.4742750184636799</v>
      </c>
      <c r="C104" s="3">
        <v>4.6913667185756402</v>
      </c>
      <c r="D104" s="3">
        <v>3.4415608918254899</v>
      </c>
      <c r="E104" s="3">
        <v>3.6349609113112198</v>
      </c>
      <c r="F104" s="3">
        <v>2.67514528877751</v>
      </c>
      <c r="G104" s="3">
        <v>3.2478089155805501</v>
      </c>
      <c r="H104" s="3">
        <v>4.3445987343980796</v>
      </c>
      <c r="I104" s="3">
        <v>0.94407499331260003</v>
      </c>
      <c r="J104" s="3">
        <v>1.7701545766637401</v>
      </c>
      <c r="K104" s="3">
        <v>3.2748786716326301</v>
      </c>
      <c r="L104" s="3">
        <v>2.7406768758035902</v>
      </c>
      <c r="M104" s="3">
        <v>3.8165455149815002</v>
      </c>
      <c r="N104" s="3">
        <v>5.6017446576980001</v>
      </c>
    </row>
    <row r="105" spans="1:14" x14ac:dyDescent="0.35">
      <c r="A105" s="2">
        <v>45043</v>
      </c>
      <c r="B105" s="3">
        <v>3.4191640181415801</v>
      </c>
      <c r="C105" s="3">
        <v>4.4292078686711198</v>
      </c>
      <c r="D105" s="3">
        <v>3.2481469919286798</v>
      </c>
      <c r="E105" s="3">
        <v>3.5216173723558599</v>
      </c>
      <c r="F105" s="3">
        <v>2.5848712915019698</v>
      </c>
      <c r="G105" s="3">
        <v>3.0986272787962501</v>
      </c>
      <c r="H105" s="3">
        <v>4.1363008949369604</v>
      </c>
      <c r="I105" s="3">
        <v>0.91254296430031101</v>
      </c>
      <c r="J105" s="3">
        <v>1.7132662810154999</v>
      </c>
      <c r="K105" s="3">
        <v>3.12160432130631</v>
      </c>
      <c r="L105" s="3">
        <v>2.6930806905892499</v>
      </c>
      <c r="M105" s="3">
        <v>3.6385793535134301</v>
      </c>
      <c r="N105" s="3">
        <v>5.3848672972457798</v>
      </c>
    </row>
    <row r="106" spans="1:14" x14ac:dyDescent="0.35">
      <c r="A106" s="2">
        <v>45072</v>
      </c>
      <c r="B106" s="3">
        <v>3.5087028149199599</v>
      </c>
      <c r="C106" s="3">
        <v>4.5278203584845302</v>
      </c>
      <c r="D106" s="3">
        <v>3.3340590258903</v>
      </c>
      <c r="E106" s="3">
        <v>3.6067568275783302</v>
      </c>
      <c r="F106" s="3">
        <v>2.4696449967418102</v>
      </c>
      <c r="G106" s="3">
        <v>3.1178004669048498</v>
      </c>
      <c r="H106" s="3">
        <v>4.3885361385644002</v>
      </c>
      <c r="I106" s="3">
        <v>0.82687121675823505</v>
      </c>
      <c r="J106" s="3">
        <v>1.6852915494690599</v>
      </c>
      <c r="K106" s="3">
        <v>3.2505699037149198</v>
      </c>
      <c r="L106" s="3">
        <v>2.6311542916461299</v>
      </c>
      <c r="M106" s="3">
        <v>3.7538112899030698</v>
      </c>
      <c r="N106" s="3">
        <v>5.6871674038461304</v>
      </c>
    </row>
    <row r="107" spans="1:14" x14ac:dyDescent="0.35">
      <c r="A107" s="2">
        <v>45104</v>
      </c>
      <c r="B107" s="3">
        <v>3.5097214796498202</v>
      </c>
      <c r="C107" s="3">
        <v>4.3542965147500796</v>
      </c>
      <c r="D107" s="3">
        <v>3.3211427018324402</v>
      </c>
      <c r="E107" s="3">
        <v>3.68476487814945</v>
      </c>
      <c r="F107" s="3">
        <v>2.3639044062103101</v>
      </c>
      <c r="G107" s="3">
        <v>3.2085606706334402</v>
      </c>
      <c r="H107" s="3">
        <v>4.4160490540047901</v>
      </c>
      <c r="I107" s="3">
        <v>0.79667375774007798</v>
      </c>
      <c r="J107" s="3">
        <v>1.6224249764890499</v>
      </c>
      <c r="K107" s="3">
        <v>3.3003617207757099</v>
      </c>
      <c r="L107" s="3">
        <v>2.7543317508085998</v>
      </c>
      <c r="M107" s="3">
        <v>3.8161569883048601</v>
      </c>
      <c r="N107" s="3">
        <v>5.4425529227917497</v>
      </c>
    </row>
    <row r="108" spans="1:14" x14ac:dyDescent="0.35">
      <c r="A108" s="2">
        <v>45134</v>
      </c>
      <c r="B108" s="3">
        <v>3.4194658342595199</v>
      </c>
      <c r="C108" s="3">
        <v>4.0486056816236502</v>
      </c>
      <c r="D108" s="3">
        <v>3.1753617929579199</v>
      </c>
      <c r="E108" s="3">
        <v>3.58552715012992</v>
      </c>
      <c r="F108" s="3">
        <v>2.3491157520931001</v>
      </c>
      <c r="G108" s="3">
        <v>3.1176483367767398</v>
      </c>
      <c r="H108" s="3">
        <v>4.26288084923985</v>
      </c>
      <c r="I108" s="3">
        <v>0.89947949874014199</v>
      </c>
      <c r="J108" s="3">
        <v>1.5748391042355401</v>
      </c>
      <c r="K108" s="3">
        <v>3.2371608580415501</v>
      </c>
      <c r="L108" s="3">
        <v>2.6386244028090799</v>
      </c>
      <c r="M108" s="3">
        <v>3.7665912373588699</v>
      </c>
      <c r="N108" s="3">
        <v>5.2140458584849103</v>
      </c>
    </row>
    <row r="109" spans="1:14" x14ac:dyDescent="0.35">
      <c r="A109" s="2">
        <v>45163</v>
      </c>
      <c r="B109" s="3">
        <v>3.5041681210338198</v>
      </c>
      <c r="C109" s="3">
        <v>4.2819429303977596</v>
      </c>
      <c r="D109" s="3">
        <v>3.5821630238628099</v>
      </c>
      <c r="E109" s="3">
        <v>3.7765659823544699</v>
      </c>
      <c r="F109" s="3">
        <v>2.4213772449322302</v>
      </c>
      <c r="G109" s="3">
        <v>3.2800799936152401</v>
      </c>
      <c r="H109" s="3">
        <v>4.5770711766000902</v>
      </c>
      <c r="I109" s="3">
        <v>0.93379446092714302</v>
      </c>
      <c r="J109" s="3">
        <v>1.63012655748493</v>
      </c>
      <c r="K109" s="3">
        <v>3.3717505761231998</v>
      </c>
      <c r="L109" s="3">
        <v>2.9180333500029301</v>
      </c>
      <c r="M109" s="3">
        <v>4.0147722712500604</v>
      </c>
      <c r="N109" s="3">
        <v>5.5802718706895797</v>
      </c>
    </row>
    <row r="110" spans="1:14" x14ac:dyDescent="0.35">
      <c r="A110" s="2">
        <v>45196</v>
      </c>
      <c r="B110" s="3">
        <v>3.42828024558658</v>
      </c>
      <c r="C110" s="3">
        <v>4.3344196417250496</v>
      </c>
      <c r="D110" s="3">
        <v>3.65382363752579</v>
      </c>
      <c r="E110" s="3">
        <v>3.88958297107175</v>
      </c>
      <c r="F110" s="3">
        <v>2.3309401053793399</v>
      </c>
      <c r="G110" s="3">
        <v>3.38867947352484</v>
      </c>
      <c r="H110" s="3">
        <v>4.4789489945773502</v>
      </c>
      <c r="I110" s="3">
        <v>0.97154070220689204</v>
      </c>
      <c r="J110" s="3">
        <v>1.69190542312046</v>
      </c>
      <c r="K110" s="3">
        <v>3.4597356352822399</v>
      </c>
      <c r="L110" s="3">
        <v>3.0886858749408201</v>
      </c>
      <c r="M110" s="3">
        <v>4.0479489936980597</v>
      </c>
      <c r="N110" s="3">
        <v>5.5656704234998298</v>
      </c>
    </row>
    <row r="111" spans="1:14" x14ac:dyDescent="0.35">
      <c r="A111" s="2">
        <v>45226</v>
      </c>
      <c r="B111" s="3">
        <v>3.6013076656931999</v>
      </c>
      <c r="C111" s="3">
        <v>4.5155182896910899</v>
      </c>
      <c r="D111" s="3">
        <v>3.80884660950414</v>
      </c>
      <c r="E111" s="3">
        <v>4.0682675227398999</v>
      </c>
      <c r="F111" s="3">
        <v>2.4784982273618699</v>
      </c>
      <c r="G111" s="3">
        <v>3.5669739322742</v>
      </c>
      <c r="H111" s="3">
        <v>4.6681384036080003</v>
      </c>
      <c r="I111" s="3">
        <v>1.0173914169681</v>
      </c>
      <c r="J111" s="3">
        <v>1.7647875258610899</v>
      </c>
      <c r="K111" s="3">
        <v>3.58922271833096</v>
      </c>
      <c r="L111" s="3">
        <v>3.1188785216413502</v>
      </c>
      <c r="M111" s="3">
        <v>4.0256975178892</v>
      </c>
      <c r="N111" s="3">
        <v>5.8124835782792497</v>
      </c>
    </row>
    <row r="112" spans="1:14" x14ac:dyDescent="0.35">
      <c r="A112" s="2">
        <v>45257</v>
      </c>
      <c r="B112" s="3">
        <v>3.4113861585602501</v>
      </c>
      <c r="C112" s="3">
        <v>4.3663378458208397</v>
      </c>
      <c r="D112" s="3">
        <v>3.5210087387189799</v>
      </c>
      <c r="E112" s="3">
        <v>3.6987432406957801</v>
      </c>
      <c r="F112" s="3">
        <v>2.3766279711513398</v>
      </c>
      <c r="G112" s="3">
        <v>3.3888692560499898</v>
      </c>
      <c r="H112" s="3">
        <v>4.4424144487162804</v>
      </c>
      <c r="I112" s="3">
        <v>0.91675621503828097</v>
      </c>
      <c r="J112" s="3">
        <v>1.6043929498929499</v>
      </c>
      <c r="K112" s="3">
        <v>3.3552553672128802</v>
      </c>
      <c r="L112" s="3">
        <v>2.7989073952275199</v>
      </c>
      <c r="M112" s="3">
        <v>3.64771904624696</v>
      </c>
      <c r="N112" s="3">
        <v>5.5445825335021404</v>
      </c>
    </row>
    <row r="113" spans="1:25" x14ac:dyDescent="0.35">
      <c r="A113" s="2">
        <v>45287</v>
      </c>
      <c r="B113" s="3">
        <v>3.00140123761931</v>
      </c>
      <c r="C113" s="3">
        <v>3.9844578611014199</v>
      </c>
      <c r="D113" s="3">
        <v>3.3502693438644302</v>
      </c>
      <c r="E113" s="3">
        <v>3.5526168034744501</v>
      </c>
      <c r="F113" s="3">
        <v>2.4256012998044598</v>
      </c>
      <c r="G113" s="3">
        <v>3.28554439329625</v>
      </c>
      <c r="H113" s="3">
        <v>4.2656879246102699</v>
      </c>
      <c r="I113" s="3">
        <v>0.94129605353478396</v>
      </c>
      <c r="J113" s="3">
        <v>1.53935393613744</v>
      </c>
      <c r="K113" s="3">
        <v>3.21287329230061</v>
      </c>
      <c r="L113" s="3">
        <v>2.6767308675350701</v>
      </c>
      <c r="M113" s="3">
        <v>2.9224520283231299</v>
      </c>
      <c r="N113" s="3">
        <v>5.4676357316831599</v>
      </c>
    </row>
    <row r="114" spans="1:25" x14ac:dyDescent="0.35">
      <c r="A114" s="2">
        <v>45317</v>
      </c>
      <c r="B114" s="3">
        <v>2.9787144083377699</v>
      </c>
      <c r="C114" s="3">
        <v>4.02749300274838</v>
      </c>
      <c r="D114" s="3">
        <v>3.3269854026054002</v>
      </c>
      <c r="E114" s="3">
        <v>3.5319013538997499</v>
      </c>
      <c r="F114" s="3">
        <v>2.31286332524635</v>
      </c>
      <c r="G114" s="3">
        <v>3.2711620458416002</v>
      </c>
      <c r="H114" s="3">
        <v>4.3014357043417597</v>
      </c>
      <c r="I114" s="3">
        <v>0.91291478640826296</v>
      </c>
      <c r="J114" s="3">
        <v>1.5124608193381299</v>
      </c>
      <c r="K114" s="3">
        <v>3.1764848066638001</v>
      </c>
      <c r="L114" s="3">
        <v>2.5808821373572099</v>
      </c>
      <c r="M114" s="3">
        <v>3.3385364617012701</v>
      </c>
      <c r="N114" s="3">
        <v>5.4340689076770303</v>
      </c>
    </row>
    <row r="115" spans="1:25" x14ac:dyDescent="0.35">
      <c r="A115" s="2">
        <v>45349</v>
      </c>
      <c r="B115" s="3">
        <v>2.9025934726171299</v>
      </c>
      <c r="C115" s="3">
        <v>3.98995464482591</v>
      </c>
      <c r="D115" s="3">
        <v>3.2604059895691302</v>
      </c>
      <c r="E115" s="3">
        <v>3.4483453122914098</v>
      </c>
      <c r="F115" s="3">
        <v>2.1912577957958002</v>
      </c>
      <c r="G115" s="3">
        <v>3.2877969122886102</v>
      </c>
      <c r="H115" s="3">
        <v>4.1849281449708098</v>
      </c>
      <c r="I115" s="3">
        <v>0.91193639385744896</v>
      </c>
      <c r="J115" s="3">
        <v>1.4764813317725201</v>
      </c>
      <c r="K115" s="3">
        <v>3.1201556400492101</v>
      </c>
      <c r="L115" s="3">
        <v>2.4733681323219501</v>
      </c>
      <c r="M115" s="3">
        <v>3.3145077886748902</v>
      </c>
      <c r="N115" s="3">
        <v>5.2972921962995603</v>
      </c>
    </row>
    <row r="116" spans="1:25" x14ac:dyDescent="0.35">
      <c r="A116" s="2">
        <v>45378</v>
      </c>
      <c r="B116" s="3">
        <v>2.7428660541646099</v>
      </c>
      <c r="C116" s="3">
        <v>3.93007971822635</v>
      </c>
      <c r="D116" s="3">
        <v>3.1176415308547099</v>
      </c>
      <c r="E116" s="3">
        <v>3.24987561704951</v>
      </c>
      <c r="F116" s="3">
        <v>2.1228590975710002</v>
      </c>
      <c r="G116" s="3">
        <v>3.2742849977238899</v>
      </c>
      <c r="H116" s="3">
        <v>4.0396345497083797</v>
      </c>
      <c r="I116" s="3">
        <v>0.90637928242010302</v>
      </c>
      <c r="J116" s="3">
        <v>1.4296017670075301</v>
      </c>
      <c r="K116" s="3">
        <v>3.0534345240645702</v>
      </c>
      <c r="L116" s="3">
        <v>2.5203896541524</v>
      </c>
      <c r="M116" s="3">
        <v>3.1843964131711</v>
      </c>
      <c r="N116" s="3">
        <v>5.0770869062262998</v>
      </c>
    </row>
    <row r="117" spans="1:25" x14ac:dyDescent="0.35">
      <c r="A117" s="2">
        <v>45408</v>
      </c>
      <c r="B117" s="3">
        <v>2.7852758345443598</v>
      </c>
      <c r="C117" s="3">
        <v>4.0448391759703402</v>
      </c>
      <c r="D117" s="3">
        <v>3.10622974434161</v>
      </c>
      <c r="E117" s="3">
        <v>3.3415047198053802</v>
      </c>
      <c r="F117" s="3">
        <v>2.2479188379695798</v>
      </c>
      <c r="G117" s="3">
        <v>3.38198003229751</v>
      </c>
      <c r="H117" s="3">
        <v>3.9398598215634499</v>
      </c>
      <c r="I117" s="3">
        <v>0.91945208729732397</v>
      </c>
      <c r="J117" s="3">
        <v>1.48445908155254</v>
      </c>
      <c r="K117" s="3">
        <v>3.11564320574313</v>
      </c>
      <c r="L117" s="3">
        <v>2.57084156661884</v>
      </c>
      <c r="M117" s="3">
        <v>3.27893195417718</v>
      </c>
      <c r="N117" s="3">
        <v>5.2422620894574203</v>
      </c>
    </row>
    <row r="118" spans="1:25" x14ac:dyDescent="0.35">
      <c r="A118" s="2">
        <v>45436</v>
      </c>
      <c r="B118" s="3">
        <v>2.7239445724237998</v>
      </c>
      <c r="C118" s="3">
        <v>3.9800955706788201</v>
      </c>
      <c r="D118" s="3">
        <v>3.1225362218471302</v>
      </c>
      <c r="E118" s="3">
        <v>3.3367296746702899</v>
      </c>
      <c r="F118" s="3">
        <v>2.2294875080230701</v>
      </c>
      <c r="G118" s="3">
        <v>3.2293066861867601</v>
      </c>
      <c r="H118" s="3">
        <v>3.85141673939565</v>
      </c>
      <c r="I118" s="3">
        <v>0.88318297384339095</v>
      </c>
      <c r="J118" s="3">
        <v>1.44302725575121</v>
      </c>
      <c r="K118" s="3">
        <v>3.1143955752374599</v>
      </c>
      <c r="L118" s="3">
        <v>2.4672941454797201</v>
      </c>
      <c r="M118" s="3">
        <v>3.16297344774642</v>
      </c>
      <c r="N118" s="3">
        <v>5.2452921154141396</v>
      </c>
    </row>
    <row r="119" spans="1:25" x14ac:dyDescent="0.35">
      <c r="A119" s="2">
        <v>45470</v>
      </c>
      <c r="B119" s="3">
        <v>2.75814513701404</v>
      </c>
      <c r="C119" s="3">
        <v>3.93153205568135</v>
      </c>
      <c r="D119" s="3">
        <v>3.3376158915143699</v>
      </c>
      <c r="E119" s="3">
        <v>3.41442853180255</v>
      </c>
      <c r="F119" s="3">
        <v>2.24830236824114</v>
      </c>
      <c r="G119" s="3">
        <v>3.2305939194937801</v>
      </c>
      <c r="H119" s="3">
        <v>3.9706639062651599</v>
      </c>
      <c r="I119" s="3">
        <v>0.83952230566411001</v>
      </c>
      <c r="J119" s="3">
        <v>1.4017888909201199</v>
      </c>
      <c r="K119" s="3">
        <v>3.3712584310612299</v>
      </c>
      <c r="L119" s="3">
        <v>2.5030754638045201</v>
      </c>
      <c r="M119" s="3">
        <v>3.25446791791143</v>
      </c>
      <c r="N119" s="3">
        <v>5.4824651561345998</v>
      </c>
    </row>
    <row r="120" spans="1:25" x14ac:dyDescent="0.35">
      <c r="A120" s="2">
        <v>45499</v>
      </c>
      <c r="B120" s="3">
        <v>2.62928359515801</v>
      </c>
      <c r="C120" s="3">
        <v>3.8506350670938101</v>
      </c>
      <c r="D120" s="3">
        <v>3.2211873486747402</v>
      </c>
      <c r="E120" s="3">
        <v>3.4036454284301199</v>
      </c>
      <c r="F120" s="3">
        <v>2.3598795554338001</v>
      </c>
      <c r="G120" s="3">
        <v>3.1641367722217399</v>
      </c>
      <c r="H120" s="3">
        <v>3.8710864116549901</v>
      </c>
      <c r="I120" s="3">
        <v>0.867059762310044</v>
      </c>
      <c r="J120" s="3">
        <v>1.4172552328791399</v>
      </c>
      <c r="K120" s="3">
        <v>3.3758279876537598</v>
      </c>
      <c r="L120" s="3">
        <v>2.59444823317593</v>
      </c>
      <c r="M120" s="3">
        <v>3.2279023687947599</v>
      </c>
      <c r="N120" s="3">
        <v>5.3093413803277798</v>
      </c>
    </row>
    <row r="121" spans="1:25" x14ac:dyDescent="0.35">
      <c r="A121" s="2">
        <v>45531</v>
      </c>
      <c r="B121" s="3">
        <v>2.5179647739436399</v>
      </c>
      <c r="C121" s="3">
        <v>3.7335590193072199</v>
      </c>
      <c r="D121" s="3">
        <v>3.1600132996485502</v>
      </c>
      <c r="E121" s="3">
        <v>3.3798882435049502</v>
      </c>
      <c r="F121" s="3">
        <v>2.40540905722577</v>
      </c>
      <c r="G121" s="3">
        <v>3.11260714994676</v>
      </c>
      <c r="H121" s="3">
        <v>3.8119429809695302</v>
      </c>
      <c r="I121" s="3">
        <v>0.83556058537271305</v>
      </c>
      <c r="J121" s="3">
        <v>1.37946197182707</v>
      </c>
      <c r="K121" s="3">
        <v>3.3669621239629</v>
      </c>
      <c r="L121" s="3">
        <v>2.6257395941572002</v>
      </c>
      <c r="M121" s="3">
        <v>3.24770329024871</v>
      </c>
      <c r="N121" s="3">
        <v>5.3691795145373602</v>
      </c>
    </row>
    <row r="122" spans="1:25" x14ac:dyDescent="0.35">
      <c r="A122" s="2">
        <v>45560</v>
      </c>
      <c r="B122" s="3">
        <v>3.1387018220940601</v>
      </c>
      <c r="C122" s="3">
        <v>3.6422659201004302</v>
      </c>
      <c r="D122" s="3">
        <v>3.0698480327289901</v>
      </c>
      <c r="E122" s="3">
        <v>3.2697500521133702</v>
      </c>
      <c r="F122" s="3">
        <v>2.4516366575938999</v>
      </c>
      <c r="G122" s="3">
        <v>3.1734913756633598</v>
      </c>
      <c r="H122" s="3">
        <v>3.8535241539272498</v>
      </c>
      <c r="I122" s="3">
        <v>0.81443175978072901</v>
      </c>
      <c r="J122" s="3">
        <v>1.35426846070158</v>
      </c>
      <c r="K122" s="3">
        <v>3.3739754184223498</v>
      </c>
      <c r="L122" s="3">
        <v>2.65475685259364</v>
      </c>
      <c r="M122" s="3">
        <v>3.1512502399303499</v>
      </c>
      <c r="N122" s="3">
        <v>5.35429241806803</v>
      </c>
    </row>
    <row r="125" spans="1:25" x14ac:dyDescent="0.35">
      <c r="A125" s="2" t="s">
        <v>91</v>
      </c>
      <c r="B125" s="3" cm="1">
        <f t="array" ref="B125">MIN(_xlfn._xlws.FILTER(B1:B122, ISNUMBER(B1:B122)))</f>
        <v>2.2918314078651698</v>
      </c>
      <c r="C125" s="3" cm="1">
        <f t="array" ref="C125">MIN(_xlfn._xlws.FILTER(C1:C122, ISNUMBER(C1:C122)))</f>
        <v>3.3809788274687702</v>
      </c>
      <c r="D125" s="3" cm="1">
        <f t="array" ref="D125">MIN(_xlfn._xlws.FILTER(D1:D122, ISNUMBER(D1:D122)))</f>
        <v>2.6702985968283302</v>
      </c>
      <c r="E125" s="3" cm="1">
        <f t="array" ref="E125">MIN(_xlfn._xlws.FILTER(E1:E122, ISNUMBER(E1:E122)))</f>
        <v>2.7015323768703898</v>
      </c>
      <c r="F125" s="3" cm="1">
        <f t="array" ref="F125">MIN(_xlfn._xlws.FILTER(F1:F122, ISNUMBER(F1:F122)))</f>
        <v>1.81937439400501</v>
      </c>
      <c r="G125" s="3" cm="1">
        <f t="array" ref="G125">MIN(_xlfn._xlws.FILTER(G1:G122, ISNUMBER(G1:G122)))</f>
        <v>2.5354445612873202</v>
      </c>
      <c r="H125" s="3" cm="1">
        <f t="array" ref="H125">MIN(_xlfn._xlws.FILTER(H1:H122, ISNUMBER(H1:H122)))</f>
        <v>3.8119429809695302</v>
      </c>
      <c r="I125" s="3" cm="1">
        <f t="array" ref="I125">MIN(_xlfn._xlws.FILTER(I1:I122, ISNUMBER(I1:I122)))</f>
        <v>0.67679754255579605</v>
      </c>
      <c r="J125" s="3" cm="1">
        <f t="array" ref="J125">MIN(_xlfn._xlws.FILTER(J1:J122, ISNUMBER(J1:J122)))</f>
        <v>1.3469570847387999</v>
      </c>
      <c r="K125" s="3" cm="1">
        <f t="array" ref="K125">MIN(_xlfn._xlws.FILTER(K1:K122, ISNUMBER(K1:K122)))</f>
        <v>2.6549983498560601</v>
      </c>
      <c r="L125" s="3" cm="1">
        <f t="array" ref="L125">MIN(_xlfn._xlws.FILTER(L1:L122, ISNUMBER(L1:L122)))</f>
        <v>1.8301757940090599</v>
      </c>
      <c r="M125" s="3" cm="1">
        <f t="array" ref="M125">MIN(_xlfn._xlws.FILTER(M1:M122, ISNUMBER(M1:M122)))</f>
        <v>2.6904766294629301</v>
      </c>
      <c r="N125" s="3" cm="1">
        <f t="array" ref="N125">MIN(_xlfn._xlws.FILTER(N1:N122, ISNUMBER(N1:N122)))</f>
        <v>3.0840018744448701</v>
      </c>
    </row>
    <row r="126" spans="1:25" x14ac:dyDescent="0.35">
      <c r="A126" s="2" t="s">
        <v>92</v>
      </c>
      <c r="B126" s="3" cm="1">
        <f t="array" ref="B126">MAX(_xlfn._xlws.FILTER(B1:B122, ISNUMBER(B1:B122)))</f>
        <v>5.15988508179072</v>
      </c>
      <c r="C126" s="3" cm="1">
        <f t="array" ref="C126">MAX(_xlfn._xlws.FILTER(C1:C122, ISNUMBER(C1:C122)))</f>
        <v>5.57965878441175</v>
      </c>
      <c r="D126" s="3" cm="1">
        <f t="array" ref="D126">MAX(_xlfn._xlws.FILTER(D1:D122, ISNUMBER(D1:D122)))</f>
        <v>4.5668817703100499</v>
      </c>
      <c r="E126" s="3" cm="1">
        <f t="array" ref="E126">MAX(_xlfn._xlws.FILTER(E1:E122, ISNUMBER(E1:E122)))</f>
        <v>4.4728028702343803</v>
      </c>
      <c r="F126" s="3" cm="1">
        <f t="array" ref="F126">MAX(_xlfn._xlws.FILTER(F1:F122, ISNUMBER(F1:F122)))</f>
        <v>2.8719650953409301</v>
      </c>
      <c r="G126" s="3" cm="1">
        <f t="array" ref="G126">MAX(_xlfn._xlws.FILTER(G1:G122, ISNUMBER(G1:G122)))</f>
        <v>3.8048206221171199</v>
      </c>
      <c r="H126" s="3" cm="1">
        <f t="array" ref="H126">MAX(_xlfn._xlws.FILTER(H1:H122, ISNUMBER(H1:H122)))</f>
        <v>6.4018013341814397</v>
      </c>
      <c r="I126" s="3" cm="1">
        <f t="array" ref="I126">MAX(_xlfn._xlws.FILTER(I1:I122, ISNUMBER(I1:I122)))</f>
        <v>1.4329811257499001</v>
      </c>
      <c r="J126" s="3" cm="1">
        <f t="array" ref="J126">MAX(_xlfn._xlws.FILTER(J1:J122, ISNUMBER(J1:J122)))</f>
        <v>2.5258290165631001</v>
      </c>
      <c r="K126" s="3" cm="1">
        <f t="array" ref="K126">MAX(_xlfn._xlws.FILTER(K1:K122, ISNUMBER(K1:K122)))</f>
        <v>4.3959183982075398</v>
      </c>
      <c r="L126" s="3" cm="1">
        <f t="array" ref="L126">MAX(_xlfn._xlws.FILTER(L1:L122, ISNUMBER(L1:L122)))</f>
        <v>3.6537786840608701</v>
      </c>
      <c r="M126" s="3" cm="1">
        <f t="array" ref="M126">MAX(_xlfn._xlws.FILTER(M1:M122, ISNUMBER(M1:M122)))</f>
        <v>4.8402820502796002</v>
      </c>
      <c r="N126" s="3" cm="1">
        <f t="array" ref="N126">MAX(_xlfn._xlws.FILTER(N1:N122, ISNUMBER(N1:N122)))</f>
        <v>6.3224917830841099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0.29499999999999998</v>
      </c>
      <c r="C128" s="9" cm="1">
        <f t="array" ref="C128">_xlfn.PERCENTRANK.EXC(_xlfn._xlws.FILTER(C1:C122, ISNUMBER(C1:C122)),C122)</f>
        <v>7.2999999999999995E-2</v>
      </c>
      <c r="D128" s="9" cm="1">
        <f t="array" ref="D128">_xlfn.PERCENTRANK.EXC(_xlfn._xlws.FILTER(D1:D122, ISNUMBER(D1:D122)),D122)</f>
        <v>0.377</v>
      </c>
      <c r="E128" s="9" cm="1">
        <f t="array" ref="E128">_xlfn.PERCENTRANK.EXC(_xlfn._xlws.FILTER(E1:E122, ISNUMBER(E1:E122)),E122)</f>
        <v>0.52400000000000002</v>
      </c>
      <c r="F128" s="9" cm="1">
        <f t="array" ref="F128">_xlfn.PERCENTRANK.EXC(_xlfn._xlws.FILTER(F1:F122, ISNUMBER(F1:F122)),F122)</f>
        <v>0.65500000000000003</v>
      </c>
      <c r="G128" s="9" cm="1">
        <f t="array" ref="G128">_xlfn.PERCENTRANK.EXC(_xlfn._xlws.FILTER(G1:G122, ISNUMBER(G1:G122)),G122)</f>
        <v>0.36</v>
      </c>
      <c r="H128" s="9" cm="1">
        <f t="array" ref="H128">_xlfn.PERCENTRANK.EXC(_xlfn._xlws.FILTER(H1:H122, ISNUMBER(H1:H122)),H122)</f>
        <v>0.04</v>
      </c>
      <c r="I128" s="9" cm="1">
        <f t="array" ref="I128">_xlfn.PERCENTRANK.EXC(_xlfn._xlws.FILTER(I1:I122, ISNUMBER(I1:I122)),I122)</f>
        <v>0.16300000000000001</v>
      </c>
      <c r="J128" s="9" cm="1">
        <f t="array" ref="J128">_xlfn.PERCENTRANK.EXC(_xlfn._xlws.FILTER(J1:J122, ISNUMBER(J1:J122)),J122)</f>
        <v>1.6E-2</v>
      </c>
      <c r="K128" s="9" cm="1">
        <f t="array" ref="K128">_xlfn.PERCENTRANK.EXC(_xlfn._xlws.FILTER(K1:K122, ISNUMBER(K1:K122)),K122)</f>
        <v>0.55700000000000005</v>
      </c>
      <c r="L128" s="9" cm="1">
        <f t="array" ref="L128">_xlfn.PERCENTRANK.EXC(_xlfn._xlws.FILTER(L1:L122, ISNUMBER(L1:L122)),L122)</f>
        <v>0.33600000000000002</v>
      </c>
      <c r="M128" s="9" cm="1">
        <f t="array" ref="M128">_xlfn.PERCENTRANK.EXC(_xlfn._xlws.FILTER(M1:M122, ISNUMBER(M1:M122)),M122)</f>
        <v>0.18</v>
      </c>
      <c r="N128" s="9" cm="1">
        <f t="array" ref="N128">_xlfn.PERCENTRANK.EXC(_xlfn._xlws.FILTER(N1:N122, ISNUMBER(N1:N122)),N122)</f>
        <v>0.78600000000000003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41908</v>
      </c>
      <c r="B2" s="24" cm="1">
        <f t="array" ref="B2:B122">_xll.FDS(B1,"FG_TOTAL_RETURNC(-10AY,0,AM)")/100</f>
        <v>-5.2864609999999999E-2</v>
      </c>
      <c r="C2" s="24" cm="1">
        <f t="array" ref="C2:C122">_xll.FDS(C1,"FG_TOTAL_RETURNC(-10AY,0,AM)")/100</f>
        <v>-0.10766959</v>
      </c>
      <c r="D2" s="24" cm="1">
        <f t="array" ref="D2:D122">_xll.FDS(D1,"FG_TOTAL_RETURNC(-10AY,0,AM)")/100</f>
        <v>-5.6620955000000001E-2</v>
      </c>
      <c r="E2" s="24" cm="1">
        <f t="array" ref="E2:E122">_xll.FDS(E1,"FG_TOTAL_RETURNC(-10AY,0,AM)")/100</f>
        <v>-4.2320786000000006E-2</v>
      </c>
      <c r="F2" s="24" cm="1">
        <f t="array" ref="F2:F122">_xll.FDS(F1,"FG_TOTAL_RETURNC(-10AY,0,AM)")/100</f>
        <v>5.0632953999999999E-3</v>
      </c>
      <c r="G2" s="24" cm="1">
        <f t="array" ref="G2:G122">_xll.FDS(G1,"FG_TOTAL_RETURNC(-10AY,0,AM)")/100</f>
        <v>-3.1435369999999997E-2</v>
      </c>
      <c r="H2" s="24" cm="1">
        <f t="array" ref="H2:H122">_xll.FDS(H1,"FG_TOTAL_RETURNC(-10AY,0,AM)")/100</f>
        <v>-4.5255422999999996E-2</v>
      </c>
      <c r="I2" s="24" cm="1">
        <f t="array" ref="I2:I122">_xll.FDS(I1,"FG_TOTAL_RETURNC(-10AY,0,AM)")/100</f>
        <v>-5.0749180000000003E-3</v>
      </c>
      <c r="J2" s="24" cm="1">
        <f t="array" ref="J2:J122">_xll.FDS(J1,"FG_TOTAL_RETURNC(-10AY,0,AM)")/100</f>
        <v>-7.1106552999999992E-3</v>
      </c>
      <c r="K2" s="24" cm="1">
        <f t="array" ref="K2:K122">_xll.FDS(K1,"FG_TOTAL_RETURNC(-10AY,0,AM)")/100</f>
        <v>-3.5340785999999999E-2</v>
      </c>
      <c r="L2" s="24" cm="1">
        <f t="array" ref="L2:L122">_xll.FDS(L1,"FG_TOTAL_RETURNC(-10AY,0,AM)")/100</f>
        <v>-1.7835437999999999E-2</v>
      </c>
      <c r="M2" s="24" cm="1">
        <f t="array" ref="M2:M122">_xll.FDS(M1,"FG_TOTAL_RETURNC(-10AY,0,AM)")/100</f>
        <v>-4.4121923E-2</v>
      </c>
      <c r="N2" s="24" cm="1">
        <f t="array" ref="N2:N122">_xll.FDS(N1,"FG_TOTAL_RETURNC(-10AY,0,AM)")/100</f>
        <v>-2.6494086E-2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41939</v>
      </c>
      <c r="B3" s="24">
        <v>2.2890925000000003E-2</v>
      </c>
      <c r="C3" s="24">
        <v>3.0165315000000002E-2</v>
      </c>
      <c r="D3" s="24">
        <v>-4.3885173999999999E-2</v>
      </c>
      <c r="E3" s="24">
        <v>-6.1297180000000007E-2</v>
      </c>
      <c r="F3" s="24">
        <v>-5.2896739999999998E-2</v>
      </c>
      <c r="G3" s="24">
        <v>-3.0006110000000003E-2</v>
      </c>
      <c r="H3" s="24">
        <v>-4.9949109999999998E-2</v>
      </c>
      <c r="I3" s="24">
        <v>-9.1105699999999995E-4</v>
      </c>
      <c r="J3" s="24">
        <v>-8.792280999999999E-3</v>
      </c>
      <c r="K3" s="24">
        <v>-6.2803744999999994E-2</v>
      </c>
      <c r="L3" s="24">
        <v>-4.4160130000000006E-2</v>
      </c>
      <c r="M3" s="24">
        <v>-2.8849125E-2</v>
      </c>
      <c r="N3" s="24">
        <v>-8.5443079999999991E-2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41969</v>
      </c>
      <c r="B4" s="24">
        <v>1.8355488999999999E-2</v>
      </c>
      <c r="C4" s="24">
        <v>-3.128761E-2</v>
      </c>
      <c r="D4" s="24">
        <v>4.4211983999999996E-2</v>
      </c>
      <c r="E4" s="24">
        <v>9.7190619999999991E-2</v>
      </c>
      <c r="F4" s="24">
        <v>3.3687950000000001E-2</v>
      </c>
      <c r="G4" s="24">
        <v>4.7979830000000001E-2</v>
      </c>
      <c r="H4" s="24">
        <v>3.8626670000000002E-2</v>
      </c>
      <c r="I4" s="24">
        <v>6.9206594999999996E-2</v>
      </c>
      <c r="J4" s="24">
        <v>5.8523655000000001E-2</v>
      </c>
      <c r="K4" s="24">
        <v>5.5045960000000005E-2</v>
      </c>
      <c r="L4" s="24">
        <v>6.8221089999999998E-2</v>
      </c>
      <c r="M4" s="24">
        <v>5.9099435999999998E-2</v>
      </c>
      <c r="N4" s="24">
        <v>3.6678194999999997E-2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41999</v>
      </c>
      <c r="B5" s="24">
        <v>5.458236E-3</v>
      </c>
      <c r="C5" s="24">
        <v>-5.1302136999999998E-2</v>
      </c>
      <c r="D5" s="24">
        <v>-5.3690790000000002E-2</v>
      </c>
      <c r="E5" s="24">
        <v>-2.491349E-2</v>
      </c>
      <c r="F5" s="24">
        <v>-2.7419925000000001E-3</v>
      </c>
      <c r="G5" s="24">
        <v>-2.4397611999999999E-2</v>
      </c>
      <c r="H5" s="24">
        <v>-3.0301212999999997E-2</v>
      </c>
      <c r="I5" s="24">
        <v>-8.5777043999999997E-4</v>
      </c>
      <c r="J5" s="24">
        <v>9.3694924999999998E-3</v>
      </c>
      <c r="K5" s="24">
        <v>-3.0785800000000002E-2</v>
      </c>
      <c r="L5" s="24">
        <v>-9.9635123999999992E-3</v>
      </c>
      <c r="M5" s="24">
        <v>-4.4406889999999997E-2</v>
      </c>
      <c r="N5" s="24">
        <v>-5.4892120000000003E-2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42031</v>
      </c>
      <c r="B6" s="24">
        <v>-2.5221705E-3</v>
      </c>
      <c r="C6" s="24">
        <v>-3.1545758E-3</v>
      </c>
      <c r="D6" s="24">
        <v>-5.1592770000000003E-2</v>
      </c>
      <c r="E6" s="24">
        <v>1.0645389600000001E-3</v>
      </c>
      <c r="F6" s="24">
        <v>4.3251514000000003E-3</v>
      </c>
      <c r="G6" s="24">
        <v>5.2485466E-3</v>
      </c>
      <c r="H6" s="24">
        <v>3.8022995E-3</v>
      </c>
      <c r="I6" s="24">
        <v>-3.4272669999999998E-2</v>
      </c>
      <c r="J6" s="24">
        <v>-2.7345955000000002E-2</v>
      </c>
      <c r="K6" s="24">
        <v>-7.8713894000000009E-4</v>
      </c>
      <c r="L6" s="24">
        <v>-8.3981750000000008E-3</v>
      </c>
      <c r="M6" s="24">
        <v>-1.8674731E-3</v>
      </c>
      <c r="N6" s="24">
        <v>-7.1123840000000002E-3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42062</v>
      </c>
      <c r="B7" s="24">
        <v>3.6446570999999997E-2</v>
      </c>
      <c r="C7" s="24">
        <v>7.0524335000000007E-2</v>
      </c>
      <c r="D7" s="24">
        <v>2.3001193999999999E-2</v>
      </c>
      <c r="E7" s="24">
        <v>5.2818180000000006E-2</v>
      </c>
      <c r="F7" s="24">
        <v>6.3738226999999995E-2</v>
      </c>
      <c r="G7" s="24">
        <v>2.3341417E-2</v>
      </c>
      <c r="H7" s="24">
        <v>3.3549785999999998E-2</v>
      </c>
      <c r="I7" s="24">
        <v>6.8611980000000003E-2</v>
      </c>
      <c r="J7" s="24">
        <v>3.9064765000000001E-2</v>
      </c>
      <c r="K7" s="24">
        <v>4.3717980000000004E-2</v>
      </c>
      <c r="L7" s="24">
        <v>5.7219625000000003E-2</v>
      </c>
      <c r="M7" s="24">
        <v>8.2631830000000003E-2</v>
      </c>
      <c r="N7" s="24">
        <v>6.5902589999999997E-2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42090</v>
      </c>
      <c r="B8" s="24">
        <v>-4.8840045999999995E-4</v>
      </c>
      <c r="C8" s="24">
        <v>-1.2668967E-2</v>
      </c>
      <c r="D8" s="24">
        <v>-3.3904374000000001E-2</v>
      </c>
      <c r="E8" s="24">
        <v>1.3468027E-2</v>
      </c>
      <c r="F8" s="24">
        <v>3.0769109999999999E-2</v>
      </c>
      <c r="G8" s="24">
        <v>1.0204077000000001E-2</v>
      </c>
      <c r="H8" s="24">
        <v>-3.9790569999999997E-2</v>
      </c>
      <c r="I8" s="24">
        <v>-2.4343370999999999E-2</v>
      </c>
      <c r="J8" s="24">
        <v>-1.9034684E-2</v>
      </c>
      <c r="K8" s="24">
        <v>-3.0188559999999999E-3</v>
      </c>
      <c r="L8" s="24">
        <v>-5.0801635000000001E-3</v>
      </c>
      <c r="M8" s="24">
        <v>-3.1682073999999998E-2</v>
      </c>
      <c r="N8" s="24">
        <v>1.3440847E-3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42121</v>
      </c>
      <c r="B9" s="24">
        <v>-1.0505736000000002E-2</v>
      </c>
      <c r="C9" s="24">
        <v>2.8656959999999999E-2</v>
      </c>
      <c r="D9" s="24">
        <v>8.2009680000000001E-2</v>
      </c>
      <c r="E9" s="24">
        <v>6.3122509999999996E-3</v>
      </c>
      <c r="F9" s="24">
        <v>4.3205023000000002E-2</v>
      </c>
      <c r="G9" s="24">
        <v>3.1937002999999999E-2</v>
      </c>
      <c r="H9" s="24">
        <v>5.725181E-2</v>
      </c>
      <c r="I9" s="24">
        <v>4.4920444000000004E-2</v>
      </c>
      <c r="J9" s="24">
        <v>2.4448276000000001E-2</v>
      </c>
      <c r="K9" s="24">
        <v>4.0499569999999999E-2</v>
      </c>
      <c r="L9" s="24">
        <v>4.8311114000000002E-2</v>
      </c>
      <c r="M9" s="24">
        <v>3.7477732E-2</v>
      </c>
      <c r="N9" s="24">
        <v>3.1543611999999999E-2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42151</v>
      </c>
      <c r="B10" s="24">
        <v>-5.11111E-2</v>
      </c>
      <c r="C10" s="24">
        <v>-5.3222419999999999E-2</v>
      </c>
      <c r="D10" s="24">
        <v>-4.6090840000000001E-2</v>
      </c>
      <c r="E10" s="24">
        <v>-1.8487989999999999E-2</v>
      </c>
      <c r="F10" s="24">
        <v>-6.0240625999999995E-3</v>
      </c>
      <c r="G10" s="24">
        <v>2.0584463999999997E-2</v>
      </c>
      <c r="H10" s="24">
        <v>6.1887499999999998E-3</v>
      </c>
      <c r="I10" s="24">
        <v>6.3486100000000002E-3</v>
      </c>
      <c r="J10" s="24">
        <v>9.1568229999999997E-3</v>
      </c>
      <c r="K10" s="24">
        <v>-1.09130144E-3</v>
      </c>
      <c r="L10" s="24">
        <v>4.4959784000000004E-3</v>
      </c>
      <c r="M10" s="24">
        <v>-1.5195012000000001E-2</v>
      </c>
      <c r="N10" s="24">
        <v>1.8217324999999999E-2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42181</v>
      </c>
      <c r="B11" s="24">
        <v>-6.3819942000000005E-2</v>
      </c>
      <c r="C11" s="24">
        <v>-3.5591721999999999E-2</v>
      </c>
      <c r="D11" s="24">
        <v>-7.0890189999999994E-3</v>
      </c>
      <c r="E11" s="24">
        <v>2.2978782999999998E-3</v>
      </c>
      <c r="F11" s="24">
        <v>-4.0915012000000001E-3</v>
      </c>
      <c r="G11" s="24">
        <v>-2.2905707000000001E-2</v>
      </c>
      <c r="H11" s="24">
        <v>-1.3610720999999999E-2</v>
      </c>
      <c r="I11" s="24">
        <v>-1.2953162000000001E-2</v>
      </c>
      <c r="J11" s="24">
        <v>-8.7200403000000006E-3</v>
      </c>
      <c r="K11" s="24">
        <v>4.3272972E-3</v>
      </c>
      <c r="L11" s="24">
        <v>1.1024714E-2</v>
      </c>
      <c r="M11" s="24">
        <v>-2.1846890000000001E-3</v>
      </c>
      <c r="N11" s="24">
        <v>2.6070714000000002E-2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42212</v>
      </c>
      <c r="B12" s="24">
        <v>-1.7108619000000002E-2</v>
      </c>
      <c r="C12" s="24">
        <v>-5.4570912999999999E-2</v>
      </c>
      <c r="D12" s="24">
        <v>-0.10098076</v>
      </c>
      <c r="E12" s="24">
        <v>-4.6432257000000005E-2</v>
      </c>
      <c r="F12" s="24">
        <v>-2.9052020000000001E-2</v>
      </c>
      <c r="G12" s="24">
        <v>-1.6849040999999999E-2</v>
      </c>
      <c r="H12" s="24">
        <v>-5.026448E-2</v>
      </c>
      <c r="I12" s="24">
        <v>8.3280799999999999E-3</v>
      </c>
      <c r="J12" s="24">
        <v>-1.4441013000000001E-2</v>
      </c>
      <c r="K12" s="24">
        <v>-3.3185899999999997E-2</v>
      </c>
      <c r="L12" s="24">
        <v>-2.5382638000000003E-2</v>
      </c>
      <c r="M12" s="24">
        <v>-4.2283353999999995E-2</v>
      </c>
      <c r="N12" s="24">
        <v>-4.6894790000000006E-2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42243</v>
      </c>
      <c r="B13" s="24">
        <v>-4.2935850000000005E-2</v>
      </c>
      <c r="C13" s="24">
        <v>-5.0320682999999998E-2</v>
      </c>
      <c r="D13" s="24">
        <v>-2.8686821000000001E-2</v>
      </c>
      <c r="E13" s="24">
        <v>-4.6186923999999997E-2</v>
      </c>
      <c r="F13" s="24">
        <v>-3.5433053999999999E-2</v>
      </c>
      <c r="G13" s="24">
        <v>-3.3974647999999996E-2</v>
      </c>
      <c r="H13" s="24">
        <v>-4.9025116000000007E-2</v>
      </c>
      <c r="I13" s="24">
        <v>-4.1205287000000007E-2</v>
      </c>
      <c r="J13" s="24">
        <v>-3.6365330000000001E-2</v>
      </c>
      <c r="K13" s="24">
        <v>-3.6613225999999999E-2</v>
      </c>
      <c r="L13" s="24">
        <v>-5.7449284000000003E-2</v>
      </c>
      <c r="M13" s="24">
        <v>-4.5096160000000003E-2</v>
      </c>
      <c r="N13" s="24">
        <v>-1.9946694000000003E-3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42272</v>
      </c>
      <c r="B14" s="24">
        <v>-1.7887354000000001E-2</v>
      </c>
      <c r="C14" s="24">
        <v>-6.5454540000000005E-2</v>
      </c>
      <c r="D14" s="24">
        <v>-3.9933503000000002E-2</v>
      </c>
      <c r="E14" s="24">
        <v>-7.2822750000000006E-2</v>
      </c>
      <c r="F14" s="24">
        <v>-5.2244900000000004E-2</v>
      </c>
      <c r="G14" s="24">
        <v>-6.3492117000000001E-2</v>
      </c>
      <c r="H14" s="24">
        <v>-3.5735250000000003E-2</v>
      </c>
      <c r="I14" s="24">
        <v>-2.3343204999999999E-2</v>
      </c>
      <c r="J14" s="24">
        <v>-2.7100444000000001E-2</v>
      </c>
      <c r="K14" s="24">
        <v>-4.8297699999999999E-2</v>
      </c>
      <c r="L14" s="24">
        <v>-5.3230466999999997E-2</v>
      </c>
      <c r="M14" s="24">
        <v>-5.350071E-2</v>
      </c>
      <c r="N14" s="24">
        <v>-5.4630280000000003E-2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42304</v>
      </c>
      <c r="B15" s="24">
        <v>0.12932454999999998</v>
      </c>
      <c r="C15" s="24">
        <v>8.6714860000000005E-2</v>
      </c>
      <c r="D15" s="24">
        <v>3.4228801999999996E-2</v>
      </c>
      <c r="E15" s="24">
        <v>9.0283390000000005E-2</v>
      </c>
      <c r="F15" s="24">
        <v>6.8044779999999999E-2</v>
      </c>
      <c r="G15" s="24">
        <v>5.1179767000000001E-2</v>
      </c>
      <c r="H15" s="24">
        <v>5.9538364000000003E-2</v>
      </c>
      <c r="I15" s="24">
        <v>9.8717450000000012E-2</v>
      </c>
      <c r="J15" s="24">
        <v>7.1298956999999996E-2</v>
      </c>
      <c r="K15" s="24">
        <v>7.3211193000000008E-2</v>
      </c>
      <c r="L15" s="24">
        <v>7.1244597000000007E-2</v>
      </c>
      <c r="M15" s="24">
        <v>4.8499584000000005E-2</v>
      </c>
      <c r="N15" s="24">
        <v>4.6511649999999995E-2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42335</v>
      </c>
      <c r="B16" s="24">
        <v>-2.9789566999999999E-2</v>
      </c>
      <c r="C16" s="24">
        <v>-2.7109919999999999E-2</v>
      </c>
      <c r="D16" s="24">
        <v>-3.1839131999999999E-2</v>
      </c>
      <c r="E16" s="24">
        <v>8.9119669999999998E-3</v>
      </c>
      <c r="F16" s="24">
        <v>6.4516070000000007E-3</v>
      </c>
      <c r="G16" s="24">
        <v>-2.5292397000000001E-2</v>
      </c>
      <c r="H16" s="24">
        <v>-1.4908254000000001E-2</v>
      </c>
      <c r="I16" s="24">
        <v>1.0877251999999999E-2</v>
      </c>
      <c r="J16" s="24">
        <v>1.4327168E-2</v>
      </c>
      <c r="K16" s="24">
        <v>-2.5581420000000001E-2</v>
      </c>
      <c r="L16" s="24">
        <v>-3.2051205999999999E-3</v>
      </c>
      <c r="M16" s="24">
        <v>-2.9950142000000003E-3</v>
      </c>
      <c r="N16" s="24">
        <v>-3.2323241000000003E-2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42362</v>
      </c>
      <c r="B17" s="24">
        <v>6.8210483000000002E-2</v>
      </c>
      <c r="C17" s="24">
        <v>1.2253284E-2</v>
      </c>
      <c r="D17" s="24">
        <v>-3.5979270000000001E-2</v>
      </c>
      <c r="E17" s="24">
        <v>-1.3985991E-2</v>
      </c>
      <c r="F17" s="24">
        <v>-2.1776140000000003E-2</v>
      </c>
      <c r="G17" s="24">
        <v>1.9461632E-2</v>
      </c>
      <c r="H17" s="24">
        <v>-2.6934086999999999E-2</v>
      </c>
      <c r="I17" s="24">
        <v>-1.1976838E-2</v>
      </c>
      <c r="J17" s="24">
        <v>-1.2570023999999999E-2</v>
      </c>
      <c r="K17" s="24">
        <v>-1.8151878999999999E-2</v>
      </c>
      <c r="L17" s="24">
        <v>-2.1349251E-2</v>
      </c>
      <c r="M17" s="24">
        <v>-6.7962409999999997E-3</v>
      </c>
      <c r="N17" s="24">
        <v>-1.6522169E-2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42396</v>
      </c>
      <c r="B18" s="24">
        <v>-7.5248599999999999E-2</v>
      </c>
      <c r="C18" s="24">
        <v>-8.7560059999999995E-2</v>
      </c>
      <c r="D18" s="24">
        <v>-8.7352159999999998E-2</v>
      </c>
      <c r="E18" s="24">
        <v>-9.4438259999999996E-2</v>
      </c>
      <c r="F18" s="24">
        <v>-7.5082483000000005E-2</v>
      </c>
      <c r="G18" s="24">
        <v>-8.1450820000000007E-2</v>
      </c>
      <c r="H18" s="24">
        <v>-9.4569799999999996E-2</v>
      </c>
      <c r="I18" s="24">
        <v>-0.10667020000000001</v>
      </c>
      <c r="J18" s="24">
        <v>-8.5326669999999993E-2</v>
      </c>
      <c r="K18" s="24">
        <v>-7.2143554999999998E-2</v>
      </c>
      <c r="L18" s="24">
        <v>-5.9504149999999999E-2</v>
      </c>
      <c r="M18" s="24">
        <v>-7.8708410000000006E-2</v>
      </c>
      <c r="N18" s="24">
        <v>-0.14478355000000001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42426</v>
      </c>
      <c r="B19" s="24">
        <v>5.9866309999999999E-2</v>
      </c>
      <c r="C19" s="24">
        <v>1.2287855E-2</v>
      </c>
      <c r="D19" s="24">
        <v>7.8265189999999998E-2</v>
      </c>
      <c r="E19" s="24">
        <v>-2.5144280000000001E-2</v>
      </c>
      <c r="F19" s="24">
        <v>-1.3380885E-2</v>
      </c>
      <c r="G19" s="24">
        <v>-1.1430562E-2</v>
      </c>
      <c r="H19" s="24">
        <v>4.7169923999999998E-3</v>
      </c>
      <c r="I19" s="24">
        <v>2.8335689999999997E-2</v>
      </c>
      <c r="J19" s="24">
        <v>3.6991477000000002E-2</v>
      </c>
      <c r="K19" s="24">
        <v>-2.6292205E-3</v>
      </c>
      <c r="L19" s="24">
        <v>-1.3181567E-3</v>
      </c>
      <c r="M19" s="24">
        <v>5.8414935999999999E-3</v>
      </c>
      <c r="N19" s="24">
        <v>-6.0580969999999998E-2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42453</v>
      </c>
      <c r="B20" s="24">
        <v>7.896888299999999E-2</v>
      </c>
      <c r="C20" s="24">
        <v>0.11156071000000001</v>
      </c>
      <c r="D20" s="24">
        <v>6.7498920000000004E-2</v>
      </c>
      <c r="E20" s="24">
        <v>6.4270616000000003E-2</v>
      </c>
      <c r="F20" s="24">
        <v>2.622056E-2</v>
      </c>
      <c r="G20" s="24">
        <v>2.1723865999999998E-2</v>
      </c>
      <c r="H20" s="24">
        <v>3.2193184E-2</v>
      </c>
      <c r="I20" s="24">
        <v>4.0099381999999996E-2</v>
      </c>
      <c r="J20" s="24">
        <v>4.6511769999999994E-2</v>
      </c>
      <c r="K20" s="24">
        <v>4.0861130000000002E-2</v>
      </c>
      <c r="L20" s="24">
        <v>6.4232349999999994E-2</v>
      </c>
      <c r="M20" s="24">
        <v>3.7023663999999998E-2</v>
      </c>
      <c r="N20" s="24">
        <v>6.8904640000000003E-2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42487</v>
      </c>
      <c r="B21" s="24">
        <v>3.8119435E-2</v>
      </c>
      <c r="C21" s="24">
        <v>3.0161262000000001E-2</v>
      </c>
      <c r="D21" s="24">
        <v>9.0515375000000009E-2</v>
      </c>
      <c r="E21" s="24">
        <v>5.5621742999999994E-2</v>
      </c>
      <c r="F21" s="24">
        <v>6.3436030000000004E-2</v>
      </c>
      <c r="G21" s="24">
        <v>5.4183839999999997E-2</v>
      </c>
      <c r="H21" s="24">
        <v>6.4977170000000001E-2</v>
      </c>
      <c r="I21" s="24">
        <v>2.9834509999999998E-3</v>
      </c>
      <c r="J21" s="24">
        <v>3.0671596999999998E-2</v>
      </c>
      <c r="K21" s="24">
        <v>5.9518814000000003E-2</v>
      </c>
      <c r="L21" s="24">
        <v>2.9764295E-2</v>
      </c>
      <c r="M21" s="24">
        <v>7.2103619999999993E-2</v>
      </c>
      <c r="N21" s="24">
        <v>4.3801664999999997E-2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42517</v>
      </c>
      <c r="B22" s="24">
        <v>1.1845827E-2</v>
      </c>
      <c r="C22" s="24">
        <v>-1.1610270000000001E-2</v>
      </c>
      <c r="D22" s="24">
        <v>-1.7871379999999999E-2</v>
      </c>
      <c r="E22" s="24">
        <v>-2.1452784999999999E-2</v>
      </c>
      <c r="F22" s="24">
        <v>-3.1068742E-2</v>
      </c>
      <c r="G22" s="24">
        <v>3.2531022999999996E-3</v>
      </c>
      <c r="H22" s="24">
        <v>1.2202263000000001E-3</v>
      </c>
      <c r="I22" s="24">
        <v>2.3703218000000002E-2</v>
      </c>
      <c r="J22" s="24">
        <v>4.2512417E-3</v>
      </c>
      <c r="K22" s="24">
        <v>-1.3944209000000001E-2</v>
      </c>
      <c r="L22" s="24">
        <v>4.4158697E-3</v>
      </c>
      <c r="M22" s="24">
        <v>-3.0035913000000001E-2</v>
      </c>
      <c r="N22" s="24">
        <v>-3.0087112999999999E-2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42548</v>
      </c>
      <c r="B23" s="24">
        <v>1.6310215E-3</v>
      </c>
      <c r="C23" s="24">
        <v>-4.9013432999999995E-2</v>
      </c>
      <c r="D23" s="24">
        <v>-3.7300050000000001E-2</v>
      </c>
      <c r="E23" s="24">
        <v>-9.7040415000000005E-2</v>
      </c>
      <c r="F23" s="24">
        <v>-2.7831733000000001E-2</v>
      </c>
      <c r="G23" s="24">
        <v>-6.5921124999999997E-2</v>
      </c>
      <c r="H23" s="24">
        <v>-0.12643385000000001</v>
      </c>
      <c r="I23" s="24">
        <v>-6.9325742999999995E-2</v>
      </c>
      <c r="J23" s="24">
        <v>-4.5651140000000007E-2</v>
      </c>
      <c r="K23" s="24">
        <v>-0.11347485</v>
      </c>
      <c r="L23" s="24">
        <v>-0.11934275</v>
      </c>
      <c r="M23" s="24">
        <v>-0.10737258000000001</v>
      </c>
      <c r="N23" s="24">
        <v>-0.15537739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42578</v>
      </c>
      <c r="B24" s="24">
        <v>0.10934437000000001</v>
      </c>
      <c r="C24" s="24">
        <v>0.11873638</v>
      </c>
      <c r="D24" s="24">
        <v>5.6308150000000001E-2</v>
      </c>
      <c r="E24" s="24">
        <v>0.10383940000000001</v>
      </c>
      <c r="F24" s="24">
        <v>5.0531983000000003E-2</v>
      </c>
      <c r="G24" s="24">
        <v>6.5217375999999994E-2</v>
      </c>
      <c r="H24" s="24">
        <v>0.114367485</v>
      </c>
      <c r="I24" s="24">
        <v>0.12091564999999999</v>
      </c>
      <c r="J24" s="24">
        <v>8.4769489999999989E-2</v>
      </c>
      <c r="K24" s="24">
        <v>0.10659194</v>
      </c>
      <c r="L24" s="24">
        <v>9.8526719999999998E-2</v>
      </c>
      <c r="M24" s="24">
        <v>9.0944769999999994E-2</v>
      </c>
      <c r="N24" s="24">
        <v>9.6421360000000012E-2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42608</v>
      </c>
      <c r="B25" s="24">
        <v>3.0429959999999999E-2</v>
      </c>
      <c r="C25" s="24">
        <v>6.3290595999999999E-3</v>
      </c>
      <c r="D25" s="24">
        <v>2.6052117E-2</v>
      </c>
      <c r="E25" s="24">
        <v>3.3596872999999999E-2</v>
      </c>
      <c r="F25" s="24">
        <v>3.1223654999999999E-2</v>
      </c>
      <c r="G25" s="24">
        <v>1.0371447000000001E-2</v>
      </c>
      <c r="H25" s="24">
        <v>1.2828707999999999E-2</v>
      </c>
      <c r="I25" s="24">
        <v>1.9200563E-2</v>
      </c>
      <c r="J25" s="24">
        <v>3.5562515E-3</v>
      </c>
      <c r="K25" s="24">
        <v>8.4495543999999999E-3</v>
      </c>
      <c r="L25" s="24">
        <v>3.3109784000000003E-2</v>
      </c>
      <c r="M25" s="24">
        <v>2.874589E-2</v>
      </c>
      <c r="N25" s="24">
        <v>1.4505863000000001E-2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42640</v>
      </c>
      <c r="B26" s="24">
        <v>-1.476562E-2</v>
      </c>
      <c r="C26" s="24">
        <v>3.3864975000000002E-3</v>
      </c>
      <c r="D26" s="24">
        <v>-1.6406238E-2</v>
      </c>
      <c r="E26" s="24">
        <v>-7.6481103999999998E-3</v>
      </c>
      <c r="F26" s="24">
        <v>3.6824822E-2</v>
      </c>
      <c r="G26" s="24">
        <v>1.5562892E-2</v>
      </c>
      <c r="H26" s="24">
        <v>-6.966412E-3</v>
      </c>
      <c r="I26" s="24">
        <v>1.7270923000000001E-2</v>
      </c>
      <c r="J26" s="24">
        <v>-2.8845071999999998E-3</v>
      </c>
      <c r="K26" s="24">
        <v>2.5136469999999999E-3</v>
      </c>
      <c r="L26" s="24">
        <v>2.4340153E-3</v>
      </c>
      <c r="M26" s="24">
        <v>5.588651E-3</v>
      </c>
      <c r="N26" s="24">
        <v>-3.1277895E-2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42670</v>
      </c>
      <c r="B27" s="24">
        <v>-7.1025190000000002E-2</v>
      </c>
      <c r="C27" s="24">
        <v>-2.3143650000000002E-2</v>
      </c>
      <c r="D27" s="24">
        <v>1.3105631E-2</v>
      </c>
      <c r="E27" s="24">
        <v>-5.7803990000000003E-3</v>
      </c>
      <c r="F27" s="24">
        <v>-5.5248140000000003E-3</v>
      </c>
      <c r="G27" s="24">
        <v>-5.1516113000000002E-2</v>
      </c>
      <c r="H27" s="24">
        <v>-4.2091846000000002E-2</v>
      </c>
      <c r="I27" s="24">
        <v>-5.5696369999999997E-3</v>
      </c>
      <c r="J27" s="24">
        <v>-1.1133313000000001E-2</v>
      </c>
      <c r="K27" s="24">
        <v>-1.2536645E-3</v>
      </c>
      <c r="L27" s="24">
        <v>-1.3354896999999999E-2</v>
      </c>
      <c r="M27" s="24">
        <v>-3.6818385000000002E-2</v>
      </c>
      <c r="N27" s="24">
        <v>4.6125410000000006E-2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42699</v>
      </c>
      <c r="B28" s="24">
        <v>-1.2859464000000001E-2</v>
      </c>
      <c r="C28" s="24">
        <v>2.8134226999999998E-2</v>
      </c>
      <c r="D28" s="24">
        <v>1.4504075E-2</v>
      </c>
      <c r="E28" s="24">
        <v>-3.2170534000000001E-2</v>
      </c>
      <c r="F28" s="24">
        <v>-1.8055557999999999E-2</v>
      </c>
      <c r="G28" s="24">
        <v>-2.028191E-2</v>
      </c>
      <c r="H28" s="24">
        <v>8.3222390000000004E-3</v>
      </c>
      <c r="I28" s="24">
        <v>8.1466435999999996E-3</v>
      </c>
      <c r="J28" s="24">
        <v>3.9170623000000002E-2</v>
      </c>
      <c r="K28" s="24">
        <v>-2.2175669999999998E-2</v>
      </c>
      <c r="L28" s="24">
        <v>-2.7891636000000001E-2</v>
      </c>
      <c r="M28" s="24">
        <v>-2.5243163000000001E-3</v>
      </c>
      <c r="N28" s="24">
        <v>-6.1287459999999995E-2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42731</v>
      </c>
      <c r="B29" s="24">
        <v>-3.0633270000000001E-2</v>
      </c>
      <c r="C29" s="24">
        <v>-7.2720647000000006E-3</v>
      </c>
      <c r="D29" s="24">
        <v>1.7406702E-2</v>
      </c>
      <c r="E29" s="24">
        <v>5.6029559999999999E-2</v>
      </c>
      <c r="F29" s="24">
        <v>1.0910869E-2</v>
      </c>
      <c r="G29" s="24">
        <v>2.6956081E-2</v>
      </c>
      <c r="H29" s="24">
        <v>1.8868208000000001E-2</v>
      </c>
      <c r="I29" s="24">
        <v>2.0021558000000002E-2</v>
      </c>
      <c r="J29" s="24">
        <v>2.7474642000000001E-2</v>
      </c>
      <c r="K29" s="24">
        <v>5.0402639999999999E-2</v>
      </c>
      <c r="L29" s="24">
        <v>2.8698564000000003E-2</v>
      </c>
      <c r="M29" s="24">
        <v>3.3437133000000001E-2</v>
      </c>
      <c r="N29" s="24">
        <v>0.14906847000000001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42762</v>
      </c>
      <c r="B30" s="24">
        <v>9.807884E-2</v>
      </c>
      <c r="C30" s="24">
        <v>6.2562110000000004E-2</v>
      </c>
      <c r="D30" s="24">
        <v>4.5646310000000002E-2</v>
      </c>
      <c r="E30" s="24">
        <v>5.3869486000000001E-2</v>
      </c>
      <c r="F30" s="24">
        <v>2.7907014000000001E-2</v>
      </c>
      <c r="G30" s="24">
        <v>4.9914480000000004E-2</v>
      </c>
      <c r="H30" s="24">
        <v>3.7450670999999998E-2</v>
      </c>
      <c r="I30" s="24">
        <v>4.1218399999999995E-2</v>
      </c>
      <c r="J30" s="24">
        <v>1.1932610999999999E-2</v>
      </c>
      <c r="K30" s="24">
        <v>2.7800560000000002E-2</v>
      </c>
      <c r="L30" s="24">
        <v>3.282094E-2</v>
      </c>
      <c r="M30" s="24">
        <v>5.7732699999999998E-2</v>
      </c>
      <c r="N30" s="24">
        <v>5.3631070000000006E-3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42793</v>
      </c>
      <c r="B31" s="24">
        <v>-1.8646360000000001E-2</v>
      </c>
      <c r="C31" s="24">
        <v>3.0841112E-2</v>
      </c>
      <c r="D31" s="24">
        <v>-3.3015610000000002E-3</v>
      </c>
      <c r="E31" s="24">
        <v>-7.5594186999999998E-3</v>
      </c>
      <c r="F31" s="24">
        <v>1.0426879E-2</v>
      </c>
      <c r="G31" s="24">
        <v>7.8151226000000001E-3</v>
      </c>
      <c r="H31" s="24">
        <v>1.2666225E-2</v>
      </c>
      <c r="I31" s="24">
        <v>3.6724924999999999E-2</v>
      </c>
      <c r="J31" s="24">
        <v>3.5550474999999998E-2</v>
      </c>
      <c r="K31" s="24">
        <v>-9.5465182999999992E-3</v>
      </c>
      <c r="L31" s="24">
        <v>2.4135113E-2</v>
      </c>
      <c r="M31" s="24">
        <v>3.3080578000000002E-4</v>
      </c>
      <c r="N31" s="24">
        <v>-2.8723895999999999E-2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42821</v>
      </c>
      <c r="B32" s="24">
        <v>-2.3457645999999999E-2</v>
      </c>
      <c r="C32" s="24">
        <v>4.9864054000000003E-3</v>
      </c>
      <c r="D32" s="24">
        <v>-2.0242870000000003E-2</v>
      </c>
      <c r="E32" s="24">
        <v>3.8084864999999996E-2</v>
      </c>
      <c r="F32" s="24">
        <v>1.0514021E-2</v>
      </c>
      <c r="G32" s="24">
        <v>4.1680216999999999E-2</v>
      </c>
      <c r="H32" s="24">
        <v>1.7198205000000001E-2</v>
      </c>
      <c r="I32" s="24">
        <v>5.3088665000000004E-3</v>
      </c>
      <c r="J32" s="24">
        <v>-1.0424495000000001E-2</v>
      </c>
      <c r="K32" s="24">
        <v>6.3453793999999994E-2</v>
      </c>
      <c r="L32" s="24">
        <v>6.0879827000000004E-2</v>
      </c>
      <c r="M32" s="24">
        <v>4.7288420000000005E-2</v>
      </c>
      <c r="N32" s="24">
        <v>8.7874890000000011E-2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42852</v>
      </c>
      <c r="B33" s="24">
        <v>2.0417928999999998E-2</v>
      </c>
      <c r="C33" s="24">
        <v>1.0374308E-2</v>
      </c>
      <c r="D33" s="24">
        <v>-1.5402018999999999E-2</v>
      </c>
      <c r="E33" s="24">
        <v>3.6687613000000001E-2</v>
      </c>
      <c r="F33" s="24">
        <v>4.0462016999999999E-3</v>
      </c>
      <c r="G33" s="24">
        <v>3.4739374999999996E-2</v>
      </c>
      <c r="H33" s="24">
        <v>2.0903826E-2</v>
      </c>
      <c r="I33" s="24">
        <v>3.7526727000000003E-2</v>
      </c>
      <c r="J33" s="24">
        <v>2.1316767E-2</v>
      </c>
      <c r="K33" s="24">
        <v>5.8157085999999997E-2</v>
      </c>
      <c r="L33" s="24">
        <v>3.9244652000000005E-2</v>
      </c>
      <c r="M33" s="24">
        <v>4.4521689999999996E-2</v>
      </c>
      <c r="N33" s="24">
        <v>2.8349519E-2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42881</v>
      </c>
      <c r="B34" s="24">
        <v>4.2843699999999998E-2</v>
      </c>
      <c r="C34" s="24">
        <v>-3.2589256999999996E-2</v>
      </c>
      <c r="D34" s="24">
        <v>6.4860580000000003E-3</v>
      </c>
      <c r="E34" s="24">
        <v>3.7748574999999999E-2</v>
      </c>
      <c r="F34" s="24">
        <v>2.0533442000000002E-2</v>
      </c>
      <c r="G34" s="24">
        <v>4.5563580000000006E-2</v>
      </c>
      <c r="H34" s="24">
        <v>3.8241506000000001E-2</v>
      </c>
      <c r="I34" s="24">
        <v>4.0294647000000003E-2</v>
      </c>
      <c r="J34" s="24">
        <v>1.3034344E-2</v>
      </c>
      <c r="K34" s="24">
        <v>4.8179865000000002E-2</v>
      </c>
      <c r="L34" s="24">
        <v>4.9519060000000004E-2</v>
      </c>
      <c r="M34" s="24">
        <v>3.0532001999999999E-2</v>
      </c>
      <c r="N34" s="24">
        <v>7.0241689999999996E-2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42913</v>
      </c>
      <c r="B35" s="24">
        <v>5.5467605999999996E-2</v>
      </c>
      <c r="C35" s="24">
        <v>5.0090550000000001E-3</v>
      </c>
      <c r="D35" s="24">
        <v>1.4362692999999999E-2</v>
      </c>
      <c r="E35" s="24">
        <v>1.3515114999999999E-2</v>
      </c>
      <c r="F35" s="24">
        <v>1.7607807999999999E-2</v>
      </c>
      <c r="G35" s="24">
        <v>1.3767362E-2</v>
      </c>
      <c r="H35" s="24">
        <v>-1.6414939999999999E-2</v>
      </c>
      <c r="I35" s="24">
        <v>-1.9911528000000001E-2</v>
      </c>
      <c r="J35" s="24">
        <v>3.296256E-3</v>
      </c>
      <c r="K35" s="24">
        <v>5.8588980000000004E-3</v>
      </c>
      <c r="L35" s="24">
        <v>-1.8280149000000001E-3</v>
      </c>
      <c r="M35" s="24">
        <v>5.6115389999999996E-3</v>
      </c>
      <c r="N35" s="24">
        <v>-6.9488883E-3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42943</v>
      </c>
      <c r="B36" s="24">
        <v>3.3986926000000001E-2</v>
      </c>
      <c r="C36" s="24">
        <v>6.8043229999999996E-2</v>
      </c>
      <c r="D36" s="24">
        <v>4.6345115000000006E-2</v>
      </c>
      <c r="E36" s="24">
        <v>-1.6334652999999998E-3</v>
      </c>
      <c r="F36" s="24">
        <v>1.2088537E-2</v>
      </c>
      <c r="G36" s="24">
        <v>-5.7770014000000005E-3</v>
      </c>
      <c r="H36" s="24">
        <v>2.5022625999999999E-2</v>
      </c>
      <c r="I36" s="24">
        <v>4.2961717000000003E-2</v>
      </c>
      <c r="J36" s="24">
        <v>2.4323463E-2</v>
      </c>
      <c r="K36" s="24">
        <v>1.6873240000000001E-2</v>
      </c>
      <c r="L36" s="24">
        <v>5.2667856000000006E-2</v>
      </c>
      <c r="M36" s="24">
        <v>1.5214801E-2</v>
      </c>
      <c r="N36" s="24">
        <v>6.9464563999999993E-2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42972</v>
      </c>
      <c r="B37" s="24">
        <v>-1.0324419E-2</v>
      </c>
      <c r="C37" s="24">
        <v>-2.6361941999999998E-3</v>
      </c>
      <c r="D37" s="24">
        <v>-1.8005371000000001E-3</v>
      </c>
      <c r="E37" s="24">
        <v>1.7342924999999999E-2</v>
      </c>
      <c r="F37" s="24">
        <v>-1.1025071E-3</v>
      </c>
      <c r="G37" s="24">
        <v>-2.3241639000000001E-3</v>
      </c>
      <c r="H37" s="24">
        <v>-1.2352884E-2</v>
      </c>
      <c r="I37" s="24">
        <v>-1.382333E-2</v>
      </c>
      <c r="J37" s="24">
        <v>-1.0679602999999999E-2</v>
      </c>
      <c r="K37" s="24">
        <v>7.4499846E-3</v>
      </c>
      <c r="L37" s="24">
        <v>2.6160480000000002E-3</v>
      </c>
      <c r="M37" s="24">
        <v>1.1460422999999999E-2</v>
      </c>
      <c r="N37" s="24">
        <v>2.6386975999999999E-2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43005</v>
      </c>
      <c r="B38" s="24">
        <v>3.1934976999999998E-3</v>
      </c>
      <c r="C38" s="24">
        <v>-1.3656436999999999E-2</v>
      </c>
      <c r="D38" s="24">
        <v>4.0043354000000003E-2</v>
      </c>
      <c r="E38" s="24">
        <v>2.4445176000000002E-2</v>
      </c>
      <c r="F38" s="24">
        <v>2.3914576E-2</v>
      </c>
      <c r="G38" s="24">
        <v>7.2801112999999994E-3</v>
      </c>
      <c r="H38" s="24">
        <v>2.9183984E-2</v>
      </c>
      <c r="I38" s="24">
        <v>1.9771694999999999E-2</v>
      </c>
      <c r="J38" s="24">
        <v>2.75141E-2</v>
      </c>
      <c r="K38" s="24">
        <v>2.4201632000000001E-2</v>
      </c>
      <c r="L38" s="24">
        <v>7.1754456000000001E-3</v>
      </c>
      <c r="M38" s="24">
        <v>2.9052853999999999E-2</v>
      </c>
      <c r="N38" s="24">
        <v>2.5049448000000002E-2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43035</v>
      </c>
      <c r="B39" s="24">
        <v>-3.0772507000000001E-2</v>
      </c>
      <c r="C39" s="24">
        <v>1.8311739E-2</v>
      </c>
      <c r="D39" s="24">
        <v>0</v>
      </c>
      <c r="E39" s="24">
        <v>2.7943492E-2</v>
      </c>
      <c r="F39" s="24">
        <v>4.9586773000000001E-2</v>
      </c>
      <c r="G39" s="24">
        <v>-1.0696709E-2</v>
      </c>
      <c r="H39" s="24">
        <v>3.472209E-3</v>
      </c>
      <c r="I39" s="24">
        <v>4.6933413E-2</v>
      </c>
      <c r="J39" s="24">
        <v>3.0633807000000002E-2</v>
      </c>
      <c r="K39" s="24">
        <v>2.3958086999999999E-2</v>
      </c>
      <c r="L39" s="24">
        <v>1.8782376999999999E-2</v>
      </c>
      <c r="M39" s="24">
        <v>4.7996044E-3</v>
      </c>
      <c r="N39" s="24">
        <v>-1.5755593999999998E-2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43066</v>
      </c>
      <c r="B40" s="24">
        <v>5.9119460000000004E-3</v>
      </c>
      <c r="C40" s="24">
        <v>1.3158321000000001E-3</v>
      </c>
      <c r="D40" s="24">
        <v>1.1446357000000001E-2</v>
      </c>
      <c r="E40" s="24">
        <v>1.1606455E-2</v>
      </c>
      <c r="F40" s="24">
        <v>2.3450970000000002E-2</v>
      </c>
      <c r="G40" s="24">
        <v>2.0455836999999998E-2</v>
      </c>
      <c r="H40" s="24">
        <v>2.3066998E-3</v>
      </c>
      <c r="I40" s="24">
        <v>3.2729386999999999E-2</v>
      </c>
      <c r="J40" s="24">
        <v>9.7784996000000006E-3</v>
      </c>
      <c r="K40" s="24">
        <v>3.5256147000000001E-3</v>
      </c>
      <c r="L40" s="24">
        <v>3.1785964999999998E-3</v>
      </c>
      <c r="M40" s="24">
        <v>-2.6973843999999997E-2</v>
      </c>
      <c r="N40" s="24">
        <v>6.5337420000000004E-3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43096</v>
      </c>
      <c r="B41" s="24">
        <v>5.0269126999999997E-2</v>
      </c>
      <c r="C41" s="24">
        <v>3.6291838E-2</v>
      </c>
      <c r="D41" s="24">
        <v>2.0448564999999998E-2</v>
      </c>
      <c r="E41" s="24">
        <v>4.3402909999999996E-3</v>
      </c>
      <c r="F41" s="24">
        <v>9.5626115999999997E-3</v>
      </c>
      <c r="G41" s="24">
        <v>1.3173102999999999E-2</v>
      </c>
      <c r="H41" s="24">
        <v>3.941393E-2</v>
      </c>
      <c r="I41" s="24">
        <v>4.3219328E-3</v>
      </c>
      <c r="J41" s="24">
        <v>3.2453655999999997E-2</v>
      </c>
      <c r="K41" s="24">
        <v>4.7683715999999999E-4</v>
      </c>
      <c r="L41" s="24">
        <v>8.2086325000000002E-3</v>
      </c>
      <c r="M41" s="24">
        <v>-8.9480280000000002E-3</v>
      </c>
      <c r="N41" s="24">
        <v>9.4807150000000005E-4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43126</v>
      </c>
      <c r="B42" s="24">
        <v>3.5065531999999996E-2</v>
      </c>
      <c r="C42" s="24">
        <v>4.4175029999999997E-2</v>
      </c>
      <c r="D42" s="24">
        <v>3.1994581000000001E-2</v>
      </c>
      <c r="E42" s="24">
        <v>7.1127176E-2</v>
      </c>
      <c r="F42" s="24">
        <v>7.8552364999999999E-2</v>
      </c>
      <c r="G42" s="24">
        <v>6.6704392000000001E-2</v>
      </c>
      <c r="H42" s="24">
        <v>6.8246006999999997E-2</v>
      </c>
      <c r="I42" s="24">
        <v>9.1925380000000001E-2</v>
      </c>
      <c r="J42" s="24">
        <v>7.2048425999999999E-2</v>
      </c>
      <c r="K42" s="24">
        <v>8.005118E-2</v>
      </c>
      <c r="L42" s="24">
        <v>7.585335E-2</v>
      </c>
      <c r="M42" s="24">
        <v>7.4455499999999994E-2</v>
      </c>
      <c r="N42" s="24">
        <v>0.12292135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43158</v>
      </c>
      <c r="B43" s="24">
        <v>-8.7755320000000008E-3</v>
      </c>
      <c r="C43" s="24">
        <v>-4.1891336000000001E-2</v>
      </c>
      <c r="D43" s="24">
        <v>-6.5633239999999995E-2</v>
      </c>
      <c r="E43" s="24">
        <v>-8.1035499999999996E-2</v>
      </c>
      <c r="F43" s="24">
        <v>-4.7317085000000002E-2</v>
      </c>
      <c r="G43" s="24">
        <v>-6.0943364999999999E-2</v>
      </c>
      <c r="H43" s="24">
        <v>-7.1013809999999997E-2</v>
      </c>
      <c r="I43" s="24">
        <v>-1.5444933999999999E-2</v>
      </c>
      <c r="J43" s="24">
        <v>-4.2396545000000001E-2</v>
      </c>
      <c r="K43" s="24">
        <v>-5.6033189999999997E-2</v>
      </c>
      <c r="L43" s="24">
        <v>-5.8460655E-2</v>
      </c>
      <c r="M43" s="24">
        <v>-5.9161900000000003E-2</v>
      </c>
      <c r="N43" s="24">
        <v>-7.200927E-2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43186</v>
      </c>
      <c r="B44" s="24">
        <v>1.4000416E-2</v>
      </c>
      <c r="C44" s="24">
        <v>-5.4978369999999999E-2</v>
      </c>
      <c r="D44" s="24">
        <v>-4.0592965999999994E-2</v>
      </c>
      <c r="E44" s="24">
        <v>-3.2761752999999998E-2</v>
      </c>
      <c r="F44" s="24">
        <v>-3.8305460999999999E-2</v>
      </c>
      <c r="G44" s="24">
        <v>-4.4017973000000002E-2</v>
      </c>
      <c r="H44" s="24">
        <v>-2.3870409000000002E-2</v>
      </c>
      <c r="I44" s="24">
        <v>-5.3162517999999999E-2</v>
      </c>
      <c r="J44" s="24">
        <v>-4.6597004000000004E-2</v>
      </c>
      <c r="K44" s="24">
        <v>-2.8894484000000002E-2</v>
      </c>
      <c r="L44" s="24">
        <v>-1.435256E-2</v>
      </c>
      <c r="M44" s="24">
        <v>-3.9592325999999997E-2</v>
      </c>
      <c r="N44" s="24">
        <v>-1.4705836999999999E-2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43217</v>
      </c>
      <c r="B45" s="24">
        <v>-2.6395917000000001E-2</v>
      </c>
      <c r="C45" s="24">
        <v>2.5194645000000002E-2</v>
      </c>
      <c r="D45" s="24">
        <v>3.7895439999999996E-2</v>
      </c>
      <c r="E45" s="24">
        <v>3.3554911999999999E-2</v>
      </c>
      <c r="F45" s="24">
        <v>2.5822759000000001E-2</v>
      </c>
      <c r="G45" s="24">
        <v>9.7402333999999993E-3</v>
      </c>
      <c r="H45" s="24">
        <v>5.793309E-2</v>
      </c>
      <c r="I45" s="24">
        <v>1.8921256000000001E-2</v>
      </c>
      <c r="J45" s="24">
        <v>2.2870301999999999E-2</v>
      </c>
      <c r="K45" s="24">
        <v>6.0155152999999996E-2</v>
      </c>
      <c r="L45" s="24">
        <v>2.3741722E-2</v>
      </c>
      <c r="M45" s="24">
        <v>1.4246702E-2</v>
      </c>
      <c r="N45" s="24">
        <v>7.0816160000000003E-2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43245</v>
      </c>
      <c r="B46" s="24">
        <v>0</v>
      </c>
      <c r="C46" s="24">
        <v>9.8302363999999993E-3</v>
      </c>
      <c r="D46" s="24">
        <v>1.9496678999999999E-2</v>
      </c>
      <c r="E46" s="24">
        <v>-1.3782561E-2</v>
      </c>
      <c r="F46" s="24">
        <v>-1.0694265000000001E-2</v>
      </c>
      <c r="G46" s="24">
        <v>-6.4308050000000004E-3</v>
      </c>
      <c r="H46" s="24">
        <v>-3.5773516000000001E-3</v>
      </c>
      <c r="I46" s="24">
        <v>4.7072649999999994E-2</v>
      </c>
      <c r="J46" s="24">
        <v>2.0970821000000001E-2</v>
      </c>
      <c r="K46" s="24">
        <v>-1.5558243000000001E-2</v>
      </c>
      <c r="L46" s="24">
        <v>-1.3296247000000001E-2</v>
      </c>
      <c r="M46" s="24">
        <v>-2.9885770000000001E-3</v>
      </c>
      <c r="N46" s="24">
        <v>-9.2230139999999988E-2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43278</v>
      </c>
      <c r="B47" s="24">
        <v>3.2737612999999999E-2</v>
      </c>
      <c r="C47" s="24">
        <v>1.06287E-3</v>
      </c>
      <c r="D47" s="24">
        <v>-2.0097733E-2</v>
      </c>
      <c r="E47" s="24">
        <v>-5.6324005000000003E-2</v>
      </c>
      <c r="F47" s="24">
        <v>-2.736628E-2</v>
      </c>
      <c r="G47" s="24">
        <v>-3.3732175999999996E-2</v>
      </c>
      <c r="H47" s="24">
        <v>-3.1347572999999997E-2</v>
      </c>
      <c r="I47" s="24">
        <v>2.2027493E-3</v>
      </c>
      <c r="J47" s="24">
        <v>-5.8401822999999999E-3</v>
      </c>
      <c r="K47" s="24">
        <v>-4.5545220000000004E-2</v>
      </c>
      <c r="L47" s="24">
        <v>-3.9152025999999999E-2</v>
      </c>
      <c r="M47" s="24">
        <v>-5.6305589999999996E-2</v>
      </c>
      <c r="N47" s="24">
        <v>-4.6199980000000002E-2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43308</v>
      </c>
      <c r="B48" s="24">
        <v>-8.2135796999999993E-3</v>
      </c>
      <c r="C48" s="24">
        <v>2.9292463999999997E-2</v>
      </c>
      <c r="D48" s="24">
        <v>3.8626670000000002E-2</v>
      </c>
      <c r="E48" s="24">
        <v>5.3252460000000001E-2</v>
      </c>
      <c r="F48" s="24">
        <v>2.4125456999999999E-2</v>
      </c>
      <c r="G48" s="24">
        <v>7.7403190000000011E-2</v>
      </c>
      <c r="H48" s="24">
        <v>1.5178084000000001E-2</v>
      </c>
      <c r="I48" s="24">
        <v>4.6485542999999997E-2</v>
      </c>
      <c r="J48" s="24">
        <v>4.4811605999999997E-2</v>
      </c>
      <c r="K48" s="24">
        <v>4.4746399999999999E-2</v>
      </c>
      <c r="L48" s="24">
        <v>5.1707029999999994E-2</v>
      </c>
      <c r="M48" s="24">
        <v>6.3829780000000003E-2</v>
      </c>
      <c r="N48" s="24">
        <v>3.415501E-2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43339</v>
      </c>
      <c r="B49" s="24">
        <v>1.4699816999999999E-2</v>
      </c>
      <c r="C49" s="24">
        <v>-4.3783188000000002E-3</v>
      </c>
      <c r="D49" s="24">
        <v>9.6418859999999988E-3</v>
      </c>
      <c r="E49" s="24">
        <v>-1.2159944000000001E-2</v>
      </c>
      <c r="F49" s="24">
        <v>-1.5985190999999999E-2</v>
      </c>
      <c r="G49" s="24">
        <v>9.2699529999999992E-3</v>
      </c>
      <c r="H49" s="24">
        <v>-1.495111E-2</v>
      </c>
      <c r="I49" s="24">
        <v>3.7833570999999996E-2</v>
      </c>
      <c r="J49" s="24">
        <v>2.9706478000000001E-2</v>
      </c>
      <c r="K49" s="24">
        <v>3.4898519999999999E-3</v>
      </c>
      <c r="L49" s="24">
        <v>-7.2486399999999998E-3</v>
      </c>
      <c r="M49" s="24">
        <v>3.437519E-3</v>
      </c>
      <c r="N49" s="24">
        <v>-4.5284269999999995E-2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43370</v>
      </c>
      <c r="B50" s="24">
        <v>-9.9979043000000007E-3</v>
      </c>
      <c r="C50" s="24">
        <v>-2.7264713999999999E-2</v>
      </c>
      <c r="D50" s="24">
        <v>-1.8758476E-2</v>
      </c>
      <c r="E50" s="24">
        <v>-1.9112408000000001E-2</v>
      </c>
      <c r="F50" s="24">
        <v>3.1976699999999997E-2</v>
      </c>
      <c r="G50" s="24">
        <v>1.7222165999999999E-3</v>
      </c>
      <c r="H50" s="24">
        <v>5.5458545999999996E-3</v>
      </c>
      <c r="I50" s="24">
        <v>9.8905562999999988E-3</v>
      </c>
      <c r="J50" s="24">
        <v>7.6841115999999998E-3</v>
      </c>
      <c r="K50" s="24">
        <v>1.8969774000000001E-3</v>
      </c>
      <c r="L50" s="24">
        <v>-3.1428576E-2</v>
      </c>
      <c r="M50" s="24">
        <v>3.5502909999999999E-2</v>
      </c>
      <c r="N50" s="24">
        <v>2.3537754999999997E-2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43399</v>
      </c>
      <c r="B51" s="24">
        <v>-9.4187975000000007E-2</v>
      </c>
      <c r="C51" s="24">
        <v>-9.7649279999999991E-2</v>
      </c>
      <c r="D51" s="24">
        <v>-8.7243670000000009E-2</v>
      </c>
      <c r="E51" s="24">
        <v>-0.11558783</v>
      </c>
      <c r="F51" s="24">
        <v>-0.10571659</v>
      </c>
      <c r="G51" s="24">
        <v>-7.5644790000000003E-2</v>
      </c>
      <c r="H51" s="24">
        <v>-9.4339610000000004E-2</v>
      </c>
      <c r="I51" s="24">
        <v>-0.10315877000000001</v>
      </c>
      <c r="J51" s="24">
        <v>-8.7240749999999992E-2</v>
      </c>
      <c r="K51" s="24">
        <v>-0.1148628</v>
      </c>
      <c r="L51" s="24">
        <v>-0.10226160000000001</v>
      </c>
      <c r="M51" s="24">
        <v>-0.13954884000000001</v>
      </c>
      <c r="N51" s="24">
        <v>-0.13135891999999999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43431</v>
      </c>
      <c r="B52" s="24">
        <v>6.2798619999999999E-2</v>
      </c>
      <c r="C52" s="24">
        <v>4.2084217E-2</v>
      </c>
      <c r="D52" s="24">
        <v>-4.1888951999999998E-3</v>
      </c>
      <c r="E52" s="24">
        <v>2.9872655999999996E-3</v>
      </c>
      <c r="F52" s="24">
        <v>1.4637709E-2</v>
      </c>
      <c r="G52" s="24">
        <v>1.9218921999999999E-2</v>
      </c>
      <c r="H52" s="24">
        <v>1.0897398000000001E-2</v>
      </c>
      <c r="I52" s="24">
        <v>-1.9320786E-2</v>
      </c>
      <c r="J52" s="24">
        <v>1.1570572999999999E-2</v>
      </c>
      <c r="K52" s="24">
        <v>-5.7041050000000001E-3</v>
      </c>
      <c r="L52" s="24">
        <v>3.1763434E-2</v>
      </c>
      <c r="M52" s="24">
        <v>5.5924653999999997E-3</v>
      </c>
      <c r="N52" s="24">
        <v>9.2258453000000004E-3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43461</v>
      </c>
      <c r="B53" s="24">
        <v>1.3409495E-2</v>
      </c>
      <c r="C53" s="24">
        <v>-4.5791744999999995E-2</v>
      </c>
      <c r="D53" s="24">
        <v>-7.8126550000000003E-2</v>
      </c>
      <c r="E53" s="24">
        <v>-6.8131026999999997E-2</v>
      </c>
      <c r="F53" s="24">
        <v>-6.6592813000000001E-2</v>
      </c>
      <c r="G53" s="24">
        <v>-6.0827311999999994E-2</v>
      </c>
      <c r="H53" s="24">
        <v>-6.0432252999999998E-2</v>
      </c>
      <c r="I53" s="24">
        <v>-6.0826006000000002E-2</v>
      </c>
      <c r="J53" s="24">
        <v>-7.0233345000000003E-2</v>
      </c>
      <c r="K53" s="24">
        <v>-5.5554629999999994E-2</v>
      </c>
      <c r="L53" s="24">
        <v>-7.1629762999999999E-2</v>
      </c>
      <c r="M53" s="24">
        <v>-4.0442109999999996E-2</v>
      </c>
      <c r="N53" s="24">
        <v>-2.42548E-2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43490</v>
      </c>
      <c r="B54" s="24">
        <v>5.440855E-2</v>
      </c>
      <c r="C54" s="24">
        <v>7.4306606999999997E-2</v>
      </c>
      <c r="D54" s="24">
        <v>0.12273312</v>
      </c>
      <c r="E54" s="24">
        <v>7.6707960000000006E-2</v>
      </c>
      <c r="F54" s="24">
        <v>6.3091397000000007E-2</v>
      </c>
      <c r="G54" s="24">
        <v>7.0271970000000003E-2</v>
      </c>
      <c r="H54" s="24">
        <v>6.5517187000000005E-2</v>
      </c>
      <c r="I54" s="24">
        <v>7.9059123999999995E-2</v>
      </c>
      <c r="J54" s="24">
        <v>7.139110600000001E-2</v>
      </c>
      <c r="K54" s="24">
        <v>5.3012967000000001E-2</v>
      </c>
      <c r="L54" s="24">
        <v>7.5449944000000005E-2</v>
      </c>
      <c r="M54" s="24">
        <v>6.8140625999999996E-2</v>
      </c>
      <c r="N54" s="24">
        <v>7.1369650000000007E-2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43523</v>
      </c>
      <c r="B55" s="24">
        <v>1.1217713000000001E-2</v>
      </c>
      <c r="C55" s="24">
        <v>3.7993073000000002E-2</v>
      </c>
      <c r="D55" s="24">
        <v>5.1840662999999995E-2</v>
      </c>
      <c r="E55" s="24">
        <v>8.1632140000000002E-3</v>
      </c>
      <c r="F55" s="24">
        <v>1.7989635E-2</v>
      </c>
      <c r="G55" s="24">
        <v>4.7201275999999993E-2</v>
      </c>
      <c r="H55" s="24">
        <v>5.8899759999999995E-2</v>
      </c>
      <c r="I55" s="24">
        <v>5.1105022E-2</v>
      </c>
      <c r="J55" s="24">
        <v>5.0492882999999995E-2</v>
      </c>
      <c r="K55" s="24">
        <v>5.7225584999999995E-2</v>
      </c>
      <c r="L55" s="24">
        <v>5.2350399999999998E-2</v>
      </c>
      <c r="M55" s="24">
        <v>2.0359755E-2</v>
      </c>
      <c r="N55" s="24">
        <v>3.5810590000000003E-2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43551</v>
      </c>
      <c r="B56" s="24">
        <v>3.1060815000000002E-2</v>
      </c>
      <c r="C56" s="24">
        <v>-4.6926737000000003E-3</v>
      </c>
      <c r="D56" s="24">
        <v>-1.7499983E-2</v>
      </c>
      <c r="E56" s="24">
        <v>-1.0305524E-2</v>
      </c>
      <c r="F56" s="24">
        <v>-3.0970573E-3</v>
      </c>
      <c r="G56" s="24">
        <v>1.5891314E-2</v>
      </c>
      <c r="H56" s="24">
        <v>1.314187E-2</v>
      </c>
      <c r="I56" s="24">
        <v>2.6690602000000001E-2</v>
      </c>
      <c r="J56" s="24">
        <v>6.0023070000000001E-3</v>
      </c>
      <c r="K56" s="24">
        <v>6.1664580000000005E-3</v>
      </c>
      <c r="L56" s="24">
        <v>5.4146050000000003E-3</v>
      </c>
      <c r="M56" s="24">
        <v>9.3116759999999996E-3</v>
      </c>
      <c r="N56" s="24">
        <v>3.2342075999999997E-2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43581</v>
      </c>
      <c r="B57" s="24">
        <v>1.7018795E-2</v>
      </c>
      <c r="C57" s="24">
        <v>3.3946276000000004E-2</v>
      </c>
      <c r="D57" s="24">
        <v>3.4532905000000003E-2</v>
      </c>
      <c r="E57" s="24">
        <v>6.1361194000000001E-2</v>
      </c>
      <c r="F57" s="24">
        <v>1.2426853E-2</v>
      </c>
      <c r="G57" s="24">
        <v>2.6450515000000001E-2</v>
      </c>
      <c r="H57" s="24">
        <v>1.1161327E-2</v>
      </c>
      <c r="I57" s="24">
        <v>7.1669460000000004E-2</v>
      </c>
      <c r="J57" s="24">
        <v>4.9204350000000001E-2</v>
      </c>
      <c r="K57" s="24">
        <v>3.9836526000000004E-2</v>
      </c>
      <c r="L57" s="24">
        <v>4.7122240000000003E-2</v>
      </c>
      <c r="M57" s="24">
        <v>6.4579964000000004E-2</v>
      </c>
      <c r="N57" s="24">
        <v>5.7616233999999997E-3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43609</v>
      </c>
      <c r="B58" s="24">
        <v>2.1157264999999998E-3</v>
      </c>
      <c r="C58" s="24">
        <v>4.5599936999999998E-3</v>
      </c>
      <c r="D58" s="24">
        <v>-2.2136330000000003E-2</v>
      </c>
      <c r="E58" s="24">
        <v>-2.9432356E-2</v>
      </c>
      <c r="F58" s="24">
        <v>-2.9783428000000001E-2</v>
      </c>
      <c r="G58" s="24">
        <v>1.3577223000000001E-2</v>
      </c>
      <c r="H58" s="24">
        <v>-3.3412874000000002E-2</v>
      </c>
      <c r="I58" s="24">
        <v>-6.5512657000000002E-2</v>
      </c>
      <c r="J58" s="24">
        <v>-3.6229193E-2</v>
      </c>
      <c r="K58" s="24">
        <v>-2.946961E-2</v>
      </c>
      <c r="L58" s="24">
        <v>-2.7643859999999999E-2</v>
      </c>
      <c r="M58" s="24">
        <v>-6.5304874999999998E-2</v>
      </c>
      <c r="N58" s="24">
        <v>-3.4371673999999998E-2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43643</v>
      </c>
      <c r="B59" s="24">
        <v>3.2654284999999998E-2</v>
      </c>
      <c r="C59" s="24">
        <v>4.6367406999999999E-2</v>
      </c>
      <c r="D59" s="24">
        <v>3.2654404999999997E-2</v>
      </c>
      <c r="E59" s="24">
        <v>2.9261590000000001E-2</v>
      </c>
      <c r="F59" s="24">
        <v>2.0531297E-2</v>
      </c>
      <c r="G59" s="24">
        <v>4.2590019999999999E-2</v>
      </c>
      <c r="H59" s="24">
        <v>1.5849233000000001E-2</v>
      </c>
      <c r="I59" s="24">
        <v>4.9123883E-2</v>
      </c>
      <c r="J59" s="24">
        <v>3.5856366000000001E-2</v>
      </c>
      <c r="K59" s="24">
        <v>5.2109837999999999E-2</v>
      </c>
      <c r="L59" s="24">
        <v>3.5787105999999999E-2</v>
      </c>
      <c r="M59" s="24">
        <v>5.4227709999999998E-2</v>
      </c>
      <c r="N59" s="24">
        <v>5.0530195000000007E-2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43672</v>
      </c>
      <c r="B60" s="24">
        <v>3.4339666000000005E-2</v>
      </c>
      <c r="C60" s="24">
        <v>3.9840937E-3</v>
      </c>
      <c r="D60" s="24">
        <v>7.7247619999999996E-3</v>
      </c>
      <c r="E60" s="24">
        <v>-7.5675250000000003E-3</v>
      </c>
      <c r="F60" s="24">
        <v>8.2781315000000008E-3</v>
      </c>
      <c r="G60" s="24">
        <v>-2.1407008E-3</v>
      </c>
      <c r="H60" s="24">
        <v>-1.5580653999999999E-3</v>
      </c>
      <c r="I60" s="24">
        <v>4.7131299999999994E-2</v>
      </c>
      <c r="J60" s="24">
        <v>3.6054969999999999E-2</v>
      </c>
      <c r="K60" s="24">
        <v>0</v>
      </c>
      <c r="L60" s="24">
        <v>3.1393049999999999E-2</v>
      </c>
      <c r="M60" s="24">
        <v>-2.7552664000000001E-2</v>
      </c>
      <c r="N60" s="24">
        <v>1.2783050000000001E-2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43704</v>
      </c>
      <c r="B61" s="24">
        <v>-7.5884699999999999E-2</v>
      </c>
      <c r="C61" s="24">
        <v>-6.52557E-2</v>
      </c>
      <c r="D61" s="24">
        <v>-3.4843206000000002E-2</v>
      </c>
      <c r="E61" s="24">
        <v>-5.7734193999999996E-2</v>
      </c>
      <c r="F61" s="24">
        <v>-2.5907694999999998E-2</v>
      </c>
      <c r="G61" s="24">
        <v>-7.5088142999999996E-3</v>
      </c>
      <c r="H61" s="24">
        <v>-6.6167297E-2</v>
      </c>
      <c r="I61" s="24">
        <v>-5.5609583999999997E-2</v>
      </c>
      <c r="J61" s="24">
        <v>-5.0130844000000001E-2</v>
      </c>
      <c r="K61" s="24">
        <v>-4.5350017999999999E-2</v>
      </c>
      <c r="L61" s="24">
        <v>-4.9778104000000004E-2</v>
      </c>
      <c r="M61" s="24">
        <v>-7.5666665999999994E-2</v>
      </c>
      <c r="N61" s="24">
        <v>-4.3635010000000002E-2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43735</v>
      </c>
      <c r="B62" s="24">
        <v>2.013421E-2</v>
      </c>
      <c r="C62" s="24">
        <v>5.1415085999999999E-2</v>
      </c>
      <c r="D62" s="24">
        <v>4.2599200000000004E-2</v>
      </c>
      <c r="E62" s="24">
        <v>3.3525944000000002E-2</v>
      </c>
      <c r="F62" s="24">
        <v>5.7875990000000002E-2</v>
      </c>
      <c r="G62" s="24">
        <v>1.8913865000000002E-2</v>
      </c>
      <c r="H62" s="24">
        <v>4.9131036000000003E-2</v>
      </c>
      <c r="I62" s="24">
        <v>1.6142488E-2</v>
      </c>
      <c r="J62" s="24">
        <v>3.4511328000000001E-2</v>
      </c>
      <c r="K62" s="24">
        <v>3.0292629999999997E-2</v>
      </c>
      <c r="L62" s="24">
        <v>3.8038135000000001E-2</v>
      </c>
      <c r="M62" s="24">
        <v>6.1305523000000001E-2</v>
      </c>
      <c r="N62" s="24">
        <v>3.0920029000000002E-2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43763</v>
      </c>
      <c r="B63" s="24">
        <v>1.1803388999999999E-2</v>
      </c>
      <c r="C63" s="24">
        <v>1.8393873999999998E-2</v>
      </c>
      <c r="D63" s="24">
        <v>1.0387897500000001E-3</v>
      </c>
      <c r="E63" s="24">
        <v>5.9284090000000005E-2</v>
      </c>
      <c r="F63" s="24">
        <v>2.8505683E-2</v>
      </c>
      <c r="G63" s="24">
        <v>8.2206725999999994E-3</v>
      </c>
      <c r="H63" s="24">
        <v>3.4087300000000001E-2</v>
      </c>
      <c r="I63" s="24">
        <v>4.6035409999999999E-2</v>
      </c>
      <c r="J63" s="24">
        <v>2.0988584000000001E-2</v>
      </c>
      <c r="K63" s="24">
        <v>3.3077120000000002E-2</v>
      </c>
      <c r="L63" s="24">
        <v>2.5715232000000001E-2</v>
      </c>
      <c r="M63" s="24">
        <v>7.0676208000000004E-2</v>
      </c>
      <c r="N63" s="24">
        <v>4.3525934000000002E-2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43796</v>
      </c>
      <c r="B64" s="24">
        <v>4.9722670000000004E-2</v>
      </c>
      <c r="C64" s="24">
        <v>1.1894226000000001E-2</v>
      </c>
      <c r="D64" s="24">
        <v>2.5942563999999998E-2</v>
      </c>
      <c r="E64" s="24">
        <v>2.3583292999999998E-2</v>
      </c>
      <c r="F64" s="24">
        <v>3.2880067999999998E-2</v>
      </c>
      <c r="G64" s="24">
        <v>2.8406023999999998E-2</v>
      </c>
      <c r="H64" s="24">
        <v>2.2489189999999999E-2</v>
      </c>
      <c r="I64" s="24">
        <v>5.3158879999999999E-2</v>
      </c>
      <c r="J64" s="24">
        <v>4.6021223000000007E-2</v>
      </c>
      <c r="K64" s="24">
        <v>2.8783916999999999E-2</v>
      </c>
      <c r="L64" s="24">
        <v>2.5070429999999998E-2</v>
      </c>
      <c r="M64" s="24">
        <v>1.3646483000000001E-2</v>
      </c>
      <c r="N64" s="24">
        <v>2.2081970000000003E-2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43826</v>
      </c>
      <c r="B65" s="24">
        <v>7.8433156000000004E-2</v>
      </c>
      <c r="C65" s="24">
        <v>1.022315E-2</v>
      </c>
      <c r="D65" s="24">
        <v>1.8473386999999997E-2</v>
      </c>
      <c r="E65" s="24">
        <v>1.6506194999999998E-2</v>
      </c>
      <c r="F65" s="24">
        <v>4.7926903000000002E-3</v>
      </c>
      <c r="G65" s="24">
        <v>4.2199492000000005E-2</v>
      </c>
      <c r="H65" s="24">
        <v>4.1727066E-2</v>
      </c>
      <c r="I65" s="24">
        <v>3.8980484000000003E-2</v>
      </c>
      <c r="J65" s="24">
        <v>2.8402327999999998E-2</v>
      </c>
      <c r="K65" s="24">
        <v>2.9222608000000001E-2</v>
      </c>
      <c r="L65" s="24">
        <v>3.8489342000000003E-2</v>
      </c>
      <c r="M65" s="24">
        <v>5.8501839999999999E-2</v>
      </c>
      <c r="N65" s="24">
        <v>2.2847295E-2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43857</v>
      </c>
      <c r="B66" s="24">
        <v>-1.7253160000000002E-3</v>
      </c>
      <c r="C66" s="24">
        <v>0</v>
      </c>
      <c r="D66" s="24">
        <v>7.3801280000000006E-3</v>
      </c>
      <c r="E66" s="24">
        <v>-2.0297705999999999E-2</v>
      </c>
      <c r="F66" s="24">
        <v>-1.8798292000000001E-2</v>
      </c>
      <c r="G66" s="24">
        <v>1.2270212000000001E-3</v>
      </c>
      <c r="H66" s="24">
        <v>-3.0311941999999998E-2</v>
      </c>
      <c r="I66" s="24">
        <v>2.1019697E-2</v>
      </c>
      <c r="J66" s="24">
        <v>1.9823313E-3</v>
      </c>
      <c r="K66" s="24">
        <v>-3.4282206999999995E-2</v>
      </c>
      <c r="L66" s="24">
        <v>-2.9264033000000002E-2</v>
      </c>
      <c r="M66" s="24">
        <v>-4.0431204000000005E-2</v>
      </c>
      <c r="N66" s="24">
        <v>-2.9034436E-2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43888</v>
      </c>
      <c r="B67" s="24">
        <v>-6.4465939999999999E-2</v>
      </c>
      <c r="C67" s="24">
        <v>-9.0549409999999997E-2</v>
      </c>
      <c r="D67" s="24">
        <v>-6.8931102999999994E-2</v>
      </c>
      <c r="E67" s="24">
        <v>-8.5290009999999986E-2</v>
      </c>
      <c r="F67" s="24">
        <v>-9.3055070000000004E-2</v>
      </c>
      <c r="G67" s="24">
        <v>-6.3970623000000004E-2</v>
      </c>
      <c r="H67" s="24">
        <v>-0.10561460500000001</v>
      </c>
      <c r="I67" s="24">
        <v>-5.7129803E-2</v>
      </c>
      <c r="J67" s="24">
        <v>-8.0340019999999998E-2</v>
      </c>
      <c r="K67" s="24">
        <v>-7.5118837000000008E-2</v>
      </c>
      <c r="L67" s="24">
        <v>-6.5164384999999991E-2</v>
      </c>
      <c r="M67" s="24">
        <v>-5.1810264999999994E-2</v>
      </c>
      <c r="N67" s="24">
        <v>-4.8331020000000002E-2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43917</v>
      </c>
      <c r="B68" s="24">
        <v>-0.20048405</v>
      </c>
      <c r="C68" s="24">
        <v>-0.29917834999999998</v>
      </c>
      <c r="D68" s="24">
        <v>-0.26108724999999999</v>
      </c>
      <c r="E68" s="24">
        <v>-0.20271795000000001</v>
      </c>
      <c r="F68" s="24">
        <v>-5.3564670000000002E-2</v>
      </c>
      <c r="G68" s="24">
        <v>-8.9028469999999998E-2</v>
      </c>
      <c r="H68" s="24">
        <v>-0.20766878</v>
      </c>
      <c r="I68" s="24">
        <v>-9.6993449999999995E-2</v>
      </c>
      <c r="J68" s="24">
        <v>-0.14296393999999998</v>
      </c>
      <c r="K68" s="24">
        <v>-0.18985610999999999</v>
      </c>
      <c r="L68" s="24">
        <v>-0.16482089999999999</v>
      </c>
      <c r="M68" s="24">
        <v>-0.18926924000000001</v>
      </c>
      <c r="N68" s="24">
        <v>-0.24223607999999999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43948</v>
      </c>
      <c r="B69" s="24">
        <v>0.13892114999999999</v>
      </c>
      <c r="C69" s="24">
        <v>0.14551723499999999</v>
      </c>
      <c r="D69" s="24">
        <v>0.15198444999999999</v>
      </c>
      <c r="E69" s="24">
        <v>8.8068120000000014E-2</v>
      </c>
      <c r="F69" s="24">
        <v>2.8098822000000002E-2</v>
      </c>
      <c r="G69" s="24">
        <v>6.8122982999999998E-2</v>
      </c>
      <c r="H69" s="24">
        <v>6.5524579999999999E-2</v>
      </c>
      <c r="I69" s="24">
        <v>0.16330278000000001</v>
      </c>
      <c r="J69" s="24">
        <v>0.13270462</v>
      </c>
      <c r="K69" s="24">
        <v>1.5651464E-2</v>
      </c>
      <c r="L69" s="24">
        <v>9.3213799999999999E-2</v>
      </c>
      <c r="M69" s="24">
        <v>8.4855920000000001E-2</v>
      </c>
      <c r="N69" s="24">
        <v>-4.3394566000000004E-3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43978</v>
      </c>
      <c r="B70" s="24">
        <v>4.7677040000000004E-2</v>
      </c>
      <c r="C70" s="24">
        <v>0.10656225</v>
      </c>
      <c r="D70" s="24">
        <v>6.8487406000000001E-2</v>
      </c>
      <c r="E70" s="24">
        <v>0.119234085</v>
      </c>
      <c r="F70" s="24">
        <v>6.9199442999999999E-2</v>
      </c>
      <c r="G70" s="24">
        <v>1.1302471000000001E-2</v>
      </c>
      <c r="H70" s="24">
        <v>3.8183331000000001E-2</v>
      </c>
      <c r="I70" s="24">
        <v>6.8333625999999995E-2</v>
      </c>
      <c r="J70" s="24">
        <v>5.7411669999999998E-2</v>
      </c>
      <c r="K70" s="24">
        <v>6.6222429999999999E-2</v>
      </c>
      <c r="L70" s="24">
        <v>7.6346755000000002E-2</v>
      </c>
      <c r="M70" s="24">
        <v>0.10404194</v>
      </c>
      <c r="N70" s="24">
        <v>6.3922524000000008E-2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44008</v>
      </c>
      <c r="B71" s="24">
        <v>4.4021009999999999E-2</v>
      </c>
      <c r="C71" s="24">
        <v>3.7462354000000003E-2</v>
      </c>
      <c r="D71" s="24">
        <v>-1.4530419999999999E-3</v>
      </c>
      <c r="E71" s="24">
        <v>4.3821453999999996E-2</v>
      </c>
      <c r="F71" s="24">
        <v>1.3682365E-2</v>
      </c>
      <c r="G71" s="24">
        <v>4.7088859999999996E-2</v>
      </c>
      <c r="H71" s="24">
        <v>1.4026164999999999E-3</v>
      </c>
      <c r="I71" s="24">
        <v>4.4913173000000001E-2</v>
      </c>
      <c r="J71" s="24">
        <v>-7.0891976000000004E-3</v>
      </c>
      <c r="K71" s="24">
        <v>6.0005665E-2</v>
      </c>
      <c r="L71" s="24">
        <v>7.9363823E-2</v>
      </c>
      <c r="M71" s="24">
        <v>4.8710704000000001E-2</v>
      </c>
      <c r="N71" s="24">
        <v>8.7269900000000011E-2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44039</v>
      </c>
      <c r="B72" s="24">
        <v>9.8039260000000003E-2</v>
      </c>
      <c r="C72" s="24">
        <v>8.3555110000000002E-2</v>
      </c>
      <c r="D72" s="24">
        <v>8.8305589999999989E-2</v>
      </c>
      <c r="E72" s="24">
        <v>0.11027479</v>
      </c>
      <c r="F72" s="24">
        <v>2.6500819999999998E-2</v>
      </c>
      <c r="G72" s="24">
        <v>7.0247890000000007E-2</v>
      </c>
      <c r="H72" s="24">
        <v>4.0031432999999998E-2</v>
      </c>
      <c r="I72" s="24">
        <v>8.284068E-2</v>
      </c>
      <c r="J72" s="24">
        <v>7.7220560000000008E-2</v>
      </c>
      <c r="K72" s="24">
        <v>6.7136526000000002E-2</v>
      </c>
      <c r="L72" s="24">
        <v>8.1557039999999997E-2</v>
      </c>
      <c r="M72" s="24">
        <v>0.137483835</v>
      </c>
      <c r="N72" s="24">
        <v>9.390867E-2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44070</v>
      </c>
      <c r="B73" s="24">
        <v>3.1751752000000001E-2</v>
      </c>
      <c r="C73" s="24">
        <v>2.259326E-2</v>
      </c>
      <c r="D73" s="24">
        <v>5.811405E-2</v>
      </c>
      <c r="E73" s="24">
        <v>1.9999981E-2</v>
      </c>
      <c r="F73" s="24">
        <v>1.4927983000000001E-2</v>
      </c>
      <c r="G73" s="24">
        <v>8.9286565999999994E-3</v>
      </c>
      <c r="H73" s="24">
        <v>7.9244374999999992E-3</v>
      </c>
      <c r="I73" s="24">
        <v>0.11890661</v>
      </c>
      <c r="J73" s="24">
        <v>7.7687024999999993E-2</v>
      </c>
      <c r="K73" s="24">
        <v>1.8421888000000001E-2</v>
      </c>
      <c r="L73" s="24">
        <v>2.0851254E-2</v>
      </c>
      <c r="M73" s="24">
        <v>1.9669294E-2</v>
      </c>
      <c r="N73" s="24">
        <v>-6.5738560000000003E-3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44099</v>
      </c>
      <c r="B74" s="24">
        <v>-4.9400864000000003E-2</v>
      </c>
      <c r="C74" s="24">
        <v>-4.5148906999999995E-2</v>
      </c>
      <c r="D74" s="24">
        <v>-6.0103654999999999E-2</v>
      </c>
      <c r="E74" s="24">
        <v>-5.0847473000000004E-2</v>
      </c>
      <c r="F74" s="24">
        <v>1.6784905999999999E-2</v>
      </c>
      <c r="G74" s="24">
        <v>-1.9612550999999999E-2</v>
      </c>
      <c r="H74" s="24">
        <v>-5.5784344999999999E-2</v>
      </c>
      <c r="I74" s="24">
        <v>-6.5610290000000002E-2</v>
      </c>
      <c r="J74" s="24">
        <v>-5.2446070000000004E-2</v>
      </c>
      <c r="K74" s="24">
        <v>-6.1433434000000002E-2</v>
      </c>
      <c r="L74" s="24">
        <v>-4.3088969999999997E-2</v>
      </c>
      <c r="M74" s="24">
        <v>-4.4171149999999999E-2</v>
      </c>
      <c r="N74" s="24">
        <v>-6.1891794000000007E-2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44131</v>
      </c>
      <c r="B75" s="24">
        <v>6.123638E-2</v>
      </c>
      <c r="C75" s="24">
        <v>2.2635817999999999E-2</v>
      </c>
      <c r="D75" s="24">
        <v>1.1025429E-2</v>
      </c>
      <c r="E75" s="24">
        <v>-3.0812322999999999E-2</v>
      </c>
      <c r="F75" s="24">
        <v>3.0633209999999999E-3</v>
      </c>
      <c r="G75" s="24">
        <v>-1.1466265E-2</v>
      </c>
      <c r="H75" s="24">
        <v>-3.5685896999999999E-3</v>
      </c>
      <c r="I75" s="24">
        <v>4.0874959999999995E-2</v>
      </c>
      <c r="J75" s="24">
        <v>2.8868675E-2</v>
      </c>
      <c r="K75" s="24">
        <v>6.5454244999999999E-3</v>
      </c>
      <c r="L75" s="24">
        <v>2.8362512999999999E-2</v>
      </c>
      <c r="M75" s="24">
        <v>3.0710815999999998E-2</v>
      </c>
      <c r="N75" s="24">
        <v>-3.7344693999999999E-3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44162</v>
      </c>
      <c r="B76" s="24">
        <v>7.9875470000000004E-2</v>
      </c>
      <c r="C76" s="24">
        <v>0.14608943999999999</v>
      </c>
      <c r="D76" s="24">
        <v>0.10868776000000001</v>
      </c>
      <c r="E76" s="24">
        <v>0.11018789</v>
      </c>
      <c r="F76" s="24">
        <v>0.12368525</v>
      </c>
      <c r="G76" s="24">
        <v>6.2931895000000002E-2</v>
      </c>
      <c r="H76" s="24">
        <v>0.15161168999999999</v>
      </c>
      <c r="I76" s="24">
        <v>5.7843327999999999E-2</v>
      </c>
      <c r="J76" s="24">
        <v>7.5246930000000004E-2</v>
      </c>
      <c r="K76" s="24">
        <v>0.19761562000000002</v>
      </c>
      <c r="L76" s="24">
        <v>0.11913574</v>
      </c>
      <c r="M76" s="24">
        <v>0.13166857000000001</v>
      </c>
      <c r="N76" s="24">
        <v>0.21366095999999998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44189</v>
      </c>
      <c r="B77" s="24">
        <v>2.8384686000000003E-2</v>
      </c>
      <c r="C77" s="24">
        <v>3.6186934000000004E-2</v>
      </c>
      <c r="D77" s="24">
        <v>3.1105757000000001E-2</v>
      </c>
      <c r="E77" s="24">
        <v>4.9174905000000005E-2</v>
      </c>
      <c r="F77" s="24">
        <v>-2.2963285E-3</v>
      </c>
      <c r="G77" s="24">
        <v>1.5854478000000002E-2</v>
      </c>
      <c r="H77" s="24">
        <v>2.8583170000000001E-2</v>
      </c>
      <c r="I77" s="24">
        <v>3.7164329999999995E-2</v>
      </c>
      <c r="J77" s="24">
        <v>1.8998503999999999E-2</v>
      </c>
      <c r="K77" s="24">
        <v>7.6783895000000005E-3</v>
      </c>
      <c r="L77" s="24">
        <v>5.6032776999999999E-2</v>
      </c>
      <c r="M77" s="24">
        <v>6.7261459999999997E-3</v>
      </c>
      <c r="N77" s="24">
        <v>1.9677758E-2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44223</v>
      </c>
      <c r="B78" s="24">
        <v>2.4706005999999999E-2</v>
      </c>
      <c r="C78" s="24">
        <v>1.5455246000000001E-2</v>
      </c>
      <c r="D78" s="24">
        <v>-9.0147849999999991E-3</v>
      </c>
      <c r="E78" s="24">
        <v>-5.9673785999999999E-3</v>
      </c>
      <c r="F78" s="24">
        <v>3.3120631999999997E-2</v>
      </c>
      <c r="G78" s="24">
        <v>3.2014727999999999E-2</v>
      </c>
      <c r="H78" s="24">
        <v>1.5290498999999999E-2</v>
      </c>
      <c r="I78" s="24">
        <v>3.1883954999999999E-2</v>
      </c>
      <c r="J78" s="24">
        <v>1.4661311999999999E-2</v>
      </c>
      <c r="K78" s="24">
        <v>-2.2864103E-2</v>
      </c>
      <c r="L78" s="24">
        <v>1.7378688E-2</v>
      </c>
      <c r="M78" s="24">
        <v>3.7641168000000003E-2</v>
      </c>
      <c r="N78" s="24">
        <v>-3.6647439999999996E-2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44253</v>
      </c>
      <c r="B79" s="24">
        <v>-9.1793779999999991E-2</v>
      </c>
      <c r="C79" s="24">
        <v>8.2271099999999993E-3</v>
      </c>
      <c r="D79" s="24">
        <v>4.5159100000000001E-2</v>
      </c>
      <c r="E79" s="24">
        <v>1.1374354E-2</v>
      </c>
      <c r="F79" s="24">
        <v>3.2353399999999997E-3</v>
      </c>
      <c r="G79" s="24">
        <v>-4.2100609999999997E-2</v>
      </c>
      <c r="H79" s="24">
        <v>1.6399026000000001E-2</v>
      </c>
      <c r="I79" s="24">
        <v>-1.6560674000000001E-2</v>
      </c>
      <c r="J79" s="24">
        <v>1.5891671E-2</v>
      </c>
      <c r="K79" s="24">
        <v>4.279554E-2</v>
      </c>
      <c r="L79" s="24">
        <v>4.4365287000000003E-2</v>
      </c>
      <c r="M79" s="24">
        <v>1.6203164999999999E-2</v>
      </c>
      <c r="N79" s="24">
        <v>5.3892255E-2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44281</v>
      </c>
      <c r="B80" s="24">
        <v>-1.039499E-2</v>
      </c>
      <c r="C80" s="24">
        <v>2.2031784000000002E-2</v>
      </c>
      <c r="D80" s="24">
        <v>6.0615540000000002E-2</v>
      </c>
      <c r="E80" s="24">
        <v>3.7488341000000001E-2</v>
      </c>
      <c r="F80" s="24">
        <v>2.7704477000000002E-2</v>
      </c>
      <c r="G80" s="24">
        <v>3.5854696999999998E-2</v>
      </c>
      <c r="H80" s="24">
        <v>3.9183378000000005E-2</v>
      </c>
      <c r="I80" s="24">
        <v>7.1669817E-3</v>
      </c>
      <c r="J80" s="24">
        <v>4.4481992999999997E-2</v>
      </c>
      <c r="K80" s="24">
        <v>2.8638960000000001E-2</v>
      </c>
      <c r="L80" s="24">
        <v>5.2703260000000002E-2</v>
      </c>
      <c r="M80" s="24">
        <v>7.5202226999999996E-2</v>
      </c>
      <c r="N80" s="24">
        <v>5.0802110000000004E-2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44313</v>
      </c>
      <c r="B81" s="24">
        <v>4.7188163000000005E-2</v>
      </c>
      <c r="C81" s="24">
        <v>4.7105790000000002E-2</v>
      </c>
      <c r="D81" s="24">
        <v>3.8393974000000004E-2</v>
      </c>
      <c r="E81" s="24">
        <v>5.8416246999999998E-2</v>
      </c>
      <c r="F81" s="24">
        <v>-3.0095576999999998E-2</v>
      </c>
      <c r="G81" s="24">
        <v>4.0196540000000003E-2</v>
      </c>
      <c r="H81" s="24">
        <v>3.3903717999999999E-2</v>
      </c>
      <c r="I81" s="24">
        <v>7.6424003000000004E-2</v>
      </c>
      <c r="J81" s="24">
        <v>5.4396630000000001E-2</v>
      </c>
      <c r="K81" s="24">
        <v>6.9747450000000003E-2</v>
      </c>
      <c r="L81" s="24">
        <v>5.8480740000000003E-2</v>
      </c>
      <c r="M81" s="24">
        <v>6.0646296000000002E-2</v>
      </c>
      <c r="N81" s="24">
        <v>2.5127172E-2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44343</v>
      </c>
      <c r="B82" s="24">
        <v>-4.1666746000000005E-2</v>
      </c>
      <c r="C82" s="24">
        <v>1.9443393E-2</v>
      </c>
      <c r="D82" s="24">
        <v>6.7174789999999998E-2</v>
      </c>
      <c r="E82" s="24">
        <v>1.3940215000000001E-2</v>
      </c>
      <c r="F82" s="24">
        <v>3.9705037999999996E-3</v>
      </c>
      <c r="G82" s="24">
        <v>4.4224976999999999E-2</v>
      </c>
      <c r="H82" s="24">
        <v>3.8308263000000002E-2</v>
      </c>
      <c r="I82" s="24">
        <v>-2.1372914E-2</v>
      </c>
      <c r="J82" s="24">
        <v>4.2393207999999998E-3</v>
      </c>
      <c r="K82" s="24">
        <v>4.1856765999999997E-2</v>
      </c>
      <c r="L82" s="24">
        <v>2.6503799999999999E-3</v>
      </c>
      <c r="M82" s="24">
        <v>1.1060119E-2</v>
      </c>
      <c r="N82" s="24">
        <v>3.8783788999999999E-2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44372</v>
      </c>
      <c r="B83" s="24">
        <v>2.8755665000000001E-3</v>
      </c>
      <c r="C83" s="24">
        <v>-4.7099589999999997E-4</v>
      </c>
      <c r="D83" s="24">
        <v>3.2280683999999999E-3</v>
      </c>
      <c r="E83" s="24">
        <v>-7.0059300000000001E-4</v>
      </c>
      <c r="F83" s="24">
        <v>9.5534325000000003E-3</v>
      </c>
      <c r="G83" s="24">
        <v>3.2682775999999997E-2</v>
      </c>
      <c r="H83" s="24">
        <v>-2.3126005999999999E-3</v>
      </c>
      <c r="I83" s="24">
        <v>5.1017403999999995E-2</v>
      </c>
      <c r="J83" s="24">
        <v>2.0831943000000002E-2</v>
      </c>
      <c r="K83" s="24">
        <v>6.2224864999999999E-3</v>
      </c>
      <c r="L83" s="24">
        <v>-1.3600588E-3</v>
      </c>
      <c r="M83" s="24">
        <v>-6.7040323999999997E-3</v>
      </c>
      <c r="N83" s="24">
        <v>-5.0503015999999996E-4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44404</v>
      </c>
      <c r="B84" s="24">
        <v>-2.3007154000000002E-2</v>
      </c>
      <c r="C84" s="24">
        <v>-1.8588781000000002E-2</v>
      </c>
      <c r="D84" s="24">
        <v>-2.3872733E-2</v>
      </c>
      <c r="E84" s="24">
        <v>-1.5419780999999999E-2</v>
      </c>
      <c r="F84" s="24">
        <v>-1.6954064000000001E-2</v>
      </c>
      <c r="G84" s="24">
        <v>4.8662423999999999E-3</v>
      </c>
      <c r="H84" s="24">
        <v>-1.7448901999999999E-2</v>
      </c>
      <c r="I84" s="24">
        <v>4.2837500000000001E-2</v>
      </c>
      <c r="J84" s="24">
        <v>2.9066443000000001E-2</v>
      </c>
      <c r="K84" s="24">
        <v>-1.9927561E-2</v>
      </c>
      <c r="L84" s="24">
        <v>4.5090913999999999E-3</v>
      </c>
      <c r="M84" s="24">
        <v>3.1256675999999997E-2</v>
      </c>
      <c r="N84" s="24">
        <v>-2.6315867999999999E-2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44435</v>
      </c>
      <c r="B85" s="24">
        <v>4.2122719999999995E-2</v>
      </c>
      <c r="C85" s="24">
        <v>5.4116249999999998E-3</v>
      </c>
      <c r="D85" s="24">
        <v>2.0652175000000002E-2</v>
      </c>
      <c r="E85" s="24">
        <v>1.566124E-2</v>
      </c>
      <c r="F85" s="24">
        <v>1.2934803999999999E-2</v>
      </c>
      <c r="G85" s="24">
        <v>3.2284020999999996E-2</v>
      </c>
      <c r="H85" s="24">
        <v>1.6533971000000001E-2</v>
      </c>
      <c r="I85" s="24">
        <v>3.1857967000000001E-2</v>
      </c>
      <c r="J85" s="24">
        <v>2.5603055999999999E-2</v>
      </c>
      <c r="K85" s="24">
        <v>1.7163991999999999E-2</v>
      </c>
      <c r="L85" s="24">
        <v>7.2026133999999992E-2</v>
      </c>
      <c r="M85" s="24">
        <v>-6.3917637000000006E-3</v>
      </c>
      <c r="N85" s="24">
        <v>2.3299216999999997E-2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44466</v>
      </c>
      <c r="B86" s="24">
        <v>1.9096135999999999E-3</v>
      </c>
      <c r="C86" s="24">
        <v>-2.0376801000000003E-2</v>
      </c>
      <c r="D86" s="24">
        <v>-9.5846652999999997E-3</v>
      </c>
      <c r="E86" s="24">
        <v>-2.8555095000000003E-2</v>
      </c>
      <c r="F86" s="24">
        <v>6.5609929999999997E-2</v>
      </c>
      <c r="G86" s="24">
        <v>-6.7826449999999996E-2</v>
      </c>
      <c r="H86" s="24">
        <v>-1.3855398000000001E-2</v>
      </c>
      <c r="I86" s="24">
        <v>-1.4016628E-2</v>
      </c>
      <c r="J86" s="24">
        <v>-1.3720929999999999E-2</v>
      </c>
      <c r="K86" s="24">
        <v>-5.1921606000000006E-4</v>
      </c>
      <c r="L86" s="24">
        <v>-1.5702306999999999E-2</v>
      </c>
      <c r="M86" s="24">
        <v>-4.0257272999999996E-2</v>
      </c>
      <c r="N86" s="24">
        <v>-1.001817E-2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44496</v>
      </c>
      <c r="B87" s="24">
        <v>1.1118174000000002E-2</v>
      </c>
      <c r="C87" s="24">
        <v>4.2386173999999999E-2</v>
      </c>
      <c r="D87" s="24">
        <v>4.8387050000000001E-2</v>
      </c>
      <c r="E87" s="24">
        <v>-5.2909850000000007E-3</v>
      </c>
      <c r="F87" s="24">
        <v>-6.3911858000000002E-2</v>
      </c>
      <c r="G87" s="24">
        <v>3.5017847999999997E-2</v>
      </c>
      <c r="H87" s="24">
        <v>3.2070874999999999E-2</v>
      </c>
      <c r="I87" s="24">
        <v>2.6056409999999999E-2</v>
      </c>
      <c r="J87" s="24">
        <v>2.552867E-2</v>
      </c>
      <c r="K87" s="24">
        <v>6.4934490000000001E-3</v>
      </c>
      <c r="L87" s="24">
        <v>6.8645480000000007E-3</v>
      </c>
      <c r="M87" s="24">
        <v>3.9999962E-2</v>
      </c>
      <c r="N87" s="24">
        <v>2.2692323E-2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44526</v>
      </c>
      <c r="B88" s="24">
        <v>-8.8878449999999998E-2</v>
      </c>
      <c r="C88" s="24">
        <v>-7.5301227999999998E-2</v>
      </c>
      <c r="D88" s="24">
        <v>-2.0769237999999999E-2</v>
      </c>
      <c r="E88" s="24">
        <v>-5.526006E-2</v>
      </c>
      <c r="F88" s="24">
        <v>-1.4714539E-2</v>
      </c>
      <c r="G88" s="24">
        <v>-6.0772896000000005E-4</v>
      </c>
      <c r="H88" s="24">
        <v>-5.0606669999999992E-2</v>
      </c>
      <c r="I88" s="24">
        <v>2.9473661999999998E-2</v>
      </c>
      <c r="J88" s="24">
        <v>1.1080741999999999E-2</v>
      </c>
      <c r="K88" s="24">
        <v>-2.683872E-2</v>
      </c>
      <c r="L88" s="24">
        <v>-5.1277103000000004E-2</v>
      </c>
      <c r="M88" s="24">
        <v>-7.3388759999999997E-2</v>
      </c>
      <c r="N88" s="24">
        <v>-5.1574172999999994E-2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44557</v>
      </c>
      <c r="B89" s="24">
        <v>2.6134371999999999E-2</v>
      </c>
      <c r="C89" s="24">
        <v>5.2947639999999997E-2</v>
      </c>
      <c r="D89" s="24">
        <v>1.6126990000000001E-2</v>
      </c>
      <c r="E89" s="24">
        <v>3.8050412999999998E-2</v>
      </c>
      <c r="F89" s="24">
        <v>1.9027947999999999E-2</v>
      </c>
      <c r="G89" s="24">
        <v>6.7707179999999992E-2</v>
      </c>
      <c r="H89" s="24">
        <v>6.7246436999999992E-2</v>
      </c>
      <c r="I89" s="24">
        <v>3.2721996000000003E-2</v>
      </c>
      <c r="J89" s="24">
        <v>4.3550370000000005E-2</v>
      </c>
      <c r="K89" s="24">
        <v>6.0093284000000004E-2</v>
      </c>
      <c r="L89" s="24">
        <v>1.9367814000000001E-2</v>
      </c>
      <c r="M89" s="24">
        <v>6.7956329999999995E-2</v>
      </c>
      <c r="N89" s="24">
        <v>5.3359150000000001E-2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44588</v>
      </c>
      <c r="B90" s="24">
        <v>-9.6895275000000003E-2</v>
      </c>
      <c r="C90" s="24">
        <v>-9.943711999999999E-2</v>
      </c>
      <c r="D90" s="24">
        <v>-3.3150613000000002E-2</v>
      </c>
      <c r="E90" s="24">
        <v>-4.5037390000000004E-2</v>
      </c>
      <c r="F90" s="24">
        <v>-7.1725549999999999E-2</v>
      </c>
      <c r="G90" s="24">
        <v>-8.3159270000000007E-2</v>
      </c>
      <c r="H90" s="24">
        <v>1.4105678E-2</v>
      </c>
      <c r="I90" s="24">
        <v>-0.15460497000000001</v>
      </c>
      <c r="J90" s="24">
        <v>-9.6425479999999994E-2</v>
      </c>
      <c r="K90" s="24">
        <v>-3.9845824000000002E-2</v>
      </c>
      <c r="L90" s="24">
        <v>-0.10962725000000001</v>
      </c>
      <c r="M90" s="24">
        <v>-0.11415184</v>
      </c>
      <c r="N90" s="24">
        <v>-2.9832481999999997E-2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44617</v>
      </c>
      <c r="B91" s="24">
        <v>3.0978560000000002E-2</v>
      </c>
      <c r="C91" s="24">
        <v>7.7881574999999995E-2</v>
      </c>
      <c r="D91" s="24">
        <v>2.9967666E-2</v>
      </c>
      <c r="E91" s="24">
        <v>-4.2648020000000002E-2</v>
      </c>
      <c r="F91" s="24">
        <v>1.6637325000000001E-2</v>
      </c>
      <c r="G91" s="24">
        <v>0</v>
      </c>
      <c r="H91" s="24">
        <v>1.2725710999999999E-2</v>
      </c>
      <c r="I91" s="24">
        <v>1.3690948000000001E-2</v>
      </c>
      <c r="J91" s="24">
        <v>1.5096068000000001E-2</v>
      </c>
      <c r="K91" s="24">
        <v>-1.8473864E-2</v>
      </c>
      <c r="L91" s="24">
        <v>-2.1490931999999997E-2</v>
      </c>
      <c r="M91" s="24">
        <v>-4.8923674E-2</v>
      </c>
      <c r="N91" s="24">
        <v>-1.5688717000000001E-2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44645</v>
      </c>
      <c r="B92" s="24">
        <v>1.9604205999999999E-2</v>
      </c>
      <c r="C92" s="24">
        <v>9.4137079999999998E-2</v>
      </c>
      <c r="D92" s="24">
        <v>6.3958050000000002E-2</v>
      </c>
      <c r="E92" s="24">
        <v>-5.8843079999999999E-2</v>
      </c>
      <c r="F92" s="24">
        <v>-1.2745857000000001E-2</v>
      </c>
      <c r="G92" s="24">
        <v>1.0768294000000001E-2</v>
      </c>
      <c r="H92" s="24">
        <v>-1.0520160000000001E-2</v>
      </c>
      <c r="I92" s="24">
        <v>4.0562152999999997E-2</v>
      </c>
      <c r="J92" s="24">
        <v>3.7306905000000001E-2</v>
      </c>
      <c r="K92" s="24">
        <v>-4.8281489999999996E-2</v>
      </c>
      <c r="L92" s="24">
        <v>-2.5623380000000001E-2</v>
      </c>
      <c r="M92" s="24">
        <v>-7.7170130000000006E-4</v>
      </c>
      <c r="N92" s="24">
        <v>-7.4593543999999998E-2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44678</v>
      </c>
      <c r="B93" s="24">
        <v>-9.4878730000000008E-2</v>
      </c>
      <c r="C93" s="24">
        <v>-7.0943355999999999E-2</v>
      </c>
      <c r="D93" s="24">
        <v>-8.6228130000000014E-2</v>
      </c>
      <c r="E93" s="24">
        <v>-8.7954760000000007E-2</v>
      </c>
      <c r="F93" s="24">
        <v>-0.10312402999999999</v>
      </c>
      <c r="G93" s="24">
        <v>-4.4867934999999998E-2</v>
      </c>
      <c r="H93" s="24">
        <v>-5.4341435E-2</v>
      </c>
      <c r="I93" s="24">
        <v>-0.11851953999999999</v>
      </c>
      <c r="J93" s="24">
        <v>-7.8243436999999999E-2</v>
      </c>
      <c r="K93" s="24">
        <v>-5.4456770000000002E-2</v>
      </c>
      <c r="L93" s="24">
        <v>-0.1030758</v>
      </c>
      <c r="M93" s="24">
        <v>-7.2329400000000002E-2</v>
      </c>
      <c r="N93" s="24">
        <v>-5.890459E-2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44708</v>
      </c>
      <c r="B94" s="24">
        <v>-4.9458026999999995E-2</v>
      </c>
      <c r="C94" s="24">
        <v>1.3403773000000001E-2</v>
      </c>
      <c r="D94" s="24">
        <v>1.4289498000000001E-2</v>
      </c>
      <c r="E94" s="24">
        <v>5.9643744999999998E-2</v>
      </c>
      <c r="F94" s="24">
        <v>3.6786913999999997E-2</v>
      </c>
      <c r="G94" s="24">
        <v>-1.8232465E-2</v>
      </c>
      <c r="H94" s="24">
        <v>3.7164210999999996E-2</v>
      </c>
      <c r="I94" s="24">
        <v>-2.418238E-2</v>
      </c>
      <c r="J94" s="24">
        <v>-4.8169494000000002E-3</v>
      </c>
      <c r="K94" s="24">
        <v>4.7286986999999996E-2</v>
      </c>
      <c r="L94" s="24">
        <v>2.8010487999999997E-2</v>
      </c>
      <c r="M94" s="24">
        <v>1.4150857999999999E-2</v>
      </c>
      <c r="N94" s="24">
        <v>6.0395360000000002E-2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44739</v>
      </c>
      <c r="B95" s="24">
        <v>-4.1491803999999993E-2</v>
      </c>
      <c r="C95" s="24">
        <v>-0.10795444500000001</v>
      </c>
      <c r="D95" s="24">
        <v>-8.0383300000000005E-2</v>
      </c>
      <c r="E95" s="24">
        <v>-9.9451959999999992E-2</v>
      </c>
      <c r="F95" s="24">
        <v>-7.8663769999999994E-2</v>
      </c>
      <c r="G95" s="24">
        <v>-6.7882003999999996E-2</v>
      </c>
      <c r="H95" s="24">
        <v>-6.9646780000000005E-2</v>
      </c>
      <c r="I95" s="24">
        <v>-5.2090826000000007E-2</v>
      </c>
      <c r="J95" s="24">
        <v>-6.0191689999999999E-2</v>
      </c>
      <c r="K95" s="24">
        <v>-8.4925230000000004E-2</v>
      </c>
      <c r="L95" s="24">
        <v>-6.7398605E-2</v>
      </c>
      <c r="M95" s="24">
        <v>-0.11068707</v>
      </c>
      <c r="N95" s="24">
        <v>-0.11802149000000001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44769</v>
      </c>
      <c r="B96" s="24">
        <v>3.1746030000000001E-2</v>
      </c>
      <c r="C96" s="24">
        <v>3.6641954999999997E-2</v>
      </c>
      <c r="D96" s="24">
        <v>6.1153173000000009E-3</v>
      </c>
      <c r="E96" s="24">
        <v>-3.7238478999999998E-2</v>
      </c>
      <c r="F96" s="24">
        <v>3.6633491999999997E-2</v>
      </c>
      <c r="G96" s="24">
        <v>2.2482633999999998E-2</v>
      </c>
      <c r="H96" s="24">
        <v>8.5695980000000012E-3</v>
      </c>
      <c r="I96" s="24">
        <v>4.9102306000000005E-2</v>
      </c>
      <c r="J96" s="24">
        <v>3.2038927000000002E-2</v>
      </c>
      <c r="K96" s="24">
        <v>1.0745764E-2</v>
      </c>
      <c r="L96" s="24">
        <v>3.0982018E-2</v>
      </c>
      <c r="M96" s="24">
        <v>2.8173447000000001E-2</v>
      </c>
      <c r="N96" s="24">
        <v>-4.7599850000000006E-2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44799</v>
      </c>
      <c r="B97" s="24">
        <v>-1.0042667E-2</v>
      </c>
      <c r="C97" s="24">
        <v>4.0268897999999999E-3</v>
      </c>
      <c r="D97" s="24">
        <v>1.1866808E-2</v>
      </c>
      <c r="E97" s="24">
        <v>-5.9973954999999995E-2</v>
      </c>
      <c r="F97" s="24">
        <v>-1.3410686999999999E-2</v>
      </c>
      <c r="G97" s="24">
        <v>-3.4385979999999997E-2</v>
      </c>
      <c r="H97" s="24">
        <v>-2.7450979E-2</v>
      </c>
      <c r="I97" s="24">
        <v>2.05338E-3</v>
      </c>
      <c r="J97" s="24">
        <v>1.0647297E-2</v>
      </c>
      <c r="K97" s="24">
        <v>-3.4471689999999999E-2</v>
      </c>
      <c r="L97" s="24">
        <v>-6.0101985999999996E-2</v>
      </c>
      <c r="M97" s="24">
        <v>-6.4347267E-2</v>
      </c>
      <c r="N97" s="24">
        <v>-1.3130068999999999E-2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44831</v>
      </c>
      <c r="B98" s="24">
        <v>-9.7345170000000009E-2</v>
      </c>
      <c r="C98" s="24">
        <v>-0.12566841000000001</v>
      </c>
      <c r="D98" s="24">
        <v>-0.12128144</v>
      </c>
      <c r="E98" s="24">
        <v>-9.7087329999999999E-2</v>
      </c>
      <c r="F98" s="24">
        <v>-0.10323292000000001</v>
      </c>
      <c r="G98" s="24">
        <v>-0.10537786</v>
      </c>
      <c r="H98" s="24">
        <v>-0.13844090000000001</v>
      </c>
      <c r="I98" s="24">
        <v>-0.10561723000000001</v>
      </c>
      <c r="J98" s="24">
        <v>-9.9739489999999986E-2</v>
      </c>
      <c r="K98" s="24">
        <v>-0.1161161</v>
      </c>
      <c r="L98" s="24">
        <v>-0.12789035000000001</v>
      </c>
      <c r="M98" s="24">
        <v>-0.12339586000000001</v>
      </c>
      <c r="N98" s="24">
        <v>-7.8111589999999995E-2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44861</v>
      </c>
      <c r="B99" s="24">
        <v>2.0564317999999998E-2</v>
      </c>
      <c r="C99" s="24">
        <v>5.8103920000000003E-2</v>
      </c>
      <c r="D99" s="24">
        <v>7.3893310000000004E-2</v>
      </c>
      <c r="E99" s="24">
        <v>0.12442387000000001</v>
      </c>
      <c r="F99" s="24">
        <v>1.9049525000000001E-2</v>
      </c>
      <c r="G99" s="24">
        <v>5.5781245000000007E-2</v>
      </c>
      <c r="H99" s="24">
        <v>9.3603850000000002E-2</v>
      </c>
      <c r="I99" s="24">
        <v>-5.8656929999999999E-3</v>
      </c>
      <c r="J99" s="24">
        <v>4.5682189999999998E-2</v>
      </c>
      <c r="K99" s="24">
        <v>0.12268782</v>
      </c>
      <c r="L99" s="24">
        <v>7.5286389999999995E-2</v>
      </c>
      <c r="M99" s="24">
        <v>0.11373878</v>
      </c>
      <c r="N99" s="24">
        <v>0.12057734000000001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44890</v>
      </c>
      <c r="B100" s="24">
        <v>0.10262418000000001</v>
      </c>
      <c r="C100" s="24">
        <v>0.12090564000000001</v>
      </c>
      <c r="D100" s="24">
        <v>7.093060000000001E-2</v>
      </c>
      <c r="E100" s="24">
        <v>0.15027331999999999</v>
      </c>
      <c r="F100" s="24">
        <v>0.12482405000000001</v>
      </c>
      <c r="G100" s="24">
        <v>0.10310328000000001</v>
      </c>
      <c r="H100" s="24">
        <v>0.11055624</v>
      </c>
      <c r="I100" s="24">
        <v>5.148983E-2</v>
      </c>
      <c r="J100" s="24">
        <v>5.8818817000000002E-2</v>
      </c>
      <c r="K100" s="24">
        <v>0.1240753</v>
      </c>
      <c r="L100" s="24">
        <v>0.17382049999999999</v>
      </c>
      <c r="M100" s="24">
        <v>0.14122008999999999</v>
      </c>
      <c r="N100" s="24">
        <v>0.15039468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44922</v>
      </c>
      <c r="B101" s="24">
        <v>3.1005501999999997E-2</v>
      </c>
      <c r="C101" s="24">
        <v>-1.9024253000000001E-2</v>
      </c>
      <c r="D101" s="24">
        <v>-5.1477849999999999E-2</v>
      </c>
      <c r="E101" s="24">
        <v>-1.7484725E-2</v>
      </c>
      <c r="F101" s="24">
        <v>-2.3567379000000003E-2</v>
      </c>
      <c r="G101" s="24">
        <v>-1.9297779000000001E-2</v>
      </c>
      <c r="H101" s="24">
        <v>4.8588514000000001E-3</v>
      </c>
      <c r="I101" s="24">
        <v>-7.9114795000000002E-2</v>
      </c>
      <c r="J101" s="24">
        <v>-4.7615885999999996E-2</v>
      </c>
      <c r="K101" s="24">
        <v>4.4107436999999997E-6</v>
      </c>
      <c r="L101" s="24">
        <v>-2.3016095E-2</v>
      </c>
      <c r="M101" s="24">
        <v>-3.1410753999999999E-2</v>
      </c>
      <c r="N101" s="24">
        <v>-1.1722802999999999E-2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44953</v>
      </c>
      <c r="B102" s="24">
        <v>8.1702349999999993E-2</v>
      </c>
      <c r="C102" s="24">
        <v>0.11289608</v>
      </c>
      <c r="D102" s="24">
        <v>7.9927324999999994E-2</v>
      </c>
      <c r="E102" s="24">
        <v>0.12817418999999999</v>
      </c>
      <c r="F102" s="24">
        <v>7.8870177E-2</v>
      </c>
      <c r="G102" s="24">
        <v>6.6619276999999991E-2</v>
      </c>
      <c r="H102" s="24">
        <v>5.6762933999999994E-2</v>
      </c>
      <c r="I102" s="24">
        <v>0.12398517999999999</v>
      </c>
      <c r="J102" s="24">
        <v>6.3660145000000001E-2</v>
      </c>
      <c r="K102" s="24">
        <v>0.10627423999999999</v>
      </c>
      <c r="L102" s="24">
        <v>0.13354706999999999</v>
      </c>
      <c r="M102" s="24">
        <v>8.7703229999999993E-2</v>
      </c>
      <c r="N102" s="24">
        <v>0.11275969999999999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44984</v>
      </c>
      <c r="B103" s="24">
        <v>-7.2180750000000002E-2</v>
      </c>
      <c r="C103" s="24">
        <v>-7.7385719999999991E-2</v>
      </c>
      <c r="D103" s="24">
        <v>-3.8968324999999998E-2</v>
      </c>
      <c r="E103" s="24">
        <v>-1.8220782000000001E-2</v>
      </c>
      <c r="F103" s="24">
        <v>-4.5392694000000004E-2</v>
      </c>
      <c r="G103" s="24">
        <v>-2.0004450999999999E-2</v>
      </c>
      <c r="H103" s="24">
        <v>1.5347004000000001E-3</v>
      </c>
      <c r="I103" s="24">
        <v>-7.8309773999999995E-3</v>
      </c>
      <c r="J103" s="24">
        <v>-1.9596696E-2</v>
      </c>
      <c r="K103" s="24">
        <v>2.7143955000000003E-4</v>
      </c>
      <c r="L103" s="24">
        <v>-2.9571116000000001E-2</v>
      </c>
      <c r="M103" s="24">
        <v>6.2023399999999998E-3</v>
      </c>
      <c r="N103" s="24">
        <v>4.3332576999999999E-3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45012</v>
      </c>
      <c r="B104" s="24">
        <v>-3.5080314000000001E-3</v>
      </c>
      <c r="C104" s="24">
        <v>-3.7809669999999997E-2</v>
      </c>
      <c r="D104" s="24">
        <v>-3.7631214000000003E-2</v>
      </c>
      <c r="E104" s="24">
        <v>-3.6388636000000003E-4</v>
      </c>
      <c r="F104" s="24">
        <v>2.190566E-2</v>
      </c>
      <c r="G104" s="24">
        <v>-1.3608932000000002E-3</v>
      </c>
      <c r="H104" s="24">
        <v>-3.4017801E-2</v>
      </c>
      <c r="I104" s="24">
        <v>5.2039623E-2</v>
      </c>
      <c r="J104" s="24">
        <v>7.3242190000000001E-4</v>
      </c>
      <c r="K104" s="24">
        <v>-9.4954370000000007E-3</v>
      </c>
      <c r="L104" s="24">
        <v>-1.614666E-2</v>
      </c>
      <c r="M104" s="24">
        <v>-5.2675724E-2</v>
      </c>
      <c r="N104" s="24">
        <v>-2.2237002999999998E-2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45043</v>
      </c>
      <c r="B105" s="24">
        <v>1.9465685E-2</v>
      </c>
      <c r="C105" s="24">
        <v>4.4263839999999999E-2</v>
      </c>
      <c r="D105" s="24">
        <v>5.6380630000000001E-2</v>
      </c>
      <c r="E105" s="24">
        <v>6.6254140000000003E-2</v>
      </c>
      <c r="F105" s="24">
        <v>3.3635378E-2</v>
      </c>
      <c r="G105" s="24">
        <v>8.5623500000000005E-2</v>
      </c>
      <c r="H105" s="24">
        <v>7.0431469999999996E-2</v>
      </c>
      <c r="I105" s="24">
        <v>3.7537216999999998E-2</v>
      </c>
      <c r="J105" s="24">
        <v>4.0152429999999996E-2</v>
      </c>
      <c r="K105" s="24">
        <v>8.846902999999999E-2</v>
      </c>
      <c r="L105" s="24">
        <v>4.1707754E-2</v>
      </c>
      <c r="M105" s="24">
        <v>9.7308400000000003E-2</v>
      </c>
      <c r="N105" s="24">
        <v>8.1805939999999994E-2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45072</v>
      </c>
      <c r="B106" s="24">
        <v>-1.7265856E-2</v>
      </c>
      <c r="C106" s="24">
        <v>-3.0276835000000002E-2</v>
      </c>
      <c r="D106" s="24">
        <v>-3.0703008E-2</v>
      </c>
      <c r="E106" s="24">
        <v>-2.4240374999999998E-2</v>
      </c>
      <c r="F106" s="24">
        <v>1.5848874999999998E-2</v>
      </c>
      <c r="G106" s="24">
        <v>-9.6234083000000005E-3</v>
      </c>
      <c r="H106" s="24">
        <v>-3.8530052000000002E-2</v>
      </c>
      <c r="I106" s="24">
        <v>8.7560420000000014E-2</v>
      </c>
      <c r="J106" s="24">
        <v>1.8452525000000001E-2</v>
      </c>
      <c r="K106" s="24">
        <v>-4.479122E-2</v>
      </c>
      <c r="L106" s="24">
        <v>1.8952846999999998E-2</v>
      </c>
      <c r="M106" s="24">
        <v>-5.7681919999999998E-2</v>
      </c>
      <c r="N106" s="24">
        <v>-4.3928504000000007E-2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45104</v>
      </c>
      <c r="B107" s="24">
        <v>-1.0544657999999999E-3</v>
      </c>
      <c r="C107" s="24">
        <v>1.6175031999999999E-2</v>
      </c>
      <c r="D107" s="24">
        <v>3.0466199999999999E-2</v>
      </c>
      <c r="E107" s="24">
        <v>1.3797759999999999E-2</v>
      </c>
      <c r="F107" s="24">
        <v>2.1935820000000002E-2</v>
      </c>
      <c r="G107" s="24">
        <v>-7.5718163999999996E-3</v>
      </c>
      <c r="H107" s="24">
        <v>1.1255026E-2</v>
      </c>
      <c r="I107" s="24">
        <v>4.5722485E-2</v>
      </c>
      <c r="J107" s="24">
        <v>4.2322040000000005E-2</v>
      </c>
      <c r="K107" s="24">
        <v>1.8585919999999999E-2</v>
      </c>
      <c r="L107" s="24">
        <v>6.2662363000000002E-3</v>
      </c>
      <c r="M107" s="24">
        <v>-4.5766829999999998E-3</v>
      </c>
      <c r="N107" s="24">
        <v>4.6056986000000001E-2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45134</v>
      </c>
      <c r="B108" s="24">
        <v>2.1107674E-2</v>
      </c>
      <c r="C108" s="24">
        <v>3.9803147000000004E-2</v>
      </c>
      <c r="D108" s="24">
        <v>3.1630874000000003E-2</v>
      </c>
      <c r="E108" s="24">
        <v>2.9787183000000002E-2</v>
      </c>
      <c r="F108" s="24">
        <v>3.5982965999999998E-2</v>
      </c>
      <c r="G108" s="24">
        <v>3.9825797000000003E-2</v>
      </c>
      <c r="H108" s="24">
        <v>2.6724695999999999E-2</v>
      </c>
      <c r="I108" s="24">
        <v>3.5153746999999999E-2</v>
      </c>
      <c r="J108" s="24">
        <v>3.7416576999999999E-2</v>
      </c>
      <c r="K108" s="24">
        <v>2.4590135000000003E-2</v>
      </c>
      <c r="L108" s="24">
        <v>3.4112096000000001E-2</v>
      </c>
      <c r="M108" s="24">
        <v>2.3563265999999999E-2</v>
      </c>
      <c r="N108" s="24">
        <v>6.4609410000000006E-2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45163</v>
      </c>
      <c r="B109" s="24">
        <v>-8.0843269999999995E-2</v>
      </c>
      <c r="C109" s="24">
        <v>-7.4408589999999997E-2</v>
      </c>
      <c r="D109" s="24">
        <v>-5.4570970000000003E-2</v>
      </c>
      <c r="E109" s="24">
        <v>-5.7162579999999998E-2</v>
      </c>
      <c r="F109" s="24">
        <v>-5.3204893999999996E-2</v>
      </c>
      <c r="G109" s="24">
        <v>-4.6253624E-2</v>
      </c>
      <c r="H109" s="24">
        <v>-4.7215519999999997E-2</v>
      </c>
      <c r="I109" s="24">
        <v>-3.3455490000000004E-2</v>
      </c>
      <c r="J109" s="24">
        <v>-2.7669071999999999E-2</v>
      </c>
      <c r="K109" s="24">
        <v>-3.8967670000000003E-2</v>
      </c>
      <c r="L109" s="24">
        <v>-8.1789439999999991E-2</v>
      </c>
      <c r="M109" s="24">
        <v>-8.3380040000000002E-2</v>
      </c>
      <c r="N109" s="24">
        <v>-4.8611044999999999E-2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45196</v>
      </c>
      <c r="B110" s="24">
        <v>-1.5364051E-2</v>
      </c>
      <c r="C110" s="24">
        <v>-1.254648E-2</v>
      </c>
      <c r="D110" s="24">
        <v>-6.5457225000000001E-3</v>
      </c>
      <c r="E110" s="24">
        <v>-5.5514929999999997E-2</v>
      </c>
      <c r="F110" s="24">
        <v>1.7675519000000001E-2</v>
      </c>
      <c r="G110" s="24">
        <v>-5.4202374999999997E-2</v>
      </c>
      <c r="H110" s="24">
        <v>6.3538549999999998E-4</v>
      </c>
      <c r="I110" s="24">
        <v>-2.3259699999999998E-2</v>
      </c>
      <c r="J110" s="24">
        <v>-2.8180838E-2</v>
      </c>
      <c r="K110" s="24">
        <v>-5.6928099999999995E-2</v>
      </c>
      <c r="L110" s="24">
        <v>-8.0708619999999995E-2</v>
      </c>
      <c r="M110" s="24">
        <v>-1.1638641E-2</v>
      </c>
      <c r="N110" s="24">
        <v>-4.4430313000000006E-2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45226</v>
      </c>
      <c r="B111" s="24">
        <v>-7.1913185000000004E-2</v>
      </c>
      <c r="C111" s="24">
        <v>-3.2941221999999999E-2</v>
      </c>
      <c r="D111" s="24">
        <v>-5.7202759999999998E-2</v>
      </c>
      <c r="E111" s="24">
        <v>-4.2150020000000003E-2</v>
      </c>
      <c r="F111" s="24">
        <v>-5.2597046000000001E-2</v>
      </c>
      <c r="G111" s="24">
        <v>-3.4570693999999999E-2</v>
      </c>
      <c r="H111" s="24">
        <v>-4.0952387000000007E-2</v>
      </c>
      <c r="I111" s="24">
        <v>-2.7405381000000003E-2</v>
      </c>
      <c r="J111" s="24">
        <v>-3.6075591999999997E-2</v>
      </c>
      <c r="K111" s="24">
        <v>-3.8724362999999998E-2</v>
      </c>
      <c r="L111" s="24">
        <v>-1.6461492000000001E-2</v>
      </c>
      <c r="M111" s="24">
        <v>-4.5553207000000005E-2</v>
      </c>
      <c r="N111" s="24">
        <v>-3.4207939999999999E-2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45257</v>
      </c>
      <c r="B112" s="24">
        <v>9.8927859999999992E-2</v>
      </c>
      <c r="C112" s="24">
        <v>8.3211779999999999E-2</v>
      </c>
      <c r="D112" s="24">
        <v>9.4027879999999994E-2</v>
      </c>
      <c r="E112" s="24">
        <v>0.13564788999999999</v>
      </c>
      <c r="F112" s="24">
        <v>8.1978559999999992E-2</v>
      </c>
      <c r="G112" s="24">
        <v>7.9788445999999999E-2</v>
      </c>
      <c r="H112" s="24">
        <v>7.1168540000000002E-2</v>
      </c>
      <c r="I112" s="24">
        <v>0.12701631000000002</v>
      </c>
      <c r="J112" s="24">
        <v>0.10665237</v>
      </c>
      <c r="K112" s="24">
        <v>0.11374413999999999</v>
      </c>
      <c r="L112" s="24">
        <v>0.15008842</v>
      </c>
      <c r="M112" s="24">
        <v>0.17402601000000001</v>
      </c>
      <c r="N112" s="24">
        <v>0.12792290000000001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45287</v>
      </c>
      <c r="B113" s="24">
        <v>9.1882110000000003E-2</v>
      </c>
      <c r="C113" s="24">
        <v>0.12605643</v>
      </c>
      <c r="D113" s="24">
        <v>8.5144040000000004E-2</v>
      </c>
      <c r="E113" s="24">
        <v>6.1555742999999996E-2</v>
      </c>
      <c r="F113" s="24">
        <v>3.1925916999999998E-2</v>
      </c>
      <c r="G113" s="24">
        <v>6.9886445999999991E-2</v>
      </c>
      <c r="H113" s="24">
        <v>5.0209520000000001E-2</v>
      </c>
      <c r="I113" s="24">
        <v>6.0033679999999999E-2</v>
      </c>
      <c r="J113" s="24">
        <v>5.2731155999999994E-2</v>
      </c>
      <c r="K113" s="24">
        <v>5.7641745000000001E-2</v>
      </c>
      <c r="L113" s="24">
        <v>6.9771169999999993E-2</v>
      </c>
      <c r="M113" s="24">
        <v>0.13152779000000001</v>
      </c>
      <c r="N113" s="24">
        <v>5.429399E-2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45317</v>
      </c>
      <c r="B114" s="24">
        <v>-2.7777790000000004E-2</v>
      </c>
      <c r="C114" s="24">
        <v>-3.5423398000000002E-2</v>
      </c>
      <c r="D114" s="24">
        <v>-1.084888E-2</v>
      </c>
      <c r="E114" s="24">
        <v>-1.5740156000000002E-2</v>
      </c>
      <c r="F114" s="24">
        <v>2.7175665000000002E-2</v>
      </c>
      <c r="G114" s="24">
        <v>-5.2007436999999997E-3</v>
      </c>
      <c r="H114" s="24">
        <v>-1.7459393E-2</v>
      </c>
      <c r="I114" s="24">
        <v>2.9914975E-2</v>
      </c>
      <c r="J114" s="24">
        <v>2.2874593999999998E-2</v>
      </c>
      <c r="K114" s="24">
        <v>-1.2655019999999999E-2</v>
      </c>
      <c r="L114" s="24">
        <v>2.3846625999999999E-2</v>
      </c>
      <c r="M114" s="24">
        <v>-6.6366196000000002E-2</v>
      </c>
      <c r="N114" s="24">
        <v>-2.0205020000000001E-2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45349</v>
      </c>
      <c r="B115" s="24">
        <v>-2.7078926999999999E-2</v>
      </c>
      <c r="C115" s="24">
        <v>1.2663484000000001E-2</v>
      </c>
      <c r="D115" s="24">
        <v>7.9516169999999994E-3</v>
      </c>
      <c r="E115" s="24">
        <v>3.9469242000000002E-2</v>
      </c>
      <c r="F115" s="24">
        <v>5.7959914000000001E-2</v>
      </c>
      <c r="G115" s="24">
        <v>-1.2965262E-2</v>
      </c>
      <c r="H115" s="24">
        <v>8.884787600000001E-3</v>
      </c>
      <c r="I115" s="24">
        <v>3.2538176000000002E-2</v>
      </c>
      <c r="J115" s="24">
        <v>4.0048359999999998E-2</v>
      </c>
      <c r="K115" s="24">
        <v>3.6144613999999999E-2</v>
      </c>
      <c r="L115" s="24">
        <v>3.8093210000000002E-2</v>
      </c>
      <c r="M115" s="24">
        <v>6.0085892999999994E-2</v>
      </c>
      <c r="N115" s="24">
        <v>6.8141103000000008E-2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45378</v>
      </c>
      <c r="B116" s="24">
        <v>-6.5749880000000001E-4</v>
      </c>
      <c r="C116" s="24">
        <v>2.7928352E-2</v>
      </c>
      <c r="D116" s="24">
        <v>3.5636543999999999E-2</v>
      </c>
      <c r="E116" s="24">
        <v>4.3207883999999995E-2</v>
      </c>
      <c r="F116" s="24">
        <v>3.5125732E-2</v>
      </c>
      <c r="G116" s="24">
        <v>3.8136244000000004E-3</v>
      </c>
      <c r="H116" s="24">
        <v>3.5226225999999999E-2</v>
      </c>
      <c r="I116" s="24">
        <v>1.7854333E-2</v>
      </c>
      <c r="J116" s="24">
        <v>3.5264611000000001E-2</v>
      </c>
      <c r="K116" s="24">
        <v>2.9193520000000001E-2</v>
      </c>
      <c r="L116" s="24">
        <v>4.3195724000000005E-2</v>
      </c>
      <c r="M116" s="24">
        <v>2.8087019999999997E-2</v>
      </c>
      <c r="N116" s="24">
        <v>6.183541E-2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45408</v>
      </c>
      <c r="B117" s="24">
        <v>-2.9166640000000001E-2</v>
      </c>
      <c r="C117" s="24">
        <v>-3.8118421999999999E-2</v>
      </c>
      <c r="D117" s="24">
        <v>-1.1557639E-2</v>
      </c>
      <c r="E117" s="24">
        <v>-2.8553545E-2</v>
      </c>
      <c r="F117" s="24">
        <v>-6.2561153999999994E-2</v>
      </c>
      <c r="G117" s="24">
        <v>-3.0392646999999998E-2</v>
      </c>
      <c r="H117" s="24">
        <v>2.1707296000000001E-2</v>
      </c>
      <c r="I117" s="24">
        <v>-3.1090498000000001E-2</v>
      </c>
      <c r="J117" s="24">
        <v>-2.8499305000000003E-2</v>
      </c>
      <c r="K117" s="24">
        <v>-2.2355795000000001E-2</v>
      </c>
      <c r="L117" s="24">
        <v>-2.6934683000000001E-2</v>
      </c>
      <c r="M117" s="24">
        <v>-3.8149118000000003E-2</v>
      </c>
      <c r="N117" s="24">
        <v>-1.8708824999999998E-2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45436</v>
      </c>
      <c r="B118" s="24">
        <v>3.2301784E-2</v>
      </c>
      <c r="C118" s="24">
        <v>4.1736959999999997E-2</v>
      </c>
      <c r="D118" s="24">
        <v>1.5944719E-2</v>
      </c>
      <c r="E118" s="24">
        <v>4.2635680000000002E-2</v>
      </c>
      <c r="F118" s="24">
        <v>1.9812346000000002E-2</v>
      </c>
      <c r="G118" s="24">
        <v>5.1806690000000002E-2</v>
      </c>
      <c r="H118" s="24">
        <v>4.335344E-2</v>
      </c>
      <c r="I118" s="24">
        <v>6.2529086999999997E-2</v>
      </c>
      <c r="J118" s="24">
        <v>4.1671514999999999E-2</v>
      </c>
      <c r="K118" s="24">
        <v>3.1964659999999999E-2</v>
      </c>
      <c r="L118" s="24">
        <v>6.8374275999999998E-2</v>
      </c>
      <c r="M118" s="24">
        <v>6.6018343000000007E-2</v>
      </c>
      <c r="N118" s="24">
        <v>3.7593960000000003E-2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45470</v>
      </c>
      <c r="B119" s="24">
        <v>-5.0246715999999998E-5</v>
      </c>
      <c r="C119" s="24">
        <v>9.1713666999999992E-3</v>
      </c>
      <c r="D119" s="24">
        <v>-1.7200767999999998E-2</v>
      </c>
      <c r="E119" s="24">
        <v>-3.0249596E-2</v>
      </c>
      <c r="F119" s="24">
        <v>-4.4465659999999999E-3</v>
      </c>
      <c r="G119" s="24">
        <v>2.0977258999999998E-2</v>
      </c>
      <c r="H119" s="24">
        <v>-2.0257293999999999E-2</v>
      </c>
      <c r="I119" s="24">
        <v>5.3354739999999998E-2</v>
      </c>
      <c r="J119" s="24">
        <v>3.5310983999999997E-2</v>
      </c>
      <c r="K119" s="24">
        <v>-7.4289319999999992E-2</v>
      </c>
      <c r="L119" s="24">
        <v>-1.5506446E-2</v>
      </c>
      <c r="M119" s="24">
        <v>-2.4862826000000001E-2</v>
      </c>
      <c r="N119" s="24">
        <v>-4.8432170000000004E-2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45499</v>
      </c>
      <c r="B120" s="24">
        <v>7.7133180000000003E-3</v>
      </c>
      <c r="C120" s="24">
        <v>8.9943409999999994E-3</v>
      </c>
      <c r="D120" s="24">
        <v>2.9822707E-2</v>
      </c>
      <c r="E120" s="24">
        <v>2.487731E-2</v>
      </c>
      <c r="F120" s="24">
        <v>1.537323E-2</v>
      </c>
      <c r="G120" s="24">
        <v>3.6010027E-2</v>
      </c>
      <c r="H120" s="24">
        <v>3.1500697000000001E-2</v>
      </c>
      <c r="I120" s="24">
        <v>-3.8703501000000001E-2</v>
      </c>
      <c r="J120" s="24">
        <v>-3.5324097E-3</v>
      </c>
      <c r="K120" s="24">
        <v>1.8698931000000002E-2</v>
      </c>
      <c r="L120" s="24">
        <v>-3.1380296000000002E-2</v>
      </c>
      <c r="M120" s="24">
        <v>-8.0040100000000006E-3</v>
      </c>
      <c r="N120" s="24">
        <v>4.515052E-2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45531</v>
      </c>
      <c r="B121" s="24">
        <v>7.7680470000000001E-2</v>
      </c>
      <c r="C121" s="24">
        <v>4.6191216E-2</v>
      </c>
      <c r="D121" s="24">
        <v>5.2700160000000003E-2</v>
      </c>
      <c r="E121" s="24">
        <v>3.8645864000000002E-2</v>
      </c>
      <c r="F121" s="24">
        <v>4.4256805999999996E-2</v>
      </c>
      <c r="G121" s="24">
        <v>5.2536845000000006E-2</v>
      </c>
      <c r="H121" s="24">
        <v>4.4142127000000003E-2</v>
      </c>
      <c r="I121" s="24">
        <v>2.9785989999999998E-2</v>
      </c>
      <c r="J121" s="24">
        <v>3.1445146E-2</v>
      </c>
      <c r="K121" s="24">
        <v>3.3609032999999996E-2</v>
      </c>
      <c r="L121" s="24">
        <v>3.4242271999999997E-2</v>
      </c>
      <c r="M121" s="24">
        <v>5.8245063000000007E-2</v>
      </c>
      <c r="N121" s="24">
        <v>2.8266667999999998E-2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45562</v>
      </c>
      <c r="B122" s="24">
        <v>8.9340210000000003E-3</v>
      </c>
      <c r="C122" s="24">
        <v>4.4539093999999994E-2</v>
      </c>
      <c r="D122" s="24">
        <v>3.2465935000000001E-2</v>
      </c>
      <c r="E122" s="24">
        <v>3.6285400000000002E-2</v>
      </c>
      <c r="F122" s="24">
        <v>1.7565846E-2</v>
      </c>
      <c r="G122" s="24">
        <v>-6.8323610000000003E-3</v>
      </c>
      <c r="H122" s="24">
        <v>1.329422E-3</v>
      </c>
      <c r="I122" s="24">
        <v>2.8097748999999998E-2</v>
      </c>
      <c r="J122" s="24">
        <v>2.2255898E-2</v>
      </c>
      <c r="K122" s="24">
        <v>2.8013944999999998E-2</v>
      </c>
      <c r="L122" s="24">
        <v>1.2886643E-2</v>
      </c>
      <c r="M122" s="24">
        <v>4.4317365000000004E-2</v>
      </c>
      <c r="N122" s="50">
        <v>1.9968866999999998E-2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0.13892114999999999</v>
      </c>
      <c r="C126" s="24" cm="1">
        <f t="array" ref="C126">MAX(_xlfn._xlws.FILTER(C1:C122, ISNUMBER(C1:C122)))</f>
        <v>0.14608943999999999</v>
      </c>
      <c r="D126" s="24" cm="1">
        <f t="array" ref="D126">MAX(_xlfn._xlws.FILTER(D1:D122, ISNUMBER(D1:D122)))</f>
        <v>0.15198444999999999</v>
      </c>
      <c r="E126" s="24" cm="1">
        <f t="array" ref="E126">MAX(_xlfn._xlws.FILTER(E1:E122, ISNUMBER(E1:E122)))</f>
        <v>0.15027331999999999</v>
      </c>
      <c r="F126" s="24" cm="1">
        <f t="array" ref="F126">MAX(_xlfn._xlws.FILTER(F1:F122, ISNUMBER(F1:F122)))</f>
        <v>0.12482405000000001</v>
      </c>
      <c r="G126" s="24" cm="1">
        <f t="array" ref="G126">MAX(_xlfn._xlws.FILTER(G1:G122, ISNUMBER(G1:G122)))</f>
        <v>0.10310328000000001</v>
      </c>
      <c r="H126" s="24" cm="1">
        <f t="array" ref="H126">MAX(_xlfn._xlws.FILTER(H1:H122, ISNUMBER(H1:H122)))</f>
        <v>0.15161168999999999</v>
      </c>
      <c r="I126" s="24" cm="1">
        <f t="array" ref="I126">MAX(_xlfn._xlws.FILTER(I1:I122, ISNUMBER(I1:I122)))</f>
        <v>0.16330278000000001</v>
      </c>
      <c r="J126" s="24" cm="1">
        <f t="array" ref="J126">MAX(_xlfn._xlws.FILTER(J1:J122, ISNUMBER(J1:J122)))</f>
        <v>0.13270462</v>
      </c>
      <c r="K126" s="24" cm="1">
        <f t="array" ref="K126">MAX(_xlfn._xlws.FILTER(K1:K122, ISNUMBER(K1:K122)))</f>
        <v>0.19761562000000002</v>
      </c>
      <c r="L126" s="24" cm="1">
        <f t="array" ref="L126">MAX(_xlfn._xlws.FILTER(L1:L122, ISNUMBER(L1:L122)))</f>
        <v>0.17382049999999999</v>
      </c>
      <c r="M126" s="24" cm="1">
        <f t="array" ref="M126">MAX(_xlfn._xlws.FILTER(M1:M122, ISNUMBER(M1:M122)))</f>
        <v>0.17402601000000001</v>
      </c>
      <c r="N126" s="24" cm="1">
        <f t="array" ref="N126">MAX(_xlfn._xlws.FILTER(N1:N122, ISNUMBER(N1:N122)))</f>
        <v>0.21366095999999998</v>
      </c>
    </row>
    <row r="127" spans="1:26" x14ac:dyDescent="0.35">
      <c r="A127" t="s">
        <v>85</v>
      </c>
      <c r="B127" s="24" cm="1">
        <f t="array" ref="B127">MIN(_xlfn._xlws.FILTER(B2:B122, ISNUMBER(B2:B122)))</f>
        <v>-0.20048405</v>
      </c>
      <c r="C127" s="24" cm="1">
        <f t="array" ref="C127">MIN(_xlfn._xlws.FILTER(C2:C122, ISNUMBER(C2:C122)))</f>
        <v>-0.29917834999999998</v>
      </c>
      <c r="D127" s="24" cm="1">
        <f t="array" ref="D127">MIN(_xlfn._xlws.FILTER(D2:D122, ISNUMBER(D2:D122)))</f>
        <v>-0.26108724999999999</v>
      </c>
      <c r="E127" s="24" cm="1">
        <f t="array" ref="E127">MIN(_xlfn._xlws.FILTER(E2:E122, ISNUMBER(E2:E122)))</f>
        <v>-0.20271795000000001</v>
      </c>
      <c r="F127" s="24" cm="1">
        <f t="array" ref="F127">MIN(_xlfn._xlws.FILTER(F2:F122, ISNUMBER(F2:F122)))</f>
        <v>-0.10571659</v>
      </c>
      <c r="G127" s="24" cm="1">
        <f t="array" ref="G127">MIN(_xlfn._xlws.FILTER(G2:G122, ISNUMBER(G2:G122)))</f>
        <v>-0.10537786</v>
      </c>
      <c r="H127" s="24" cm="1">
        <f t="array" ref="H127">MIN(_xlfn._xlws.FILTER(H2:H122, ISNUMBER(H2:H122)))</f>
        <v>-0.20766878</v>
      </c>
      <c r="I127" s="24" cm="1">
        <f t="array" ref="I127">MIN(_xlfn._xlws.FILTER(I2:I122, ISNUMBER(I2:I122)))</f>
        <v>-0.15460497000000001</v>
      </c>
      <c r="J127" s="24" cm="1">
        <f t="array" ref="J127">MIN(_xlfn._xlws.FILTER(J2:J122, ISNUMBER(J2:J122)))</f>
        <v>-0.14296393999999998</v>
      </c>
      <c r="K127" s="24" cm="1">
        <f t="array" ref="K127">MIN(_xlfn._xlws.FILTER(K2:K122, ISNUMBER(K2:K122)))</f>
        <v>-0.18985610999999999</v>
      </c>
      <c r="L127" s="24" cm="1">
        <f t="array" ref="L127">MIN(_xlfn._xlws.FILTER(L2:L122, ISNUMBER(L2:L122)))</f>
        <v>-0.16482089999999999</v>
      </c>
      <c r="M127" s="24" cm="1">
        <f t="array" ref="M127">MIN(_xlfn._xlws.FILTER(M2:M122, ISNUMBER(M2:M122)))</f>
        <v>-0.18926924000000001</v>
      </c>
      <c r="N127" s="24" cm="1">
        <f t="array" ref="N127">MIN(_xlfn._xlws.FILTER(N2:N122, ISNUMBER(N2:N122)))</f>
        <v>-0.24223607999999999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19</v>
      </c>
      <c r="D129">
        <f>COUNTIF(D2:D122, "&lt;"&amp;Assumption!$E$50)</f>
        <v>17</v>
      </c>
      <c r="E129">
        <f>COUNTIF(E2:E122, "&lt;"&amp;Assumption!$E$50)</f>
        <v>20</v>
      </c>
      <c r="F129">
        <f>COUNTIF(F2:F122, "&lt;"&amp;Assumption!$E$50)</f>
        <v>15</v>
      </c>
      <c r="G129">
        <f>COUNTIF(G2:G122, "&lt;"&amp;Assumption!$E$50)</f>
        <v>14</v>
      </c>
      <c r="H129">
        <f>COUNTIF(H2:H122, "&lt;"&amp;Assumption!$E$50)</f>
        <v>14</v>
      </c>
      <c r="I129">
        <f>COUNTIF(I2:I122, "&lt;"&amp;Assumption!$E$50)</f>
        <v>15</v>
      </c>
      <c r="J129">
        <f>COUNTIF(J2:J122, "&lt;"&amp;Assumption!$E$50)</f>
        <v>11</v>
      </c>
      <c r="K129">
        <f>COUNTIF(K2:K122, "&lt;"&amp;Assumption!$E$50)</f>
        <v>14</v>
      </c>
      <c r="L129">
        <f>COUNTIF(L2:L122, "&lt;"&amp;Assumption!$E$50)</f>
        <v>17</v>
      </c>
      <c r="M129">
        <f>COUNTIF(M2:M122, "&lt;"&amp;Assumption!$E$50)</f>
        <v>20</v>
      </c>
      <c r="N129">
        <f>COUNTIF(N2:N122, "&lt;"&amp;Assumption!$E$50)</f>
        <v>17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0.14049586776859505</v>
      </c>
      <c r="C132" s="9">
        <f t="shared" si="2"/>
        <v>0.15702479338842976</v>
      </c>
      <c r="D132" s="9">
        <f t="shared" si="2"/>
        <v>0.14049586776859505</v>
      </c>
      <c r="E132" s="9">
        <f t="shared" si="2"/>
        <v>0.16528925619834711</v>
      </c>
      <c r="F132" s="9">
        <f t="shared" si="2"/>
        <v>0.12396694214876033</v>
      </c>
      <c r="G132" s="9">
        <f t="shared" si="2"/>
        <v>0.11570247933884298</v>
      </c>
      <c r="H132" s="9">
        <f t="shared" si="2"/>
        <v>0.11570247933884298</v>
      </c>
      <c r="I132" s="9">
        <f t="shared" si="2"/>
        <v>0.12396694214876033</v>
      </c>
      <c r="J132" s="9">
        <f t="shared" si="2"/>
        <v>9.0909090909090912E-2</v>
      </c>
      <c r="K132" s="9">
        <f t="shared" ref="K132:N132" si="3">K129/K130</f>
        <v>0.11570247933884298</v>
      </c>
      <c r="L132" s="9">
        <f t="shared" si="3"/>
        <v>0.14049586776859505</v>
      </c>
      <c r="M132" s="9">
        <f t="shared" si="3"/>
        <v>0.16528925619834711</v>
      </c>
      <c r="N132" s="9">
        <f t="shared" si="3"/>
        <v>0.14049586776859505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0.50800000000000001</v>
      </c>
      <c r="C134" s="9" cm="1">
        <f t="array" ref="C134">_xlfn.PERCENTRANK.EXC(_xlfn._xlws.FILTER(C2:C122, ISNUMBER(C2:C122)),C122)</f>
        <v>0.80300000000000005</v>
      </c>
      <c r="D134" s="9" cm="1">
        <f t="array" ref="D134">_xlfn.PERCENTRANK.EXC(_xlfn._xlws.FILTER(D2:D122, ISNUMBER(D2:D122)),D122)</f>
        <v>0.69599999999999995</v>
      </c>
      <c r="E134" s="9" cm="1">
        <f t="array" ref="E134">_xlfn.PERCENTRANK.EXC(_xlfn._xlws.FILTER(E2:E122, ISNUMBER(E2:E122)),E122)</f>
        <v>0.69599999999999995</v>
      </c>
      <c r="F134" s="9" cm="1">
        <f t="array" ref="F134">_xlfn.PERCENTRANK.EXC(_xlfn._xlws.FILTER(F2:F122, ISNUMBER(F2:F122)),F122)</f>
        <v>0.57299999999999995</v>
      </c>
      <c r="G134" s="9" cm="1">
        <f t="array" ref="G134">_xlfn.PERCENTRANK.EXC(_xlfn._xlws.FILTER(G2:G122, ISNUMBER(G2:G122)),G122)</f>
        <v>0.34399999999999997</v>
      </c>
      <c r="H134" s="9" cm="1">
        <f t="array" ref="H134">_xlfn.PERCENTRANK.EXC(_xlfn._xlws.FILTER(H2:H122, ISNUMBER(H2:H122)),H122)</f>
        <v>0.40100000000000002</v>
      </c>
      <c r="I134" s="9" cm="1">
        <f t="array" ref="I134">_xlfn.PERCENTRANK.EXC(_xlfn._xlws.FILTER(I2:I122, ISNUMBER(I2:I122)),I122)</f>
        <v>0.52400000000000002</v>
      </c>
      <c r="J134" s="9" cm="1">
        <f t="array" ref="J134">_xlfn.PERCENTRANK.EXC(_xlfn._xlws.FILTER(J2:J122, ISNUMBER(J2:J122)),J122)</f>
        <v>0.54</v>
      </c>
      <c r="K134" s="9" cm="1">
        <f t="array" ref="K134">_xlfn.PERCENTRANK.EXC(_xlfn._xlws.FILTER(K2:K122, ISNUMBER(K2:K122)),K122)</f>
        <v>0.64700000000000002</v>
      </c>
      <c r="L134" s="9" cm="1">
        <f t="array" ref="L134">_xlfn.PERCENTRANK.EXC(_xlfn._xlws.FILTER(L2:L122, ISNUMBER(L2:L122)),L122)</f>
        <v>0.51600000000000001</v>
      </c>
      <c r="M134" s="9" cm="1">
        <f t="array" ref="M134">_xlfn.PERCENTRANK.EXC(_xlfn._xlws.FILTER(M2:M122, ISNUMBER(M2:M122)),M122)</f>
        <v>0.72099999999999997</v>
      </c>
      <c r="N134" s="9" cm="1">
        <f t="array" ref="N134">_xlfn.PERCENTRANK.EXC(_xlfn._xlws.FILTER(N2:N122, ISNUMBER(N2:N122)),N122)</f>
        <v>0.55700000000000005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0.93300000000000005</v>
      </c>
      <c r="C136" s="9" cm="1">
        <f t="array" ref="C136">_xlfn.PERCENTRANK.EXC(_xlfn._xlws.FILTER(C4:C125, ISNUMBER(C4:C125)),C113)</f>
        <v>0.97499999999999998</v>
      </c>
      <c r="D136" s="9" cm="1">
        <f t="array" ref="D136">_xlfn.PERCENTRANK.EXC(_xlfn._xlws.FILTER(D4:D125, ISNUMBER(D4:D125)),D113)</f>
        <v>0.94099999999999995</v>
      </c>
      <c r="E136" s="9" cm="1">
        <f t="array" ref="E136">_xlfn.PERCENTRANK.EXC(_xlfn._xlws.FILTER(E4:E125, ISNUMBER(E4:E125)),E113)</f>
        <v>0.86599999999999999</v>
      </c>
      <c r="F136" s="9" cm="1">
        <f t="array" ref="F136">_xlfn.PERCENTRANK.EXC(_xlfn._xlws.FILTER(F4:F125, ISNUMBER(F4:F125)),F113)</f>
        <v>0.76600000000000001</v>
      </c>
      <c r="G136" s="9" cm="1">
        <f t="array" ref="G136">_xlfn.PERCENTRANK.EXC(_xlfn._xlws.FILTER(G4:G125, ISNUMBER(G4:G125)),G113)</f>
        <v>0.94099999999999995</v>
      </c>
      <c r="H136" s="9" cm="1">
        <f t="array" ref="H136">_xlfn.PERCENTRANK.EXC(_xlfn._xlws.FILTER(H4:H125, ISNUMBER(H4:H125)),H113)</f>
        <v>0.85799999999999998</v>
      </c>
      <c r="I136" s="9" cm="1">
        <f t="array" ref="I136">_xlfn.PERCENTRANK.EXC(_xlfn._xlws.FILTER(I4:I125, ISNUMBER(I4:I125)),I113)</f>
        <v>0.85799999999999998</v>
      </c>
      <c r="J136" s="9" cm="1">
        <f t="array" ref="J136">_xlfn.PERCENTRANK.EXC(_xlfn._xlws.FILTER(J4:J125, ISNUMBER(J4:J125)),J113)</f>
        <v>0.875</v>
      </c>
      <c r="K136" s="9" cm="1">
        <f t="array" ref="K136">_xlfn.PERCENTRANK.EXC(_xlfn._xlws.FILTER(K4:K125, ISNUMBER(K4:K125)),K113)</f>
        <v>0.84099999999999997</v>
      </c>
      <c r="L136" s="9" cm="1">
        <f t="array" ref="L136">_xlfn.PERCENTRANK.EXC(_xlfn._xlws.FILTER(L4:L125, ISNUMBER(L4:L125)),L113)</f>
        <v>0.875</v>
      </c>
      <c r="M136" s="9" cm="1">
        <f t="array" ref="M136">_xlfn.PERCENTRANK.EXC(_xlfn._xlws.FILTER(M4:M125, ISNUMBER(M4:M125)),M113)</f>
        <v>0.95799999999999996</v>
      </c>
      <c r="N136" s="9" cm="1">
        <f t="array" ref="N136">_xlfn.PERCENTRANK.EXC(_xlfn._xlws.FILTER(N4:N125, ISNUMBER(N4:N125)),N113)</f>
        <v>0.8</v>
      </c>
    </row>
    <row r="138" spans="1:17" x14ac:dyDescent="0.35">
      <c r="A138" t="s">
        <v>829</v>
      </c>
      <c r="B138">
        <f t="shared" ref="B138:J138" si="4">STDEV(B40:B122)</f>
        <v>5.5649357688535024E-2</v>
      </c>
      <c r="C138">
        <f t="shared" si="4"/>
        <v>6.5933699414319522E-2</v>
      </c>
      <c r="D138">
        <f t="shared" si="4"/>
        <v>5.8649614417792109E-2</v>
      </c>
      <c r="E138">
        <f t="shared" si="4"/>
        <v>6.2158196233813016E-2</v>
      </c>
      <c r="F138">
        <f t="shared" si="4"/>
        <v>4.6322941407534797E-2</v>
      </c>
      <c r="G138">
        <f t="shared" si="4"/>
        <v>4.4928604323664474E-2</v>
      </c>
      <c r="H138">
        <f t="shared" si="4"/>
        <v>5.3018489741931206E-2</v>
      </c>
      <c r="I138">
        <f t="shared" si="4"/>
        <v>5.7383091013720897E-2</v>
      </c>
      <c r="J138">
        <f t="shared" si="4"/>
        <v>4.8150458882443389E-2</v>
      </c>
      <c r="K138">
        <f t="shared" ref="K138:N138" si="5">STDEV(K40:K122)</f>
        <v>5.8358302580041967E-2</v>
      </c>
      <c r="L138">
        <f t="shared" si="5"/>
        <v>6.0887832361249138E-2</v>
      </c>
      <c r="M138">
        <f t="shared" si="5"/>
        <v>6.8576988220049387E-2</v>
      </c>
      <c r="N138">
        <f t="shared" si="5"/>
        <v>6.6349262929075392E-2</v>
      </c>
    </row>
    <row r="139" spans="1:17" x14ac:dyDescent="0.35">
      <c r="A139" t="s">
        <v>830</v>
      </c>
      <c r="B139" s="74">
        <f t="shared" ref="B139:J139" si="6">B138*SQRT(12)</f>
        <v>0.19277502985023279</v>
      </c>
      <c r="C139" s="74">
        <f t="shared" si="6"/>
        <v>0.22840103463315148</v>
      </c>
      <c r="D139" s="74">
        <f t="shared" si="6"/>
        <v>0.20316822403188017</v>
      </c>
      <c r="E139" s="74">
        <f t="shared" si="6"/>
        <v>0.21532230796760116</v>
      </c>
      <c r="F139" s="74">
        <f t="shared" si="6"/>
        <v>0.16046737614777284</v>
      </c>
      <c r="G139" s="74">
        <f t="shared" si="6"/>
        <v>0.1556372508034912</v>
      </c>
      <c r="H139" s="74">
        <f t="shared" si="6"/>
        <v>0.18366143594718834</v>
      </c>
      <c r="I139" s="74">
        <f t="shared" si="6"/>
        <v>0.19878085826222733</v>
      </c>
      <c r="J139" s="74">
        <f t="shared" si="6"/>
        <v>0.16679808238429616</v>
      </c>
      <c r="K139" s="74">
        <f t="shared" ref="K139:N139" si="7">K138*SQRT(12)</f>
        <v>0.20215909022422116</v>
      </c>
      <c r="L139" s="74">
        <f t="shared" si="7"/>
        <v>0.21092163842483996</v>
      </c>
      <c r="M139" s="74">
        <f t="shared" si="7"/>
        <v>0.23755765565435583</v>
      </c>
      <c r="N139" s="74">
        <f t="shared" si="7"/>
        <v>0.2298405888758096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41908</v>
      </c>
      <c r="B2" s="7" cm="1">
        <f t="array" ref="B2:B122">_xll.FDS(B1,"P_PRICE_RETURNS_PR('52W',2,-10AY,0,AM)")</f>
        <v>5.305612</v>
      </c>
      <c r="C2" s="7" cm="1">
        <f t="array" ref="C2:C122">_xll.FDS(C1,"P_PRICE_RETURNS_PR('52W',2,-10AY,0,AM)")</f>
        <v>-2.3333370000000002</v>
      </c>
      <c r="D2" s="7" cm="1">
        <f t="array" ref="D2:D122">_xll.FDS(D1,"P_PRICE_RETURNS_PR('52W',2,-10AY,0,AM)")</f>
        <v>11.436188</v>
      </c>
      <c r="E2" s="7" cm="1">
        <f t="array" ref="E2:E122">_xll.FDS(E1,"P_PRICE_RETURNS_PR('52W',2,-10AY,0,AM)")</f>
        <v>2.4187921999999999</v>
      </c>
      <c r="F2" s="7" cm="1">
        <f t="array" ref="F2:F122">_xll.FDS(F1,"P_PRICE_RETURNS_PR('52W',2,-10AY,0,AM)")</f>
        <v>-0.2465725</v>
      </c>
      <c r="G2" s="7" cm="1">
        <f t="array" ref="G2:G122">_xll.FDS(G1,"P_PRICE_RETURNS_PR('52W',2,-10AY,0,AM)")</f>
        <v>6.9138409999999997</v>
      </c>
      <c r="H2" s="7" cm="1">
        <f t="array" ref="H2:H122">_xll.FDS(H1,"P_PRICE_RETURNS_PR('52W',2,-10AY,0,AM)")</f>
        <v>5.0327897000000004</v>
      </c>
      <c r="I2" s="7" cm="1">
        <f t="array" ref="I2:I122">_xll.FDS(I1,"P_PRICE_RETURNS_PR('52W',2,-10AY,0,AM)")</f>
        <v>26.608443999999999</v>
      </c>
      <c r="J2" s="7" cm="1">
        <f t="array" ref="J2:J122">_xll.FDS(J1,"P_PRICE_RETURNS_PR('52W',2,-10AY,0,AM)")</f>
        <v>18.890142000000001</v>
      </c>
      <c r="K2" s="158" cm="1">
        <f t="array" ref="K2:K122">_xll.FDS(K1,"P_PRICE_RETURNS_PR('52W',2,-10AY,0,AM)")</f>
        <v>1.2621164</v>
      </c>
      <c r="L2" s="158" cm="1">
        <f t="array" ref="L2:L122">_xll.FDS(L1,"P_PRICE_RETURNS_PR('52W',2,-10AY,0,AM)")</f>
        <v>3.1582355</v>
      </c>
      <c r="M2" s="158" cm="1">
        <f t="array" ref="M2:M122">_xll.FDS(M1,"P_PRICE_RETURNS_PR('52W',2,-10AY,0,AM)")</f>
        <v>-1.6021251999999999</v>
      </c>
      <c r="N2" s="158" cm="1">
        <f t="array" ref="N2:N122">_xll.FDS(N1,"P_PRICE_RETURNS_PR('52W',2,-10AY,0,AM)")</f>
        <v>11.902988000000001</v>
      </c>
    </row>
    <row r="3" spans="1:14" x14ac:dyDescent="0.35">
      <c r="A3" s="2">
        <v>41939</v>
      </c>
      <c r="B3" s="40">
        <v>4.694617</v>
      </c>
      <c r="C3" s="40">
        <v>-4.0365877000000001</v>
      </c>
      <c r="D3" s="40">
        <v>3.2026051999999998</v>
      </c>
      <c r="E3" s="40">
        <v>-9.4630829999999992</v>
      </c>
      <c r="F3" s="40">
        <v>-3.3687592</v>
      </c>
      <c r="G3" s="40">
        <v>-0.95337629999999995</v>
      </c>
      <c r="H3" s="40">
        <v>-3.4748136999999999</v>
      </c>
      <c r="I3" s="40">
        <v>20.801662</v>
      </c>
      <c r="J3" s="40">
        <v>13.65211</v>
      </c>
      <c r="K3" s="47">
        <v>-8.929926</v>
      </c>
      <c r="L3" s="47">
        <v>-5.8310389999999996</v>
      </c>
      <c r="M3" s="47">
        <v>-6.2774000000000001</v>
      </c>
      <c r="N3" s="47">
        <v>-4.9778820000000001</v>
      </c>
    </row>
    <row r="4" spans="1:14" x14ac:dyDescent="0.35">
      <c r="A4" s="2">
        <v>41969</v>
      </c>
      <c r="B4" s="40">
        <v>9.8572140000000008</v>
      </c>
      <c r="C4" s="40">
        <v>-1.6968905999999999</v>
      </c>
      <c r="D4" s="40">
        <v>8.4682940000000002</v>
      </c>
      <c r="E4" s="40">
        <v>-2.5033175999999999</v>
      </c>
      <c r="F4" s="40">
        <v>-1.6092598</v>
      </c>
      <c r="G4" s="40">
        <v>5.3115845000000004</v>
      </c>
      <c r="H4" s="40">
        <v>1.2912393</v>
      </c>
      <c r="I4" s="40">
        <v>26.521609999999999</v>
      </c>
      <c r="J4" s="40">
        <v>17.154049000000001</v>
      </c>
      <c r="K4" s="47">
        <v>-2.5709092999999998</v>
      </c>
      <c r="L4" s="47">
        <v>0.63331130000000002</v>
      </c>
      <c r="M4" s="47">
        <v>2.0905733</v>
      </c>
      <c r="N4" s="47">
        <v>0.64741373000000002</v>
      </c>
    </row>
    <row r="5" spans="1:14" x14ac:dyDescent="0.35">
      <c r="A5" s="2">
        <v>41999</v>
      </c>
      <c r="B5" s="40">
        <v>12.191319</v>
      </c>
      <c r="C5" s="40">
        <v>-4.3179154000000004</v>
      </c>
      <c r="D5" s="40">
        <v>1.4654278999999999</v>
      </c>
      <c r="E5" s="40">
        <v>-8.5317369999999997</v>
      </c>
      <c r="F5" s="40">
        <v>-2.02834</v>
      </c>
      <c r="G5" s="40">
        <v>1.8265842999999999</v>
      </c>
      <c r="H5" s="40">
        <v>-4.4776199999999999</v>
      </c>
      <c r="I5" s="40">
        <v>21.549510999999999</v>
      </c>
      <c r="J5" s="40">
        <v>15.585554</v>
      </c>
      <c r="K5" s="47">
        <v>-6.5605520000000004</v>
      </c>
      <c r="L5" s="47">
        <v>-2.6778936</v>
      </c>
      <c r="M5" s="47">
        <v>-5.1761626999999999</v>
      </c>
      <c r="N5" s="47">
        <v>-6.7184686999999998</v>
      </c>
    </row>
    <row r="6" spans="1:14" x14ac:dyDescent="0.35">
      <c r="A6" s="2">
        <v>42031</v>
      </c>
      <c r="B6" s="40">
        <v>9.03064</v>
      </c>
      <c r="C6" s="40">
        <v>0.75052976999999998</v>
      </c>
      <c r="D6" s="40">
        <v>0.84433555999999998</v>
      </c>
      <c r="E6" s="40">
        <v>-5.3942204</v>
      </c>
      <c r="F6" s="40">
        <v>1.9796252000000001</v>
      </c>
      <c r="G6" s="40">
        <v>3.8287996999999998</v>
      </c>
      <c r="H6" s="40">
        <v>-2.1691799999999999</v>
      </c>
      <c r="I6" s="40">
        <v>19.898070000000001</v>
      </c>
      <c r="J6" s="40">
        <v>16.116250000000001</v>
      </c>
      <c r="K6" s="47">
        <v>-3.8537203999999998</v>
      </c>
      <c r="L6" s="47">
        <v>-0.90475079999999997</v>
      </c>
      <c r="M6" s="47">
        <v>-4.9743357000000001</v>
      </c>
      <c r="N6" s="47">
        <v>-8.5114059999999991</v>
      </c>
    </row>
    <row r="7" spans="1:14" x14ac:dyDescent="0.35">
      <c r="A7" s="2">
        <v>42062</v>
      </c>
      <c r="B7" s="40">
        <v>8.312106</v>
      </c>
      <c r="C7" s="40">
        <v>-0.88799596000000003</v>
      </c>
      <c r="D7" s="40">
        <v>-1.3864278999999999</v>
      </c>
      <c r="E7" s="40">
        <v>-3.5980344</v>
      </c>
      <c r="F7" s="40">
        <v>8.2917690000000004</v>
      </c>
      <c r="G7" s="40">
        <v>0.13437271000000001</v>
      </c>
      <c r="H7" s="40">
        <v>-3.8355708000000002</v>
      </c>
      <c r="I7" s="40">
        <v>21.192778000000001</v>
      </c>
      <c r="J7" s="40">
        <v>15.581284999999999</v>
      </c>
      <c r="K7" s="47">
        <v>-5.8140219999999996</v>
      </c>
      <c r="L7" s="47">
        <v>2.1462916999999999</v>
      </c>
      <c r="M7" s="47">
        <v>-0.61775446000000001</v>
      </c>
      <c r="N7" s="47">
        <v>-7.9752026000000003</v>
      </c>
    </row>
    <row r="8" spans="1:14" x14ac:dyDescent="0.35">
      <c r="A8" s="2">
        <v>42090</v>
      </c>
      <c r="B8" s="40">
        <v>0.83146094999999998</v>
      </c>
      <c r="C8" s="40">
        <v>-4.1344585</v>
      </c>
      <c r="D8" s="40">
        <v>-5.4143132999999999</v>
      </c>
      <c r="E8" s="40">
        <v>-0.55955650000000001</v>
      </c>
      <c r="F8" s="40">
        <v>15.009366999999999</v>
      </c>
      <c r="G8" s="40">
        <v>1.8744350000000001</v>
      </c>
      <c r="H8" s="40">
        <v>-3.9558290999999999</v>
      </c>
      <c r="I8" s="40">
        <v>22.804749000000001</v>
      </c>
      <c r="J8" s="40">
        <v>13.639652</v>
      </c>
      <c r="K8" s="47">
        <v>-6.195468</v>
      </c>
      <c r="L8" s="47">
        <v>1.548028</v>
      </c>
      <c r="M8" s="47">
        <v>-2.9622077999999998</v>
      </c>
      <c r="N8" s="47">
        <v>-11.855668</v>
      </c>
    </row>
    <row r="9" spans="1:14" x14ac:dyDescent="0.35">
      <c r="A9" s="2">
        <v>42121</v>
      </c>
      <c r="B9" s="40">
        <v>-1.706481E-2</v>
      </c>
      <c r="C9" s="40">
        <v>-4.7774076000000001</v>
      </c>
      <c r="D9" s="40">
        <v>-0.15104413</v>
      </c>
      <c r="E9" s="40">
        <v>-9.3632939999999998E-2</v>
      </c>
      <c r="F9" s="40">
        <v>22.046946999999999</v>
      </c>
      <c r="G9" s="40">
        <v>2.9054760000000002</v>
      </c>
      <c r="H9" s="40">
        <v>-1.5881896</v>
      </c>
      <c r="I9" s="40">
        <v>29.346990000000002</v>
      </c>
      <c r="J9" s="40">
        <v>15.349316999999999</v>
      </c>
      <c r="K9" s="47">
        <v>-4.6318710000000003</v>
      </c>
      <c r="L9" s="47">
        <v>8.2281700000000004</v>
      </c>
      <c r="M9" s="47">
        <v>0.31130313999999998</v>
      </c>
      <c r="N9" s="47">
        <v>-11.43561</v>
      </c>
    </row>
    <row r="10" spans="1:14" x14ac:dyDescent="0.35">
      <c r="A10" s="2">
        <v>42151</v>
      </c>
      <c r="B10" s="40">
        <v>-4.3866395999999996</v>
      </c>
      <c r="C10" s="40">
        <v>-10.285985999999999</v>
      </c>
      <c r="D10" s="40">
        <v>-7.1699676999999999</v>
      </c>
      <c r="E10" s="40">
        <v>-5.6617737000000004</v>
      </c>
      <c r="F10" s="40">
        <v>16.450823</v>
      </c>
      <c r="G10" s="40">
        <v>2.8493881000000001</v>
      </c>
      <c r="H10" s="40">
        <v>-4.1175959999999998</v>
      </c>
      <c r="I10" s="40">
        <v>23.286486</v>
      </c>
      <c r="J10" s="40">
        <v>13.226784</v>
      </c>
      <c r="K10" s="47">
        <v>-6.2515855</v>
      </c>
      <c r="L10" s="47">
        <v>6.0631870000000001</v>
      </c>
      <c r="M10" s="47">
        <v>-4.2942166000000004</v>
      </c>
      <c r="N10" s="47">
        <v>-8.5317369999999997</v>
      </c>
    </row>
    <row r="11" spans="1:14" x14ac:dyDescent="0.35">
      <c r="A11" s="2">
        <v>42181</v>
      </c>
      <c r="B11" s="40">
        <v>-11.957497</v>
      </c>
      <c r="C11" s="40">
        <v>-14.214373</v>
      </c>
      <c r="D11" s="40">
        <v>-11.723077999999999</v>
      </c>
      <c r="E11" s="40">
        <v>-4.1546640000000004</v>
      </c>
      <c r="F11" s="40">
        <v>10.102855999999999</v>
      </c>
      <c r="G11" s="40">
        <v>1.3992906000000001</v>
      </c>
      <c r="H11" s="40">
        <v>-5.6070565999999999</v>
      </c>
      <c r="I11" s="40">
        <v>18.322431999999999</v>
      </c>
      <c r="J11" s="40">
        <v>9.4649315000000005</v>
      </c>
      <c r="K11" s="47">
        <v>-4.7129810000000001</v>
      </c>
      <c r="L11" s="47">
        <v>7.0798993000000001</v>
      </c>
      <c r="M11" s="47">
        <v>-1.4931619</v>
      </c>
      <c r="N11" s="47">
        <v>-7.3374930000000003</v>
      </c>
    </row>
    <row r="12" spans="1:14" x14ac:dyDescent="0.35">
      <c r="A12" s="2">
        <v>42212</v>
      </c>
      <c r="B12" s="40">
        <v>-12.5478325</v>
      </c>
      <c r="C12" s="40">
        <v>-20.164442000000001</v>
      </c>
      <c r="D12" s="40">
        <v>-22.55761</v>
      </c>
      <c r="E12" s="40">
        <v>-5.7242392999999998</v>
      </c>
      <c r="F12" s="40">
        <v>5.8465600000000002</v>
      </c>
      <c r="G12" s="40">
        <v>0.63350200000000001</v>
      </c>
      <c r="H12" s="40">
        <v>-10.609645</v>
      </c>
      <c r="I12" s="40">
        <v>15.114653000000001</v>
      </c>
      <c r="J12" s="40">
        <v>6.6400766000000004</v>
      </c>
      <c r="K12" s="47">
        <v>-4.0297866000000004</v>
      </c>
      <c r="L12" s="47">
        <v>8.3725690000000004</v>
      </c>
      <c r="M12" s="47">
        <v>-6.5383253000000003</v>
      </c>
      <c r="N12" s="47">
        <v>-9.1848010000000002</v>
      </c>
    </row>
    <row r="13" spans="1:14" x14ac:dyDescent="0.35">
      <c r="A13" s="2">
        <v>42243</v>
      </c>
      <c r="B13" s="40">
        <v>-15.242635999999999</v>
      </c>
      <c r="C13" s="40">
        <v>-24.936653</v>
      </c>
      <c r="D13" s="40">
        <v>-25.237148000000001</v>
      </c>
      <c r="E13" s="40">
        <v>-7.5005949999999997</v>
      </c>
      <c r="F13" s="40">
        <v>4.5084834000000003</v>
      </c>
      <c r="G13" s="40">
        <v>-2.4395346999999998</v>
      </c>
      <c r="H13" s="40">
        <v>-13.751018999999999</v>
      </c>
      <c r="I13" s="40">
        <v>7.2882056000000004</v>
      </c>
      <c r="J13" s="40">
        <v>1.463759</v>
      </c>
      <c r="K13" s="47">
        <v>-6.5433145000000001</v>
      </c>
      <c r="L13" s="47">
        <v>1.2771368000000001</v>
      </c>
      <c r="M13" s="47">
        <v>-8.3438029999999994</v>
      </c>
      <c r="N13" s="47">
        <v>-5.2335260000000003</v>
      </c>
    </row>
    <row r="14" spans="1:14" x14ac:dyDescent="0.35">
      <c r="A14" s="2">
        <v>42272</v>
      </c>
      <c r="B14" s="40">
        <v>-12.495184</v>
      </c>
      <c r="C14" s="40">
        <v>-21.644514000000001</v>
      </c>
      <c r="D14" s="40">
        <v>-23.420439999999999</v>
      </c>
      <c r="E14" s="40">
        <v>-10.318851</v>
      </c>
      <c r="F14" s="40">
        <v>-0.70015190000000005</v>
      </c>
      <c r="G14" s="40">
        <v>-5.4658889999999998</v>
      </c>
      <c r="H14" s="40">
        <v>-12.846577</v>
      </c>
      <c r="I14" s="40">
        <v>6.4388633000000004</v>
      </c>
      <c r="J14" s="40">
        <v>0.21094083999999999</v>
      </c>
      <c r="K14" s="47">
        <v>-6.9287596000000002</v>
      </c>
      <c r="L14" s="47">
        <v>-2.2112370000000001</v>
      </c>
      <c r="M14" s="47">
        <v>-9.2981929999999995</v>
      </c>
      <c r="N14" s="47">
        <v>-6.0093639999999997</v>
      </c>
    </row>
    <row r="15" spans="1:14" x14ac:dyDescent="0.35">
      <c r="A15" s="2">
        <v>42304</v>
      </c>
      <c r="B15" s="40">
        <v>-2.9677389999999999</v>
      </c>
      <c r="C15" s="40">
        <v>-17.070055</v>
      </c>
      <c r="D15" s="40">
        <v>-17.698537999999999</v>
      </c>
      <c r="E15" s="40">
        <v>4.0142775000000004</v>
      </c>
      <c r="F15" s="40">
        <v>11.133862000000001</v>
      </c>
      <c r="G15" s="40">
        <v>2.2267937999999998</v>
      </c>
      <c r="H15" s="40">
        <v>-2.8522253000000002</v>
      </c>
      <c r="I15" s="40">
        <v>15.820492</v>
      </c>
      <c r="J15" s="40">
        <v>7.4543714999999997</v>
      </c>
      <c r="K15" s="47">
        <v>5.5825709999999997</v>
      </c>
      <c r="L15" s="47">
        <v>9.4145179999999993</v>
      </c>
      <c r="M15" s="47">
        <v>-2.014637</v>
      </c>
      <c r="N15" s="47">
        <v>5.3055285999999997</v>
      </c>
    </row>
    <row r="16" spans="1:14" x14ac:dyDescent="0.35">
      <c r="A16" s="2">
        <v>42335</v>
      </c>
      <c r="B16" s="40">
        <v>-7.5551690000000002</v>
      </c>
      <c r="C16" s="40">
        <v>-16.712409999999998</v>
      </c>
      <c r="D16" s="40">
        <v>-23.69265</v>
      </c>
      <c r="E16" s="40">
        <v>-4.3545904000000002</v>
      </c>
      <c r="F16" s="40">
        <v>8.2056280000000008</v>
      </c>
      <c r="G16" s="40">
        <v>-4.9206553</v>
      </c>
      <c r="H16" s="40">
        <v>-7.8596114999999998</v>
      </c>
      <c r="I16" s="40">
        <v>9.5020530000000001</v>
      </c>
      <c r="J16" s="40">
        <v>2.9678464</v>
      </c>
      <c r="K16" s="47">
        <v>-2.4861157</v>
      </c>
      <c r="L16" s="47">
        <v>2.0985602999999999</v>
      </c>
      <c r="M16" s="47">
        <v>-7.7594700000000003</v>
      </c>
      <c r="N16" s="47">
        <v>-1.7036259</v>
      </c>
    </row>
    <row r="17" spans="1:14" x14ac:dyDescent="0.35">
      <c r="A17" s="2">
        <v>42362</v>
      </c>
      <c r="B17" s="40">
        <v>-1.5546441</v>
      </c>
      <c r="C17" s="40">
        <v>-10.891843</v>
      </c>
      <c r="D17" s="40">
        <v>-21.940104999999999</v>
      </c>
      <c r="E17" s="40">
        <v>-3.2483876</v>
      </c>
      <c r="F17" s="40">
        <v>6.8800210000000002</v>
      </c>
      <c r="G17" s="40">
        <v>-0.4926741</v>
      </c>
      <c r="H17" s="40">
        <v>-7.4391069999999999</v>
      </c>
      <c r="I17" s="40">
        <v>9.0517040000000009</v>
      </c>
      <c r="J17" s="40">
        <v>1.054573</v>
      </c>
      <c r="K17" s="47">
        <v>-1.2538731000000001</v>
      </c>
      <c r="L17" s="47">
        <v>0.63580274999999997</v>
      </c>
      <c r="M17" s="47">
        <v>-4.1588599999999998</v>
      </c>
      <c r="N17" s="47">
        <v>2.3598552000000002</v>
      </c>
    </row>
    <row r="18" spans="1:14" x14ac:dyDescent="0.35">
      <c r="A18" s="2">
        <v>42396</v>
      </c>
      <c r="B18" s="40">
        <v>-8.9463825000000003</v>
      </c>
      <c r="C18" s="40">
        <v>-18.657409999999999</v>
      </c>
      <c r="D18" s="40">
        <v>-25.195437999999999</v>
      </c>
      <c r="E18" s="40">
        <v>-12.509668</v>
      </c>
      <c r="F18" s="40">
        <v>-2.2516965999999998</v>
      </c>
      <c r="G18" s="40">
        <v>-9.2152119999999993</v>
      </c>
      <c r="H18" s="40">
        <v>-16.600721</v>
      </c>
      <c r="I18" s="40">
        <v>0.16577243999999999</v>
      </c>
      <c r="J18" s="40">
        <v>-5.2748321999999996</v>
      </c>
      <c r="K18" s="47">
        <v>-8.2695120000000006</v>
      </c>
      <c r="L18" s="47">
        <v>-4.2771397000000002</v>
      </c>
      <c r="M18" s="47">
        <v>-11.509632999999999</v>
      </c>
      <c r="N18" s="47">
        <v>-11.895794</v>
      </c>
    </row>
    <row r="19" spans="1:14" x14ac:dyDescent="0.35">
      <c r="A19" s="2">
        <v>42426</v>
      </c>
      <c r="B19" s="40">
        <v>-6.4319189999999997</v>
      </c>
      <c r="C19" s="40">
        <v>-22.559196</v>
      </c>
      <c r="D19" s="40">
        <v>-20.985185999999999</v>
      </c>
      <c r="E19" s="40">
        <v>-18.659782</v>
      </c>
      <c r="F19" s="40">
        <v>-9.7038379999999993</v>
      </c>
      <c r="G19" s="40">
        <v>-12.5362215</v>
      </c>
      <c r="H19" s="40">
        <v>-19.012111999999998</v>
      </c>
      <c r="I19" s="40">
        <v>-4.0344477000000003</v>
      </c>
      <c r="J19" s="40">
        <v>-5.7858586000000001</v>
      </c>
      <c r="K19" s="47">
        <v>-11.910761000000001</v>
      </c>
      <c r="L19" s="47">
        <v>-9.6478819999999992</v>
      </c>
      <c r="M19" s="47">
        <v>-16.779482000000002</v>
      </c>
      <c r="N19" s="47">
        <v>-21.930800999999999</v>
      </c>
    </row>
    <row r="20" spans="1:14" x14ac:dyDescent="0.35">
      <c r="A20" s="2">
        <v>42453</v>
      </c>
      <c r="B20" s="40">
        <v>-0.41128397</v>
      </c>
      <c r="C20" s="40">
        <v>-16.026323000000001</v>
      </c>
      <c r="D20" s="40">
        <v>-15.196823999999999</v>
      </c>
      <c r="E20" s="40">
        <v>-15.711599</v>
      </c>
      <c r="F20" s="40">
        <v>-10.511613000000001</v>
      </c>
      <c r="G20" s="40">
        <v>-13.005668</v>
      </c>
      <c r="H20" s="40">
        <v>-14.38998</v>
      </c>
      <c r="I20" s="40">
        <v>0.46263933000000002</v>
      </c>
      <c r="J20" s="40">
        <v>-0.63465240000000001</v>
      </c>
      <c r="K20" s="47">
        <v>-9.138287</v>
      </c>
      <c r="L20" s="47">
        <v>-5.6134043</v>
      </c>
      <c r="M20" s="47">
        <v>-13.572376999999999</v>
      </c>
      <c r="N20" s="47">
        <v>-18.100912000000001</v>
      </c>
    </row>
    <row r="21" spans="1:14" x14ac:dyDescent="0.35">
      <c r="A21" s="2">
        <v>42487</v>
      </c>
      <c r="B21" s="40">
        <v>5.4524182999999997</v>
      </c>
      <c r="C21" s="40">
        <v>-13.277751</v>
      </c>
      <c r="D21" s="40">
        <v>-12.193733</v>
      </c>
      <c r="E21" s="40">
        <v>-10.758960999999999</v>
      </c>
      <c r="F21" s="40">
        <v>-7.9878863999999998</v>
      </c>
      <c r="G21" s="40">
        <v>-9.3876779999999993</v>
      </c>
      <c r="H21" s="40">
        <v>-12.212742</v>
      </c>
      <c r="I21" s="40">
        <v>-1.3669312</v>
      </c>
      <c r="J21" s="40">
        <v>1.4655471</v>
      </c>
      <c r="K21" s="47">
        <v>-6.8120536999999999</v>
      </c>
      <c r="L21" s="47">
        <v>-4.9890460000000001</v>
      </c>
      <c r="M21" s="47">
        <v>-9.0142430000000004</v>
      </c>
      <c r="N21" s="47">
        <v>-16.126543000000002</v>
      </c>
    </row>
    <row r="22" spans="1:14" x14ac:dyDescent="0.35">
      <c r="A22" s="2">
        <v>42517</v>
      </c>
      <c r="B22" s="40">
        <v>12.448978</v>
      </c>
      <c r="C22" s="40">
        <v>-9.4662074999999994</v>
      </c>
      <c r="D22" s="40">
        <v>-9.5961630000000007</v>
      </c>
      <c r="E22" s="40">
        <v>-11.028528</v>
      </c>
      <c r="F22" s="40">
        <v>-10.306263</v>
      </c>
      <c r="G22" s="40">
        <v>-10.926437</v>
      </c>
      <c r="H22" s="40">
        <v>-12.646228000000001</v>
      </c>
      <c r="I22" s="40">
        <v>0.33400059999999998</v>
      </c>
      <c r="J22" s="40">
        <v>0.97230669999999997</v>
      </c>
      <c r="K22" s="47">
        <v>-8.0110969999999995</v>
      </c>
      <c r="L22" s="47">
        <v>-4.9966280000000003</v>
      </c>
      <c r="M22" s="47">
        <v>-10.385376000000001</v>
      </c>
      <c r="N22" s="47">
        <v>-20.105522000000001</v>
      </c>
    </row>
    <row r="23" spans="1:14" x14ac:dyDescent="0.35">
      <c r="A23" s="2">
        <v>42548</v>
      </c>
      <c r="B23" s="40">
        <v>20.310616</v>
      </c>
      <c r="C23" s="40">
        <v>-10.726165999999999</v>
      </c>
      <c r="D23" s="40">
        <v>-12.346850999999999</v>
      </c>
      <c r="E23" s="40">
        <v>-19.846546</v>
      </c>
      <c r="F23" s="40">
        <v>-12.444359</v>
      </c>
      <c r="G23" s="40">
        <v>-14.847792</v>
      </c>
      <c r="H23" s="40">
        <v>-22.637754000000001</v>
      </c>
      <c r="I23" s="40">
        <v>-5.3963064999999997</v>
      </c>
      <c r="J23" s="40">
        <v>-2.7895093000000002</v>
      </c>
      <c r="K23" s="47">
        <v>-18.800896000000002</v>
      </c>
      <c r="L23" s="47">
        <v>-17.246914</v>
      </c>
      <c r="M23" s="47">
        <v>-19.83239</v>
      </c>
      <c r="N23" s="47">
        <v>-34.233890000000002</v>
      </c>
    </row>
    <row r="24" spans="1:14" x14ac:dyDescent="0.35">
      <c r="A24" s="2">
        <v>42578</v>
      </c>
      <c r="B24" s="40">
        <v>35.789036000000003</v>
      </c>
      <c r="C24" s="40">
        <v>5.6386950000000002</v>
      </c>
      <c r="D24" s="40">
        <v>2.9886127</v>
      </c>
      <c r="E24" s="40">
        <v>-7.2152557000000002</v>
      </c>
      <c r="F24" s="40">
        <v>-5.2678466000000004</v>
      </c>
      <c r="G24" s="40">
        <v>-7.7399015000000002</v>
      </c>
      <c r="H24" s="40">
        <v>-9.2273949999999996</v>
      </c>
      <c r="I24" s="40">
        <v>5.1669239999999999</v>
      </c>
      <c r="J24" s="40">
        <v>6.9961190000000002</v>
      </c>
      <c r="K24" s="47">
        <v>-7.0614815000000002</v>
      </c>
      <c r="L24" s="47">
        <v>-6.7259789999999997</v>
      </c>
      <c r="M24" s="47">
        <v>-8.6802659999999996</v>
      </c>
      <c r="N24" s="47">
        <v>-24.344795000000001</v>
      </c>
    </row>
    <row r="25" spans="1:14" x14ac:dyDescent="0.35">
      <c r="A25" s="2">
        <v>42608</v>
      </c>
      <c r="B25" s="40">
        <v>49.413905999999997</v>
      </c>
      <c r="C25" s="40">
        <v>14.133929999999999</v>
      </c>
      <c r="D25" s="40">
        <v>12.731624</v>
      </c>
      <c r="E25" s="40">
        <v>1.1534572000000001</v>
      </c>
      <c r="F25" s="40">
        <v>3.1307936000000001</v>
      </c>
      <c r="G25" s="40">
        <v>-3.2033502999999999</v>
      </c>
      <c r="H25" s="40">
        <v>-1.7695725</v>
      </c>
      <c r="I25" s="40">
        <v>14.6246195</v>
      </c>
      <c r="J25" s="40">
        <v>14.184963</v>
      </c>
      <c r="K25" s="47">
        <v>-1.7810463999999999</v>
      </c>
      <c r="L25" s="47">
        <v>3.0100226000000001</v>
      </c>
      <c r="M25" s="47">
        <v>-6.7442656000000004E-2</v>
      </c>
      <c r="N25" s="47">
        <v>-22.212952000000001</v>
      </c>
    </row>
    <row r="26" spans="1:14" x14ac:dyDescent="0.35">
      <c r="A26" s="2">
        <v>42640</v>
      </c>
      <c r="B26" s="40">
        <v>46.662950000000002</v>
      </c>
      <c r="C26" s="40">
        <v>20.185994999999998</v>
      </c>
      <c r="D26" s="40">
        <v>11.458646999999999</v>
      </c>
      <c r="E26" s="40">
        <v>7.6136710000000001</v>
      </c>
      <c r="F26" s="40">
        <v>10.796785</v>
      </c>
      <c r="G26" s="40">
        <v>4.6409845000000001</v>
      </c>
      <c r="H26" s="40">
        <v>-0.43895244999999999</v>
      </c>
      <c r="I26" s="40">
        <v>16.441524999999999</v>
      </c>
      <c r="J26" s="40">
        <v>14.202297</v>
      </c>
      <c r="K26" s="47">
        <v>2.4798393000000001</v>
      </c>
      <c r="L26" s="47">
        <v>8.2465290000000007</v>
      </c>
      <c r="M26" s="47">
        <v>4.5233129999999999</v>
      </c>
      <c r="N26" s="47">
        <v>-21.194224999999999</v>
      </c>
    </row>
    <row r="27" spans="1:14" x14ac:dyDescent="0.35">
      <c r="A27" s="2">
        <v>42670</v>
      </c>
      <c r="B27" s="40">
        <v>20.643974</v>
      </c>
      <c r="C27" s="40">
        <v>8.0361250000000002</v>
      </c>
      <c r="D27" s="40">
        <v>9.1822149999999993</v>
      </c>
      <c r="E27" s="40">
        <v>-1.8680631999999999</v>
      </c>
      <c r="F27" s="40">
        <v>3.1648160000000001</v>
      </c>
      <c r="G27" s="40">
        <v>-5.5819929999999998</v>
      </c>
      <c r="H27" s="40">
        <v>-9.9887905000000003</v>
      </c>
      <c r="I27" s="40">
        <v>5.3892373999999998</v>
      </c>
      <c r="J27" s="40">
        <v>5.4148674000000003</v>
      </c>
      <c r="K27" s="47">
        <v>-4.6307507000000001</v>
      </c>
      <c r="L27" s="47">
        <v>-0.3020525</v>
      </c>
      <c r="M27" s="47">
        <v>-3.9819121000000002</v>
      </c>
      <c r="N27" s="47">
        <v>-21.223306999999998</v>
      </c>
    </row>
    <row r="28" spans="1:14" x14ac:dyDescent="0.35">
      <c r="A28" s="2">
        <v>42699</v>
      </c>
      <c r="B28" s="40">
        <v>22.404395999999998</v>
      </c>
      <c r="C28" s="40">
        <v>13.336563</v>
      </c>
      <c r="D28" s="40">
        <v>13.768482000000001</v>
      </c>
      <c r="E28" s="40">
        <v>-4.8837422999999998</v>
      </c>
      <c r="F28" s="40">
        <v>0.1711607</v>
      </c>
      <c r="G28" s="40">
        <v>-5.1581619999999999</v>
      </c>
      <c r="H28" s="40">
        <v>-7.8124760000000002</v>
      </c>
      <c r="I28" s="40">
        <v>5.2518845000000001</v>
      </c>
      <c r="J28" s="40">
        <v>8.1205730000000003</v>
      </c>
      <c r="K28" s="47">
        <v>-3.52996</v>
      </c>
      <c r="L28" s="47">
        <v>-2.0626128000000001</v>
      </c>
      <c r="M28" s="47">
        <v>-2.8994620000000002</v>
      </c>
      <c r="N28" s="47">
        <v>-22.720772</v>
      </c>
    </row>
    <row r="29" spans="1:14" x14ac:dyDescent="0.35">
      <c r="A29" s="2">
        <v>42731</v>
      </c>
      <c r="B29" s="40">
        <v>11.390961000000001</v>
      </c>
      <c r="C29" s="40">
        <v>11.968565</v>
      </c>
      <c r="D29" s="40">
        <v>20.744205000000001</v>
      </c>
      <c r="E29" s="40">
        <v>0.82051753999999999</v>
      </c>
      <c r="F29" s="40">
        <v>4.0160418</v>
      </c>
      <c r="G29" s="40">
        <v>-4.3989599999999998</v>
      </c>
      <c r="H29" s="40">
        <v>-3.5293877</v>
      </c>
      <c r="I29" s="40">
        <v>8.5085029999999993</v>
      </c>
      <c r="J29" s="40">
        <v>12.376511000000001</v>
      </c>
      <c r="K29" s="47">
        <v>2.3847342</v>
      </c>
      <c r="L29" s="47">
        <v>2.2011042000000001</v>
      </c>
      <c r="M29" s="47">
        <v>-4.5180320000000003E-2</v>
      </c>
      <c r="N29" s="47">
        <v>-10.714406</v>
      </c>
    </row>
    <row r="30" spans="1:14" x14ac:dyDescent="0.35">
      <c r="A30" s="2">
        <v>42762</v>
      </c>
      <c r="B30" s="40">
        <v>32.269108000000003</v>
      </c>
      <c r="C30" s="40">
        <v>30.390549</v>
      </c>
      <c r="D30" s="40">
        <v>38.340029999999999</v>
      </c>
      <c r="E30" s="40">
        <v>17.332339999999999</v>
      </c>
      <c r="F30" s="40">
        <v>15.598226</v>
      </c>
      <c r="G30" s="40">
        <v>9.2733270000000001</v>
      </c>
      <c r="H30" s="40">
        <v>10.536956999999999</v>
      </c>
      <c r="I30" s="40">
        <v>26.471817000000001</v>
      </c>
      <c r="J30" s="40">
        <v>24.325752000000001</v>
      </c>
      <c r="K30" s="47">
        <v>13.413107</v>
      </c>
      <c r="L30" s="47">
        <v>12.233817999999999</v>
      </c>
      <c r="M30" s="47">
        <v>14.757895</v>
      </c>
      <c r="N30" s="47">
        <v>4.9610734000000001</v>
      </c>
    </row>
    <row r="31" spans="1:14" x14ac:dyDescent="0.35">
      <c r="A31" s="2">
        <v>42793</v>
      </c>
      <c r="B31" s="40">
        <v>22.470879</v>
      </c>
      <c r="C31" s="40">
        <v>32.780360000000002</v>
      </c>
      <c r="D31" s="40">
        <v>27.875126000000002</v>
      </c>
      <c r="E31" s="40">
        <v>19.448830000000001</v>
      </c>
      <c r="F31" s="40">
        <v>18.387688000000001</v>
      </c>
      <c r="G31" s="40">
        <v>11.400676000000001</v>
      </c>
      <c r="H31" s="40">
        <v>11.411535000000001</v>
      </c>
      <c r="I31" s="40">
        <v>27.503596999999999</v>
      </c>
      <c r="J31" s="40">
        <v>24.153019</v>
      </c>
      <c r="K31" s="47">
        <v>12.626541</v>
      </c>
      <c r="L31" s="47">
        <v>15.094303999999999</v>
      </c>
      <c r="M31" s="47">
        <v>14.129173</v>
      </c>
      <c r="N31" s="47">
        <v>8.5204599999999999</v>
      </c>
    </row>
    <row r="32" spans="1:14" x14ac:dyDescent="0.35">
      <c r="A32" s="2">
        <v>42821</v>
      </c>
      <c r="B32" s="40">
        <v>10.8447075</v>
      </c>
      <c r="C32" s="40">
        <v>20.049631000000002</v>
      </c>
      <c r="D32" s="40">
        <v>17.364597</v>
      </c>
      <c r="E32" s="40">
        <v>16.509867</v>
      </c>
      <c r="F32" s="40">
        <v>16.57573</v>
      </c>
      <c r="G32" s="40">
        <v>13.576544</v>
      </c>
      <c r="H32" s="40">
        <v>9.7930320000000002</v>
      </c>
      <c r="I32" s="40">
        <v>23.238695</v>
      </c>
      <c r="J32" s="40">
        <v>17.398368999999999</v>
      </c>
      <c r="K32" s="47">
        <v>15.07119</v>
      </c>
      <c r="L32" s="47">
        <v>14.731741</v>
      </c>
      <c r="M32" s="47">
        <v>15.258848</v>
      </c>
      <c r="N32" s="47">
        <v>10.446417</v>
      </c>
    </row>
    <row r="33" spans="1:14" x14ac:dyDescent="0.35">
      <c r="A33" s="2">
        <v>42852</v>
      </c>
      <c r="B33" s="40">
        <v>8.9546320000000001</v>
      </c>
      <c r="C33" s="40">
        <v>17.743777999999999</v>
      </c>
      <c r="D33" s="40">
        <v>5.9654354999999999</v>
      </c>
      <c r="E33" s="40">
        <v>14.420069</v>
      </c>
      <c r="F33" s="40">
        <v>10.065306</v>
      </c>
      <c r="G33" s="40">
        <v>11.481643</v>
      </c>
      <c r="H33" s="40">
        <v>5.2492976000000002</v>
      </c>
      <c r="I33" s="40">
        <v>27.483104999999998</v>
      </c>
      <c r="J33" s="40">
        <v>16.332806000000001</v>
      </c>
      <c r="K33" s="47">
        <v>14.923285999999999</v>
      </c>
      <c r="L33" s="47">
        <v>15.787993999999999</v>
      </c>
      <c r="M33" s="47">
        <v>12.293601000000001</v>
      </c>
      <c r="N33" s="47">
        <v>8.8113899999999994</v>
      </c>
    </row>
    <row r="34" spans="1:14" x14ac:dyDescent="0.35">
      <c r="A34" s="2">
        <v>42881</v>
      </c>
      <c r="B34" s="40">
        <v>12.167358</v>
      </c>
      <c r="C34" s="40">
        <v>15.362465</v>
      </c>
      <c r="D34" s="40">
        <v>8.6000440000000005</v>
      </c>
      <c r="E34" s="40">
        <v>20.970189999999999</v>
      </c>
      <c r="F34" s="40">
        <v>15.581142</v>
      </c>
      <c r="G34" s="40">
        <v>16.371845</v>
      </c>
      <c r="H34" s="40">
        <v>8.7434180000000001</v>
      </c>
      <c r="I34" s="40">
        <v>30.223274</v>
      </c>
      <c r="J34" s="40">
        <v>17.854773999999999</v>
      </c>
      <c r="K34" s="47">
        <v>21.672153000000002</v>
      </c>
      <c r="L34" s="47">
        <v>21.035803000000001</v>
      </c>
      <c r="M34" s="47">
        <v>18.985199000000001</v>
      </c>
      <c r="N34" s="47">
        <v>19.481743000000002</v>
      </c>
    </row>
    <row r="35" spans="1:14" x14ac:dyDescent="0.35">
      <c r="A35" s="2">
        <v>42913</v>
      </c>
      <c r="B35" s="40">
        <v>18.328057999999999</v>
      </c>
      <c r="C35" s="40">
        <v>21.791304</v>
      </c>
      <c r="D35" s="40">
        <v>14.421044999999999</v>
      </c>
      <c r="E35" s="40">
        <v>36.199190000000002</v>
      </c>
      <c r="F35" s="40">
        <v>21.34552</v>
      </c>
      <c r="G35" s="40">
        <v>26.095032</v>
      </c>
      <c r="H35" s="40">
        <v>22.886489999999998</v>
      </c>
      <c r="I35" s="40">
        <v>36.427677000000003</v>
      </c>
      <c r="J35" s="40">
        <v>23.36899</v>
      </c>
      <c r="K35" s="47">
        <v>38.608013</v>
      </c>
      <c r="L35" s="47">
        <v>37.131965999999998</v>
      </c>
      <c r="M35" s="47">
        <v>34.406672999999998</v>
      </c>
      <c r="N35" s="47">
        <v>41.166747999999998</v>
      </c>
    </row>
    <row r="36" spans="1:14" x14ac:dyDescent="0.35">
      <c r="A36" s="2">
        <v>42943</v>
      </c>
      <c r="B36" s="40">
        <v>10.290074000000001</v>
      </c>
      <c r="C36" s="40">
        <v>16.272580999999999</v>
      </c>
      <c r="D36" s="40">
        <v>13.341832</v>
      </c>
      <c r="E36" s="40">
        <v>23.185217000000002</v>
      </c>
      <c r="F36" s="40">
        <v>16.904973999999999</v>
      </c>
      <c r="G36" s="40">
        <v>17.691075999999999</v>
      </c>
      <c r="H36" s="40">
        <v>13.03401</v>
      </c>
      <c r="I36" s="40">
        <v>26.939833</v>
      </c>
      <c r="J36" s="40">
        <v>16.49456</v>
      </c>
      <c r="K36" s="47">
        <v>27.370166999999999</v>
      </c>
      <c r="L36" s="47">
        <v>31.407297</v>
      </c>
      <c r="M36" s="47">
        <v>25.076568999999999</v>
      </c>
      <c r="N36" s="47">
        <v>37.695979999999999</v>
      </c>
    </row>
    <row r="37" spans="1:14" x14ac:dyDescent="0.35">
      <c r="A37" s="2">
        <v>42972</v>
      </c>
      <c r="B37" s="40">
        <v>4.4968367000000002</v>
      </c>
      <c r="C37" s="40">
        <v>13.696574999999999</v>
      </c>
      <c r="D37" s="40">
        <v>9.878838</v>
      </c>
      <c r="E37" s="40">
        <v>20.419167999999999</v>
      </c>
      <c r="F37" s="40">
        <v>12.412394000000001</v>
      </c>
      <c r="G37" s="40">
        <v>15.485716</v>
      </c>
      <c r="H37" s="40">
        <v>9.5300309999999993</v>
      </c>
      <c r="I37" s="40">
        <v>23.00582</v>
      </c>
      <c r="J37" s="40">
        <v>14.625764</v>
      </c>
      <c r="K37" s="47">
        <v>26.977957</v>
      </c>
      <c r="L37" s="47">
        <v>27.1675</v>
      </c>
      <c r="M37" s="47">
        <v>22.121870000000001</v>
      </c>
      <c r="N37" s="47">
        <v>38.812385999999996</v>
      </c>
    </row>
    <row r="38" spans="1:14" x14ac:dyDescent="0.35">
      <c r="A38" s="2">
        <v>43005</v>
      </c>
      <c r="B38" s="40">
        <v>7.8588842999999997</v>
      </c>
      <c r="C38" s="40">
        <v>13.279379</v>
      </c>
      <c r="D38" s="40">
        <v>16.593371999999999</v>
      </c>
      <c r="E38" s="40">
        <v>25.169325000000001</v>
      </c>
      <c r="F38" s="40">
        <v>11.830271</v>
      </c>
      <c r="G38" s="40">
        <v>15.264462999999999</v>
      </c>
      <c r="H38" s="40">
        <v>14.236283</v>
      </c>
      <c r="I38" s="40">
        <v>23.128712</v>
      </c>
      <c r="J38" s="40">
        <v>18.343174000000001</v>
      </c>
      <c r="K38" s="47">
        <v>29.996693</v>
      </c>
      <c r="L38" s="47">
        <v>28.131819</v>
      </c>
      <c r="M38" s="47">
        <v>25.844456000000001</v>
      </c>
      <c r="N38" s="47">
        <v>47.408819999999999</v>
      </c>
    </row>
    <row r="39" spans="1:14" x14ac:dyDescent="0.35">
      <c r="A39" s="2">
        <v>43035</v>
      </c>
      <c r="B39" s="40">
        <v>12.532436000000001</v>
      </c>
      <c r="C39" s="40">
        <v>18.086672</v>
      </c>
      <c r="D39" s="40">
        <v>15.085101</v>
      </c>
      <c r="E39" s="40">
        <v>29.415057999999998</v>
      </c>
      <c r="F39" s="40">
        <v>18.027664000000001</v>
      </c>
      <c r="G39" s="40">
        <v>20.225037</v>
      </c>
      <c r="H39" s="40">
        <v>19.670057</v>
      </c>
      <c r="I39" s="40">
        <v>29.629539999999999</v>
      </c>
      <c r="J39" s="40">
        <v>23.341691999999998</v>
      </c>
      <c r="K39" s="47">
        <v>33.278239999999997</v>
      </c>
      <c r="L39" s="47">
        <v>32.305370000000003</v>
      </c>
      <c r="M39" s="47">
        <v>31.282055</v>
      </c>
      <c r="N39" s="47">
        <v>38.689210000000003</v>
      </c>
    </row>
    <row r="40" spans="1:14" x14ac:dyDescent="0.35">
      <c r="A40" s="2">
        <v>43066</v>
      </c>
      <c r="B40" s="40">
        <v>14.672351000000001</v>
      </c>
      <c r="C40" s="40">
        <v>15.006435</v>
      </c>
      <c r="D40" s="40">
        <v>14.738250000000001</v>
      </c>
      <c r="E40" s="40">
        <v>35.268771999999998</v>
      </c>
      <c r="F40" s="40">
        <v>23.016643999999999</v>
      </c>
      <c r="G40" s="40">
        <v>25.224125000000001</v>
      </c>
      <c r="H40" s="40">
        <v>18.956125</v>
      </c>
      <c r="I40" s="40">
        <v>32.790447</v>
      </c>
      <c r="J40" s="40">
        <v>19.853043</v>
      </c>
      <c r="K40" s="47">
        <v>36.781345000000002</v>
      </c>
      <c r="L40" s="47">
        <v>36.534072999999999</v>
      </c>
      <c r="M40" s="47">
        <v>28.064156000000001</v>
      </c>
      <c r="N40" s="47">
        <v>48.709392999999999</v>
      </c>
    </row>
    <row r="41" spans="1:14" x14ac:dyDescent="0.35">
      <c r="A41" s="2">
        <v>43096</v>
      </c>
      <c r="B41" s="40">
        <v>24.242794</v>
      </c>
      <c r="C41" s="40">
        <v>20.053280000000001</v>
      </c>
      <c r="D41" s="40">
        <v>15.081286</v>
      </c>
      <c r="E41" s="40">
        <v>28.647793</v>
      </c>
      <c r="F41" s="40">
        <v>22.852575000000002</v>
      </c>
      <c r="G41" s="40">
        <v>23.543441999999999</v>
      </c>
      <c r="H41" s="40">
        <v>21.354914000000001</v>
      </c>
      <c r="I41" s="40">
        <v>30.746603</v>
      </c>
      <c r="J41" s="40">
        <v>20.433855000000001</v>
      </c>
      <c r="K41" s="47">
        <v>30.280101999999999</v>
      </c>
      <c r="L41" s="47">
        <v>33.814537000000001</v>
      </c>
      <c r="M41" s="47">
        <v>22.811758000000001</v>
      </c>
      <c r="N41" s="47">
        <v>29.540061999999999</v>
      </c>
    </row>
    <row r="42" spans="1:14" x14ac:dyDescent="0.35">
      <c r="A42" s="2">
        <v>43126</v>
      </c>
      <c r="B42" s="40">
        <v>17.491758000000001</v>
      </c>
      <c r="C42" s="40">
        <v>18.307507000000001</v>
      </c>
      <c r="D42" s="40">
        <v>12.710535</v>
      </c>
      <c r="E42" s="40">
        <v>30.754470000000001</v>
      </c>
      <c r="F42" s="40">
        <v>27.849174000000001</v>
      </c>
      <c r="G42" s="40">
        <v>25.519107999999999</v>
      </c>
      <c r="H42" s="40">
        <v>24.759626000000001</v>
      </c>
      <c r="I42" s="40">
        <v>37.376021999999999</v>
      </c>
      <c r="J42" s="40">
        <v>27.388168</v>
      </c>
      <c r="K42" s="47">
        <v>36.68573</v>
      </c>
      <c r="L42" s="47">
        <v>39.839911999999998</v>
      </c>
      <c r="M42" s="47">
        <v>23.974250000000001</v>
      </c>
      <c r="N42" s="47">
        <v>44.272922999999999</v>
      </c>
    </row>
    <row r="43" spans="1:14" x14ac:dyDescent="0.35">
      <c r="A43" s="2">
        <v>43158</v>
      </c>
      <c r="B43" s="40">
        <v>18.291069</v>
      </c>
      <c r="C43" s="40">
        <v>9.6518754999999992</v>
      </c>
      <c r="D43" s="40">
        <v>6.4757942999999996</v>
      </c>
      <c r="E43" s="40">
        <v>21.073972999999999</v>
      </c>
      <c r="F43" s="40">
        <v>21.538865999999999</v>
      </c>
      <c r="G43" s="40">
        <v>16.95553</v>
      </c>
      <c r="H43" s="40">
        <v>14.631520999999999</v>
      </c>
      <c r="I43" s="40">
        <v>30.214119</v>
      </c>
      <c r="J43" s="40">
        <v>17.984735000000001</v>
      </c>
      <c r="K43" s="47">
        <v>30.477692000000001</v>
      </c>
      <c r="L43" s="47">
        <v>28.148197</v>
      </c>
      <c r="M43" s="47">
        <v>17.333973</v>
      </c>
      <c r="N43" s="47">
        <v>38.239265000000003</v>
      </c>
    </row>
    <row r="44" spans="1:14" x14ac:dyDescent="0.35">
      <c r="A44" s="2">
        <v>43186</v>
      </c>
      <c r="B44" s="40">
        <v>22.828472000000001</v>
      </c>
      <c r="C44" s="40">
        <v>3.1092404999999999</v>
      </c>
      <c r="D44" s="40">
        <v>4.2642354999999998</v>
      </c>
      <c r="E44" s="40">
        <v>12.810969</v>
      </c>
      <c r="F44" s="40">
        <v>15.667128999999999</v>
      </c>
      <c r="G44" s="40">
        <v>7.3336959999999998</v>
      </c>
      <c r="H44" s="40">
        <v>10.003352</v>
      </c>
      <c r="I44" s="40">
        <v>22.640514</v>
      </c>
      <c r="J44" s="40">
        <v>13.67197</v>
      </c>
      <c r="K44" s="47">
        <v>19.147252999999999</v>
      </c>
      <c r="L44" s="47">
        <v>19.060563999999999</v>
      </c>
      <c r="M44" s="47">
        <v>7.600212</v>
      </c>
      <c r="N44" s="47">
        <v>25.204039000000002</v>
      </c>
    </row>
    <row r="45" spans="1:14" x14ac:dyDescent="0.35">
      <c r="A45" s="2">
        <v>43217</v>
      </c>
      <c r="B45" s="40">
        <v>17.193449000000001</v>
      </c>
      <c r="C45" s="40">
        <v>4.6216606999999996</v>
      </c>
      <c r="D45" s="40">
        <v>9.9081880000000009</v>
      </c>
      <c r="E45" s="40">
        <v>12.470091</v>
      </c>
      <c r="F45" s="40">
        <v>18.175816000000001</v>
      </c>
      <c r="G45" s="40">
        <v>4.7405242999999997</v>
      </c>
      <c r="H45" s="40">
        <v>13.993299499999999</v>
      </c>
      <c r="I45" s="40">
        <v>20.441268999999998</v>
      </c>
      <c r="J45" s="40">
        <v>13.844894999999999</v>
      </c>
      <c r="K45" s="47">
        <v>19.372236000000001</v>
      </c>
      <c r="L45" s="47">
        <v>17.284465999999998</v>
      </c>
      <c r="M45" s="47">
        <v>4.4814587000000001</v>
      </c>
      <c r="N45" s="47">
        <v>30.374468</v>
      </c>
    </row>
    <row r="46" spans="1:14" x14ac:dyDescent="0.35">
      <c r="A46" s="2">
        <v>43245</v>
      </c>
      <c r="B46" s="40">
        <v>13.247908000000001</v>
      </c>
      <c r="C46" s="40">
        <v>8.508146</v>
      </c>
      <c r="D46" s="40">
        <v>11.625147</v>
      </c>
      <c r="E46" s="40">
        <v>6.2983035999999997</v>
      </c>
      <c r="F46" s="40">
        <v>14.624357</v>
      </c>
      <c r="G46" s="40">
        <v>-0.52510500000000004</v>
      </c>
      <c r="H46" s="40">
        <v>8.5830330000000004</v>
      </c>
      <c r="I46" s="40">
        <v>21.440971000000001</v>
      </c>
      <c r="J46" s="40">
        <v>14.713049</v>
      </c>
      <c r="K46" s="47">
        <v>11.922872999999999</v>
      </c>
      <c r="L46" s="47">
        <v>10.003435</v>
      </c>
      <c r="M46" s="47">
        <v>0.93491080000000004</v>
      </c>
      <c r="N46" s="47">
        <v>10.0389</v>
      </c>
    </row>
    <row r="47" spans="1:14" x14ac:dyDescent="0.35">
      <c r="A47" s="2">
        <v>43278</v>
      </c>
      <c r="B47" s="40">
        <v>9.9586120000000005</v>
      </c>
      <c r="C47" s="40">
        <v>8.7803360000000001</v>
      </c>
      <c r="D47" s="40">
        <v>7.5468183</v>
      </c>
      <c r="E47" s="40">
        <v>-0.48002600000000001</v>
      </c>
      <c r="F47" s="40">
        <v>9.4966170000000005</v>
      </c>
      <c r="G47" s="40">
        <v>-5.1315840000000001</v>
      </c>
      <c r="H47" s="40">
        <v>7.7408910000000004</v>
      </c>
      <c r="I47" s="40">
        <v>23.961279999999999</v>
      </c>
      <c r="J47" s="40">
        <v>13.691960999999999</v>
      </c>
      <c r="K47" s="47">
        <v>6.3838840000000001</v>
      </c>
      <c r="L47" s="47">
        <v>6.1417580000000003</v>
      </c>
      <c r="M47" s="47">
        <v>-5.1408950000000004</v>
      </c>
      <c r="N47" s="47">
        <v>6.2116385000000003</v>
      </c>
    </row>
    <row r="48" spans="1:14" x14ac:dyDescent="0.35">
      <c r="A48" s="2">
        <v>43308</v>
      </c>
      <c r="B48" s="40">
        <v>5.4708360000000003</v>
      </c>
      <c r="C48" s="40">
        <v>4.8335670000000004</v>
      </c>
      <c r="D48" s="40">
        <v>6.7534923999999998</v>
      </c>
      <c r="E48" s="40">
        <v>4.9911620000000001</v>
      </c>
      <c r="F48" s="40">
        <v>10.798883</v>
      </c>
      <c r="G48" s="40">
        <v>2.8054475999999999</v>
      </c>
      <c r="H48" s="40">
        <v>6.7061185999999999</v>
      </c>
      <c r="I48" s="40">
        <v>24.380123000000001</v>
      </c>
      <c r="J48" s="40">
        <v>15.965985999999999</v>
      </c>
      <c r="K48" s="47">
        <v>9.2999220000000005</v>
      </c>
      <c r="L48" s="47">
        <v>6.0448766000000003</v>
      </c>
      <c r="M48" s="47">
        <v>-0.59842470000000003</v>
      </c>
      <c r="N48" s="47">
        <v>2.7049303</v>
      </c>
    </row>
    <row r="49" spans="1:14" x14ac:dyDescent="0.35">
      <c r="A49" s="2">
        <v>43339</v>
      </c>
      <c r="B49" s="40">
        <v>8.1376915000000007</v>
      </c>
      <c r="C49" s="40">
        <v>4.6504617000000001</v>
      </c>
      <c r="D49" s="40">
        <v>7.9772115000000001</v>
      </c>
      <c r="E49" s="40">
        <v>1.9464135</v>
      </c>
      <c r="F49" s="40">
        <v>9.148085</v>
      </c>
      <c r="G49" s="40">
        <v>4.0001749999999996</v>
      </c>
      <c r="H49" s="40">
        <v>6.4254045</v>
      </c>
      <c r="I49" s="40">
        <v>30.895256</v>
      </c>
      <c r="J49" s="40">
        <v>20.699942</v>
      </c>
      <c r="K49" s="47">
        <v>8.8702919999999992</v>
      </c>
      <c r="L49" s="47">
        <v>5.0014972999999996</v>
      </c>
      <c r="M49" s="47">
        <v>-1.3868868000000001</v>
      </c>
      <c r="N49" s="47">
        <v>-4.4668200000000002</v>
      </c>
    </row>
    <row r="50" spans="1:14" x14ac:dyDescent="0.35">
      <c r="A50" s="2">
        <v>43370</v>
      </c>
      <c r="B50" s="40">
        <v>6.7157390000000001</v>
      </c>
      <c r="C50" s="40">
        <v>3.2066344999999998</v>
      </c>
      <c r="D50" s="40">
        <v>1.8724084000000001</v>
      </c>
      <c r="E50" s="40">
        <v>-2.3881614</v>
      </c>
      <c r="F50" s="40">
        <v>10.007488</v>
      </c>
      <c r="G50" s="40">
        <v>3.4263252999999998</v>
      </c>
      <c r="H50" s="40">
        <v>3.981042</v>
      </c>
      <c r="I50" s="40">
        <v>29.626930000000002</v>
      </c>
      <c r="J50" s="40">
        <v>18.370570000000001</v>
      </c>
      <c r="K50" s="47">
        <v>6.4993499999999997</v>
      </c>
      <c r="L50" s="47">
        <v>0.97689630000000005</v>
      </c>
      <c r="M50" s="47">
        <v>-0.76878667000000001</v>
      </c>
      <c r="N50" s="47">
        <v>-4.6077070000000004</v>
      </c>
    </row>
    <row r="51" spans="1:14" x14ac:dyDescent="0.35">
      <c r="A51" s="2">
        <v>43399</v>
      </c>
      <c r="B51" s="40">
        <v>0.57024956000000004</v>
      </c>
      <c r="C51" s="40">
        <v>-8.1027389999999997</v>
      </c>
      <c r="D51" s="40">
        <v>-6.4311084999999997</v>
      </c>
      <c r="E51" s="40">
        <v>-15.889203999999999</v>
      </c>
      <c r="F51" s="40">
        <v>-5.5586042000000004</v>
      </c>
      <c r="G51" s="40">
        <v>-3.5609185999999999</v>
      </c>
      <c r="H51" s="40">
        <v>-6.073099</v>
      </c>
      <c r="I51" s="40">
        <v>14.277113</v>
      </c>
      <c r="J51" s="40">
        <v>5.6895255999999996</v>
      </c>
      <c r="K51" s="47">
        <v>-7.8504560000000003</v>
      </c>
      <c r="L51" s="47">
        <v>-11.246103</v>
      </c>
      <c r="M51" s="47">
        <v>-14.568156</v>
      </c>
      <c r="N51" s="47">
        <v>-16.736746</v>
      </c>
    </row>
    <row r="52" spans="1:14" x14ac:dyDescent="0.35">
      <c r="A52" s="2">
        <v>43431</v>
      </c>
      <c r="B52" s="40">
        <v>5.3736090000000001</v>
      </c>
      <c r="C52" s="40">
        <v>-4.8225699999999998</v>
      </c>
      <c r="D52" s="40">
        <v>-8.4527070000000002</v>
      </c>
      <c r="E52" s="40">
        <v>-16.733222999999999</v>
      </c>
      <c r="F52" s="40">
        <v>-7.077032</v>
      </c>
      <c r="G52" s="40">
        <v>-3.4807860000000002</v>
      </c>
      <c r="H52" s="40">
        <v>-5.3499936999999997</v>
      </c>
      <c r="I52" s="40">
        <v>5.4465054999999998</v>
      </c>
      <c r="J52" s="40">
        <v>5.0184607999999997</v>
      </c>
      <c r="K52" s="47">
        <v>-8.7857719999999997</v>
      </c>
      <c r="L52" s="47">
        <v>-8.4850019999999997</v>
      </c>
      <c r="M52" s="47">
        <v>-12.180173999999999</v>
      </c>
      <c r="N52" s="47">
        <v>-15.586734</v>
      </c>
    </row>
    <row r="53" spans="1:14" x14ac:dyDescent="0.35">
      <c r="A53" s="2">
        <v>43461</v>
      </c>
      <c r="B53" s="40">
        <v>1.6754746</v>
      </c>
      <c r="C53" s="40">
        <v>-12.361478999999999</v>
      </c>
      <c r="D53" s="40">
        <v>-17.296154000000001</v>
      </c>
      <c r="E53" s="40">
        <v>-22.741603999999999</v>
      </c>
      <c r="F53" s="40">
        <v>-14.086598</v>
      </c>
      <c r="G53" s="40">
        <v>-10.530371000000001</v>
      </c>
      <c r="H53" s="40">
        <v>-14.442086</v>
      </c>
      <c r="I53" s="40">
        <v>-1.3935506</v>
      </c>
      <c r="J53" s="40">
        <v>-5.4266033</v>
      </c>
      <c r="K53" s="47">
        <v>-13.8942</v>
      </c>
      <c r="L53" s="47">
        <v>-15.731925</v>
      </c>
      <c r="M53" s="47">
        <v>-14.970959000000001</v>
      </c>
      <c r="N53" s="47">
        <v>-17.712174999999998</v>
      </c>
    </row>
    <row r="54" spans="1:14" x14ac:dyDescent="0.35">
      <c r="A54" s="2">
        <v>43490</v>
      </c>
      <c r="B54" s="40">
        <v>3.4067392000000001</v>
      </c>
      <c r="C54" s="40">
        <v>-8.6964129999999997</v>
      </c>
      <c r="D54" s="40">
        <v>-9.6668660000000006</v>
      </c>
      <c r="E54" s="40">
        <v>-21.833206000000001</v>
      </c>
      <c r="F54" s="40">
        <v>-14.698207999999999</v>
      </c>
      <c r="G54" s="40">
        <v>-9.318066</v>
      </c>
      <c r="H54" s="40">
        <v>-13.956474999999999</v>
      </c>
      <c r="I54" s="40">
        <v>-1.0620892</v>
      </c>
      <c r="J54" s="40">
        <v>-4.3903055000000002</v>
      </c>
      <c r="K54" s="47">
        <v>-15.093237</v>
      </c>
      <c r="L54" s="47">
        <v>-15.064871</v>
      </c>
      <c r="M54" s="47">
        <v>-14.793908999999999</v>
      </c>
      <c r="N54" s="47">
        <v>-20.660568000000001</v>
      </c>
    </row>
    <row r="55" spans="1:14" x14ac:dyDescent="0.35">
      <c r="A55" s="2">
        <v>43523</v>
      </c>
      <c r="B55" s="40">
        <v>5.6647059999999998</v>
      </c>
      <c r="C55" s="40">
        <v>-2.3145853999999999</v>
      </c>
      <c r="D55" s="40">
        <v>1.2878776000000001</v>
      </c>
      <c r="E55" s="40">
        <v>-14.800954000000001</v>
      </c>
      <c r="F55" s="40">
        <v>-9.5131820000000005</v>
      </c>
      <c r="G55" s="40">
        <v>0.10691881</v>
      </c>
      <c r="H55" s="40">
        <v>-2.7263999999999999</v>
      </c>
      <c r="I55" s="40">
        <v>4.0312289999999997</v>
      </c>
      <c r="J55" s="40">
        <v>3.6836028000000001</v>
      </c>
      <c r="K55" s="47">
        <v>-5.9772910000000001</v>
      </c>
      <c r="L55" s="47">
        <v>-5.8496117999999999</v>
      </c>
      <c r="M55" s="47">
        <v>-8.3261129999999994</v>
      </c>
      <c r="N55" s="47">
        <v>-12.368088999999999</v>
      </c>
    </row>
    <row r="56" spans="1:14" x14ac:dyDescent="0.35">
      <c r="A56" s="2">
        <v>43551</v>
      </c>
      <c r="B56" s="40">
        <v>7.4425100000000004</v>
      </c>
      <c r="C56" s="40">
        <v>2.8833747000000001</v>
      </c>
      <c r="D56" s="40">
        <v>3.7258743999999999</v>
      </c>
      <c r="E56" s="40">
        <v>-12.822903</v>
      </c>
      <c r="F56" s="40">
        <v>-6.2003849999999998</v>
      </c>
      <c r="G56" s="40">
        <v>6.3804150000000002</v>
      </c>
      <c r="H56" s="40">
        <v>0.96194743999999999</v>
      </c>
      <c r="I56" s="40">
        <v>12.804866000000001</v>
      </c>
      <c r="J56" s="40">
        <v>9.4038249999999994</v>
      </c>
      <c r="K56" s="47">
        <v>-2.5826752000000002</v>
      </c>
      <c r="L56" s="47">
        <v>-3.9614379999999998</v>
      </c>
      <c r="M56" s="47">
        <v>-3.6580682000000002</v>
      </c>
      <c r="N56" s="47">
        <v>-8.1836520000000004</v>
      </c>
    </row>
    <row r="57" spans="1:14" x14ac:dyDescent="0.35">
      <c r="A57" s="2">
        <v>43581</v>
      </c>
      <c r="B57" s="40">
        <v>13.34455</v>
      </c>
      <c r="C57" s="40">
        <v>4.3678879999999998</v>
      </c>
      <c r="D57" s="40">
        <v>3.8315058</v>
      </c>
      <c r="E57" s="40">
        <v>-10.119664999999999</v>
      </c>
      <c r="F57" s="40">
        <v>-7.6835035999999999</v>
      </c>
      <c r="G57" s="40">
        <v>8.3309060000000006</v>
      </c>
      <c r="H57" s="40">
        <v>-3.5812200000000001</v>
      </c>
      <c r="I57" s="40">
        <v>18.717860999999999</v>
      </c>
      <c r="J57" s="40">
        <v>12.325811</v>
      </c>
      <c r="K57" s="47">
        <v>-3.9221764000000001</v>
      </c>
      <c r="L57" s="47">
        <v>-1.4939427000000001</v>
      </c>
      <c r="M57" s="47">
        <v>1.39575</v>
      </c>
      <c r="N57" s="47">
        <v>-14.295458999999999</v>
      </c>
    </row>
    <row r="58" spans="1:14" x14ac:dyDescent="0.35">
      <c r="A58" s="2">
        <v>43609</v>
      </c>
      <c r="B58" s="40">
        <v>12.400698999999999</v>
      </c>
      <c r="C58" s="40">
        <v>2.5846361999999998</v>
      </c>
      <c r="D58" s="40">
        <v>-1.5511334000000001</v>
      </c>
      <c r="E58" s="40">
        <v>-12.089240999999999</v>
      </c>
      <c r="F58" s="40">
        <v>-9.5125309999999992</v>
      </c>
      <c r="G58" s="40">
        <v>10.059559</v>
      </c>
      <c r="H58" s="40">
        <v>-7.2364388000000002</v>
      </c>
      <c r="I58" s="40">
        <v>5.9936642999999998</v>
      </c>
      <c r="J58" s="40">
        <v>5.6808829999999997</v>
      </c>
      <c r="K58" s="47">
        <v>-6.7821502999999996</v>
      </c>
      <c r="L58" s="47">
        <v>-3.3176540999999999</v>
      </c>
      <c r="M58" s="47">
        <v>-5.7905253999999999</v>
      </c>
      <c r="N58" s="47">
        <v>-10.601597999999999</v>
      </c>
    </row>
    <row r="59" spans="1:14" x14ac:dyDescent="0.35">
      <c r="A59" s="2">
        <v>43643</v>
      </c>
      <c r="B59" s="40">
        <v>12.461937000000001</v>
      </c>
      <c r="C59" s="40">
        <v>7.8914879999999998</v>
      </c>
      <c r="D59" s="40">
        <v>4.5063019999999998</v>
      </c>
      <c r="E59" s="40">
        <v>-3.9078236</v>
      </c>
      <c r="F59" s="40">
        <v>-4.7406673000000001</v>
      </c>
      <c r="G59" s="40">
        <v>19.032288000000001</v>
      </c>
      <c r="H59" s="40">
        <v>-1.8300175999999999</v>
      </c>
      <c r="I59" s="40">
        <v>10.844934</v>
      </c>
      <c r="J59" s="40">
        <v>10.376286500000001</v>
      </c>
      <c r="K59" s="47">
        <v>3.8380741999999999</v>
      </c>
      <c r="L59" s="47">
        <v>4.3534993999999996</v>
      </c>
      <c r="M59" s="47">
        <v>5.9065700000000003</v>
      </c>
      <c r="N59" s="47">
        <v>1.0381937000000001</v>
      </c>
    </row>
    <row r="60" spans="1:14" x14ac:dyDescent="0.35">
      <c r="A60" s="2">
        <v>43672</v>
      </c>
      <c r="B60" s="40">
        <v>17.971062</v>
      </c>
      <c r="C60" s="40">
        <v>5.8410525</v>
      </c>
      <c r="D60" s="40">
        <v>1.0836958999999999</v>
      </c>
      <c r="E60" s="40">
        <v>-9.2824819999999999</v>
      </c>
      <c r="F60" s="40">
        <v>-5.929792</v>
      </c>
      <c r="G60" s="40">
        <v>10.564507000000001</v>
      </c>
      <c r="H60" s="40">
        <v>-3.2537281999999998</v>
      </c>
      <c r="I60" s="40">
        <v>9.4164130000000004</v>
      </c>
      <c r="J60" s="40">
        <v>8.7095374999999997</v>
      </c>
      <c r="K60" s="47">
        <v>-0.13406277</v>
      </c>
      <c r="L60" s="47">
        <v>2.6614547000000002</v>
      </c>
      <c r="M60" s="47">
        <v>-3.4020603</v>
      </c>
      <c r="N60" s="47">
        <v>-0.64392090000000002</v>
      </c>
    </row>
    <row r="61" spans="1:14" x14ac:dyDescent="0.35">
      <c r="A61" s="2">
        <v>43704</v>
      </c>
      <c r="B61" s="40">
        <v>6.8166969999999996</v>
      </c>
      <c r="C61" s="40">
        <v>-1.1961997</v>
      </c>
      <c r="D61" s="40">
        <v>-3.0706107999999999</v>
      </c>
      <c r="E61" s="40">
        <v>-13.633895000000001</v>
      </c>
      <c r="F61" s="40">
        <v>-7.1604013000000002</v>
      </c>
      <c r="G61" s="40">
        <v>8.4114310000000003</v>
      </c>
      <c r="H61" s="40">
        <v>-8.4685030000000001</v>
      </c>
      <c r="I61" s="40">
        <v>0.92706679999999997</v>
      </c>
      <c r="J61" s="40">
        <v>0.96502304000000005</v>
      </c>
      <c r="K61" s="47">
        <v>-5.4466485999999996</v>
      </c>
      <c r="L61" s="47">
        <v>-2.0462573000000002</v>
      </c>
      <c r="M61" s="47">
        <v>-10.82254</v>
      </c>
      <c r="N61" s="47">
        <v>-0.87893010000000005</v>
      </c>
    </row>
    <row r="62" spans="1:14" x14ac:dyDescent="0.35">
      <c r="A62" s="2">
        <v>43735</v>
      </c>
      <c r="B62" s="40">
        <v>10.067833</v>
      </c>
      <c r="C62" s="40">
        <v>6.7955613000000001</v>
      </c>
      <c r="D62" s="40">
        <v>2.9904603999999999</v>
      </c>
      <c r="E62" s="40">
        <v>-8.9991389999999996</v>
      </c>
      <c r="F62" s="40">
        <v>-4.8304320000000001</v>
      </c>
      <c r="G62" s="40">
        <v>10.272002000000001</v>
      </c>
      <c r="H62" s="40">
        <v>-4.5010924000000001</v>
      </c>
      <c r="I62" s="40">
        <v>1.5518546</v>
      </c>
      <c r="J62" s="40">
        <v>3.6529660000000002</v>
      </c>
      <c r="K62" s="47">
        <v>-2.7668357000000001</v>
      </c>
      <c r="L62" s="47">
        <v>4.9790619999999999</v>
      </c>
      <c r="M62" s="47">
        <v>-8.6004199999999997</v>
      </c>
      <c r="N62" s="47">
        <v>-0.16402006</v>
      </c>
    </row>
    <row r="63" spans="1:14" x14ac:dyDescent="0.35">
      <c r="A63" s="2">
        <v>43763</v>
      </c>
      <c r="B63" s="40">
        <v>21.701049999999999</v>
      </c>
      <c r="C63" s="40">
        <v>19.74963</v>
      </c>
      <c r="D63" s="40">
        <v>12.52327</v>
      </c>
      <c r="E63" s="40">
        <v>8.306635</v>
      </c>
      <c r="F63" s="40">
        <v>8.0520390000000006</v>
      </c>
      <c r="G63" s="40">
        <v>20.426130000000001</v>
      </c>
      <c r="H63" s="40">
        <v>8.3465810000000005</v>
      </c>
      <c r="I63" s="40">
        <v>15.398884000000001</v>
      </c>
      <c r="J63" s="40">
        <v>13.904344999999999</v>
      </c>
      <c r="K63" s="47">
        <v>12.840854999999999</v>
      </c>
      <c r="L63" s="47">
        <v>18.988572999999999</v>
      </c>
      <c r="M63" s="47">
        <v>12.355781</v>
      </c>
      <c r="N63" s="47">
        <v>19.984256999999999</v>
      </c>
    </row>
    <row r="64" spans="1:14" x14ac:dyDescent="0.35">
      <c r="A64" s="2">
        <v>43796</v>
      </c>
      <c r="B64" s="40">
        <v>21.434474999999999</v>
      </c>
      <c r="C64" s="40">
        <v>17.037737</v>
      </c>
      <c r="D64" s="40">
        <v>16.369485999999998</v>
      </c>
      <c r="E64" s="40">
        <v>11.232328000000001</v>
      </c>
      <c r="F64" s="40">
        <v>11.4213705</v>
      </c>
      <c r="G64" s="40">
        <v>21.360992</v>
      </c>
      <c r="H64" s="40">
        <v>10.291456999999999</v>
      </c>
      <c r="I64" s="40">
        <v>27.199566000000001</v>
      </c>
      <c r="J64" s="40">
        <v>19.892132</v>
      </c>
      <c r="K64" s="47">
        <v>17.420815999999999</v>
      </c>
      <c r="L64" s="47">
        <v>19.166243000000001</v>
      </c>
      <c r="M64" s="47">
        <v>14.641178</v>
      </c>
      <c r="N64" s="47">
        <v>21.463943</v>
      </c>
    </row>
    <row r="65" spans="1:14" x14ac:dyDescent="0.35">
      <c r="A65" s="2">
        <v>43826</v>
      </c>
      <c r="B65" s="40">
        <v>29.226099999999999</v>
      </c>
      <c r="C65" s="40">
        <v>23.908197000000001</v>
      </c>
      <c r="D65" s="40">
        <v>28.563427000000001</v>
      </c>
      <c r="E65" s="40">
        <v>21.335018000000002</v>
      </c>
      <c r="F65" s="40">
        <v>19.942701</v>
      </c>
      <c r="G65" s="40">
        <v>34.674230000000001</v>
      </c>
      <c r="H65" s="40">
        <v>22.283459000000001</v>
      </c>
      <c r="I65" s="40">
        <v>40.717112999999998</v>
      </c>
      <c r="J65" s="40">
        <v>32.611072999999998</v>
      </c>
      <c r="K65" s="47">
        <v>27.961003999999999</v>
      </c>
      <c r="L65" s="47">
        <v>33.301209999999998</v>
      </c>
      <c r="M65" s="47">
        <v>26.462292000000001</v>
      </c>
      <c r="N65" s="47">
        <v>27.327358</v>
      </c>
    </row>
    <row r="66" spans="1:14" x14ac:dyDescent="0.35">
      <c r="A66" s="2">
        <v>43857</v>
      </c>
      <c r="B66" s="40">
        <v>22.346449</v>
      </c>
      <c r="C66" s="40">
        <v>15.337837</v>
      </c>
      <c r="D66" s="40">
        <v>15.354431</v>
      </c>
      <c r="E66" s="40">
        <v>10.403383</v>
      </c>
      <c r="F66" s="40">
        <v>10.703526999999999</v>
      </c>
      <c r="G66" s="40">
        <v>25.986183</v>
      </c>
      <c r="H66" s="40">
        <v>11.285686500000001</v>
      </c>
      <c r="I66" s="40">
        <v>33.148359999999997</v>
      </c>
      <c r="J66" s="40">
        <v>24.020015999999998</v>
      </c>
      <c r="K66" s="47">
        <v>17.352985</v>
      </c>
      <c r="L66" s="47">
        <v>20.32199</v>
      </c>
      <c r="M66" s="47">
        <v>13.607955</v>
      </c>
      <c r="N66" s="47">
        <v>15.394793999999999</v>
      </c>
    </row>
    <row r="67" spans="1:14" x14ac:dyDescent="0.35">
      <c r="A67" s="2">
        <v>43888</v>
      </c>
      <c r="B67" s="40">
        <v>13.189553999999999</v>
      </c>
      <c r="C67" s="40">
        <v>1.0546803</v>
      </c>
      <c r="D67" s="40">
        <v>2.1094917999999998</v>
      </c>
      <c r="E67" s="40">
        <v>0.16936064000000001</v>
      </c>
      <c r="F67" s="40">
        <v>-1.3722658000000001</v>
      </c>
      <c r="G67" s="40">
        <v>12.611378</v>
      </c>
      <c r="H67" s="40">
        <v>-6.0040474000000001</v>
      </c>
      <c r="I67" s="40">
        <v>19.437742</v>
      </c>
      <c r="J67" s="40">
        <v>8.5740449999999999</v>
      </c>
      <c r="K67" s="47">
        <v>2.662623</v>
      </c>
      <c r="L67" s="47">
        <v>6.8857549999999996</v>
      </c>
      <c r="M67" s="47">
        <v>5.5724739999999997</v>
      </c>
      <c r="N67" s="47">
        <v>6.020975</v>
      </c>
    </row>
    <row r="68" spans="1:14" x14ac:dyDescent="0.35">
      <c r="A68" s="2">
        <v>43917</v>
      </c>
      <c r="B68" s="40">
        <v>-12.229376999999999</v>
      </c>
      <c r="C68" s="40">
        <v>-28.844785999999999</v>
      </c>
      <c r="D68" s="40">
        <v>-23.206097</v>
      </c>
      <c r="E68" s="40">
        <v>-19.305157000000001</v>
      </c>
      <c r="F68" s="40">
        <v>-6.3652395999999998</v>
      </c>
      <c r="G68" s="40">
        <v>0.98102089999999997</v>
      </c>
      <c r="H68" s="40">
        <v>-26.490122</v>
      </c>
      <c r="I68" s="40">
        <v>5.0492406000000001</v>
      </c>
      <c r="J68" s="40">
        <v>-7.5033244999999997</v>
      </c>
      <c r="K68" s="47">
        <v>-17.338234</v>
      </c>
      <c r="L68" s="47">
        <v>-11.211990999999999</v>
      </c>
      <c r="M68" s="47">
        <v>-15.198785000000001</v>
      </c>
      <c r="N68" s="47">
        <v>-22.178046999999999</v>
      </c>
    </row>
    <row r="69" spans="1:14" x14ac:dyDescent="0.35">
      <c r="A69" s="2">
        <v>43948</v>
      </c>
      <c r="B69" s="40">
        <v>-1.7089783999999999</v>
      </c>
      <c r="C69" s="40">
        <v>-21.16658</v>
      </c>
      <c r="D69" s="40">
        <v>-14.487606</v>
      </c>
      <c r="E69" s="40">
        <v>-17.274649</v>
      </c>
      <c r="F69" s="40">
        <v>-4.9158096000000002</v>
      </c>
      <c r="G69" s="40">
        <v>5.0807120000000001</v>
      </c>
      <c r="H69" s="40">
        <v>-22.538005999999999</v>
      </c>
      <c r="I69" s="40">
        <v>14.031494</v>
      </c>
      <c r="J69" s="40">
        <v>-0.14204383000000001</v>
      </c>
      <c r="K69" s="47">
        <v>-19.260829999999999</v>
      </c>
      <c r="L69" s="47">
        <v>-7.3037805999999996</v>
      </c>
      <c r="M69" s="47">
        <v>-13.583672</v>
      </c>
      <c r="N69" s="47">
        <v>-22.959631000000002</v>
      </c>
    </row>
    <row r="70" spans="1:14" x14ac:dyDescent="0.35">
      <c r="A70" s="2">
        <v>43978</v>
      </c>
      <c r="B70" s="40">
        <v>2.7598262</v>
      </c>
      <c r="C70" s="40">
        <v>-13.161892</v>
      </c>
      <c r="D70" s="40">
        <v>-6.5627217</v>
      </c>
      <c r="E70" s="40">
        <v>-4.6032133000000002</v>
      </c>
      <c r="F70" s="40">
        <v>4.7848104999999999</v>
      </c>
      <c r="G70" s="40">
        <v>4.8448919999999998</v>
      </c>
      <c r="H70" s="40">
        <v>-16.800308000000001</v>
      </c>
      <c r="I70" s="40">
        <v>30.364191000000002</v>
      </c>
      <c r="J70" s="40">
        <v>9.5602509999999992</v>
      </c>
      <c r="K70" s="47">
        <v>-11.300134999999999</v>
      </c>
      <c r="L70" s="47">
        <v>2.6098132000000001</v>
      </c>
      <c r="M70" s="47">
        <v>2.0731329999999999</v>
      </c>
      <c r="N70" s="47">
        <v>-15.117459999999999</v>
      </c>
    </row>
    <row r="71" spans="1:14" x14ac:dyDescent="0.35">
      <c r="A71" s="2">
        <v>44008</v>
      </c>
      <c r="B71" s="40">
        <v>4.7606586999999996</v>
      </c>
      <c r="C71" s="40">
        <v>-13.325386999999999</v>
      </c>
      <c r="D71" s="40">
        <v>-9.6171140000000008</v>
      </c>
      <c r="E71" s="40">
        <v>-2.9389439999999998</v>
      </c>
      <c r="F71" s="40">
        <v>4.5045257000000003</v>
      </c>
      <c r="G71" s="40">
        <v>5.5232049999999999</v>
      </c>
      <c r="H71" s="40">
        <v>-18.136565999999998</v>
      </c>
      <c r="I71" s="40">
        <v>30.337166</v>
      </c>
      <c r="J71" s="40">
        <v>5.3903699999999999</v>
      </c>
      <c r="K71" s="47">
        <v>-10.546260999999999</v>
      </c>
      <c r="L71" s="47">
        <v>7.207179</v>
      </c>
      <c r="M71" s="47">
        <v>2.0018457999999999</v>
      </c>
      <c r="N71" s="47">
        <v>-11.955952999999999</v>
      </c>
    </row>
    <row r="72" spans="1:14" x14ac:dyDescent="0.35">
      <c r="A72" s="2">
        <v>44039</v>
      </c>
      <c r="B72" s="40">
        <v>10.289038</v>
      </c>
      <c r="C72" s="40">
        <v>-7.0771100000000002</v>
      </c>
      <c r="D72" s="40">
        <v>-2.4240910000000002</v>
      </c>
      <c r="E72" s="40">
        <v>8.2339880000000001</v>
      </c>
      <c r="F72" s="40">
        <v>5.9626460000000003</v>
      </c>
      <c r="G72" s="40">
        <v>12.935983999999999</v>
      </c>
      <c r="H72" s="40">
        <v>-14.567148</v>
      </c>
      <c r="I72" s="40">
        <v>34.268819999999998</v>
      </c>
      <c r="J72" s="40">
        <v>9.1906660000000002</v>
      </c>
      <c r="K72" s="47">
        <v>-4.6347620000000003</v>
      </c>
      <c r="L72" s="47">
        <v>12.127304000000001</v>
      </c>
      <c r="M72" s="47">
        <v>18.771384999999999</v>
      </c>
      <c r="N72" s="47">
        <v>-5.1118730000000001</v>
      </c>
    </row>
    <row r="73" spans="1:14" x14ac:dyDescent="0.35">
      <c r="A73" s="2">
        <v>44070</v>
      </c>
      <c r="B73" s="40">
        <v>23.134972000000001</v>
      </c>
      <c r="C73" s="40">
        <v>1.6559600999999999</v>
      </c>
      <c r="D73" s="40">
        <v>6.9737553999999999</v>
      </c>
      <c r="E73" s="40">
        <v>17.162990000000001</v>
      </c>
      <c r="F73" s="40">
        <v>10.404801000000001</v>
      </c>
      <c r="G73" s="40">
        <v>14.806414</v>
      </c>
      <c r="H73" s="40">
        <v>-7.7887773999999999</v>
      </c>
      <c r="I73" s="40">
        <v>59.080685000000003</v>
      </c>
      <c r="J73" s="40">
        <v>23.883759999999999</v>
      </c>
      <c r="K73" s="47">
        <v>1.7357587999999999</v>
      </c>
      <c r="L73" s="47">
        <v>20.461666000000001</v>
      </c>
      <c r="M73" s="47">
        <v>31.0215</v>
      </c>
      <c r="N73" s="47">
        <v>-1.4347612999999999</v>
      </c>
    </row>
    <row r="74" spans="1:14" x14ac:dyDescent="0.35">
      <c r="A74" s="2">
        <v>44099</v>
      </c>
      <c r="B74" s="40">
        <v>14.211368999999999</v>
      </c>
      <c r="C74" s="40">
        <v>-7.8044120000000001</v>
      </c>
      <c r="D74" s="40">
        <v>-3.9960265000000001</v>
      </c>
      <c r="E74" s="40">
        <v>8.2439660000000003</v>
      </c>
      <c r="F74" s="40">
        <v>4.7806024999999996</v>
      </c>
      <c r="G74" s="40">
        <v>11.589919999999999</v>
      </c>
      <c r="H74" s="40">
        <v>-16.370684000000001</v>
      </c>
      <c r="I74" s="40">
        <v>43.934787999999998</v>
      </c>
      <c r="J74" s="40">
        <v>12.624121000000001</v>
      </c>
      <c r="K74" s="47">
        <v>-7.197648</v>
      </c>
      <c r="L74" s="47">
        <v>10.514222999999999</v>
      </c>
      <c r="M74" s="47">
        <v>18.645106999999999</v>
      </c>
      <c r="N74" s="47">
        <v>-10.209883</v>
      </c>
    </row>
    <row r="75" spans="1:14" x14ac:dyDescent="0.35">
      <c r="A75" s="2">
        <v>44131</v>
      </c>
      <c r="B75" s="40">
        <v>20.347618000000001</v>
      </c>
      <c r="C75" s="40">
        <v>-7.2957872999999998</v>
      </c>
      <c r="D75" s="40">
        <v>-2.6017964</v>
      </c>
      <c r="E75" s="40">
        <v>-1.5534520000000001</v>
      </c>
      <c r="F75" s="40">
        <v>3.4913181999999998</v>
      </c>
      <c r="G75" s="40">
        <v>8.3084579999999999</v>
      </c>
      <c r="H75" s="40">
        <v>-20.032136999999999</v>
      </c>
      <c r="I75" s="40">
        <v>45.560360000000003</v>
      </c>
      <c r="J75" s="40">
        <v>14.34629</v>
      </c>
      <c r="K75" s="47">
        <v>-9.7018599999999999</v>
      </c>
      <c r="L75" s="47">
        <v>11.333679999999999</v>
      </c>
      <c r="M75" s="47">
        <v>13.595473999999999</v>
      </c>
      <c r="N75" s="47">
        <v>-14.370464999999999</v>
      </c>
    </row>
    <row r="76" spans="1:14" x14ac:dyDescent="0.35">
      <c r="A76" s="2">
        <v>44162</v>
      </c>
      <c r="B76" s="40">
        <v>23.804545999999998</v>
      </c>
      <c r="C76" s="40">
        <v>4.9984454999999999</v>
      </c>
      <c r="D76" s="40">
        <v>5.2536370000000003</v>
      </c>
      <c r="E76" s="40">
        <v>6.7760350000000003</v>
      </c>
      <c r="F76" s="40">
        <v>12.5897045</v>
      </c>
      <c r="G76" s="40">
        <v>11.944604</v>
      </c>
      <c r="H76" s="40">
        <v>-9.9335970000000007</v>
      </c>
      <c r="I76" s="40">
        <v>46.207810000000002</v>
      </c>
      <c r="J76" s="40">
        <v>17.541122000000001</v>
      </c>
      <c r="K76" s="47">
        <v>5.1167727000000003</v>
      </c>
      <c r="L76" s="47">
        <v>21.550166999999998</v>
      </c>
      <c r="M76" s="47">
        <v>26.821745</v>
      </c>
      <c r="N76" s="47">
        <v>1.6799211999999999</v>
      </c>
    </row>
    <row r="77" spans="1:14" x14ac:dyDescent="0.35">
      <c r="A77" s="2">
        <v>44189</v>
      </c>
      <c r="B77" s="40">
        <v>18.632066999999999</v>
      </c>
      <c r="C77" s="40">
        <v>8.1725119999999993</v>
      </c>
      <c r="D77" s="40">
        <v>7.0980309999999998</v>
      </c>
      <c r="E77" s="40">
        <v>11.147653999999999</v>
      </c>
      <c r="F77" s="40">
        <v>11.889267</v>
      </c>
      <c r="G77" s="40">
        <v>9.896922</v>
      </c>
      <c r="H77" s="40">
        <v>-10.277873</v>
      </c>
      <c r="I77" s="40">
        <v>47.116149999999998</v>
      </c>
      <c r="J77" s="40">
        <v>17.057276000000002</v>
      </c>
      <c r="K77" s="47">
        <v>3.7100314999999999</v>
      </c>
      <c r="L77" s="47">
        <v>24.635113</v>
      </c>
      <c r="M77" s="47">
        <v>21.418369999999999</v>
      </c>
      <c r="N77" s="47">
        <v>1.4676094</v>
      </c>
    </row>
    <row r="78" spans="1:14" x14ac:dyDescent="0.35">
      <c r="A78" s="2">
        <v>44223</v>
      </c>
      <c r="B78" s="40">
        <v>21.184813999999999</v>
      </c>
      <c r="C78" s="40">
        <v>9.3615169999999992</v>
      </c>
      <c r="D78" s="40">
        <v>4.8249006000000003</v>
      </c>
      <c r="E78" s="40">
        <v>11.819660000000001</v>
      </c>
      <c r="F78" s="40">
        <v>17.710875999999999</v>
      </c>
      <c r="G78" s="40">
        <v>12.470102000000001</v>
      </c>
      <c r="H78" s="40">
        <v>-6.8878174000000003</v>
      </c>
      <c r="I78" s="40">
        <v>47.50526</v>
      </c>
      <c r="J78" s="40">
        <v>17.940055999999998</v>
      </c>
      <c r="K78" s="47">
        <v>4.1332483</v>
      </c>
      <c r="L78" s="47">
        <v>29.542563999999999</v>
      </c>
      <c r="M78" s="47">
        <v>30.432106000000001</v>
      </c>
      <c r="N78" s="47">
        <v>0.57007074000000002</v>
      </c>
    </row>
    <row r="79" spans="1:14" x14ac:dyDescent="0.35">
      <c r="A79" s="2">
        <v>44253</v>
      </c>
      <c r="B79" s="40">
        <v>15.762924999999999</v>
      </c>
      <c r="C79" s="40">
        <v>18.378640000000001</v>
      </c>
      <c r="D79" s="40">
        <v>13.449930999999999</v>
      </c>
      <c r="E79" s="40">
        <v>20.497834999999998</v>
      </c>
      <c r="F79" s="40">
        <v>25.749361</v>
      </c>
      <c r="G79" s="40">
        <v>11.961019500000001</v>
      </c>
      <c r="H79" s="40">
        <v>1.8073558999999999</v>
      </c>
      <c r="I79" s="40">
        <v>46.148014000000003</v>
      </c>
      <c r="J79" s="40">
        <v>24.429953000000001</v>
      </c>
      <c r="K79" s="47">
        <v>14.276338000000001</v>
      </c>
      <c r="L79" s="47">
        <v>40.022551999999997</v>
      </c>
      <c r="M79" s="47">
        <v>35.032069999999997</v>
      </c>
      <c r="N79" s="47">
        <v>9.4925639999999998</v>
      </c>
    </row>
    <row r="80" spans="1:14" x14ac:dyDescent="0.35">
      <c r="A80" s="2">
        <v>44281</v>
      </c>
      <c r="B80" s="40">
        <v>35.993122</v>
      </c>
      <c r="C80" s="40">
        <v>63.501835</v>
      </c>
      <c r="D80" s="40">
        <v>60.214675999999997</v>
      </c>
      <c r="E80" s="40">
        <v>54.591009999999997</v>
      </c>
      <c r="F80" s="40">
        <v>41.220190000000002</v>
      </c>
      <c r="G80" s="40">
        <v>28.949069999999999</v>
      </c>
      <c r="H80" s="40">
        <v>33.575726000000003</v>
      </c>
      <c r="I80" s="40">
        <v>65.696820000000002</v>
      </c>
      <c r="J80" s="40">
        <v>54.046190000000003</v>
      </c>
      <c r="K80" s="47">
        <v>43.024410000000003</v>
      </c>
      <c r="L80" s="47">
        <v>75.499880000000005</v>
      </c>
      <c r="M80" s="47">
        <v>78.923370000000006</v>
      </c>
      <c r="N80" s="47">
        <v>48.293137000000002</v>
      </c>
    </row>
    <row r="81" spans="1:14" x14ac:dyDescent="0.35">
      <c r="A81" s="2">
        <v>44313</v>
      </c>
      <c r="B81" s="40">
        <v>33.887146000000001</v>
      </c>
      <c r="C81" s="40">
        <v>61.617947000000001</v>
      </c>
      <c r="D81" s="40">
        <v>52.245842000000003</v>
      </c>
      <c r="E81" s="40">
        <v>56.501434000000003</v>
      </c>
      <c r="F81" s="40">
        <v>33.385869999999997</v>
      </c>
      <c r="G81" s="40">
        <v>27.454661999999999</v>
      </c>
      <c r="H81" s="40">
        <v>34.662936999999999</v>
      </c>
      <c r="I81" s="40">
        <v>58.783127</v>
      </c>
      <c r="J81" s="40">
        <v>47.798695000000002</v>
      </c>
      <c r="K81" s="47">
        <v>57.014560000000003</v>
      </c>
      <c r="L81" s="47">
        <v>76.617583999999994</v>
      </c>
      <c r="M81" s="47">
        <v>81.251609999999999</v>
      </c>
      <c r="N81" s="47">
        <v>59.012949999999996</v>
      </c>
    </row>
    <row r="82" spans="1:14" x14ac:dyDescent="0.35">
      <c r="A82" s="2">
        <v>44343</v>
      </c>
      <c r="B82" s="40">
        <v>22.469532000000001</v>
      </c>
      <c r="C82" s="40">
        <v>48.893894000000003</v>
      </c>
      <c r="D82" s="40">
        <v>52.058779999999999</v>
      </c>
      <c r="E82" s="40">
        <v>41.778300000000002</v>
      </c>
      <c r="F82" s="40">
        <v>25.248360000000002</v>
      </c>
      <c r="G82" s="40">
        <v>31.603860000000001</v>
      </c>
      <c r="H82" s="40">
        <v>34.679139999999997</v>
      </c>
      <c r="I82" s="40">
        <v>45.450330000000001</v>
      </c>
      <c r="J82" s="40">
        <v>40.366615000000003</v>
      </c>
      <c r="K82" s="47">
        <v>53.426434</v>
      </c>
      <c r="L82" s="47">
        <v>64.524770000000004</v>
      </c>
      <c r="M82" s="47">
        <v>65.986699999999999</v>
      </c>
      <c r="N82" s="47">
        <v>55.255732999999999</v>
      </c>
    </row>
    <row r="83" spans="1:14" x14ac:dyDescent="0.35">
      <c r="A83" s="2">
        <v>44372</v>
      </c>
      <c r="B83" s="40">
        <v>15.243173000000001</v>
      </c>
      <c r="C83" s="40">
        <v>41.047690000000003</v>
      </c>
      <c r="D83" s="40">
        <v>49.675705000000001</v>
      </c>
      <c r="E83" s="40">
        <v>33.027424000000003</v>
      </c>
      <c r="F83" s="40">
        <v>23.535596999999999</v>
      </c>
      <c r="G83" s="40">
        <v>28.105889999999999</v>
      </c>
      <c r="H83" s="40">
        <v>31.698512999999998</v>
      </c>
      <c r="I83" s="40">
        <v>42.845142000000003</v>
      </c>
      <c r="J83" s="40">
        <v>40.886116000000001</v>
      </c>
      <c r="K83" s="47">
        <v>43.146279999999997</v>
      </c>
      <c r="L83" s="47">
        <v>50.362160000000003</v>
      </c>
      <c r="M83" s="47">
        <v>55.451619999999998</v>
      </c>
      <c r="N83" s="47">
        <v>39.997839999999997</v>
      </c>
    </row>
    <row r="84" spans="1:14" x14ac:dyDescent="0.35">
      <c r="A84" s="2">
        <v>44404</v>
      </c>
      <c r="B84" s="40">
        <v>4.6741365999999998</v>
      </c>
      <c r="C84" s="40">
        <v>29.927147000000001</v>
      </c>
      <c r="D84" s="40">
        <v>37.024520000000003</v>
      </c>
      <c r="E84" s="40">
        <v>20.364892999999999</v>
      </c>
      <c r="F84" s="40">
        <v>19.457674000000001</v>
      </c>
      <c r="G84" s="40">
        <v>21.864139999999999</v>
      </c>
      <c r="H84" s="40">
        <v>26.763666000000001</v>
      </c>
      <c r="I84" s="40">
        <v>40.895282999999999</v>
      </c>
      <c r="J84" s="40">
        <v>37.862633000000002</v>
      </c>
      <c r="K84" s="47">
        <v>33.759369999999997</v>
      </c>
      <c r="L84" s="47">
        <v>41.376350000000002</v>
      </c>
      <c r="M84" s="47">
        <v>42.53378</v>
      </c>
      <c r="N84" s="47">
        <v>27.036332999999999</v>
      </c>
    </row>
    <row r="85" spans="1:14" x14ac:dyDescent="0.35">
      <c r="A85" s="2">
        <v>44435</v>
      </c>
      <c r="B85" s="40">
        <v>5.7263016999999996</v>
      </c>
      <c r="C85" s="40">
        <v>27.744114</v>
      </c>
      <c r="D85" s="40">
        <v>32.173264000000003</v>
      </c>
      <c r="E85" s="40">
        <v>19.852900999999999</v>
      </c>
      <c r="F85" s="40">
        <v>19.22307</v>
      </c>
      <c r="G85" s="40">
        <v>24.685144000000001</v>
      </c>
      <c r="H85" s="40">
        <v>27.846468000000002</v>
      </c>
      <c r="I85" s="40">
        <v>29.933917999999998</v>
      </c>
      <c r="J85" s="40">
        <v>31.199825000000001</v>
      </c>
      <c r="K85" s="47">
        <v>33.594154000000003</v>
      </c>
      <c r="L85" s="47">
        <v>48.463486000000003</v>
      </c>
      <c r="M85" s="47">
        <v>38.890839999999997</v>
      </c>
      <c r="N85" s="47">
        <v>30.856407000000001</v>
      </c>
    </row>
    <row r="86" spans="1:14" x14ac:dyDescent="0.35">
      <c r="A86" s="2">
        <v>44466</v>
      </c>
      <c r="B86" s="40">
        <v>11.433088</v>
      </c>
      <c r="C86" s="40">
        <v>31.058228</v>
      </c>
      <c r="D86" s="40">
        <v>39.277529999999999</v>
      </c>
      <c r="E86" s="40">
        <v>22.667836999999999</v>
      </c>
      <c r="F86" s="40">
        <v>24.948035999999998</v>
      </c>
      <c r="G86" s="40">
        <v>18.553329999999999</v>
      </c>
      <c r="H86" s="40">
        <v>33.523631999999999</v>
      </c>
      <c r="I86" s="40">
        <v>37.108400000000003</v>
      </c>
      <c r="J86" s="40">
        <v>36.561774999999997</v>
      </c>
      <c r="K86" s="47">
        <v>42.264589999999998</v>
      </c>
      <c r="L86" s="47">
        <v>52.712485999999998</v>
      </c>
      <c r="M86" s="47">
        <v>39.459564</v>
      </c>
      <c r="N86" s="47">
        <v>38.092243000000003</v>
      </c>
    </row>
    <row r="87" spans="1:14" x14ac:dyDescent="0.35">
      <c r="A87" s="2">
        <v>44496</v>
      </c>
      <c r="B87" s="40">
        <v>6.1705350000000001</v>
      </c>
      <c r="C87" s="40">
        <v>33.589385999999998</v>
      </c>
      <c r="D87" s="40">
        <v>44.424416000000001</v>
      </c>
      <c r="E87" s="40">
        <v>25.898002999999999</v>
      </c>
      <c r="F87" s="40">
        <v>16.605186</v>
      </c>
      <c r="G87" s="40">
        <v>24.128091999999999</v>
      </c>
      <c r="H87" s="40">
        <v>38.299379999999999</v>
      </c>
      <c r="I87" s="40">
        <v>35.156440000000003</v>
      </c>
      <c r="J87" s="40">
        <v>36.118459999999999</v>
      </c>
      <c r="K87" s="47">
        <v>42.257247999999997</v>
      </c>
      <c r="L87" s="47">
        <v>49.520040000000002</v>
      </c>
      <c r="M87" s="47">
        <v>40.716434</v>
      </c>
      <c r="N87" s="47">
        <v>41.75526</v>
      </c>
    </row>
    <row r="88" spans="1:14" x14ac:dyDescent="0.35">
      <c r="A88" s="2">
        <v>44526</v>
      </c>
      <c r="B88" s="40">
        <v>-10.285175000000001</v>
      </c>
      <c r="C88" s="40">
        <v>7.1858170000000001</v>
      </c>
      <c r="D88" s="40">
        <v>27.980160000000001</v>
      </c>
      <c r="E88" s="40">
        <v>7.6613306999999997</v>
      </c>
      <c r="F88" s="40">
        <v>3.7154316999999999</v>
      </c>
      <c r="G88" s="40">
        <v>17.225121999999999</v>
      </c>
      <c r="H88" s="40">
        <v>13.896513000000001</v>
      </c>
      <c r="I88" s="40">
        <v>32.743740000000003</v>
      </c>
      <c r="J88" s="40">
        <v>28.351952000000001</v>
      </c>
      <c r="K88" s="47">
        <v>16.438711000000001</v>
      </c>
      <c r="L88" s="47">
        <v>28.251218999999999</v>
      </c>
      <c r="M88" s="47">
        <v>15.103304</v>
      </c>
      <c r="N88" s="47">
        <v>11.004424</v>
      </c>
    </row>
    <row r="89" spans="1:14" x14ac:dyDescent="0.35">
      <c r="A89" s="2">
        <v>44557</v>
      </c>
      <c r="B89" s="40">
        <v>-10.616934000000001</v>
      </c>
      <c r="C89" s="40">
        <v>9.5272780000000008</v>
      </c>
      <c r="D89" s="40">
        <v>25.707508000000001</v>
      </c>
      <c r="E89" s="40">
        <v>5.9998392999999997</v>
      </c>
      <c r="F89" s="40">
        <v>4.4286729999999999</v>
      </c>
      <c r="G89" s="40">
        <v>22.665178000000001</v>
      </c>
      <c r="H89" s="40">
        <v>18.300259</v>
      </c>
      <c r="I89" s="40">
        <v>30.968391</v>
      </c>
      <c r="J89" s="40">
        <v>31.0794</v>
      </c>
      <c r="K89" s="47">
        <v>21.608495999999999</v>
      </c>
      <c r="L89" s="47">
        <v>22.351573999999999</v>
      </c>
      <c r="M89" s="47">
        <v>22.226488</v>
      </c>
      <c r="N89" s="47">
        <v>14.434969000000001</v>
      </c>
    </row>
    <row r="90" spans="1:14" x14ac:dyDescent="0.35">
      <c r="A90" s="2">
        <v>44588</v>
      </c>
      <c r="B90" s="40">
        <v>-21.223969</v>
      </c>
      <c r="C90" s="40">
        <v>-2.8650462999999999</v>
      </c>
      <c r="D90" s="40">
        <v>22.645844</v>
      </c>
      <c r="E90" s="40">
        <v>1.8335581000000001</v>
      </c>
      <c r="F90" s="40">
        <v>-6.1692657000000004</v>
      </c>
      <c r="G90" s="40">
        <v>8.9756250000000009</v>
      </c>
      <c r="H90" s="40">
        <v>18.162213999999999</v>
      </c>
      <c r="I90" s="40">
        <v>7.2989106000000001</v>
      </c>
      <c r="J90" s="40">
        <v>16.728628</v>
      </c>
      <c r="K90" s="47">
        <v>19.495047</v>
      </c>
      <c r="L90" s="47">
        <v>7.0776342999999997</v>
      </c>
      <c r="M90" s="47">
        <v>4.3463706999999996</v>
      </c>
      <c r="N90" s="47">
        <v>15.244508</v>
      </c>
    </row>
    <row r="91" spans="1:14" x14ac:dyDescent="0.35">
      <c r="A91" s="2">
        <v>44617</v>
      </c>
      <c r="B91" s="40">
        <v>-11.382747</v>
      </c>
      <c r="C91" s="40">
        <v>0.88214873999999999</v>
      </c>
      <c r="D91" s="40">
        <v>18.325256</v>
      </c>
      <c r="E91" s="40">
        <v>-4.323226</v>
      </c>
      <c r="F91" s="40">
        <v>-6.2759039999999997</v>
      </c>
      <c r="G91" s="40">
        <v>13.189183999999999</v>
      </c>
      <c r="H91" s="40">
        <v>15.342485</v>
      </c>
      <c r="I91" s="40">
        <v>11.062706</v>
      </c>
      <c r="J91" s="40">
        <v>16.036224000000001</v>
      </c>
      <c r="K91" s="47">
        <v>11.128890999999999</v>
      </c>
      <c r="L91" s="47">
        <v>-0.24108887000000001</v>
      </c>
      <c r="M91" s="47">
        <v>-3.9637088999999999</v>
      </c>
      <c r="N91" s="47">
        <v>6.8855285999999998</v>
      </c>
    </row>
    <row r="92" spans="1:14" x14ac:dyDescent="0.35">
      <c r="A92" s="2">
        <v>44645</v>
      </c>
      <c r="B92" s="40">
        <v>-7.6077165999999998</v>
      </c>
      <c r="C92" s="40">
        <v>13.067793999999999</v>
      </c>
      <c r="D92" s="40">
        <v>22.428166999999998</v>
      </c>
      <c r="E92" s="40">
        <v>-11.624736</v>
      </c>
      <c r="F92" s="40">
        <v>-7.4437559999999996</v>
      </c>
      <c r="G92" s="40">
        <v>11.433052999999999</v>
      </c>
      <c r="H92" s="40">
        <v>13.835286999999999</v>
      </c>
      <c r="I92" s="40">
        <v>15.980779999999999</v>
      </c>
      <c r="J92" s="40">
        <v>17.702674999999999</v>
      </c>
      <c r="K92" s="47">
        <v>5.0585269999999998</v>
      </c>
      <c r="L92" s="47">
        <v>-4.7128915999999998</v>
      </c>
      <c r="M92" s="47">
        <v>-7.8340350000000001</v>
      </c>
      <c r="N92" s="47">
        <v>-4.4183674000000002</v>
      </c>
    </row>
    <row r="93" spans="1:14" x14ac:dyDescent="0.35">
      <c r="A93" s="2">
        <v>44678</v>
      </c>
      <c r="B93" s="40">
        <v>-20.363707000000002</v>
      </c>
      <c r="C93" s="40">
        <v>-1.3613164</v>
      </c>
      <c r="D93" s="40">
        <v>6.6930531999999996</v>
      </c>
      <c r="E93" s="40">
        <v>-24.648947</v>
      </c>
      <c r="F93" s="40">
        <v>-15.535826</v>
      </c>
      <c r="G93" s="40">
        <v>1.9319295999999999</v>
      </c>
      <c r="H93" s="40">
        <v>2.5357246</v>
      </c>
      <c r="I93" s="40">
        <v>-6.4272822999999999</v>
      </c>
      <c r="J93" s="40">
        <v>1.2641549000000001</v>
      </c>
      <c r="K93" s="47">
        <v>-8.0189760000000003</v>
      </c>
      <c r="L93" s="47">
        <v>-21.312666</v>
      </c>
      <c r="M93" s="47">
        <v>-20.620203</v>
      </c>
      <c r="N93" s="47">
        <v>-12.979025</v>
      </c>
    </row>
    <row r="94" spans="1:14" x14ac:dyDescent="0.35">
      <c r="A94" s="2">
        <v>44708</v>
      </c>
      <c r="B94" s="40">
        <v>-21.011150000000001</v>
      </c>
      <c r="C94" s="40">
        <v>-1.9457042</v>
      </c>
      <c r="D94" s="40">
        <v>1.4057398000000001</v>
      </c>
      <c r="E94" s="40">
        <v>-21.252490000000002</v>
      </c>
      <c r="F94" s="40">
        <v>-12.774981</v>
      </c>
      <c r="G94" s="40">
        <v>-4.1648506999999997</v>
      </c>
      <c r="H94" s="40">
        <v>2.4227500000000002</v>
      </c>
      <c r="I94" s="40">
        <v>-6.6959143000000001</v>
      </c>
      <c r="J94" s="40">
        <v>0.35094023000000002</v>
      </c>
      <c r="K94" s="47">
        <v>-7.5395640000000004</v>
      </c>
      <c r="L94" s="47">
        <v>-19.322431999999999</v>
      </c>
      <c r="M94" s="47">
        <v>-20.37754</v>
      </c>
      <c r="N94" s="47">
        <v>-11.168587</v>
      </c>
    </row>
    <row r="95" spans="1:14" x14ac:dyDescent="0.35">
      <c r="A95" s="2">
        <v>44739</v>
      </c>
      <c r="B95" s="40">
        <v>-24.505631999999999</v>
      </c>
      <c r="C95" s="40">
        <v>-12.489879999999999</v>
      </c>
      <c r="D95" s="40">
        <v>-7.0456504999999998</v>
      </c>
      <c r="E95" s="40">
        <v>-29.034365000000001</v>
      </c>
      <c r="F95" s="40">
        <v>-20.396912</v>
      </c>
      <c r="G95" s="40">
        <v>-13.497477999999999</v>
      </c>
      <c r="H95" s="40">
        <v>-4.4897850000000004</v>
      </c>
      <c r="I95" s="40">
        <v>-15.849352</v>
      </c>
      <c r="J95" s="40">
        <v>-7.6139330000000003</v>
      </c>
      <c r="K95" s="47">
        <v>-15.915006999999999</v>
      </c>
      <c r="L95" s="47">
        <v>-24.657518</v>
      </c>
      <c r="M95" s="47">
        <v>-28.712803000000001</v>
      </c>
      <c r="N95" s="47">
        <v>-21.613014</v>
      </c>
    </row>
    <row r="96" spans="1:14" x14ac:dyDescent="0.35">
      <c r="A96" s="2">
        <v>44769</v>
      </c>
      <c r="B96" s="40">
        <v>-20.274733999999999</v>
      </c>
      <c r="C96" s="40">
        <v>-7.5650873000000001</v>
      </c>
      <c r="D96" s="40">
        <v>-4.1899623999999998</v>
      </c>
      <c r="E96" s="40">
        <v>-30.60699</v>
      </c>
      <c r="F96" s="40">
        <v>-16.057604000000001</v>
      </c>
      <c r="G96" s="40">
        <v>-11.980992000000001</v>
      </c>
      <c r="H96" s="40">
        <v>-1.9606233</v>
      </c>
      <c r="I96" s="40">
        <v>-15.343809</v>
      </c>
      <c r="J96" s="40">
        <v>-7.3470649999999997</v>
      </c>
      <c r="K96" s="47">
        <v>-13.283396</v>
      </c>
      <c r="L96" s="47">
        <v>-22.671938000000001</v>
      </c>
      <c r="M96" s="47">
        <v>-28.925937999999999</v>
      </c>
      <c r="N96" s="47">
        <v>-23.326491999999998</v>
      </c>
    </row>
    <row r="97" spans="1:14" x14ac:dyDescent="0.35">
      <c r="A97" s="2">
        <v>44799</v>
      </c>
      <c r="B97" s="40">
        <v>-23.400068000000001</v>
      </c>
      <c r="C97" s="40">
        <v>-6.3238086999999998</v>
      </c>
      <c r="D97" s="40">
        <v>-3.7591160000000001</v>
      </c>
      <c r="E97" s="40">
        <v>-35.144955000000003</v>
      </c>
      <c r="F97" s="40">
        <v>-17.672937000000001</v>
      </c>
      <c r="G97" s="40">
        <v>-16.705113999999998</v>
      </c>
      <c r="H97" s="40">
        <v>-5.376214</v>
      </c>
      <c r="I97" s="40">
        <v>-16.989946</v>
      </c>
      <c r="J97" s="40">
        <v>-7.8818501999999997</v>
      </c>
      <c r="K97" s="47">
        <v>-16.952483999999998</v>
      </c>
      <c r="L97" s="47">
        <v>-31.101143</v>
      </c>
      <c r="M97" s="47">
        <v>-32.185012999999998</v>
      </c>
      <c r="N97" s="47">
        <v>-25.193083000000001</v>
      </c>
    </row>
    <row r="98" spans="1:14" x14ac:dyDescent="0.35">
      <c r="A98" s="2">
        <v>44831</v>
      </c>
      <c r="B98" s="40">
        <v>-31.768215000000001</v>
      </c>
      <c r="C98" s="40">
        <v>-17.613786999999999</v>
      </c>
      <c r="D98" s="40">
        <v>-15.726882</v>
      </c>
      <c r="E98" s="40">
        <v>-40.305500000000002</v>
      </c>
      <c r="F98" s="40">
        <v>-31.195366</v>
      </c>
      <c r="G98" s="40">
        <v>-20.982433</v>
      </c>
      <c r="H98" s="40">
        <v>-18.052710000000001</v>
      </c>
      <c r="I98" s="40">
        <v>-25.426673999999998</v>
      </c>
      <c r="J98" s="40">
        <v>-16.661083000000001</v>
      </c>
      <c r="K98" s="47">
        <v>-27.205753000000001</v>
      </c>
      <c r="L98" s="47">
        <v>-39.930070000000001</v>
      </c>
      <c r="M98" s="47">
        <v>-38.869304999999997</v>
      </c>
      <c r="N98" s="47">
        <v>-31.142102999999999</v>
      </c>
    </row>
    <row r="99" spans="1:14" x14ac:dyDescent="0.35">
      <c r="A99" s="2">
        <v>44861</v>
      </c>
      <c r="B99" s="40">
        <v>-31.130768</v>
      </c>
      <c r="C99" s="40">
        <v>-16.371513</v>
      </c>
      <c r="D99" s="40">
        <v>-13.676601</v>
      </c>
      <c r="E99" s="40">
        <v>-32.521045999999998</v>
      </c>
      <c r="F99" s="40">
        <v>-25.097512999999999</v>
      </c>
      <c r="G99" s="40">
        <v>-19.397276000000002</v>
      </c>
      <c r="H99" s="40">
        <v>-13.166941</v>
      </c>
      <c r="I99" s="40">
        <v>-27.746760999999999</v>
      </c>
      <c r="J99" s="40">
        <v>-15.023308999999999</v>
      </c>
      <c r="K99" s="47">
        <v>-18.802047999999999</v>
      </c>
      <c r="L99" s="47">
        <v>-35.847999999999999</v>
      </c>
      <c r="M99" s="47">
        <v>-34.534973000000001</v>
      </c>
      <c r="N99" s="47">
        <v>-24.551504000000001</v>
      </c>
    </row>
    <row r="100" spans="1:14" x14ac:dyDescent="0.35">
      <c r="A100" s="2">
        <v>44890</v>
      </c>
      <c r="B100" s="40">
        <v>-18.835766</v>
      </c>
      <c r="C100" s="40">
        <v>-2.4784625</v>
      </c>
      <c r="D100" s="40">
        <v>-8.2826730000000008</v>
      </c>
      <c r="E100" s="40">
        <v>-20.260017000000001</v>
      </c>
      <c r="F100" s="40">
        <v>-16.752338000000002</v>
      </c>
      <c r="G100" s="40">
        <v>-11.552757</v>
      </c>
      <c r="H100" s="40">
        <v>-1.6162038000000001</v>
      </c>
      <c r="I100" s="40">
        <v>-27.6007</v>
      </c>
      <c r="J100" s="40">
        <v>-12.995881000000001</v>
      </c>
      <c r="K100" s="47">
        <v>-9.2892109999999999</v>
      </c>
      <c r="L100" s="47">
        <v>-22.109186000000001</v>
      </c>
      <c r="M100" s="47">
        <v>-22.166967</v>
      </c>
      <c r="N100" s="47">
        <v>-12.017291999999999</v>
      </c>
    </row>
    <row r="101" spans="1:14" x14ac:dyDescent="0.35">
      <c r="A101" s="2">
        <v>44922</v>
      </c>
      <c r="B101" s="40">
        <v>-16.259962000000002</v>
      </c>
      <c r="C101" s="40">
        <v>-5.5559634999999998</v>
      </c>
      <c r="D101" s="40">
        <v>-11.873942</v>
      </c>
      <c r="E101" s="40">
        <v>-22.236115000000002</v>
      </c>
      <c r="F101" s="40">
        <v>-18.063949999999998</v>
      </c>
      <c r="G101" s="40">
        <v>-18.282540000000001</v>
      </c>
      <c r="H101" s="40">
        <v>-4.3643475</v>
      </c>
      <c r="I101" s="40">
        <v>-34.193429999999999</v>
      </c>
      <c r="J101" s="40">
        <v>-18.785357999999999</v>
      </c>
      <c r="K101" s="47">
        <v>-11.526436</v>
      </c>
      <c r="L101" s="47">
        <v>-23.927264999999998</v>
      </c>
      <c r="M101" s="47">
        <v>-26.874749999999999</v>
      </c>
      <c r="N101" s="47">
        <v>-14.138930999999999</v>
      </c>
    </row>
    <row r="102" spans="1:14" x14ac:dyDescent="0.35">
      <c r="A102" s="2">
        <v>44953</v>
      </c>
      <c r="B102" s="40">
        <v>0.30043124999999998</v>
      </c>
      <c r="C102" s="40">
        <v>16.711891000000001</v>
      </c>
      <c r="D102" s="40">
        <v>-1.5671492</v>
      </c>
      <c r="E102" s="40">
        <v>-8.1312660000000001</v>
      </c>
      <c r="F102" s="40">
        <v>-4.7713099999999997</v>
      </c>
      <c r="G102" s="40">
        <v>-4.9328623</v>
      </c>
      <c r="H102" s="40">
        <v>-0.34154057999999998</v>
      </c>
      <c r="I102" s="40">
        <v>-12.507635000000001</v>
      </c>
      <c r="J102" s="40">
        <v>-4.3966292999999999</v>
      </c>
      <c r="K102" s="47">
        <v>1.9378304</v>
      </c>
      <c r="L102" s="47">
        <v>-3.1506538000000002</v>
      </c>
      <c r="M102" s="47">
        <v>-10.211963000000001</v>
      </c>
      <c r="N102" s="47">
        <v>-1.5193403000000001</v>
      </c>
    </row>
    <row r="103" spans="1:14" x14ac:dyDescent="0.35">
      <c r="A103" s="2">
        <v>44984</v>
      </c>
      <c r="B103" s="40">
        <v>-9.7355839999999993</v>
      </c>
      <c r="C103" s="40">
        <v>-0.100302696</v>
      </c>
      <c r="D103" s="40">
        <v>-8.1552799999999994</v>
      </c>
      <c r="E103" s="40">
        <v>-5.7872000000000003</v>
      </c>
      <c r="F103" s="40">
        <v>-10.581683999999999</v>
      </c>
      <c r="G103" s="40">
        <v>-6.8346260000000001</v>
      </c>
      <c r="H103" s="40">
        <v>-1.442796</v>
      </c>
      <c r="I103" s="40">
        <v>-14.365214</v>
      </c>
      <c r="J103" s="40">
        <v>-7.6640309999999996</v>
      </c>
      <c r="K103" s="47">
        <v>3.8846493</v>
      </c>
      <c r="L103" s="47">
        <v>-3.9503932000000002</v>
      </c>
      <c r="M103" s="47">
        <v>-5.0076904000000004</v>
      </c>
      <c r="N103" s="47">
        <v>0.48387049999999998</v>
      </c>
    </row>
    <row r="104" spans="1:14" x14ac:dyDescent="0.35">
      <c r="A104" s="2">
        <v>45012</v>
      </c>
      <c r="B104" s="40">
        <v>-11.7816925</v>
      </c>
      <c r="C104" s="40">
        <v>-12.147653999999999</v>
      </c>
      <c r="D104" s="40">
        <v>-16.924828000000002</v>
      </c>
      <c r="E104" s="40">
        <v>6.6745280000000004E-2</v>
      </c>
      <c r="F104" s="40">
        <v>-7.4432077000000003</v>
      </c>
      <c r="G104" s="40">
        <v>-7.9526130000000004</v>
      </c>
      <c r="H104" s="40">
        <v>-3.7832797</v>
      </c>
      <c r="I104" s="40">
        <v>-13.420653</v>
      </c>
      <c r="J104" s="40">
        <v>-10.91972</v>
      </c>
      <c r="K104" s="47">
        <v>8.1183429999999994</v>
      </c>
      <c r="L104" s="47">
        <v>-3.0162274999999998</v>
      </c>
      <c r="M104" s="47">
        <v>-9.9419889999999995</v>
      </c>
      <c r="N104" s="47">
        <v>6.1689376999999999</v>
      </c>
    </row>
    <row r="105" spans="1:14" x14ac:dyDescent="0.35">
      <c r="A105" s="2">
        <v>45043</v>
      </c>
      <c r="B105" s="40">
        <v>-0.63702464000000003</v>
      </c>
      <c r="C105" s="40">
        <v>-1.2535571999999999</v>
      </c>
      <c r="D105" s="40">
        <v>-3.9596200000000001</v>
      </c>
      <c r="E105" s="40">
        <v>16.986084000000002</v>
      </c>
      <c r="F105" s="40">
        <v>6.6702366</v>
      </c>
      <c r="G105" s="40">
        <v>4.6230316</v>
      </c>
      <c r="H105" s="40">
        <v>8.9118370000000002</v>
      </c>
      <c r="I105" s="40">
        <v>1.9073009999999999</v>
      </c>
      <c r="J105" s="40">
        <v>0.52226779999999995</v>
      </c>
      <c r="K105" s="47">
        <v>24.461221999999999</v>
      </c>
      <c r="L105" s="47">
        <v>12.63913</v>
      </c>
      <c r="M105" s="47">
        <v>6.5263986999999997</v>
      </c>
      <c r="N105" s="47">
        <v>22.043085000000001</v>
      </c>
    </row>
    <row r="106" spans="1:14" x14ac:dyDescent="0.35">
      <c r="A106" s="2">
        <v>45072</v>
      </c>
      <c r="B106" s="40">
        <v>3.4167051000000002</v>
      </c>
      <c r="C106" s="40">
        <v>-3.4985542000000001</v>
      </c>
      <c r="D106" s="40">
        <v>-6.7575035000000003</v>
      </c>
      <c r="E106" s="40">
        <v>9.2829230000000003</v>
      </c>
      <c r="F106" s="40">
        <v>5.1468369999999997</v>
      </c>
      <c r="G106" s="40">
        <v>6.9660425000000004</v>
      </c>
      <c r="H106" s="40">
        <v>1.4520168</v>
      </c>
      <c r="I106" s="40">
        <v>17.284012000000001</v>
      </c>
      <c r="J106" s="40">
        <v>5.3981184999999998</v>
      </c>
      <c r="K106" s="47">
        <v>15.524710000000001</v>
      </c>
      <c r="L106" s="47">
        <v>13.938796999999999</v>
      </c>
      <c r="M106" s="47">
        <v>0.99829435</v>
      </c>
      <c r="N106" s="47">
        <v>10.455645000000001</v>
      </c>
    </row>
    <row r="107" spans="1:14" x14ac:dyDescent="0.35">
      <c r="A107" s="2">
        <v>45104</v>
      </c>
      <c r="B107" s="40">
        <v>7.0619820000000004</v>
      </c>
      <c r="C107" s="40">
        <v>7.6386450000000004</v>
      </c>
      <c r="D107" s="40">
        <v>2.8432249999999999</v>
      </c>
      <c r="E107" s="40">
        <v>21.272278</v>
      </c>
      <c r="F107" s="40">
        <v>15.928006</v>
      </c>
      <c r="G107" s="40">
        <v>12.369166999999999</v>
      </c>
      <c r="H107" s="40">
        <v>9.7428209999999993</v>
      </c>
      <c r="I107" s="40">
        <v>25.296724000000001</v>
      </c>
      <c r="J107" s="40">
        <v>14.093971</v>
      </c>
      <c r="K107" s="47">
        <v>26.359451</v>
      </c>
      <c r="L107" s="47">
        <v>20.465479999999999</v>
      </c>
      <c r="M107" s="47">
        <v>10.791230000000001</v>
      </c>
      <c r="N107" s="47">
        <v>30.506789999999999</v>
      </c>
    </row>
    <row r="108" spans="1:14" x14ac:dyDescent="0.35">
      <c r="A108" s="2">
        <v>45134</v>
      </c>
      <c r="B108" s="40">
        <v>5.9580684000000002</v>
      </c>
      <c r="C108" s="40">
        <v>7.9668760000000001</v>
      </c>
      <c r="D108" s="40">
        <v>5.4513809999999996</v>
      </c>
      <c r="E108" s="40">
        <v>29.715050000000002</v>
      </c>
      <c r="F108" s="40">
        <v>15.855264999999999</v>
      </c>
      <c r="G108" s="40">
        <v>14.275169</v>
      </c>
      <c r="H108" s="40">
        <v>11.718285</v>
      </c>
      <c r="I108" s="40">
        <v>23.63081</v>
      </c>
      <c r="J108" s="40">
        <v>14.68848</v>
      </c>
      <c r="K108" s="47">
        <v>28.090202000000001</v>
      </c>
      <c r="L108" s="47">
        <v>20.831226000000001</v>
      </c>
      <c r="M108" s="47">
        <v>10.294461</v>
      </c>
      <c r="N108" s="47">
        <v>45.882736000000001</v>
      </c>
    </row>
    <row r="109" spans="1:14" x14ac:dyDescent="0.35">
      <c r="A109" s="2">
        <v>45163</v>
      </c>
      <c r="B109" s="40">
        <v>-4.425478</v>
      </c>
      <c r="C109" s="40">
        <v>-2.3389875999999998</v>
      </c>
      <c r="D109" s="40">
        <v>-3.8379669999999999</v>
      </c>
      <c r="E109" s="40">
        <v>25.072336</v>
      </c>
      <c r="F109" s="40">
        <v>8.4724059999999994</v>
      </c>
      <c r="G109" s="40">
        <v>9.8891969999999993</v>
      </c>
      <c r="H109" s="40">
        <v>7.0029260000000004</v>
      </c>
      <c r="I109" s="40">
        <v>14.36199</v>
      </c>
      <c r="J109" s="40">
        <v>6.6054105999999999</v>
      </c>
      <c r="K109" s="47">
        <v>23.576581999999998</v>
      </c>
      <c r="L109" s="47">
        <v>14.070379000000001</v>
      </c>
      <c r="M109" s="47">
        <v>3.7821174000000002</v>
      </c>
      <c r="N109" s="47">
        <v>35.407470000000004</v>
      </c>
    </row>
    <row r="110" spans="1:14" x14ac:dyDescent="0.35">
      <c r="A110" s="2">
        <v>45196</v>
      </c>
      <c r="B110" s="40">
        <v>7.3151827000000003</v>
      </c>
      <c r="C110" s="40">
        <v>12.410009000000001</v>
      </c>
      <c r="D110" s="40">
        <v>11.392498</v>
      </c>
      <c r="E110" s="40">
        <v>36.093257999999999</v>
      </c>
      <c r="F110" s="40">
        <v>26.172564999999999</v>
      </c>
      <c r="G110" s="40">
        <v>19.327294999999999</v>
      </c>
      <c r="H110" s="40">
        <v>27.115393000000001</v>
      </c>
      <c r="I110" s="40">
        <v>30.230713000000002</v>
      </c>
      <c r="J110" s="40">
        <v>19.110918000000002</v>
      </c>
      <c r="K110" s="47">
        <v>36.031196999999999</v>
      </c>
      <c r="L110" s="47">
        <v>24.429358000000001</v>
      </c>
      <c r="M110" s="47">
        <v>21.826160000000002</v>
      </c>
      <c r="N110" s="47">
        <v>45.776009999999999</v>
      </c>
    </row>
    <row r="111" spans="1:14" x14ac:dyDescent="0.35">
      <c r="A111" s="2">
        <v>45226</v>
      </c>
      <c r="B111" s="40">
        <v>-2.4090886</v>
      </c>
      <c r="C111" s="40">
        <v>2.7376412999999999</v>
      </c>
      <c r="D111" s="40">
        <v>-2.2058010000000001</v>
      </c>
      <c r="E111" s="40">
        <v>15.932202</v>
      </c>
      <c r="F111" s="40">
        <v>17.301727</v>
      </c>
      <c r="G111" s="40">
        <v>9.1154689999999992</v>
      </c>
      <c r="H111" s="40">
        <v>11.475205000000001</v>
      </c>
      <c r="I111" s="40">
        <v>27.409018</v>
      </c>
      <c r="J111" s="40">
        <v>9.7981090000000002</v>
      </c>
      <c r="K111" s="47">
        <v>16.473579999999998</v>
      </c>
      <c r="L111" s="47">
        <v>13.812530499999999</v>
      </c>
      <c r="M111" s="47">
        <v>4.4020413999999999</v>
      </c>
      <c r="N111" s="47">
        <v>25.64001</v>
      </c>
    </row>
    <row r="112" spans="1:14" x14ac:dyDescent="0.35">
      <c r="A112" s="2">
        <v>45257</v>
      </c>
      <c r="B112" s="40">
        <v>-2.7362465999999999</v>
      </c>
      <c r="C112" s="40">
        <v>-0.71722865000000002</v>
      </c>
      <c r="D112" s="40">
        <v>-9.6625089999999997E-2</v>
      </c>
      <c r="E112" s="40">
        <v>14.458156000000001</v>
      </c>
      <c r="F112" s="40">
        <v>12.833607000000001</v>
      </c>
      <c r="G112" s="40">
        <v>6.8092345999999999</v>
      </c>
      <c r="H112" s="40">
        <v>7.5215459999999998</v>
      </c>
      <c r="I112" s="40">
        <v>36.560569999999998</v>
      </c>
      <c r="J112" s="40">
        <v>14.758385000000001</v>
      </c>
      <c r="K112" s="47">
        <v>15.403091</v>
      </c>
      <c r="L112" s="47">
        <v>11.511505</v>
      </c>
      <c r="M112" s="47">
        <v>7.4032070000000001</v>
      </c>
      <c r="N112" s="47">
        <v>23.185752999999998</v>
      </c>
    </row>
    <row r="113" spans="1:14" x14ac:dyDescent="0.35">
      <c r="A113" s="2">
        <v>45287</v>
      </c>
      <c r="B113" s="40">
        <v>3.0067919999999999</v>
      </c>
      <c r="C113" s="40">
        <v>13.966131000000001</v>
      </c>
      <c r="D113" s="40">
        <v>14.293098000000001</v>
      </c>
      <c r="E113" s="40">
        <v>23.665963999999999</v>
      </c>
      <c r="F113" s="40">
        <v>19.246233</v>
      </c>
      <c r="G113" s="40">
        <v>16.522396000000001</v>
      </c>
      <c r="H113" s="40">
        <v>12.374150999999999</v>
      </c>
      <c r="I113" s="40">
        <v>57.195259999999998</v>
      </c>
      <c r="J113" s="40">
        <v>26.849806000000001</v>
      </c>
      <c r="K113" s="47">
        <v>22.054576999999998</v>
      </c>
      <c r="L113" s="47">
        <v>22.102093</v>
      </c>
      <c r="M113" s="47">
        <v>25.470839999999999</v>
      </c>
      <c r="N113" s="47">
        <v>31.414532000000001</v>
      </c>
    </row>
    <row r="114" spans="1:14" x14ac:dyDescent="0.35">
      <c r="A114" s="2">
        <v>45317</v>
      </c>
      <c r="B114" s="40">
        <v>-7.9473734</v>
      </c>
      <c r="C114" s="40">
        <v>-1.5383601</v>
      </c>
      <c r="D114" s="40">
        <v>4.8328519999999999</v>
      </c>
      <c r="E114" s="40">
        <v>7.8136206000000001</v>
      </c>
      <c r="F114" s="40">
        <v>13.842154000000001</v>
      </c>
      <c r="G114" s="40">
        <v>8.291328</v>
      </c>
      <c r="H114" s="40">
        <v>3.9708733999999999</v>
      </c>
      <c r="I114" s="40">
        <v>45.472861999999999</v>
      </c>
      <c r="J114" s="40">
        <v>22.266089999999998</v>
      </c>
      <c r="K114" s="47">
        <v>8.5502389999999995</v>
      </c>
      <c r="L114" s="47">
        <v>9.6140019999999993</v>
      </c>
      <c r="M114" s="47">
        <v>7.3050620000000004</v>
      </c>
      <c r="N114" s="47">
        <v>15.982305999999999</v>
      </c>
    </row>
    <row r="115" spans="1:14" x14ac:dyDescent="0.35">
      <c r="A115" s="2">
        <v>45349</v>
      </c>
      <c r="B115" s="40">
        <v>-2.9182017</v>
      </c>
      <c r="C115" s="40">
        <v>8.4183810000000001</v>
      </c>
      <c r="D115" s="40">
        <v>9.7969290000000004</v>
      </c>
      <c r="E115" s="40">
        <v>14.230383</v>
      </c>
      <c r="F115" s="40">
        <v>25.824332999999999</v>
      </c>
      <c r="G115" s="40">
        <v>9.4570519999999991</v>
      </c>
      <c r="H115" s="40">
        <v>5.2482604999999998</v>
      </c>
      <c r="I115" s="40">
        <v>49.899661999999999</v>
      </c>
      <c r="J115" s="40">
        <v>29.407084000000001</v>
      </c>
      <c r="K115" s="47">
        <v>12.839900999999999</v>
      </c>
      <c r="L115" s="47">
        <v>17.975318999999999</v>
      </c>
      <c r="M115" s="47">
        <v>13.465738</v>
      </c>
      <c r="N115" s="47">
        <v>23.063134999999999</v>
      </c>
    </row>
    <row r="116" spans="1:14" x14ac:dyDescent="0.35">
      <c r="A116" s="2">
        <v>45378</v>
      </c>
      <c r="B116" s="40">
        <v>-2.6404977000000001</v>
      </c>
      <c r="C116" s="40">
        <v>15.825653000000001</v>
      </c>
      <c r="D116" s="40">
        <v>18.156075000000001</v>
      </c>
      <c r="E116" s="40">
        <v>19.209420999999999</v>
      </c>
      <c r="F116" s="40">
        <v>27.452099</v>
      </c>
      <c r="G116" s="40">
        <v>10.024202000000001</v>
      </c>
      <c r="H116" s="40">
        <v>12.792719</v>
      </c>
      <c r="I116" s="40">
        <v>45.028793</v>
      </c>
      <c r="J116" s="40">
        <v>33.872520000000002</v>
      </c>
      <c r="K116" s="47">
        <v>17.247413999999999</v>
      </c>
      <c r="L116" s="47">
        <v>25.091148</v>
      </c>
      <c r="M116" s="47">
        <v>23.139095000000001</v>
      </c>
      <c r="N116" s="47">
        <v>33.644652999999998</v>
      </c>
    </row>
    <row r="117" spans="1:14" x14ac:dyDescent="0.35">
      <c r="A117" s="2">
        <v>45408</v>
      </c>
      <c r="B117" s="40">
        <v>-6.5254269999999996</v>
      </c>
      <c r="C117" s="40">
        <v>7.9960465000000003</v>
      </c>
      <c r="D117" s="40">
        <v>11.873341</v>
      </c>
      <c r="E117" s="40">
        <v>9.3940370000000009</v>
      </c>
      <c r="F117" s="40">
        <v>17.47223</v>
      </c>
      <c r="G117" s="40">
        <v>-1.5482605</v>
      </c>
      <c r="H117" s="40">
        <v>8.6244340000000008</v>
      </c>
      <c r="I117" s="40">
        <v>39.118492000000003</v>
      </c>
      <c r="J117" s="40">
        <v>27.525960000000001</v>
      </c>
      <c r="K117" s="47">
        <v>6.6514730000000002</v>
      </c>
      <c r="L117" s="47">
        <v>18.733013</v>
      </c>
      <c r="M117" s="47">
        <v>10.989618</v>
      </c>
      <c r="N117" s="47">
        <v>23.395465999999999</v>
      </c>
    </row>
    <row r="118" spans="1:14" x14ac:dyDescent="0.35">
      <c r="A118" s="2">
        <v>45436</v>
      </c>
      <c r="B118" s="40">
        <v>-3.5455226999999998</v>
      </c>
      <c r="C118" s="40">
        <v>15.331220999999999</v>
      </c>
      <c r="D118" s="40">
        <v>15.774953999999999</v>
      </c>
      <c r="E118" s="40">
        <v>16.953827</v>
      </c>
      <c r="F118" s="40">
        <v>17.091047</v>
      </c>
      <c r="G118" s="40">
        <v>5.1164984999999996</v>
      </c>
      <c r="H118" s="40">
        <v>16.899384000000001</v>
      </c>
      <c r="I118" s="40">
        <v>39.001441999999997</v>
      </c>
      <c r="J118" s="40">
        <v>30.665434000000001</v>
      </c>
      <c r="K118" s="47">
        <v>14.70853</v>
      </c>
      <c r="L118" s="47">
        <v>26.393699999999999</v>
      </c>
      <c r="M118" s="47">
        <v>23.413599000000001</v>
      </c>
      <c r="N118" s="47">
        <v>31.866990999999999</v>
      </c>
    </row>
    <row r="119" spans="1:14" x14ac:dyDescent="0.35">
      <c r="A119" s="2">
        <v>45470</v>
      </c>
      <c r="B119" s="40">
        <v>-2.5105952999999999</v>
      </c>
      <c r="C119" s="40">
        <v>13.821125</v>
      </c>
      <c r="D119" s="40">
        <v>10.517549499999999</v>
      </c>
      <c r="E119" s="40">
        <v>11.011267</v>
      </c>
      <c r="F119" s="40">
        <v>13.045859</v>
      </c>
      <c r="G119" s="40">
        <v>7.3637009999999998</v>
      </c>
      <c r="H119" s="40">
        <v>13.186776999999999</v>
      </c>
      <c r="I119" s="40">
        <v>33.284399999999998</v>
      </c>
      <c r="J119" s="40">
        <v>27.02713</v>
      </c>
      <c r="K119" s="47">
        <v>3.3979892999999999</v>
      </c>
      <c r="L119" s="47">
        <v>19.864882000000001</v>
      </c>
      <c r="M119" s="47">
        <v>19.618964999999999</v>
      </c>
      <c r="N119" s="47">
        <v>19.680022999999998</v>
      </c>
    </row>
    <row r="120" spans="1:14" x14ac:dyDescent="0.35">
      <c r="A120" s="2">
        <v>45499</v>
      </c>
      <c r="B120" s="40">
        <v>-5.0525245999999999</v>
      </c>
      <c r="C120" s="40">
        <v>9.4133739999999992</v>
      </c>
      <c r="D120" s="40">
        <v>9.3091369999999998</v>
      </c>
      <c r="E120" s="40">
        <v>10.787177</v>
      </c>
      <c r="F120" s="40">
        <v>11.69628</v>
      </c>
      <c r="G120" s="40">
        <v>7.171583</v>
      </c>
      <c r="H120" s="40">
        <v>11.884665500000001</v>
      </c>
      <c r="I120" s="40">
        <v>23.479604999999999</v>
      </c>
      <c r="J120" s="40">
        <v>21.204163000000001</v>
      </c>
      <c r="K120" s="47">
        <v>2.8565645000000002</v>
      </c>
      <c r="L120" s="47">
        <v>12.898540499999999</v>
      </c>
      <c r="M120" s="47">
        <v>14.420092</v>
      </c>
      <c r="N120" s="47">
        <v>17.209387</v>
      </c>
    </row>
    <row r="121" spans="1:14" x14ac:dyDescent="0.35">
      <c r="A121" s="2">
        <v>45531</v>
      </c>
      <c r="B121" s="40">
        <v>12.803698000000001</v>
      </c>
      <c r="C121" s="40">
        <v>24.839556000000002</v>
      </c>
      <c r="D121" s="40">
        <v>22.841476</v>
      </c>
      <c r="E121" s="40">
        <v>21.708834</v>
      </c>
      <c r="F121" s="40">
        <v>22.202217000000001</v>
      </c>
      <c r="G121" s="40">
        <v>18.049790000000002</v>
      </c>
      <c r="H121" s="40">
        <v>24.616669999999999</v>
      </c>
      <c r="I121" s="40">
        <v>31.873298999999999</v>
      </c>
      <c r="J121" s="40">
        <v>29.431068</v>
      </c>
      <c r="K121" s="47">
        <v>10.567140999999999</v>
      </c>
      <c r="L121" s="47">
        <v>26.461292</v>
      </c>
      <c r="M121" s="47">
        <v>33.841970000000003</v>
      </c>
      <c r="N121" s="47">
        <v>26.986588000000001</v>
      </c>
    </row>
    <row r="122" spans="1:14" x14ac:dyDescent="0.35">
      <c r="A122" s="2">
        <v>45562</v>
      </c>
      <c r="B122">
        <v>15.587365999999999</v>
      </c>
      <c r="C122">
        <v>32.056640000000002</v>
      </c>
      <c r="D122">
        <v>27.665317999999999</v>
      </c>
      <c r="E122">
        <v>33.538469999999997</v>
      </c>
      <c r="F122">
        <v>22.189045</v>
      </c>
      <c r="G122">
        <v>23.962284</v>
      </c>
      <c r="H122">
        <v>24.703120999999999</v>
      </c>
      <c r="I122">
        <v>38.807274</v>
      </c>
      <c r="J122">
        <v>36.148429999999998</v>
      </c>
      <c r="K122" s="47">
        <v>20.525884999999999</v>
      </c>
      <c r="L122" s="47">
        <v>39.336620000000003</v>
      </c>
      <c r="M122" s="47">
        <v>41.419409999999999</v>
      </c>
      <c r="N122" s="47">
        <v>35.54466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-31.768215000000001</v>
      </c>
      <c r="C126" s="40" cm="1">
        <f t="array" ref="C126">MIN(_xlfn._xlws.FILTER(C2:C122, ISNUMBER(C2:C122)))</f>
        <v>-28.844785999999999</v>
      </c>
      <c r="D126" s="40" cm="1">
        <f t="array" ref="D126">MIN(_xlfn._xlws.FILTER(D2:D122, ISNUMBER(D2:D122)))</f>
        <v>-25.237148000000001</v>
      </c>
      <c r="E126" s="40" cm="1">
        <f t="array" ref="E126">MIN(_xlfn._xlws.FILTER(E2:E122, ISNUMBER(E2:E122)))</f>
        <v>-40.305500000000002</v>
      </c>
      <c r="F126" s="40" cm="1">
        <f t="array" ref="F126">MIN(_xlfn._xlws.FILTER(F2:F122, ISNUMBER(F2:F122)))</f>
        <v>-31.195366</v>
      </c>
      <c r="G126" s="40" cm="1">
        <f t="array" ref="G126">MIN(_xlfn._xlws.FILTER(G2:G122, ISNUMBER(G2:G122)))</f>
        <v>-20.982433</v>
      </c>
      <c r="H126" s="40" cm="1">
        <f t="array" ref="H126">MIN(_xlfn._xlws.FILTER(H2:H122, ISNUMBER(H2:H122)))</f>
        <v>-26.490122</v>
      </c>
      <c r="I126" s="40" cm="1">
        <f t="array" ref="I126">MIN(_xlfn._xlws.FILTER(I2:I122, ISNUMBER(I2:I122)))</f>
        <v>-34.193429999999999</v>
      </c>
      <c r="J126" s="40" cm="1">
        <f t="array" ref="J126">MIN(_xlfn._xlws.FILTER(J2:J122, ISNUMBER(J2:J122)))</f>
        <v>-18.785357999999999</v>
      </c>
      <c r="K126" s="40" cm="1">
        <f t="array" ref="K126">MIN(_xlfn._xlws.FILTER(K2:K122, ISNUMBER(K2:K122)))</f>
        <v>-27.205753000000001</v>
      </c>
      <c r="L126" s="40" cm="1">
        <f t="array" ref="L126">MIN(_xlfn._xlws.FILTER(L2:L122, ISNUMBER(L2:L122)))</f>
        <v>-39.930070000000001</v>
      </c>
      <c r="M126" s="40" cm="1">
        <f t="array" ref="M126">MIN(_xlfn._xlws.FILTER(M2:M122, ISNUMBER(M2:M122)))</f>
        <v>-38.869304999999997</v>
      </c>
      <c r="N126" s="40" cm="1">
        <f t="array" ref="N126">MIN(_xlfn._xlws.FILTER(N2:N122, ISNUMBER(N2:N122)))</f>
        <v>-34.233890000000002</v>
      </c>
    </row>
    <row r="127" spans="1:14" x14ac:dyDescent="0.35">
      <c r="A127" s="2" t="s">
        <v>393</v>
      </c>
      <c r="B127" s="42" cm="1">
        <f t="array" ref="B127">MAX(_xlfn._xlws.FILTER(B1:B122, ISNUMBER(B1:B122)))</f>
        <v>49.413905999999997</v>
      </c>
      <c r="C127" s="42" cm="1">
        <f t="array" ref="C127">MAX(_xlfn._xlws.FILTER(C1:C122, ISNUMBER(C1:C122)))</f>
        <v>63.501835</v>
      </c>
      <c r="D127" s="42" cm="1">
        <f t="array" ref="D127">MAX(_xlfn._xlws.FILTER(D1:D122, ISNUMBER(D1:D122)))</f>
        <v>60.214675999999997</v>
      </c>
      <c r="E127" s="42" cm="1">
        <f t="array" ref="E127">MAX(_xlfn._xlws.FILTER(E1:E122, ISNUMBER(E1:E122)))</f>
        <v>56.501434000000003</v>
      </c>
      <c r="F127" s="42" cm="1">
        <f t="array" ref="F127">MAX(_xlfn._xlws.FILTER(F1:F122, ISNUMBER(F1:F122)))</f>
        <v>41.220190000000002</v>
      </c>
      <c r="G127" s="42" cm="1">
        <f t="array" ref="G127">MAX(_xlfn._xlws.FILTER(G1:G122, ISNUMBER(G1:G122)))</f>
        <v>34.674230000000001</v>
      </c>
      <c r="H127" s="42" cm="1">
        <f t="array" ref="H127">MAX(_xlfn._xlws.FILTER(H1:H122, ISNUMBER(H1:H122)))</f>
        <v>38.299379999999999</v>
      </c>
      <c r="I127" s="42" cm="1">
        <f t="array" ref="I127">MAX(_xlfn._xlws.FILTER(I1:I122, ISNUMBER(I1:I122)))</f>
        <v>65.696820000000002</v>
      </c>
      <c r="J127" s="42" cm="1">
        <f t="array" ref="J127">MAX(_xlfn._xlws.FILTER(J1:J122, ISNUMBER(J1:J122)))</f>
        <v>54.046190000000003</v>
      </c>
      <c r="K127" s="42" cm="1">
        <f t="array" ref="K127">MAX(_xlfn._xlws.FILTER(K1:K122, ISNUMBER(K1:K122)))</f>
        <v>57.014560000000003</v>
      </c>
      <c r="L127" s="42" cm="1">
        <f t="array" ref="L127">MAX(_xlfn._xlws.FILTER(L1:L122, ISNUMBER(L1:L122)))</f>
        <v>76.617583999999994</v>
      </c>
      <c r="M127" s="42" cm="1">
        <f t="array" ref="M127">MAX(_xlfn._xlws.FILTER(M1:M122, ISNUMBER(M1:M122)))</f>
        <v>81.251609999999999</v>
      </c>
      <c r="N127" s="42" cm="1">
        <f t="array" ref="N127">MAX(_xlfn._xlws.FILTER(N1:N122, ISNUMBER(N1:N122)))</f>
        <v>59.012949999999996</v>
      </c>
    </row>
    <row r="128" spans="1:14" x14ac:dyDescent="0.35">
      <c r="A128" s="2" t="s">
        <v>394</v>
      </c>
      <c r="B128" s="40" cm="1">
        <f t="array" ref="B128">MEDIAN(_xlfn._xlws.FILTER(B1:B122, ISNUMBER(B1:B122)))</f>
        <v>6.1705350000000001</v>
      </c>
      <c r="C128" s="40" cm="1">
        <f t="array" ref="C128">MEDIAN(_xlfn._xlws.FILTER(C1:C122, ISNUMBER(C1:C122)))</f>
        <v>4.3678879999999998</v>
      </c>
      <c r="D128" s="40" cm="1">
        <f t="array" ref="D128">MEDIAN(_xlfn._xlws.FILTER(D1:D122, ISNUMBER(D1:D122)))</f>
        <v>4.8249006000000003</v>
      </c>
      <c r="E128" s="40" cm="1">
        <f t="array" ref="E128">MEDIAN(_xlfn._xlws.FILTER(E1:E122, ISNUMBER(E1:E122)))</f>
        <v>1.9464135</v>
      </c>
      <c r="F128" s="40" cm="1">
        <f t="array" ref="F128">MEDIAN(_xlfn._xlws.FILTER(F1:F122, ISNUMBER(F1:F122)))</f>
        <v>8.2056280000000008</v>
      </c>
      <c r="G128" s="40" cm="1">
        <f t="array" ref="G128">MEDIAN(_xlfn._xlws.FILTER(G1:G122, ISNUMBER(G1:G122)))</f>
        <v>6.9660425000000004</v>
      </c>
      <c r="H128" s="40" cm="1">
        <f t="array" ref="H128">MEDIAN(_xlfn._xlws.FILTER(H1:H122, ISNUMBER(H1:H122)))</f>
        <v>1.2912393</v>
      </c>
      <c r="I128" s="40" cm="1">
        <f t="array" ref="I128">MEDIAN(_xlfn._xlws.FILTER(I1:I122, ISNUMBER(I1:I122)))</f>
        <v>22.804749000000001</v>
      </c>
      <c r="J128" s="40" cm="1">
        <f t="array" ref="J128">MEDIAN(_xlfn._xlws.FILTER(J1:J122, ISNUMBER(J1:J122)))</f>
        <v>14.184963</v>
      </c>
      <c r="K128" s="40" cm="1">
        <f t="array" ref="K128">MEDIAN(_xlfn._xlws.FILTER(K1:K122, ISNUMBER(K1:K122)))</f>
        <v>3.8380741999999999</v>
      </c>
      <c r="L128" s="40" cm="1">
        <f t="array" ref="L128">MEDIAN(_xlfn._xlws.FILTER(L1:L122, ISNUMBER(L1:L122)))</f>
        <v>8.2281700000000004</v>
      </c>
      <c r="M128" s="40" cm="1">
        <f t="array" ref="M128">MEDIAN(_xlfn._xlws.FILTER(M1:M122, ISNUMBER(M1:M122)))</f>
        <v>2.0731329999999999</v>
      </c>
      <c r="N128" s="40" cm="1">
        <f t="array" ref="N128">MEDIAN(_xlfn._xlws.FILTER(N1:N122, ISNUMBER(N1:N122)))</f>
        <v>1.4676094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19</v>
      </c>
      <c r="C130">
        <f>COUNTIF(C2:C122, "&lt;"&amp;Assumption!$F$50)</f>
        <v>22</v>
      </c>
      <c r="D130">
        <f>COUNTIF(D2:D122, "&lt;"&amp;Assumption!$F$50)</f>
        <v>19</v>
      </c>
      <c r="E130">
        <f>COUNTIF(E2:E122, "&lt;"&amp;Assumption!$F$50)</f>
        <v>28</v>
      </c>
      <c r="F130">
        <f>COUNTIF(F2:F122, "&lt;"&amp;Assumption!$F$50)</f>
        <v>15</v>
      </c>
      <c r="G130">
        <f>COUNTIF(G2:G122, "&lt;"&amp;Assumption!$F$50)</f>
        <v>12</v>
      </c>
      <c r="H130">
        <f>COUNTIF(H2:H122, "&lt;"&amp;Assumption!$F$50)</f>
        <v>21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14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0.15702479338842976</v>
      </c>
      <c r="C133" s="9">
        <f t="shared" si="2"/>
        <v>0.18181818181818182</v>
      </c>
      <c r="D133" s="9">
        <f t="shared" si="2"/>
        <v>0.15702479338842976</v>
      </c>
      <c r="E133" s="9">
        <f t="shared" si="2"/>
        <v>0.23140495867768596</v>
      </c>
      <c r="F133" s="9">
        <f t="shared" si="2"/>
        <v>0.12396694214876033</v>
      </c>
      <c r="G133" s="9">
        <f t="shared" si="2"/>
        <v>9.9173553719008267E-2</v>
      </c>
      <c r="H133" s="9">
        <f t="shared" si="2"/>
        <v>0.17355371900826447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0.11570247933884298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0.221</v>
      </c>
      <c r="C136" s="40" cm="1">
        <f t="array" ref="C136">_xlfn.PERCENTRANK.EXC(_xlfn._xlws.FILTER(C2:C122, ISNUMBER(C2:C122)),C120)</f>
        <v>0.65500000000000003</v>
      </c>
      <c r="D136" s="40" cm="1">
        <f t="array" ref="D136">_xlfn.PERCENTRANK.EXC(_xlfn._xlws.FILTER(D2:D122, ISNUMBER(D2:D122)),D120)</f>
        <v>0.622</v>
      </c>
      <c r="E136" s="40" cm="1">
        <f t="array" ref="E136">_xlfn.PERCENTRANK.EXC(_xlfn._xlws.FILTER(E2:E122, ISNUMBER(E2:E122)),E120)</f>
        <v>0.63100000000000001</v>
      </c>
      <c r="F136" s="40" cm="1">
        <f t="array" ref="F136">_xlfn.PERCENTRANK.EXC(_xlfn._xlws.FILTER(F2:F122, ISNUMBER(F2:F122)),F120)</f>
        <v>0.61399999999999999</v>
      </c>
      <c r="G136" s="40" cm="1">
        <f t="array" ref="G136">_xlfn.PERCENTRANK.EXC(_xlfn._xlws.FILTER(G2:G122, ISNUMBER(G2:G122)),G120)</f>
        <v>0.50800000000000001</v>
      </c>
      <c r="H136" s="40" cm="1">
        <f t="array" ref="H136">_xlfn.PERCENTRANK.EXC(_xlfn._xlws.FILTER(H2:H122, ISNUMBER(H2:H122)),H120)</f>
        <v>0.745</v>
      </c>
      <c r="I136" s="40" cm="1">
        <f t="array" ref="I136">_xlfn.PERCENTRANK.EXC(_xlfn._xlws.FILTER(I2:I122, ISNUMBER(I2:I122)),I120)</f>
        <v>0.54</v>
      </c>
      <c r="J136" s="40" cm="1">
        <f t="array" ref="J136">_xlfn.PERCENTRANK.EXC(_xlfn._xlws.FILTER(J2:J122, ISNUMBER(J2:J122)),J120)</f>
        <v>0.76200000000000001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0.59799999999999998</v>
      </c>
      <c r="M136" s="40" cm="1">
        <f t="array" ref="M136">_xlfn.PERCENTRANK.EXC(_xlfn._xlws.FILTER(M2:M122, ISNUMBER(M2:M122)),M120)</f>
        <v>0.68</v>
      </c>
      <c r="N136" s="40" cm="1">
        <f t="array" ref="N136">_xlfn.PERCENTRANK.EXC(_xlfn._xlws.FILTER(N2:N122, ISNUMBER(N2:N122)),N120)</f>
        <v>0.68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0.70399999999999996</v>
      </c>
      <c r="C137" s="40" cm="1">
        <f t="array" ref="C137">_xlfn.PERCENTRANK.EXC(_xlfn._xlws.FILTER(C2:C122, ISNUMBER(C2:C122)),C121)</f>
        <v>0.90100000000000002</v>
      </c>
      <c r="D137" s="40" cm="1">
        <f t="array" ref="D137">_xlfn.PERCENTRANK.EXC(_xlfn._xlws.FILTER(D2:D122, ISNUMBER(D2:D122)),D121)</f>
        <v>0.877</v>
      </c>
      <c r="E137" s="40" cm="1">
        <f t="array" ref="E137">_xlfn.PERCENTRANK.EXC(_xlfn._xlws.FILTER(E2:E122, ISNUMBER(E2:E122)),E121)</f>
        <v>0.84399999999999997</v>
      </c>
      <c r="F137" s="40" cm="1">
        <f t="array" ref="F137">_xlfn.PERCENTRANK.EXC(_xlfn._xlws.FILTER(F2:F122, ISNUMBER(F2:F122)),F121)</f>
        <v>0.89300000000000002</v>
      </c>
      <c r="G137" s="40" cm="1">
        <f t="array" ref="G137">_xlfn.PERCENTRANK.EXC(_xlfn._xlws.FILTER(G2:G122, ISNUMBER(G2:G122)),G121)</f>
        <v>0.81899999999999995</v>
      </c>
      <c r="H137" s="40" cm="1">
        <f t="array" ref="H137">_xlfn.PERCENTRANK.EXC(_xlfn._xlws.FILTER(H2:H122, ISNUMBER(H2:H122)),H121)</f>
        <v>0.90100000000000002</v>
      </c>
      <c r="I137" s="40" cm="1">
        <f t="array" ref="I137">_xlfn.PERCENTRANK.EXC(_xlfn._xlws.FILTER(I2:I122, ISNUMBER(I2:I122)),I121)</f>
        <v>0.745</v>
      </c>
      <c r="J137" s="40" cm="1">
        <f t="array" ref="J137">_xlfn.PERCENTRANK.EXC(_xlfn._xlws.FILTER(J2:J122, ISNUMBER(J2:J122)),J121)</f>
        <v>0.88500000000000001</v>
      </c>
      <c r="K137" s="40" cm="1">
        <f t="array" ref="K137">_xlfn.PERCENTRANK.EXC(_xlfn._xlws.FILTER(K2:K122, ISNUMBER(K2:K122)),K121)</f>
        <v>0.60599999999999998</v>
      </c>
      <c r="L137" s="40" cm="1">
        <f t="array" ref="L137">_xlfn.PERCENTRANK.EXC(_xlfn._xlws.FILTER(L2:L122, ISNUMBER(L2:L122)),L121)</f>
        <v>0.81100000000000005</v>
      </c>
      <c r="M137" s="40" cm="1">
        <f t="array" ref="M137">_xlfn.PERCENTRANK.EXC(_xlfn._xlws.FILTER(M2:M122, ISNUMBER(M2:M122)),M121)</f>
        <v>0.90100000000000002</v>
      </c>
      <c r="N137" s="40" cm="1">
        <f t="array" ref="N137">_xlfn.PERCENTRANK.EXC(_xlfn._xlws.FILTER(N2:N122, ISNUMBER(N2:N122)),N121)</f>
        <v>0.77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0.76200000000000001</v>
      </c>
      <c r="C138" s="40" cm="1">
        <f t="array" ref="C138">_xlfn.PERCENTRANK.EXC(_xlfn._xlws.FILTER(C2:C122, ISNUMBER(C2:C122)),C122)</f>
        <v>0.94199999999999995</v>
      </c>
      <c r="D138" s="40" cm="1">
        <f t="array" ref="D138">_xlfn.PERCENTRANK.EXC(_xlfn._xlws.FILTER(D2:D122, ISNUMBER(D2:D122)),D122)</f>
        <v>0.89300000000000002</v>
      </c>
      <c r="E138" s="40" cm="1">
        <f t="array" ref="E138">_xlfn.PERCENTRANK.EXC(_xlfn._xlws.FILTER(E2:E122, ISNUMBER(E2:E122)),E122)</f>
        <v>0.94199999999999995</v>
      </c>
      <c r="F138" s="40" cm="1">
        <f t="array" ref="F138">_xlfn.PERCENTRANK.EXC(_xlfn._xlws.FILTER(F2:F122, ISNUMBER(F2:F122)),F122)</f>
        <v>0.88500000000000001</v>
      </c>
      <c r="G138" s="40" cm="1">
        <f t="array" ref="G138">_xlfn.PERCENTRANK.EXC(_xlfn._xlws.FILTER(G2:G122, ISNUMBER(G2:G122)),G122)</f>
        <v>0.90100000000000002</v>
      </c>
      <c r="H138" s="40" cm="1">
        <f t="array" ref="H138">_xlfn.PERCENTRANK.EXC(_xlfn._xlws.FILTER(H2:H122, ISNUMBER(H2:H122)),H122)</f>
        <v>0.90900000000000003</v>
      </c>
      <c r="I138" s="40" cm="1">
        <f t="array" ref="I138">_xlfn.PERCENTRANK.EXC(_xlfn._xlws.FILTER(I2:I122, ISNUMBER(I2:I122)),I122)</f>
        <v>0.83599999999999997</v>
      </c>
      <c r="J138" s="40" cm="1">
        <f t="array" ref="J138">_xlfn.PERCENTRANK.EXC(_xlfn._xlws.FILTER(J2:J122, ISNUMBER(J2:J122)),J122)</f>
        <v>0.94199999999999995</v>
      </c>
      <c r="K138" s="40" cm="1">
        <f t="array" ref="K138">_xlfn.PERCENTRANK.EXC(_xlfn._xlws.FILTER(K2:K122, ISNUMBER(K2:K122)),K122)</f>
        <v>0.77800000000000002</v>
      </c>
      <c r="L138" s="40" cm="1">
        <f t="array" ref="L138">_xlfn.PERCENTRANK.EXC(_xlfn._xlws.FILTER(L2:L122, ISNUMBER(L2:L122)),L122)</f>
        <v>0.90900000000000003</v>
      </c>
      <c r="M138" s="40" cm="1">
        <f t="array" ref="M138">_xlfn.PERCENTRANK.EXC(_xlfn._xlws.FILTER(M2:M122, ISNUMBER(M2:M122)),M122)</f>
        <v>0.95</v>
      </c>
      <c r="N138" s="40" cm="1">
        <f t="array" ref="N138">_xlfn.PERCENTRANK.EXC(_xlfn._xlws.FILTER(N2:N122, ISNUMBER(N2:N122)),N122)</f>
        <v>0.86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0.56233333333333324</v>
      </c>
      <c r="C140" s="40">
        <f t="shared" si="4"/>
        <v>0.83266666666666678</v>
      </c>
      <c r="D140" s="40">
        <f t="shared" si="4"/>
        <v>0.79733333333333345</v>
      </c>
      <c r="E140" s="40">
        <f t="shared" si="4"/>
        <v>0.80566666666666664</v>
      </c>
      <c r="F140" s="40">
        <f t="shared" si="4"/>
        <v>0.79733333333333345</v>
      </c>
      <c r="G140" s="40">
        <f t="shared" si="4"/>
        <v>0.74266666666666659</v>
      </c>
      <c r="H140" s="40">
        <f t="shared" si="4"/>
        <v>0.85166666666666657</v>
      </c>
      <c r="I140" s="40">
        <f t="shared" si="4"/>
        <v>0.70699999999999996</v>
      </c>
      <c r="J140" s="40">
        <f t="shared" si="4"/>
        <v>0.86299999999999999</v>
      </c>
      <c r="K140" s="40">
        <f t="shared" ref="K140:N140" si="5">AVERAGE(K136:K138)</f>
        <v>0.6196666666666667</v>
      </c>
      <c r="L140" s="40">
        <f t="shared" si="5"/>
        <v>0.77266666666666672</v>
      </c>
      <c r="M140" s="40">
        <f t="shared" si="5"/>
        <v>0.84366666666666656</v>
      </c>
      <c r="N140" s="40">
        <f t="shared" si="5"/>
        <v>0.77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1.3179969844239301</v>
      </c>
      <c r="D17">
        <v>2.0739391971822698</v>
      </c>
      <c r="E17">
        <v>2.0881582961298202</v>
      </c>
      <c r="F17">
        <v>4.0763823276408404</v>
      </c>
      <c r="G17">
        <v>2.2808425238276202</v>
      </c>
      <c r="H17">
        <v>2.53509270637054</v>
      </c>
      <c r="I17">
        <v>9.5836735724996203</v>
      </c>
      <c r="J17">
        <v>17.7294354280966</v>
      </c>
      <c r="K17">
        <v>2.1970597067867201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1.26256164128892</v>
      </c>
      <c r="D18">
        <v>1.9578408739872699</v>
      </c>
      <c r="E18">
        <v>1.98003612030208</v>
      </c>
      <c r="F18">
        <v>3.6778954431728401</v>
      </c>
      <c r="G18">
        <v>2.3686407868237098</v>
      </c>
      <c r="H18">
        <v>2.0353592344840301</v>
      </c>
      <c r="I18">
        <v>10.684150503334701</v>
      </c>
      <c r="J18">
        <v>16.661770293157701</v>
      </c>
      <c r="K18">
        <v>1.8510975044873099</v>
      </c>
      <c r="L18">
        <v>2.0089294605542301</v>
      </c>
      <c r="M18">
        <v>2.2131087379995402</v>
      </c>
      <c r="N18">
        <v>1.9971174572949899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2.7145545164983602</v>
      </c>
      <c r="I19">
        <v>13.9300394020218</v>
      </c>
      <c r="J19">
        <v>22.276707341523601</v>
      </c>
      <c r="K19">
        <v>2.4608174872531499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3.1278508503090099</v>
      </c>
      <c r="I20">
        <v>12.9987631337275</v>
      </c>
      <c r="J20">
        <v>22.968710440494299</v>
      </c>
      <c r="K20">
        <v>2.80266519059803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2.6830121629805901</v>
      </c>
      <c r="E21">
        <v>2.6563834912307702</v>
      </c>
      <c r="F21">
        <v>4.5667318566591204</v>
      </c>
      <c r="G21">
        <v>2.8647085842717601</v>
      </c>
      <c r="H21">
        <v>3.0029399050437098</v>
      </c>
      <c r="I21">
        <v>16.647002337262101</v>
      </c>
      <c r="J21">
        <v>24.344986755502902</v>
      </c>
      <c r="K21">
        <v>2.9207046794115401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3.714974898957335E-3</v>
      </c>
      <c r="I25" s="48" cm="1">
        <f t="array" ref="I25">(I21/INDEX(I2:I21,MATCH(TRUE,INDEX(ISNUMBER(I2:I21),0),0)))^(1/I23)-1</f>
        <v>0.13099604038839674</v>
      </c>
      <c r="J25" s="48" cm="1">
        <f t="array" ref="J25">(J21/INDEX(J2:J21,MATCH(TRUE,INDEX(ISNUMBER(J2:J21),0),0)))^(1/J23)-1</f>
        <v>5.9884631589629977E-2</v>
      </c>
      <c r="K25" s="48" cm="1">
        <f t="array" ref="K25">(K21/INDEX(K2:K21,MATCH(TRUE,INDEX(ISNUMBER(K2:K21),0),0)))^(1/K23)-1</f>
        <v>1.8533351250322294E-2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1.5833987</v>
      </c>
      <c r="E3" cm="1">
        <f t="array" ref="E3">_xll.FDSB(B3,"FG_PRICE_CHANGE(0,-1AY)")</f>
        <v>-5.9698700000000002</v>
      </c>
      <c r="F3" cm="1">
        <f t="array" ref="F3">_xll.FDSB(B3,"FG_PRICE_CHANGE(0,-1AM)")</f>
        <v>-1.3146758000000001</v>
      </c>
      <c r="G3" cm="1">
        <f t="array" ref="G3">_xll.FDSB(B3,"FG_PRICE_CHANGE(0,-3AM)")</f>
        <v>-3.5076797000000002</v>
      </c>
      <c r="H3" cm="1">
        <f t="array" ref="H3">_xll.FDSB(B3,"FG_PRICE_CHANGE(0,-6AM)")</f>
        <v>-4.9960731999999997</v>
      </c>
      <c r="I3" cm="1">
        <f t="array" ref="I3">_xll.FDS(B3,"STD(FG_PRICE_CHANGE(0,-1AY,AM))")</f>
        <v>3.12105132037959</v>
      </c>
      <c r="J3" cm="1">
        <f t="array" ref="J3">_xll.FDS(B3,"STD(FG_PRICE_CHANGE(0,-3AY,M))")*SQRT(12)</f>
        <v>12.457306393257632</v>
      </c>
      <c r="L3">
        <f>(1-(_xlfn.PERCENTRANK.EXC($F$3:$F$15,F3)))*100</f>
        <v>85.8</v>
      </c>
      <c r="M3">
        <f>(1-(_xlfn.PERCENTRANK.EXC($G$3:$G$15,G3)))*100</f>
        <v>42.900000000000006</v>
      </c>
      <c r="N3">
        <f>(1-(_xlfn.PERCENTRANK.EXC($H$3:$H$15,H3)))*100</f>
        <v>57.2</v>
      </c>
      <c r="O3">
        <f>SUMPRODUCT($L$1:$N$1,L3:N3)</f>
        <v>57.20000000000001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32.18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1.4516792000000001</v>
      </c>
      <c r="E4" cm="1">
        <f t="array" ref="E4">_xll.FDSB(B4,"FG_PRICE_CHANGE(0,-1AY)")</f>
        <v>-7.4264169999999998</v>
      </c>
      <c r="F4" cm="1">
        <f t="array" ref="F4">_xll.FDSB(B4,"FG_PRICE_CHANGE(0,-1AM)")</f>
        <v>-1.5688896000000001</v>
      </c>
      <c r="G4" cm="1">
        <f t="array" ref="G4">_xll.FDSB(B4,"FG_PRICE_CHANGE(0,-3AM)")</f>
        <v>-3.3399402999999999</v>
      </c>
      <c r="H4" cm="1">
        <f t="array" ref="H4">_xll.FDSB(B4,"FG_PRICE_CHANGE(0,-6AM)")</f>
        <v>-5.2924514</v>
      </c>
      <c r="I4" cm="1">
        <f t="array" ref="I4">_xll.FDS(B4,"STD(FG_PRICE_CHANGE(0,-1AY,AM))")</f>
        <v>2.2350771699251801</v>
      </c>
      <c r="J4" cm="1">
        <f t="array" ref="J4">_xll.FDS(B4,"STD(FG_PRICE_CHANGE(0,-3AY,M))")*SQRT(12)</f>
        <v>10.876380138395533</v>
      </c>
      <c r="L4">
        <f t="shared" ref="L4:L15" si="1">(1-(_xlfn.PERCENTRANK.EXC($F$3:$F$15,F4)))*100</f>
        <v>92.9</v>
      </c>
      <c r="M4">
        <f t="shared" ref="M4:M15" si="2">(1-(_xlfn.PERCENTRANK.EXC($G$3:$G$15,G4)))*100</f>
        <v>35.799999999999997</v>
      </c>
      <c r="N4">
        <f t="shared" ref="N4:N15" si="3">(1-(_xlfn.PERCENTRANK.EXC($H$3:$H$15,H4)))*100</f>
        <v>64.3</v>
      </c>
      <c r="O4">
        <f t="shared" ref="O4:O11" si="4">SUMPRODUCT($L$1:$N$1,L4:N4)</f>
        <v>58.620000000000005</v>
      </c>
      <c r="P4">
        <f t="shared" ref="P4:P15" si="5">100- (_xlfn.PERCENTRANK.EXC($J$3:$J$15,J4)*100)</f>
        <v>21.5</v>
      </c>
      <c r="Q4">
        <f>VLOOKUP(A4,CAD!$A$3:$J$15, 10, FALSE)</f>
        <v>35.699999999999996</v>
      </c>
      <c r="S4">
        <f t="shared" si="0"/>
        <v>42.900000000000006</v>
      </c>
      <c r="U4" cm="1">
        <f t="array" ref="U4">_xlfn.PERCENTRANK.EXC(_xlfn._xlws.FILTER(S$3:S$15, ISNUMBER(S$3:S$15)),S4)*100</f>
        <v>35.699999999999996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1.3478650999999999</v>
      </c>
      <c r="E5" cm="1">
        <f t="array" ref="E5">_xll.FDSB(B5,"FG_PRICE_CHANGE(0,-1AY)")</f>
        <v>-0.28739572000000002</v>
      </c>
      <c r="F5" cm="1">
        <f t="array" ref="F5">_xll.FDSB(B5,"FG_PRICE_CHANGE(0,-1AM)")</f>
        <v>0.17949343000000001</v>
      </c>
      <c r="G5" cm="1">
        <f t="array" ref="G5">_xll.FDSB(B5,"FG_PRICE_CHANGE(0,-3AM)")</f>
        <v>-1.5402256999999999</v>
      </c>
      <c r="H5" cm="1">
        <f t="array" ref="H5">_xll.FDSB(B5,"FG_PRICE_CHANGE(0,-6AM)")</f>
        <v>-0.80839395999999997</v>
      </c>
      <c r="I5" cm="1">
        <f t="array" ref="I5">_xll.FDS(B5,"STD(FG_PRICE_CHANGE(0,-1AY,AM))")</f>
        <v>1.65877353594337</v>
      </c>
      <c r="J5" cm="1">
        <f t="array" ref="J5">_xll.FDS(B5,"STD(FG_PRICE_CHANGE(0,-3AY,M))")*SQRT(12)</f>
        <v>6.3538666609267711</v>
      </c>
      <c r="L5">
        <f t="shared" si="1"/>
        <v>7.1999999999999957</v>
      </c>
      <c r="M5">
        <f t="shared" si="2"/>
        <v>28.6</v>
      </c>
      <c r="N5">
        <f t="shared" si="3"/>
        <v>28.6</v>
      </c>
      <c r="O5">
        <f t="shared" si="4"/>
        <v>24.32</v>
      </c>
      <c r="P5">
        <f t="shared" si="5"/>
        <v>71.5</v>
      </c>
      <c r="Q5">
        <f>VLOOKUP(A5,CAD!$A$3:$J$15, 10, FALSE)</f>
        <v>35.699999999999996</v>
      </c>
      <c r="S5">
        <f t="shared" si="0"/>
        <v>40.75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0.89596180000000003</v>
      </c>
      <c r="E6" cm="1">
        <f t="array" ref="E6">_xll.FDSB(B6,"FG_PRICE_CHANGE(0,-1AY)")</f>
        <v>-5.8209714999999997</v>
      </c>
      <c r="F6" cm="1">
        <f t="array" ref="F6">_xll.FDSB(B6,"FG_PRICE_CHANGE(0,-1AM)")</f>
        <v>4.7576426999999998E-2</v>
      </c>
      <c r="G6" cm="1">
        <f t="array" ref="G6">_xll.FDSB(B6,"FG_PRICE_CHANGE(0,-3AM)")</f>
        <v>-4.0245714000000001</v>
      </c>
      <c r="H6" cm="1">
        <f t="array" ref="H6">_xll.FDSB(B6,"FG_PRICE_CHANGE(0,-6AM)")</f>
        <v>-3.0524491999999999</v>
      </c>
      <c r="I6" cm="1">
        <f t="array" ref="I6">_xll.FDS(B6,"STD(FG_PRICE_CHANGE(0,-1AY,AM))")</f>
        <v>1.81097706680361</v>
      </c>
      <c r="J6" cm="1">
        <f t="array" ref="J6">_xll.FDS(B6,"STD(FG_PRICE_CHANGE(0,-3AY,M))")*SQRT(12)</f>
        <v>7.5659731665849046</v>
      </c>
      <c r="L6">
        <f t="shared" si="1"/>
        <v>35.799999999999997</v>
      </c>
      <c r="M6">
        <f t="shared" si="2"/>
        <v>57.2</v>
      </c>
      <c r="N6">
        <f t="shared" si="3"/>
        <v>42.900000000000006</v>
      </c>
      <c r="O6">
        <f t="shared" si="4"/>
        <v>47.2</v>
      </c>
      <c r="P6">
        <f t="shared" si="5"/>
        <v>64.300000000000011</v>
      </c>
      <c r="Q6">
        <f>VLOOKUP(A6,CAD!$A$3:$J$15, 10, FALSE)</f>
        <v>78.5</v>
      </c>
      <c r="S6">
        <f t="shared" si="0"/>
        <v>58.59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143.13500999999999</v>
      </c>
      <c r="E7" cm="1">
        <f t="array" ref="E7">_xll.FDSB(B7,"FG_PRICE_CHANGE(0,-1AY)")</f>
        <v>-4.2415085000000001</v>
      </c>
      <c r="F7" cm="1">
        <f t="array" ref="F7">_xll.FDSB(B7,"FG_PRICE_CHANGE(0,-1AM)")</f>
        <v>-0.77295899999999995</v>
      </c>
      <c r="G7" cm="1">
        <f t="array" ref="G7">_xll.FDSB(B7,"FG_PRICE_CHANGE(0,-3AM)")</f>
        <v>-10.872066500000001</v>
      </c>
      <c r="H7" cm="1">
        <f t="array" ref="H7">_xll.FDSB(B7,"FG_PRICE_CHANGE(0,-6AM)")</f>
        <v>-5.4434300000000002</v>
      </c>
      <c r="I7" cm="1">
        <f t="array" ref="I7">_xll.FDS(B7,"STD(FG_PRICE_CHANGE(0,-1AY,AM))")</f>
        <v>3.1866230460675302</v>
      </c>
      <c r="J7" cm="1">
        <f t="array" ref="J7">_xll.FDS(B7,"STD(FG_PRICE_CHANGE(0,-3AY,M))")*SQRT(12)</f>
        <v>11.613084664213639</v>
      </c>
      <c r="L7">
        <f t="shared" si="1"/>
        <v>71.500000000000014</v>
      </c>
      <c r="M7">
        <f t="shared" si="2"/>
        <v>92.9</v>
      </c>
      <c r="N7">
        <f t="shared" si="3"/>
        <v>71.500000000000014</v>
      </c>
      <c r="O7">
        <f t="shared" si="4"/>
        <v>80.060000000000016</v>
      </c>
      <c r="P7">
        <f t="shared" si="5"/>
        <v>14.299999999999997</v>
      </c>
      <c r="Q7">
        <f>VLOOKUP(A7,CAD!$A$3:$J$15, 10, FALSE)</f>
        <v>64.2</v>
      </c>
      <c r="S7">
        <f t="shared" si="0"/>
        <v>57.160000000000011</v>
      </c>
      <c r="U7" cm="1">
        <f t="array" ref="U7">_xlfn.PERCENTRANK.EXC(_xlfn._xlws.FILTER(S$3:S$15, ISNUMBER(S$3:S$15)),S7)*100</f>
        <v>64.2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0.84373719999999996</v>
      </c>
      <c r="E8" cm="1">
        <f t="array" ref="E8">_xll.FDSB(B8,"FG_PRICE_CHANGE(0,-1AY)")</f>
        <v>-8.2744780000000002</v>
      </c>
      <c r="F8" cm="1">
        <f t="array" ref="F8">_xll.FDSB(B8,"FG_PRICE_CHANGE(0,-1AM)")</f>
        <v>0.11713505</v>
      </c>
      <c r="G8" cm="1">
        <f t="array" ref="G8">_xll.FDSB(B8,"FG_PRICE_CHANGE(0,-3AM)")</f>
        <v>-5.9378859999999998</v>
      </c>
      <c r="H8" cm="1">
        <f t="array" ref="H8">_xll.FDSB(B8,"FG_PRICE_CHANGE(0,-6AM)")</f>
        <v>-6.8362894000000001</v>
      </c>
      <c r="I8" cm="1">
        <f t="array" ref="I8">_xll.FDS(B8,"STD(FG_PRICE_CHANGE(0,-1AY,AM))")</f>
        <v>2.6060031139900399</v>
      </c>
      <c r="J8" cm="1">
        <f t="array" ref="J8">_xll.FDS(B8,"STD(FG_PRICE_CHANGE(0,-3AY,M))")*SQRT(12)</f>
        <v>8.592097405449751</v>
      </c>
      <c r="L8">
        <f t="shared" si="1"/>
        <v>21.499999999999996</v>
      </c>
      <c r="M8">
        <f t="shared" si="2"/>
        <v>85.8</v>
      </c>
      <c r="N8">
        <f t="shared" si="3"/>
        <v>92.9</v>
      </c>
      <c r="O8">
        <f t="shared" si="4"/>
        <v>75.78</v>
      </c>
      <c r="P8">
        <f t="shared" si="5"/>
        <v>42.900000000000006</v>
      </c>
      <c r="Q8">
        <f>VLOOKUP(A8,CAD!$A$3:$J$15, 10, FALSE)</f>
        <v>85.7</v>
      </c>
      <c r="S8">
        <f t="shared" si="0"/>
        <v>67.900000000000006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0.74713289999999999</v>
      </c>
      <c r="E9" cm="1">
        <f t="array" ref="E9">_xll.FDSB(B9,"FG_PRICE_CHANGE(0,-1AY)")</f>
        <v>-9.3354225</v>
      </c>
      <c r="F9" cm="1">
        <f t="array" ref="F9">_xll.FDSB(B9,"FG_PRICE_CHANGE(0,-1AM)")</f>
        <v>-1.1206925000000001</v>
      </c>
      <c r="G9" cm="1">
        <f t="array" ref="G9">_xll.FDSB(B9,"FG_PRICE_CHANGE(0,-3AM)")</f>
        <v>-5.4914293000000001</v>
      </c>
      <c r="H9" cm="1">
        <f t="array" ref="H9">_xll.FDSB(B9,"FG_PRICE_CHANGE(0,-6AM)")</f>
        <v>-5.6408525000000003</v>
      </c>
      <c r="I9" cm="1">
        <f t="array" ref="I9">_xll.FDS(B9,"STD(FG_PRICE_CHANGE(0,-1AY,AM))")</f>
        <v>1.9543683307455999</v>
      </c>
      <c r="J9" cm="1">
        <f t="array" ref="J9">_xll.FDS(B9,"STD(FG_PRICE_CHANGE(0,-3AY,M))")*SQRT(12)</f>
        <v>8.2682267127209244</v>
      </c>
      <c r="L9">
        <f t="shared" si="1"/>
        <v>78.600000000000009</v>
      </c>
      <c r="M9">
        <f t="shared" si="2"/>
        <v>71.500000000000014</v>
      </c>
      <c r="N9">
        <f t="shared" si="3"/>
        <v>78.600000000000009</v>
      </c>
      <c r="O9">
        <f>SUMPRODUCT($L$1:$N$1,L9:N9)</f>
        <v>75.760000000000019</v>
      </c>
      <c r="P9">
        <f t="shared" si="5"/>
        <v>50</v>
      </c>
      <c r="Q9">
        <f>VLOOKUP(A9,CAD!$A$3:$J$15, 10, FALSE)</f>
        <v>28.499999999999996</v>
      </c>
      <c r="S9">
        <f t="shared" si="0"/>
        <v>58.580000000000013</v>
      </c>
      <c r="U9" cm="1">
        <f t="array" ref="U9">_xlfn.PERCENTRANK.EXC(_xlfn._xlws.FILTER(S$3:S$15, ISNUMBER(S$3:S$15)),S9)*100</f>
        <v>71.399999999999991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14.3</v>
      </c>
      <c r="N10">
        <f t="shared" si="3"/>
        <v>14.3</v>
      </c>
      <c r="O10">
        <f t="shared" si="4"/>
        <v>21.44</v>
      </c>
      <c r="P10">
        <f t="shared" si="5"/>
        <v>92.9</v>
      </c>
      <c r="Q10">
        <f>VLOOKUP(A10,CAD!$A$3:$J$15, 10, FALSE)</f>
        <v>14.2</v>
      </c>
      <c r="S10">
        <f t="shared" si="0"/>
        <v>41.430000000000007</v>
      </c>
      <c r="U10" cm="1">
        <f t="array" ref="U10">_xlfn.PERCENTRANK.EXC(_xlfn._xlws.FILTER(S$3:S$15, ISNUMBER(S$3:S$15)),S10)*100</f>
        <v>21.4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14.3</v>
      </c>
      <c r="N11">
        <f t="shared" si="3"/>
        <v>14.3</v>
      </c>
      <c r="O11">
        <f t="shared" si="4"/>
        <v>21.44</v>
      </c>
      <c r="P11">
        <f t="shared" si="5"/>
        <v>92.9</v>
      </c>
      <c r="Q11">
        <f>VLOOKUP(A11,CAD!$A$3:$J$15, 10, FALSE)</f>
        <v>14.2</v>
      </c>
      <c r="S11">
        <f t="shared" si="0"/>
        <v>41.430000000000007</v>
      </c>
      <c r="U11" cm="1">
        <f t="array" ref="U11">_xlfn.PERCENTRANK.EXC(_xlfn._xlws.FILTER(S$3:S$15, ISNUMBER(S$3:S$15)),S11)*100</f>
        <v>21.4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0.84373719999999996</v>
      </c>
      <c r="E12" cm="1">
        <f t="array" ref="E12">_xll.FDSB(B12,"FG_PRICE_CHANGE(0,-1AY)")</f>
        <v>-8.2744780000000002</v>
      </c>
      <c r="F12" cm="1">
        <f t="array" ref="F12">_xll.FDSB(B12,"FG_PRICE_CHANGE(0,-1AM)")</f>
        <v>0.11713505</v>
      </c>
      <c r="G12" cm="1">
        <f t="array" ref="G12">_xll.FDSB(B12,"FG_PRICE_CHANGE(0,-3AM)")</f>
        <v>-5.9378859999999998</v>
      </c>
      <c r="H12" cm="1">
        <f t="array" ref="H12">_xll.FDSB(B12,"FG_PRICE_CHANGE(0,-6AM)")</f>
        <v>-6.8362894000000001</v>
      </c>
      <c r="I12" cm="1">
        <f t="array" ref="I12">_xll.FDS(B12,"STD(FG_PRICE_CHANGE(0,-1AY,AM))")</f>
        <v>2.6060031139900399</v>
      </c>
      <c r="J12" cm="1">
        <f t="array" ref="J12">_xll.FDS(B12,"STD(FG_PRICE_CHANGE(0,-3AY,M))")*SQRT(12)</f>
        <v>8.592097405449751</v>
      </c>
      <c r="L12">
        <f t="shared" si="1"/>
        <v>21.499999999999996</v>
      </c>
      <c r="M12">
        <f t="shared" si="2"/>
        <v>85.8</v>
      </c>
      <c r="N12">
        <f t="shared" si="3"/>
        <v>92.9</v>
      </c>
      <c r="O12">
        <f t="shared" ref="O12:O15" si="6">SUMPRODUCT($L$1:$N$1,L12:N12)</f>
        <v>75.78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60.760000000000005</v>
      </c>
      <c r="U12" cm="1">
        <f t="array" ref="U12">_xlfn.PERCENTRANK.EXC(_xlfn._xlws.FILTER(S$3:S$15, ISNUMBER(S$3:S$15)),S12)*100</f>
        <v>85.7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1.7882627</v>
      </c>
      <c r="E13" s="183" cm="1">
        <f t="array" ref="E13">_xll.FDSB(B13,"FG_PRICE_CHANGE(0,-1AY)")</f>
        <v>-9.705424E-2</v>
      </c>
      <c r="F13" s="183" cm="1">
        <f t="array" ref="F13">_xll.FDSB(B13,"FG_PRICE_CHANGE(0,-1AM)")</f>
        <v>-9.705424E-2</v>
      </c>
      <c r="G13" s="183" cm="1">
        <f t="array" ref="G13">_xll.FDSB(B13,"FG_PRICE_CHANGE(0,-3AM)")</f>
        <v>-9.705424E-2</v>
      </c>
      <c r="H13" s="183" cm="1">
        <f t="array" ref="H13">_xll.FDSB(B13,"FG_PRICE_CHANGE(0,-6AM)")</f>
        <v>-9.705424E-2</v>
      </c>
      <c r="I13" s="183" cm="1">
        <f t="array" ref="I13">_xll.FDS(B13,"STD(FG_PRICE_CHANGE(0,-1AY,AM))")</f>
        <v>2.69180029862452E-2</v>
      </c>
      <c r="J13" s="183" cm="1">
        <f t="array" ref="J13">_xll.FDS(B13,"STD(FG_PRICE_CHANGE(0,-3AY,M))")*SQRT(12)</f>
        <v>0.2059757180491337</v>
      </c>
      <c r="L13" s="183">
        <f t="shared" si="1"/>
        <v>57.2</v>
      </c>
      <c r="M13" s="183">
        <f t="shared" si="2"/>
        <v>21.499999999999996</v>
      </c>
      <c r="N13" s="183">
        <f t="shared" si="3"/>
        <v>21.499999999999996</v>
      </c>
      <c r="O13" s="183">
        <f t="shared" si="6"/>
        <v>28.64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56.46</v>
      </c>
      <c r="U13" s="183" cm="1">
        <f t="array" ref="U13">_xlfn.PERCENTRANK.EXC(_xlfn._xlws.FILTER(S$3:S$15, ISNUMBER(S$3:S$15)),S13)*100</f>
        <v>57.099999999999994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10.122754</v>
      </c>
      <c r="E14" cm="1">
        <f t="array" ref="E14">_xll.FDSB(B14,"FG_PRICE_CHANGE(0,-1AY)")</f>
        <v>-8.0694020000000002</v>
      </c>
      <c r="F14" cm="1">
        <f t="array" ref="F14">_xll.FDSB(B14,"FG_PRICE_CHANGE(0,-1AM)")</f>
        <v>-0.57551859999999999</v>
      </c>
      <c r="G14" cm="1">
        <f t="array" ref="G14">_xll.FDSB(B14,"FG_PRICE_CHANGE(0,-3AM)")</f>
        <v>-4.5423985</v>
      </c>
      <c r="H14" cm="1">
        <f t="array" ref="H14">_xll.FDSB(B14,"FG_PRICE_CHANGE(0,-6AM)")</f>
        <v>-4.599971</v>
      </c>
      <c r="I14" cm="1">
        <f t="array" ref="I14">_xll.FDS(B14,"STD(FG_PRICE_CHANGE(0,-1AY,AM))")</f>
        <v>3.5710022291034802</v>
      </c>
      <c r="J14" cm="1">
        <f t="array" ref="J14">_xll.FDS(B14,"STD(FG_PRICE_CHANGE(0,-3AY,M))")*SQRT(12)</f>
        <v>10.701514741002116</v>
      </c>
      <c r="L14">
        <f t="shared" si="1"/>
        <v>64.3</v>
      </c>
      <c r="M14">
        <f t="shared" si="2"/>
        <v>64.3</v>
      </c>
      <c r="N14">
        <f t="shared" si="3"/>
        <v>50</v>
      </c>
      <c r="O14">
        <f t="shared" si="6"/>
        <v>58.58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52.150000000000006</v>
      </c>
      <c r="U14" cm="1">
        <f t="array" ref="U14">_xlfn.PERCENTRANK.EXC(_xlfn._xlws.FILTER(S$3:S$15, ISNUMBER(S$3:S$15)),S14)*100</f>
        <v>42.8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1734.8240000000001</v>
      </c>
      <c r="E15" cm="1">
        <f t="array" ref="E15">_xll.FDSB(B15,"FG_PRICE_CHANGE(0,-1AY)")</f>
        <v>-5.8209777000000003</v>
      </c>
      <c r="F15" cm="1">
        <f t="array" ref="F15">_xll.FDSB(B15,"FG_PRICE_CHANGE(0,-1AM)")</f>
        <v>4.7576426999999998E-2</v>
      </c>
      <c r="G15" cm="1">
        <f t="array" ref="G15">_xll.FDSB(B15,"FG_PRICE_CHANGE(0,-3AM)")</f>
        <v>-4.0245714000000001</v>
      </c>
      <c r="H15" cm="1">
        <f t="array" ref="H15">_xll.FDSB(B15,"FG_PRICE_CHANGE(0,-6AM)")</f>
        <v>-3.0524491999999999</v>
      </c>
      <c r="I15" cm="1">
        <f t="array" ref="I15">_xll.FDS(B15,"STD(FG_PRICE_CHANGE(0,-1AY,AM))")</f>
        <v>1.8109782157097201</v>
      </c>
      <c r="J15" cm="1">
        <f t="array" ref="J15">_xll.FDS(B15,"STD(FG_PRICE_CHANGE(0,-3AY,M))")*SQRT(12)</f>
        <v>7.5659738856039853</v>
      </c>
      <c r="L15">
        <f t="shared" si="1"/>
        <v>35.799999999999997</v>
      </c>
      <c r="M15">
        <f t="shared" si="2"/>
        <v>57.2</v>
      </c>
      <c r="N15">
        <f t="shared" si="3"/>
        <v>42.900000000000006</v>
      </c>
      <c r="O15">
        <f t="shared" si="6"/>
        <v>47.2</v>
      </c>
      <c r="P15">
        <f t="shared" si="5"/>
        <v>57.2</v>
      </c>
      <c r="Q15">
        <f>VLOOKUP(A15,CAD!$A$3:$J$15, 10, FALSE)</f>
        <v>57.099999999999994</v>
      </c>
      <c r="S15">
        <f t="shared" si="7"/>
        <v>52.180000000000007</v>
      </c>
      <c r="U15" cm="1">
        <f t="array" ref="U15">_xlfn.PERCENTRANK.EXC(_xlfn._xlws.FILTER(S$3:S$15, ISNUMBER(S$3:S$15)),S15)*100</f>
        <v>50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-7.1</v>
      </c>
      <c r="H3" cm="1">
        <f t="array" ref="H3">IFERROR(_xll.FDS($F3,"EE_ACTUAL_ANNUAL(MED,+1)"),0)</f>
        <v>-6.4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-1</v>
      </c>
      <c r="J4" cm="1">
        <f t="array" ref="J4">_xlfn.PERCENTRANK.EXC(_xlfn._xlws.FILTER(H$3:H$15, ISNUMBER(H$3:H$15)),H4)*100</f>
        <v>35.699999999999996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6.85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6.5138108890660602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-3.2679156583067601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-3.2679156583067601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-1.0196499952942999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9.75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0.464182828189248</v>
      </c>
      <c r="H15" cm="1">
        <f t="array" ref="H15">IFERROR(_xll.FDS($F15,"EE_ACTUAL_ANNUAL(MED,+1)"),0)</f>
        <v>1.1000000000000001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11.7272452683733</v>
      </c>
      <c r="D17">
        <v>11.9786784677485</v>
      </c>
      <c r="E17">
        <v>10.4475672102116</v>
      </c>
      <c r="F17">
        <v>8.35596279152373</v>
      </c>
      <c r="G17">
        <v>14.538819869127099</v>
      </c>
      <c r="H17">
        <v>12.870966472555001</v>
      </c>
      <c r="I17">
        <v>25.900175394181499</v>
      </c>
      <c r="J17">
        <v>18.2929292773882</v>
      </c>
      <c r="K17">
        <v>10.914009645072801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11.0508592022587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11.207712202749599</v>
      </c>
      <c r="I18">
        <v>25.447685312801099</v>
      </c>
      <c r="J18">
        <v>17.229819146785299</v>
      </c>
      <c r="K18">
        <v>8.9422344840982593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9.2207656739007895</v>
      </c>
      <c r="G19">
        <v>16.3837417700753</v>
      </c>
      <c r="H19">
        <v>13.922736684393399</v>
      </c>
      <c r="I19">
        <v>27.6470377516053</v>
      </c>
      <c r="J19">
        <v>20.686290267069701</v>
      </c>
      <c r="K19">
        <v>12.253955548111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14.658060585061</v>
      </c>
      <c r="D20">
        <v>14.002940310619</v>
      </c>
      <c r="E20">
        <v>11.818711551142201</v>
      </c>
      <c r="F20">
        <v>9.2254455713673202</v>
      </c>
      <c r="G20">
        <v>16.690651733527702</v>
      </c>
      <c r="H20">
        <v>15.858347905759301</v>
      </c>
      <c r="I20">
        <v>24.917895930822901</v>
      </c>
      <c r="J20">
        <v>20.5983105900292</v>
      </c>
      <c r="K20">
        <v>13.153419453009199</v>
      </c>
      <c r="L20">
        <v>12.015889153241799</v>
      </c>
      <c r="M20">
        <v>14.6915673510104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13.1491479008301</v>
      </c>
      <c r="E21">
        <v>11.93889064433</v>
      </c>
      <c r="F21">
        <v>9.2997687113842105</v>
      </c>
      <c r="G21">
        <v>19.302463641340701</v>
      </c>
      <c r="H21">
        <v>14.7202942014685</v>
      </c>
      <c r="I21">
        <v>26.0524047586362</v>
      </c>
      <c r="J21">
        <v>20.3440340816855</v>
      </c>
      <c r="K21">
        <v>13.2312741384504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8.9422344840982593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14.442959457883351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14.7202942014685</v>
      </c>
      <c r="I25" s="8">
        <f t="shared" si="2"/>
        <v>26.0524047586362</v>
      </c>
      <c r="J25" s="8">
        <f t="shared" si="2"/>
        <v>20.3440340816855</v>
      </c>
      <c r="K25" s="8">
        <f t="shared" si="2"/>
        <v>13.2312741384504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45531</v>
      </c>
      <c r="M1" s="116"/>
    </row>
    <row r="2" spans="1:20" ht="15" thickBot="1" x14ac:dyDescent="0.4">
      <c r="K2" s="12" t="s">
        <v>772</v>
      </c>
      <c r="L2" s="187">
        <f ca="1">EDATE(TODAY(), -4)</f>
        <v>45439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45.810715000000002</v>
      </c>
      <c r="N4" cm="1">
        <f t="array" aca="1" ref="N4" ca="1">_xll.FDSRC("-","DUMMY","ECON_EXPR_DATA('FDS_ECON["&amp;H4&amp;"]',"&amp;$N$3&amp;",,Q)")</f>
        <v>45.525333000000003</v>
      </c>
      <c r="O4" cm="1">
        <f t="array" aca="1" ref="O4" ca="1">_xll.FDSRC("-","DUMMY","ECON_EXPR_DATA('FDS_ECON["&amp;H4&amp;"]',"&amp;$O$3&amp;",,Q)")</f>
        <v>47.698093</v>
      </c>
      <c r="P4">
        <f t="shared" ref="P4:P12" ca="1" si="0">IFERROR(N4-O4,$M$20)</f>
        <v>-2.1727599999999967</v>
      </c>
      <c r="Q4" cm="1">
        <f t="array" ref="Q4">_xlfn.PERCENTRANK.EXC(_xlfn._xlws.FILTER(M$4:M$16, ISNUMBER(M$4:M$16)),M4)*100</f>
        <v>21.4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18.519999999999996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48.495564000000002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57.099999999999994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57.099999999999994</v>
      </c>
      <c r="T5" cm="1">
        <f t="array" aca="1" ref="T5" ca="1">_xlfn.PERCENTRANK.EXC(_xlfn._xlws.FILTER(S$4:S$16, ISNUMBER(S$4:S$16)),S5)*100</f>
        <v>64.2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49.450510000000001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78.5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64.22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42.40119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49.845306000000001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85.7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88.54</v>
      </c>
      <c r="T8" cm="1">
        <f t="array" aca="1" ref="T8" ca="1">_xlfn.PERCENTRANK.EXC(_xlfn._xlws.FILTER(S$4:S$16, ISNUMBER(S$4:S$16)),S8)*100</f>
        <v>92.800000000000011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49.01182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64.2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52.800000000000004</v>
      </c>
      <c r="T9" cm="1">
        <f t="array" aca="1" ref="T9" ca="1">_xlfn.PERCENTRANK.EXC(_xlfn._xlws.FILTER(S$4:S$16, ISNUMBER(S$4:S$16)),S9)*100</f>
        <v>57.099999999999994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52.516356999999999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85.7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47.898150000000001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35.699999999999996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29.979999999999997</v>
      </c>
      <c r="T11" cm="1">
        <f t="array" aca="1" ref="T11" ca="1">_xlfn.PERCENTRANK.EXC(_xlfn._xlws.FILTER(S$4:S$16, ISNUMBER(S$4:S$16)),S11)*100</f>
        <v>28.499999999999996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47.898150000000001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35.699999999999996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29.979999999999997</v>
      </c>
      <c r="T12" cm="1">
        <f t="array" aca="1" ref="T12" ca="1">_xlfn.PERCENTRANK.EXC(_xlfn._xlws.FILTER(S$4:S$16, ISNUMBER(S$4:S$16)),S12)*100</f>
        <v>28.499999999999996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43.869770000000003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47.72757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28.499999999999996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51.379999999999995</v>
      </c>
      <c r="T14" cm="1">
        <f t="array" aca="1" ref="T14" ca="1">_xlfn.PERCENTRANK.EXC(_xlfn._xlws.FILTER(S$4:S$16, ISNUMBER(S$4:S$16)),S14)*100</f>
        <v>50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48.332496999999996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0.48312599999999861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58.56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49.41836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45.679999999999993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" ca="1">_xll.FDSRC("-","DUMMY","ECON_DATE("&amp;$L$1&amp;",,, 'MM/YYYY')")</f>
        <v>08/2024</v>
      </c>
      <c r="L18" t="str" cm="1">
        <f t="array" aca="1" ref="L18" ca="1">_xll.FDSRC("-","DUMMY","ECON_DATE("&amp;$L$2&amp;",,, 'MM/YYYY')")</f>
        <v>05/2024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48.332496999999996</v>
      </c>
      <c r="K19" cm="1">
        <f t="array" aca="1" ref="K19" ca="1">_xll.FDSRC("-","DUMMY","ECON_EXPR_DATA('FDS_ECON["&amp;H19&amp;"]',"&amp;$K$18&amp;",,Q)")</f>
        <v>49.418605999999997</v>
      </c>
      <c r="L19" cm="1">
        <f t="array" aca="1" ref="L19" ca="1">_xll.FDSRC("-","DUMMY","ECON_EXPR_DATA('FDS_ECON["&amp;H19&amp;"]',"&amp;$L$18&amp;",,Q)")</f>
        <v>49.135413999999997</v>
      </c>
      <c r="M19">
        <f ca="1">K19-L19</f>
        <v>0.28319199999999967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50.789436000000002</v>
      </c>
      <c r="K20" cm="1">
        <f t="array" aca="1" ref="K20" ca="1">_xll.FDSRC("-","DUMMY","ECON_EXPR_DATA('FDS_ECON["&amp;H20&amp;"]',"&amp;$K$18&amp;",,Q)")</f>
        <v>52.001809999999999</v>
      </c>
      <c r="L20" cm="1">
        <f t="array" aca="1" ref="L20" ca="1">_xll.FDSRC("-","DUMMY","ECON_EXPR_DATA('FDS_ECON["&amp;H20&amp;"]',"&amp;$L$18&amp;",,Q)")</f>
        <v>51.518684</v>
      </c>
      <c r="M20">
        <f ca="1">K20-L20</f>
        <v>0.48312599999999861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96.895499999999998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101051.37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1515.7139999999999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1840020.9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2841.212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2990072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940.23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2418593.5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15218.415000000001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6859674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1360.58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2345397.5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3415.7620000000002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3442832.8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295590.93300000002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59630524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587913.54582999996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59630524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674.04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3335243.5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293.76749999999998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1141856.8999999999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332.01224999999999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1113302.6000000001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557.50274999999999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909800.8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386050.66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444504"><![CDATA[{"FC0000US^FMA_MCAP(0,,,USD,\"PORTAGG\")":59630524.0,"EWU^FREF_MARKET_VALUE_COMPANY(0,,,USD,,0,,\"LEGACY\")":3415.762,"FC0000GB^FMA_MCAP(0,,,USD,\"PORTAGG\")":3442832.8,"EWL^FREF_MARKET_VALUE_COMPANY(0,,,USD,,0,,\"LEGACY\")":1360.58,"FC0000CH^FMA_MCAP(0,,,USD,\"PORTAGG\")":2345397.5,"EWJ^FREF_MARKET_VALUE_COMPANY(0,,,USD,,0,,\"LEGACY\")":15218.415,"FC0000JP^FMA_MCAP(0,,,USD,\"PORTAGG\")":6859674.0,"EWG^FREF_MARKET_VALUE_COMPANY(0,,,USD,,0,,\"LEGACY\")":940.23,"FC0000DE^FMA_MCAP(0,,,USD,\"PORTAGG\")":2418593.5,"EWC^FREF_MARKET_VALUE_COMPANY(0,,,USD,,0,,\"LEGACY\")":2841.212,"FC0000CA^FMA_MCAP(0,,,USD,\"PORTAGG\")":2990072.0,"EWA^FREF_MARKET_VALUE_COMPANY(0,,,USD,,0,,\"LEGACY\")":1515.714,"FC0000AU^FMA_MCAP(0,,,USD,\"PORTAGG\")":1840020.9,"ENZL^FREF_MARKET_VALUE_COMPANY(0,,,USD,,0,,\"LEGACY\")":96.8955,"FC0000NZ^FMA_MCAP(0,,,USD,\"PORTAGG\")":101051.37,"NQG00809^FG_COMPANY_NAME":"Nasdaq South Africa","CC_ZA^FG_COMPANY_NAME":"South Africa","FC0000ZA^FG_MCAP_IDX(0,,,USD)":386050.66,"EWI^FREF_MARKET_VALUE_COMPANY(0,,,USD,,0,,\"LEGACY\")":557.50275,"FC0000IT^FMA_MCAP(0,,,USD,\"PORTAGG\")":909800.8,"EWN^FREF_MARKET_VALUE_COMPANY(0,,,USD,,0,,\"LEGACY\")":293.7675,"SPY^FREF_MARKET_VALUE_COMPANY(0,,,USD,,0,,\"LEGACY\")":587913.54583,"QQQ^FREF_MARKET_VALUE_COMPANY(0,,,USD,,0,,\"LEGACY\")":295590.933,"NQG00809^FMA_MCAP(0,,,USD,\"PORTAGG\")":null,"EWD^FREF_MARKET_VALUE_COMPANY(0,,,USD,,0,,\"LEGACY\")":332.01225,"FC0000SE^FMA_MCAP(0,,,USD,\"PORTAGG\")":1113302.6,"FC0000NL^FMA_MCAP(0,,,USD,\"PORTAGG\")":1141856.9,"EWQ^FREF_MARKET_VALUE_COMPANY(0,,,USD,,0,,\"LEGACY\")":674.04,"FC0000FR^FMA_MCAP(0,,,USD,\"PORTAGG\")":3335243.5,"DUMMY^ECON_EXPR_DATA('FDS_ECON[NTCPMIMFGSA@IT]',,,M)":49.41836,"DUMMY^ECON_EXPR_DATA('FDS_ECON[NTCPMIMFGSA@FR]',,,M)":43.86977,"DUMMY^ECON_EXPR_DATA('FDS_ECON[NTCPMIMFGSA@GB]',,,M)":52.516357,"DUMMY^ECON_EXPR_DATA('FDS_ECON[NTCPMIMFGSA@CH]',,,M)":49.01182,"DUMMY^ECON_EXPR_DATA('FDS_ECON[NTCPMIMFGSA@CA]',,,M)":49.45051,"DUMMY^ECON_EXPR_DATA('FDS_ECON[NTCPMIMFGSA@AU]',,,M)":48.495564,"DUMMY^ECON_EXPR_DATA('FDS_ECON[]',,,M)":null,"DUMMY^ECON_EXPR_DATA('FDS_ECON[NTCPMIMFGSA@DE]',,,M)":42.40119,"DUMMY^ECON_EXPR_DATA('FDS_ECON[NTCPMIMFGMESA@US]',,,M)":47.89815,"DUMMY^ECON_EXPR_DATA('FDS_ECON[NTCPMIMFGSA@NZ]',,,M)":45.810715,"DUMMY^ECON_EXPR_DATA('FDS_ECON[NTCPMIMFGSA@NL]',,,M)":47.72757,"DUMMY^ECON_EXPR_DATA('FDS_ECON[NTCPMIMFGSA@JP]',,,M)":49.845306,"CAGDPY@FR^EE_ACTUAL_ANNUAL(MED,+1)":-0.4,"CAGDPY@AU^EE_ACTUAL_ANNUAL(MED,+1)":-1.0,"USDITL^FG_PRICE_CHANGE(0,-3AM)":-4.0245714,"USDANG^FG_PRICE_CHANGE(0,-3AM)":-0.09705424,"USDUSD^FG_PRICE_CHANGE(0,-3AM)":0.0,"USDGBP^FG_PRICE_CHANGE(0,-3AM)":-5.4914293,"USDJPY^FG_PRICE_CHANGE(0,-3AM)":-10.8720665,"USDCAD^FG_PRICE_CHANGE(0,-3AM)":-1.5402257,"USDNZD^FG_PRICE_CHANGE(0,-3AM)":-3.507679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JULIAN(P_PRICE_RETURNS_PR('52W',2,-10AY,0,AM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2],"EWD^FMA_DIV_YLD(NTMA,-10AY,0,AM,\"PORTAGG\",\"MEANR\")":[4.22701266814486,4.33809732326425,4.08077005658878,4.08193514473521,3.95065194711897,3.59445421457265,3.67953371607997,3.57626879904765,3.75293439936675,3.90332220593368,4.02831503738682,4.28550474982683,4.56500447507667,4.23476655750303,4.12339469056765,4.31624167016494,4.47347095248596,4.38417959520216,4.45407153538038,4.26680272379105,4.34675776980667,4.80540911176201,4.30085304897609,4.24310777583996,4.24614825979449,4.07533408241978,4.00713622666794,3.86501344640176,3.69026279021395,3.6624588455584,3.66908049767451,3.57094635977433,3.3724479854966,3.54967899663892,3.68150061555316,3.79148095509113,3.59218467961754,3.51776099160286,3.66644834816428,3.72964408901335,3.69100088675786,3.82584509210166,4.09506610597655,4.00281943337679,4.03765198311249,4.17733516668949,4.09231742101807,4.00935570105686,3.99772643294773,4.50752086522776,4.51588428771453,4.8402820502796,4.40452565800553,4.15130809415561,4.17776098031363,3.96308358728241,4.28879930023065,4.14833025486309,4.02384674555949,4.28293432955884,3.90463095220732,3.70676108967169,3.69043946508252,3.56839642932805,3.62734160055287,3.72215377226239,4.36061186694969,3.38879636460881,3.17150425376868,3.07075310818974,2.9799424225862,2.97115311380785,3.06814180548772,3.22396755683225,2.98423016166162,3.1131626665844,2.99599314608799,2.99054585448251,2.75954887939403,2.75627257139819,2.85119555017959,2.69047662946293,2.71715175368441,2.71239570144373,2.82984259577602,3.01561575232816,3.11929356956792,2.84785270448635,2.90366510323654,3.13937606671455,3.15383140186068,3.27221628502484,3.32654329774309,3.53253063546221,3.58154087075686,3.63903179423528,3.80317840587404,3.74246430809505,3.56145945120859,3.7172696141434,3.55990232791439,3.54435533558977,3.8165455149815,3.63857935351343,3.75381128990307,3.81615698830486,3.76659123735887,4.01477227125006,4.04794899369806,4.0256975178892,3.64771904624696,2.92245202832313,3.33853646170127,3.31450778867489,3.1843964131711,3.27893195417718,3.16297344774642,3.25446791791143,3.22790236879476,3.24770329024871,3.15125023993035],"EWQ^FMA_PE(NTMA,-10AY,0,AM,\"PORTAGG\",\"MEANR\")":[13.5612155928874,12.7500170921071,13.6937614828169,13.8024253492795,15.3285029208655,16.3806904032679,16.4766337219812,17.0101752257112,16.6150888988415,16.0871155859939,15.4659384091952,14.357690629618,13.9622849365278,14.987418630173,15.3275994586794,14.6268093163316,14.1288221056277,14.089952151828,14.1620791105493,14.8694695971422,14.5972036241849,12.771731337379,14.1977745493608,13.9714251082896,13.7189064736117,14.0005105541448,13.8017871146069,14.5390246219759,14.4162397548059,14.1651949143384,14.6646515329678,15.2374850530811,15.235447872678,14.9086884044256,14.8088462425742,14.4613857225405,14.9727898801478,15.378269150774,14.9665551595722,14.9232394332591,15.3227740976272,14.7039672784442,14.0874371545531,14.7820471397329,14.7040720812829,13.9968619854187,14.2527946614026,13.9810398806315,13.9810057240083,12.5029569648839,12.4675069148525,11.56055666293,12.6846410356428,13.4138784448417,13.480798051056,14.0997020785202,13.4359249598246,13.7885829945017,14.210611540928,13.579083510705,14.1300461861207,14.4277029310393,14.8108168174749,15.0434682547017,14.6376671490124,13.9047975941785,12.3962681425463,15.9247308290296,17.4389774507945,18.6292537795744,19.4174779634593,19.5970331943058,17.7649641348861,17.2006153686368,19.2150152310092,18.0728492237821,17.4798147905424,17.731265895786,18.1280030340098,18.1491600164499,17.7842100268317,17.83985808859,16.8445626578023,16.3091946442867,15.9690178983137,15.6477595720315,15.1145108290868,15.7834594028868,15.0153325077263,14.0781248692818,13.375572137852,12.7785453613824,12.4278904982432,11.4819283086361,11.5976175241731,11.2848215831429,10.1660254604057,11.1845044034358,12.0874630666911,11.9349569138731,13.1722922656513,13.2677903252903,12.8163742236772,13.6986701963574,13.1389077964463,13.0168558524052,13.326379832309,12.7628352496434,12.3405024446967,11.956160090298,12.870362995925,13.4742458995323,13.7306007337442,14.3176783984492,14.712980688908,14.5275707578538,14.4947529207033,13.4752341707547,13.6483882634539,13.7088654995222,13.7811864182033],"QQQ^FMA_PE(LTMA,-10AY,0,AM,\"PORTAGG\",\"MEANR\")":[19.3297191370039,19.2500411879603,20.4437009867452,20.4750692443012,19.6518342793516,20.7927523096553,20.4998593963006,20.539266646143,20.3475020657157,20.0829378723056,20.1693240370816,19.6035231480678,19.1333734821261,20.3649207997625,20.4328732407483,20.2407096445189,18.2024512248727,18.3305613531365,18.3128738266988,18.4334187342089,18.6109432734689,18.135911800015,19.3237102728331,19.5341477318184,19.9306013662306,19.8598957128519,20.0967406451956,20.7025281706985,21.3319746049565,21.7926198430943,21.6215832550168,21.7094922464605,21.9680667752675,21.7060749508482,22.1419879485421,21.8977762969064,22.1861414072242,22.7761542647425,23.3171760651345,23.6619252938705,25.4918676147698,24.3052630428216,23.6270008329203,23.2433827500108,23.2120399352541,22.8891026523186,23.0798570563249,23.2954951331148,23.2779611120197,20.9812123471486,20.1285372352587,18.6658496150003,20.0432632847245,20.9650284455418,20.9895540177391,21.4597946368253,20.9971913511962,21.5810083222715,22.2538715795227,21.5857873015304,21.6114240611209,22.3973297468565,23.803275944345,25.0101550086892,25.2158610115937,23.2651798552337,22.8601329002001,24.2365225134708,25.6981666777451,26.5373809948528,28.2250233773207,30.3389901674562,29.4809101624052,30.9777945241659,32.286625285321,33.7325746384421,34.1313650697555,32.1615307774657,31.8112406560211,31.9830742249189,30.8205687332098,31.0425928131923,31.2642525409891,30.9050527208761,30.3287282508166,30.3245330405759,30.7924377230606,31.7191675849472,26.4372476734717,26.063967657629,26.2471141948026,25.2449269459259,24.8845001760932,24.0236176320384,24.5258958273323,24.7062810616315,22.6441005469527,22.4555426757817,23.2163585773039,22.0956531834576,24.7556471378373,24.7723544359007,24.9023352339738,25.1161843008654,25.8241828611407,26.5088430125955,26.2918470503117,25.5984573099786,25.2250933015958,24.4657843639511,27.0871195674036,28.6401314445364,29.2198317482161,29.5727925862874,29.4503898267762,29.0800452391693,29.3588812902575,29.8566683965842,29.284101211091,30.0515394585401,30.5845625551042],"DDR3512M-FDS^FG_PRICE(0)":0.88,"PASP-FDS^FG_PRICE(0)":1065.0,"PLATI-FDS^FG_PRICE(0)":1010.0,"W-FDS^FG_PRICE(0)":5.8425,"COPP-FDS^FG_PRICE(0)":4.581,"FC0000US^FG_PRICE(0)":429.54947,"FC0000GR^FG_PRICE(0)":10.215527,"EWI^FG_PRICE(0)":39.33,"SPY^FG_PRICE(0)":572.3,"EWJ^FG_PRICE(0)":72.99,"ENZL^FG_PRICE(0)":49.69,"EWA^FG_COMPANY_NAME":"iShares MSCI Australia ETF","FXI^P_PRICE(0)/P_PRICE_LOW_PR(0,,,,,,\"PRICE\",\"INTRA\",\"52W\")-1":0.5302013,"SPY^FMA_PCT_ABOVE_MAVG(200,0,,,,\"PORTAGG\")":73.8522954091816,"URTH^PERCENT_CHANGE(FMA_EPS(+1,0,,,,\"PORTAGG\",\"MEAN\"),FMA_EPS(+1,-3AM,,,,\"PORTAGG\",\"MEAN\"))":1.34652864186968,"VGK^FG_TOTAL_RETURNC(0,-3AM)":7.5313687,"EWD^P_PRICE(0)/P_PRICE_HIGH_PR(0,,,,,,\"PRICE\",\"INTRA\",\"52W\")":0.99704283,"EWQ^FG_TOTAL_RETURNC(0,-12AM)":20.525885,"SPY^PERCENT_CHANGE(FMA_EPS(+1,0,,,,\"PORTAGG\",\"MEAN\"),FMA_EPS(+1,-1AM,,,,\"PORTAGG\",\"MEAN\"))":-0.832786101710178,"EWU^FG_TOTAL_RETURNC(0,-1AM)":0.1329422,"EWJ^FG_TOTAL_RETURNC(0,-6AM)":2.688861,"EWC^P_PRICE(0)/P_PRICE_LOW_PR(0,,,,,,\"PRICE\",\"INTRA\",\"52W\")-1":0.32632923,"EWA^FMA_PCT_ABOVE_MAVG(200,0,,,,\"PORTAGG\")":62.0689655172414,"EWJ^SIZE(FG_CONSTITUENTS)":199,"EWD^FMA_COS_DOWN(\"EPS\",\"1M\",+1,0,,,\"PORTAGG\",\"MEANR\")":22.0,"EWU^FMA_COS_UP(\"EPS\",\"1M\",+1,0,,,\"PORTAGG\",\"MEANR\")":31.0,"ENZL^SIZE(FG_CONSTITUENTS)":27,"EWI^FMA_RBICS_REV_CURRENT(30, LOC, \"PORTAGG\")":38.0511836286509,"EWQ^FG_ROE(0)":12.141125932435,"TRYGB10Y-FDS^FG_YIELD_NAME":"United Kingdom Benchmark Bond - 10 Year","EWG^FG_COMPANY_NAME":"iShares MSCI Germany ETF","REFFFUND-FDS^(SUBARRAY(NOT_NA(NO_REPEAT_F(FG_YIELD(NOW,-10AY,D))),0,1)-SUBARRAY(NOT_NA(NO_REPEAT_F(FG_YIELD(NOW,-10AY,D))),1,1))*100":-50.0,"REFEUREFI-FDS^FG_YIELD(NOW,,,0)":3.65,"TRYNL10Y-FDS^PCTCHG(FG_YIELD(0,,,,\"YTM\"),FG_YIELD(-1AM,,,,\"YTM\"))":null,"TRYCA10Y-FDS^PCTCHG(FG_YIELD(0,,,,\"YTM\"),FG_YIELD(-1AM,,,,\"YTM\"))":null,"TRYUS10Y-FDS^FG_YIELD_NAME":"US Benchmark Bond - 10 Year","TRYNZ10Y-FDS^FG_YIELD_NAME":"New Zealand Benchmark Bond - 10 Year","VWO^FG_FCF_YIELD_NTM(0)":5.46179786061908,"EWI^FMA_PE(NTMA,0,,,\"PORTAGG\",\"MEANR\")":9.93308884553532,"EWN^JULIAN(FMA_DIV_YLD(NTMA,NOW,NOW,M,\"PORTAGG\",\"MEANR\").DATES)":45534,"QQQ^FMA_EVAL_EBITDA(NTMA,0,,,\"PORTAGG\",\"MEANR\")":16.7699414231512,"EWL^FMA_DIV_YLD(NTMA,NOW,NOW,M,\"PORTAGG\",\"MEANR\")":3.0847125341828,"EWG^FMA_PE(LTM,0,,,\"PORTAGG\",\"MEANR\")":15.6453514257903,"ENZL^FMA_EVAL_EBIT(LTMA,NOW,NOW,M,\"PORTAGG\",\"MEANR\")":21.6175078655264,"EWJ^FG_COMPANY_NAME":"iShares MSCI Japan ETF","EWD^FG_COMPANY_NAME":"iShares MSCI Sweden ETF","VGK^P_PRICE(0)/P_PRICE_HIGH_PR(0,,,USD,,,\"PRICE\",\"INTRA\",\"52W\")":0.9989554,"QQQ^P_PRICE(0)/P_PRICE_HIGH_PR(0,,,USD,,,\"PRICE\",\"INTRA\",\"52W\")":0.97209644,"VWO^P_PRICE(0)/P_PRICE_HIGH_PR(0,,,USD,,,\"PRICE\",\"INTRA\",\"52W\")":0.99659264,"VWO^FG_TOTAL_RETURNC(0,-6AM)":16.72082,"TRYDE10Y-FDS^FG_YIELD_NAME":"Germany Benchmark Bond - 10 Year","DUMMY^ECON_EXPR_DATA('FDS_ECON[NTCPMIMFGSA@EME]',,,M)":50.789436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4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L^FMA_PE(NTMA,0,,,\"PORTAGG\",\"MEANR\")":17.1578371748026,"EWG^JULIAN(FMA_DIV_YLD(NTMA,NOW,NOW,M,\"PORTAGG\",\"MEANR\").DATES)":45534,"ENZL^FMA_EVAL_EBITDA(NTMA,0,,,\"PORTAGG\",\"MEANR\")":12.5334508699636,"EWN^FG_COMPANY_NAME":"iShares MSCI Netherlands ETF","VGK^FG_TOTAL_RETURNC(0,-6AM)":8.214593,"EWI^FG_COMPANY_NAME":"iShares MSCI Italy ETF","REFCATARG-FDS^FG_YIELD(NOW,,,0)":4.25,"CAGDPY@FR^EE_ACTUAL_ANNUAL(MED,0)":-1.0196499952943,"CAGDPY@AU^EE_ACTUAL_ANNUAL(MED,0)":0.252467670960909,"USDITL^FG_PRICE_CHANGE(0,-1AM)":0.047576427,"USDANG^FG_PRICE_CHANGE(0,-1AM)":-0.09705424,"USDUSD^FG_PRICE_CHANGE(0,-1AM)":0.0,"USDGBP^FG_PRICE_CHANGE(0,-1AM)":-1.1206925,"USDJPY^FG_PRICE_CHANGE(0,-1AM)":-0.772959,"USDCAD^FG_PRICE_CHANGE(0,-1AM)":0.17949343,"USDNZD^FG_PRICE_CHANGE(0,-1AM)":-1.3146758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2.6494086,-8.544308,3.6678195,-5.489212,-0.7112384,6.590259,0.13440847,3.1543612,1.8217325,2.6070714,-4.689479,-0.19946694,-5.463028,4.651165,-3.2323241,-1.6522169,-14.478355,-6.058097,6.890464,4.3801665,-3.0087113,-15.537739,9.642136,1.4505863,-3.1277895,4.612541,-6.128746,14.906847,0.5363107,-2.8723896,8.787489,2.8349519,7.024169,-0.69488883,6.9464564,2.6386976,2.5049448,-1.5755594,0.6533742,0.09480715,12.292135,-7.200927,-1.4705837,7.081616,-9.223014,-4.619998,3.415501,-4.528427,2.3537755,-13.135892,0.92258453,-2.42548,7.136965,3.581059,3.2342076,0.57616234,-3.4371674,5.0530195,1.278305,-4.363501,3.0920029,4.3525934,2.208197,2.2847295,-2.9034436,-4.833102,-24.223608,-0.43394566,6.3922524,8.72699,9.390867,-0.6573856,-6.1891794,-0.37344694,21.366096,1.9677758,-3.664744,5.3892255,5.080211,2.5127172,3.8783789,-0.050503016,-2.6315868,2.3299217,-1.001817,2.2692323,-5.1574173,5.335915,-2.9832482,-1.5688717,-7.4593544,-5.890459,6.039536,-11.802149,-4.759985,-1.3130069,-7.811159,12.057734,15.039468,-1.1722803,11.27597,0.43332577,-2.2237003,8.180594,-4.3928504,4.6056986,6.460941,-4.8611045,-4.4430313,-3.420794,12.79229,5.429399,-2.020502,6.8141103,6.183541,-1.8708825,3.759396,-4.843217,4.515052,2.8266668,1.9968867],"EWN^FMA_DIV_YLD(NTMA,-10AY,0,AM,\"PORTAGG\",\"MEANR\")":[3.00692373312957,3.2280439576351,3.06207322976612,3.06613499294765,2.91245656690848,2.71372282178949,2.70236145819363,2.62082511423199,2.76884608425858,2.83154020248197,2.93153435909908,3.40798721332145,3.55718138646594,3.28652266111504,3.10197971102992,3.2779092314833,3.27609859711998,3.38990219841549,3.3183560123189,3.2980154868034,3.25821120153716,3.54465698019595,3.18376122808615,3.13844750914302,3.16319880445803,3.10861490190189,3.1067661406875,2.95437557803377,2.95485150127102,2.87282273817187,2.79030699886708,2.7326258095594,2.72590854398477,2.75684111791146,2.73746486159139,2.83224646980785,2.81818251097897,2.7456784637202,2.8305770779192,2.83727362083646,2.77665802260765,2.91918987949713,3.0073241709667,2.93298881130635,2.88086523098899,2.93547313050203,2.84594917176049,2.88805668314926,2.9928522059061,3.26781195888478,3.22847286793935,3.54213859388273,3.28332140808705,3.12959357779203,3.08265591965006,2.9731074703266,3.1098546512918,3.03397414049646,2.88271115152012,3.02213514990272,2.75516504851131,2.73067988036975,2.64261937617804,2.57386219012913,2.66406730017246,2.78330007518589,3.40646050637911,2.77249167496889,2.50112834208235,2.39351188293154,2.3407242864839,2.28558431767315,2.39909832465643,2.35480238975358,2.15235241634423,2.01115245007685,2.0163654852912,2.00890154501115,1.96464460993529,1.91667816653069,1.97586635335139,1.99093713507646,1.99037168445358,1.83017579400906,1.89221996756421,1.9008231439681,1.96408127467891,1.93302233609472,2.21420343502656,2.33143064200421,2.25249176939939,2.42845066783608,2.52813053355561,3.36164444831778,3.13157754251923,3.65377868406087,3.05284754997516,2.9186792393601,2.65360364261274,2.78743303797644,2.52918838411431,2.6574084040713,2.74067687580359,2.69308069058925,2.63115429164613,2.7543317508086,2.63862440280908,2.91803335000293,3.08868587494082,3.11887852164135,2.79890739522752,2.67673086753507,2.58088213735721,2.47336813232195,2.5203896541524,2.57084156661884,2.46729414547972,2.50307546380452,2.59444823317593,2.6257395941572,2.65475685259364],"SPY^FMA_PE(NTMA,-10AY,0,AM,\"PORTAGG\",\"MEANR\")":[15.0996256442277,15.0497744508981,15.8755455907236,16.2067799251663,16.290673860047,16.9007316344402,16.4871616525574,16.7837962008856,16.679766935054,16.4037494531471,16.1392501811125,15.4687657413012,15.0352963666916,16.1843535121301,16.3453959893433,16.1143801392714,15.0367483336493,15.5099438140132,15.5167363536305,16.5004635460184,16.6302500091477,15.7238027928604,16.9139967517347,16.7898861437351,16.6020496120457,16.2551646900239,16.8205936265308,17.0517057982928,17.1831954500388,17.6761766468865,17.3751827024646,17.5064291403163,17.5333988469441,17.4018770942773,17.6832722932655,17.3317034033234,17.6479443183486,18.0047984906939,17.9465532845958,18.2197883861155,18.4548114831502,17.0734771392095,16.1639969002928,16.2202375877396,16.2864337875311,16.0193908293248,16.5215982660723,16.795489380907,16.782392436335,15.1753382120886,15.3014496427389,14.3041446470105,15.480909018284,16.2682835127423,16.2649153261112,16.9022021743168,16.1355335153301,16.6303026373159,17.214526634446,16.2546941767831,16.7218892485584,17.0992710638059,17.7922814098536,18.2273781514202,18.1370147647144,16.7028842856612,15.1716266611203,19.8518467030671,21.6008757094226,21.1139260468067,22.1090244830014,22.8129136503314,21.1675886031955,21.1563717109334,21.9177894515902,22.2300869560806,21.6901102518295,21.3859405762244,21.9523869665487,22.1960543489638,21.2556045352125,21.3345212573295,21.3198317896944,21.1741945572979,20.7467373035137,20.9301906635166,20.8352854272405,21.5030372752432,19.18967253545,19.1590222959887,19.5591761422964,17.679480987328,17.4728508521221,16.2707453069227,16.9081001757894,17.1003655473807,15.3845605508101,16.3607832691059,17.4056015681915,16.599680740686,17.9442694044097,17.5498675720123,17.463444733056,18.0529731681323,18.1565375215964,18.8237447123518,19.385801440743,18.4644499334685,17.781180171493,17.0473516457696,18.6781475076961,19.5674907262132,20.0329894329276,20.4311959095004,20.9431866659174,20.1057453577462,20.629545181472,21.0951028596516,20.8347547064759,21.2104328074901,21.4842393666159],"EWU^FMA_PE(LTMA,-10AY,0,AM,\"PORTAGG\",\"MEANR\")":[13.9623481142743,13.5071981027428,14.0674602822874,13.8644898471586,14.3083700059962,15.1831166741616,15.2523439769646,15.6777326714134,15.7851959370238,15.6923925093541,15.4687166944072,15.0348664792051,14.9964452295813,15.6835856414913,15.9742211220741,15.7596319513903,15.0681092814895,15.4662677386287,15.6566241433498,16.0208421482197,16.0587747235594,15.5536633947909,16.6441150355086,16.9559030916199,16.8699200968791,16.8117856118443,16.5194722770753,17.0087291128822,17.1323924705446,17.3817424909974,17.1444476364872,16.8971062985336,16.8136230856051,16.4878532970857,16.4765850654451,16.1108223394197,15.7693850771043,15.6351413269906,15.188683032871,15.3767205459112,15.6340012196857,14.0702675095195,13.8793306305655,14.0497003335159,14.0316553883031,13.8391391610217,13.8951113267335,13.6525411464659,13.7001544336996,12.6539028754221,12.6085825307195,11.7013752307065,12.3215879560705,13.0234916705443,12.9309579882858,13.0001250357299,12.855863226542,13.0194371750319,13.1407658101612,12.6972206538862,13.196461785959,13.3162185088842,13.6492094968115,14.2280806407656,13.8894154985388,12.7749751285205,12.2208701084954,13.302162600559,14.5440846914412,15.0623727729869,15.6492730687823,16.3770771389669,16.5230801314123,16.6211124013367,18.6409228440525,19.6132988578608,19.5852053445342,18.8050461873067,18.3599049908622,17.7595304139704,17.1874207550054,16.6351024093841,15.6469440059268,14.8110004640175,14.0418121604393,13.6909249168507,12.5309781139066,12.3785414784582,12.6583291794781,12.598230376042,12.4127524565788,12.0196491282858,11.7877859605176,11.3193095923736,10.9920251429413,10.5398680301368,9.45350799645781,9.58116162042,9.89395502405408,9.59783030786564,10.1487551082354,10.2859449195964,10.1662017587047,10.4039473148034,10.2661080343555,10.2959430332719,10.6199120095788,10.3378755642237,10.5552498163547,10.236477411294,10.7669324980297,11.3153239739501,11.3652972872207,11.5155731179328,11.5266191423502,11.6025379111016,11.7465820718981,11.629674123254,11.8734583353024,12.1398037296106,12.2193179613295],"WL-FDS^MAX(FG_PRICE(0,-5AY))":763.4,"NI-FDS^MAX(FG_PRICE(0,-5AY))":48241.0,"CPALM-FDS^MAX(FG_PRICE(0,-5AY))":8163.0,"BRENT-FDS^MAX(FG_PRICE(0,-5AY))":140.85,"TIOS-FDS^MAX(FG_PRICE(0,-5AY))":219.77,"FC0000GB^FG_PRICE(0)":136.45683,"FC0000CA^FG_PRICE(0)":319.34128,"EWD^FG_PRICE_MAVG(0,,,,200)":39.874374,"QQQ^FG_PRICE_MAVG(0,,,,200)":447.8985,"EWG^FG_PRICE_MAVG(0,,,,200)":30.8468,"ENZL^FG_COMPANY_NAME":"iShares MSCI New Zealand ETF","FXI^P_PRICE(0)/P_PRICE_HIGH_PR(0,,,,,,\"PRICE\",\"INTRA\",\"52W\")":0.9947024,"EWJ^FG_TOTAL_RETURNC(0,-12AM)":22.189045,"URTH^PERCENT_CHANGE(FMA_EPS(+1,0,,,,\"PORTAGG\",\"MEAN\"),FMA_EPS(+1,-1AM,,,,\"PORTAGG\",\"MEAN\"))":-0.268332196187374,"VGK^FG_TOTAL_RETURNC(0,-1AM)":1.4756203,"EWD^FG_TOTAL_RETURNC(0,-6AM)":9.614193,"EWQ^P_PRICE(0)/P_PRICE_LOW_PR(0,,,,,,\"PRICE\",\"INTRA\",\"52W\")-1":0.22103381,"EWU^PERCENT_CHANGE(FMA_EPS(+1,0,,,,\"PORTAGG\",\"MEAN\"),FMA_EPS(+1,-3AM,,,,\"PORTAGG\",\"MEAN\"))":1.52412955039449,"EWJ^FG_TOTAL_RETURNC(0,-3AM)":7.8935623,"EWC^P_PRICE(0)/P_PRICE_HIGH_PR(0,,,,,,\"PRICE\",\"INTRA\",\"52W\")":0.99629325,"ENZL^FG_TOTAL_RETURNC(0,-12AM)":15.587366,"EWJ^FMA_COS_DOWN(\"EPS\",\"1M\",+1,0,,,\"PORTAGG\",\"MEANR\")":82.0,"EWD^FMA_COS_UP(\"EPS\",\"1M\",+1,0,,,\"PORTAGG\",\"MEANR\")":7.0,"EWL^SIZE(FG_CONSTITUENTS)":47,"ENZL^FMA_COS_DOWN(\"EPS\",\"1M\",+1,0,,,\"PORTAGG\",\"MEANR\")":12.0,"EWD^FMA_RBICS_REV_CURRENT(30, LOC, \"PORTAGG\")":27.3013128847698,"SPY^FG_ROE(0)":18.6365295719801,"TRYCH10Y-FDS^FG_YIELD_NAME":"Treasury - Switzerland Benchmark Bond 10Y","EWC^FG_COMPANY_NAME":"iShares MSCI Canada ETF","REFFFUND-FDS^FG_YIELD(NOW,,,0)":5.0,"REFEUREFI-FDS^PROPER_NAME(0,,,\"SECURITY\",\"NAME\")":"Eurozone Main Refinancing Operations Minimum Bid Rate","TRYFR10Y-FDS^PCTCHG(FG_YIELD(0,,,,\"YTM\"),FG_YIELD(-3AM,,,,\"YTM\"))":null,"TRYAU10Y-FDS^PCTCHG(FG_YIELD(0,,,,\"YTM\"),FG_YIELD(-3AM,,,,\"YTM\"))":-10.181403,"TRYUS10Y-FDS^FG_YIELD(0,,,,\"YTM\")":null,"CC_IT^IMF_IFS_RCPI_Q(0)":0.80847347,"VWO^FMA_DIV_YLD(NTMA,NOW,NOW,M,\"PORTAGG\",\"MEANR\")":2.94407048268152,"EWI^FMA_PE(LTM,0,,,\"PORTAGG\",\"MEANR\")":11.405812272152,"EWQ^FMA_EVAL_EBIT(LTMA,NOW,NOW,M,\"PORTAGG\",\"MEANR\")":13.3536230759157,"QQQ^FG_FCF_YIELD_NTM(0)":3.52448167189969,"EWL^FG_COMPANY_NAME":"iShares MSCI Switzerland ETF","QQQ^FG_TOTAL_RETURNC(0,-6AM)":10.366524,"DUMMY^ECON_EXPR_DATA('FDS_ECON[PMIDMMANHE]',,,M)":48.33249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L^FMA_COS_DOWN(\"EPS\",\"1M\",+1,0,,,\"PORTAGG\",\"MEANR\")":26.0,"QQQ^FG_ROE(0)":22.2814032526962,"REFFFUND-FDS^PROPER_NAME(0,,,\"SECURITY\",\"NAME\")":"US Federal Funds Target Rate","TRYFR10Y-FDS^PCTCHG(FG_YIELD(0,,,,\"YTM\"),FG_YIELD(-1AM,,,,\"YTM\"))":null,"TRYAU10Y-FDS^PCTCHG(FG_YIELD(0,,,,\"YTM\"),FG_YIELD(-1AM,,,,\"YTM\"))":1.3302647,"CC_SE^IMF_IFS_RCPI_Q(0)":3.39215,"VWO^FG_TOTAL_RETURNC(0,-3AM)":10.889376,"NI-FDS^FG_PRICE_CHANGE(0,-1AY)":-11.4705882352941,"QQQ^FG_PRICE_MAVG(0,,,,30)":474.12933,"FXI^FG_TOTAL_RETURNC(0,-3AM)":23.290848,"VGK^PERCENT_CHANGE(FMA_EPS(+1,0,,,,\"PORTAGG\",\"MEAN\"),FMA_EPS(+1,-1AM,,,,\"PORTAGG\",\"MEAN\"))":0.0,"EWD^FG_TOTAL_RETURNC(0,-1AM)":4.4317365,"QQQ^P_PRICE(0)/P_PRICE_LOW_PR(0,,,,,,\"PRICE\",\"INTRA\",\"52W\")-1":0.42973566,"EWU^FMA_PCT_ABOVE_MAVG(200,0,,,,\"PORTAGG\")":61.5384615384615,"EWJ^PERCENT_CHANGE(FMA_EPS(+1,0,,,,\"PORTAGG\",\"MEAN\"),FMA_EPS(+1,-3AM,,,,\"PORTAGG\",\"MEAN\"))":12.437019186604,"ENZL^P_PRICE(0)/P_PRICE_HIGH_PR(0,,,,,,\"PRICE\",\"INTRA\",\"52W\")":0.9857171,"URTH^SIZE(FG_CONSTITUENTS)":1412,"CAGDPY@US^EE_ACTUAL_ANNUAL(MED,+1)":-3.3,"CAGDPY@NZ^EE_ACTUAL_ANNUAL(MED,+1)":-6.4,"USDITL^FG_PRICE_CHANGE(0,-1AY)":-5.8209777,"USDANG^FG_PRICE_CHANGE(0,-1AY)":-0.09705424,"USDUSD^FG_PRICE_CHANGE(0,-1AY)":0.0,"USDGBP^FG_PRICE_CHANGE(0,-1AY)":-9.3354225,"USDJPY^FG_PRICE_CHANGE(0,-1AY)":-4.2415085,"USDCAD^FG_PRICE_CHANGE(0,-1AY)":-0.28739572,"USDNZD^FG_PRICE_CHANGE(0,-1AY)":-5.96987,"EWA^JULIAN(FMA_EPS(NTMA,-20AY,0,CY,,\"PORTAGG\",\"MEANR\").DATES)":[38352,38716,39080,39447,39813,40178,40543,40907,41274,41639,42004,42369,42734,43098,43465,43830,44196,44561,44925,45289],"EWD^FG_TOTAL_RETURNC(-10AY,0,AM)":[-4.4121923,-2.8849125,5.9099436,-4.440689,-0.18674731,8.263183,-3.1682074,3.7477732,-1.5195012,-0.2184689,-4.2283354,-4.509616,-5.350071,4.8499584,-0.29950142,-0.6796241,-7.870841,0.58414936,3.7023664,7.210362,-3.0035913,-10.737258,9.094477,2.874589,0.5588651,-3.6818385,-0.25243163,3.3437133,5.77327,0.033080578,4.728842,4.452169,3.0532002,0.5611539,1.5214801,1.1460423,2.9052854,0.47996044,-2.6973844,-0.8948028,7.44555,-5.91619,-3.9592326,1.4246702,-0.2988577,-5.630559,6.382978,0.3437519,3.550291,-13.954884,0.55924654,-4.044211,6.8140626,2.0359755,0.9311676,6.4579964,-6.5304875,5.422771,-2.7552664,-7.5666666,6.1305523,7.0676208,1.3646483,5.850184,-4.0431204,-5.1810265,-18.926924,8.485592,10.404194,4.8710704,13.7483835,1.9669294,-4.417115,3.0710816,13.166857,0.6726146,3.7641168,1.6203165,7.5202227,6.0646296,1.1060119,-0.67040324,3.1256676,-0.63917637,-4.0257273,3.9999962,-7.338876,6.795633,-11.415184,-4.8923674,-0.07717013,-7.23294,1.4150858,-11.068707,2.8173447,-6.4347267,-12.339586,11.373878,14.122009,-3.1410754,8.770323,0.620234,-5.2675724,9.73084,-5.768192,-0.45766829999999997,2.3563266,-8.338004,-1.1638641,-4.5553207,17.402601,13.152779,-6.6366196,6.0085893,2.808702,-3.8149118,6.6018343,-2.4862826,-0.800401,5.8245063,4.4317365],"EWQ^FMA_DIV_YLD(NTMA,-10AY,0,AM,\"PORTAGG\",\"MEANR\")":[3.57565333497623,3.81437654721327,3.57520890234014,3.6279729413225,3.35093503590792,3.12865411889008,3.19378604686373,3.06811322575706,3.19677428318534,3.27726834042018,3.36649176871564,3.60229482065178,3.74803408456056,3.46623863617379,3.40791727778393,3.58412530665212,3.81164149666411,3.84812314720219,3.82252166349583,3.63139061008682,3.6820882209492,4.16124599446116,3.72253507926846,3.73095252396423,3.76275245084012,3.72175486990813,3.69329012655489,3.48108246542975,3.47527578284128,3.5194140428855,3.41042456031611,3.26151569356306,3.23198180743746,3.3043887720421,3.34196011020372,3.4176085703536,3.31803899486665,3.24307618743418,3.31440522202135,3.28887079226338,3.20099865215138,3.35512160346493,3.4915924369553,3.31632075908034,3.3072336356364,3.46103147021805,3.36982915012033,3.4064182280113,3.40021501172103,3.79993301081582,3.80860991077943,4.11829079386603,3.84173153562059,3.65496490624369,3.63749215903316,3.47858465226856,3.65358853813825,3.55581521520927,3.49586977148978,3.65949644391578,3.50862384337726,3.45951440443027,3.36469945955017,3.32075568962525,3.40950462009623,3.60153013501362,4.39591839820754,3.6557928732158,3.34582339109586,3.18345497195416,3.13439804911988,3.1067739966433,3.34648526329087,3.33905752703196,2.86594112578413,2.94410175789066,2.99311240557121,2.88006278463723,2.78257739108901,2.69683083759671,2.69401645415293,2.65499834985606,2.72423801607334,2.75791849626564,2.80592673758116,2.81967219846116,2.88322404418705,2.74609821761019,2.83036947877194,3.04247609047547,3.14377609457423,3.1977406772928,3.19027310512518,3.46368696989133,3.36320395118231,3.42918823670708,3.78946693045651,3.49831656319777,3.26724499082431,3.34654825456723,3.10200267917803,3.14376609596348,3.27487867163263,3.12160432130631,3.25056990371492,3.30036172077571,3.23716085804155,3.3717505761232,3.45973563528224,3.58922271833096,3.35525536721288,3.21287329230061,3.1764848066638,3.12015564004921,3.05343452406457,3.11564320574313,3.11439557523746,3.37125843106123,3.37582798765376,3.3669621239629,3.37397541842235],"QQQ^FMA_PE(NTMA,-10AY,0,AM,\"PORTAGG\",\"MEANR\")":[17.4832505886197,17.2128327461269,18.2441850270861,17.958339907237,17.1445154587181,18.0987091619455,17.6059471023599,18.3488720278686,18.1797403186645,17.8320799132451,18.1792027404716,17.4728639235628,16.9661448969001,18.4921348936042,18.7137447256753,18.4761293752436,16.7113603206765,17.0070253303169,17.6086286205357,17.8312393246629,18.0088908096734,16.7645322869124,18.6493135994681,18.5830552838314,18.6597801812093,18.2901339724451,18.291097102394,18.4483115377852,19.3264981523412,20.105694374995,19.9504810618859,20.381956603261,20.9496030825611,20.2018454472879,20.7878914948179,20.1885457746548,20.2436821831523,20.7484258693142,21.0537626974347,20.9382127191757,22.1227892939184,20.9434237032862,19.6309355860462,19.496332881483,20.0789911940664,19.8957665579755,20.4605850933668,20.9030862675946,20.8834719303178,18.5113702674783,18.1503492133815,17.114154864227,18.6337869979162,19.7041282908228,20.1575762567463,21.4071283731247,19.8598179647481,20.7764227648357,21.5314584460386,20.1368474905214,19.831165972279,20.5257440726006,21.6140721979619,22.3133184016087,22.4672991013917,20.8075212303294,19.4918061985612,23.9775900529801,26.4163796254823,26.9524946518545,28.3880854048377,30.3785535889436,27.9460327888103,28.4770323532732,28.9841516430132,29.0851053730715,29.0605489220503,27.2335361846352,27.187584287661,28.7214486787778,26.4074612806709,27.4444646676496,28.1813703255936,27.857721465313,27.1866883219051,27.730045721988,28.2626049126135,29.0253366278241,24.2562326510696,24.2407910519031,25.026155954065,21.9157659487563,21.4857538415418,20.2260593757022,21.5993330963683,22.0021610774019,19.5595042444893,20.0847112939447,21.401184383567,20.267888691938,23.0978096507108,22.7259383596769,23.6323312441708,24.0422645367894,25.3354543037702,25.9431816489704,24.9496456407789,23.4236963818369,22.5038361582107,21.5335423105073,23.8637186863659,24.7443423692616,25.4506462200206,25.6742423991125,25.7828989053132,25.1802716804252,26.2148177476651,27.1051123858436,25.7891694667476,26.3648759449245,26.5846133031004],"EWL^FMA_PE(LTMA,-10AY,0,AM,\"PORTAGG\",\"MEANR\")":[17.2698775866963,16.8656704024326,17.734943490231,17.3627595471822,16.7119830335953,17.9927049686476,18.0057057591524,18.2231585430833,18.1652063766898,17.8976156300915,18.0081370103528,17.4166356672647,16.9487651228455,17.6758071749782,17.6137578222839,17.3473832510538,16.7194369786179,16.6073382950339,16.595976802544,16.8858117550095,17.1775544307544,16.6076603054918,17.4937007902274,17.8529501611658,18.0146802040275,17.711205419424,17.5400228459349,18.2129230017799,18.5772824353765,19.5936794733986,19.5540038459195,19.5043327836141,19.5386254545056,19.4905506414354,19.3257328600005,19.1529823204513,19.311571761374,20.13607810303,20.3650162429515,20.7231541313346,22.2579310036866,21.4817990309801,20.7127630084067,20.3370620961571,19.9247140924011,19.2129645285851,19.3572772057617,18.9123915319695,18.6195069035457,17.492504930415,17.5600106789923,15.8190149713285,17.5052777948466,18.3837644089083,18.2485125894949,18.2908046453804,18.1727735247626,18.3200398635408,18.3386740551822,18.1771999291942,18.4172927386057,18.5971199354437,19.10292979348,19.7716261654978,19.8398647009823,18.6429871845594,17.6569427540259,18.5609787207258,18.9797829619014,19.4727075203472,20.1420214133708,20.671188177316,20.5875359836047,20.3320350214349,21.3947244321635,21.3804125563601,21.5855042718531,20.4823143891709,20.4682490884232,20.2027208809702,20.5690176572367,20.9514174767073,20.8339051892364,21.2304273567212,20.2192641689372,20.5726091709093,20.4141359545974,21.5734878945299,19.9324413537584,18.4032207270857,18.5447616049369,18.4580428543729,18.2521042374855,17.7000278514027,18.107207476002,17.9994950947415,16.8291790002797,17.7510176569712,19.848209641085,20.2314703835532,21.1456451258013,20.9261373672871,20.3497930280882,20.2529148530899,19.9348962068841,19.2042589488816,19.3351054195607,18.7027167392702,18.3284820847671,17.4707998827059,17.9747263994654,18.3682036468874,18.6721673798354,19.277208032206,19.1507732330735,18.8330019858395,18.8614393087476,18.7813187480235,18.8671766792352,18.948576569712,18.6451405871576],"WL-FDS^FG_PRICE(0)/MAX(FG_PRICE(0,-1AY))":0.777966989782552,"NI-FDS^FG_PRICE(0)/MAX(FG_PRICE(0,-1AY))":0.778143360752056,"CPALM-FDS^FG_PRICE(0)/MAX(FG_PRICE(0,-1AY))":0.924874426730727,"BRENT-FDS^FG_PRICE(0)/MAX(FG_PRICE(0,-1AY))":0.870614479821537,"TIOS-FDS^FG_PRICE(0)/MAX(FG_PRICE(0,-1AY))":0.6419256381798,"EWD^FG_PRICE_MAVG(0,,,,60)":40.703167,"QQQ^FG_PRICE_MAVG(0,,,,60)":472.35968,"EWG^FG_PRICE_MAVG(0,,,,60)":31.616,"FXI^FG_TOTAL_RETURNC(0,-6AM)":34.49081,"EWJ^P_PRICE(0)/P_PRICE_LOW_PR(0,,,,,,\"PRICE\",\"INTRA\",\"52W\")-1":0.2760489,"URTH^FMA_PCT_ABOVE_MAVG(200,0,,,,\"PORTAGG\")":67.3063255152807,"VGK^PERCENT_CHANGE(FMA_EPS(+1,0,,,,\"PORTAGG\",\"MEAN\"),FMA_EPS(+1,-3AM,,,,\"PORTAGG\",\"MEAN\"))":-2.97003559424656,"EWD^FG_TOTAL_RETURNC(0,-3AM)":9.629822,"EWQ^P_PRICE(0)/P_PRICE_HIGH_PR(0,,,,,,\"PRICE\",\"INTRA\",\"52W\")":0.96478873,"QQQ^FG_TOTAL_RETURNC(0,-12AM)":38.807274,"EWU^PERCENT_CHANGE(FMA_EPS(+1,0,,,,\"PORTAGG\",\"MEAN\"),FMA_EPS(+1,-1AM,,,,\"PORTAGG\",\"MEAN\"))":-0.218248655324601,"EWJ^FG_TOTAL_RETURNC(0,-1AM)":1.7565846,"EWC^FG_TOTAL_RETURNC(0,-6AM)":10.46611,"ENZL^P_PRICE(0)/P_PRICE_LOW_PR(0,,,,,,\"PRICE\",\"INTRA\",\"52W\")-1":0.21106207,"EWJ^FMA_COS_UP(\"EPS\",\"1M\",+1,0,,,\"PORTAGG\",\"MEANR\")":92.0,"EWN^SIZE(FG_CONSTITUENTS)":54,"ENZL^FMA_COS_UP(\"EPS\",\"1M\",+1,0,,,\"PORTAGG\",\"MEANR\")":7.0,"EWN^FMA_RBICS_REV_CURRENT(30, LOC, \"PORTAGG\")":25.7118752752456,"TRYJP10Y-FDS^FG_YIELD_NAME":"Japan Benchmark Bond - 10 Year","REFCATARG-FDS^(SUBARRAY(NOT_NA(NO_REPEAT_F(FG_YIELD(NOW,-10AY,D))),0,1)-SUBARRAY(NOT_NA(NO_REPEAT_F(FG_YIELD(NOW,-10AY,D))),1,1))*100":-25.0,"VWO^FG_PE_NTM(0,,,90,0)":12.874052173141,"EWI^JULIAN(FMA_DIV_YLD(NTMA,NOW,NOW,M,\"PORTAGG\",\"MEANR\").DATES)":45534,"EWQ^FMA_EVAL_EBITDA(NTMA,0,,,\"PORTAGG\",\"MEANR\")":9.18423860473812,"QQQ^FMA_DIV_YLD(NTMA,NOW,NOW,M,\"PORTAGG\",\"MEANR\")":0.83581193594364,"EWL^FMA_PE(LTM,0,,,\"PORTAGG\",\"MEANR\")":21.7336490482104,"EWC^FMA_EVAL_EBIT(LTMA,NOW,NOW,M,\"PORTAGG\",\"MEANR\")":16.1215282340165,"ENZL^FG_FCF_YIELD_NTM(0)":1.90919962807294,"EWQ^FG_COMPANY_NAME":"iShares MSCI France ETF","QQQ^FG_TOTAL_RETURNC(0,-3AM)":1.7744422,"BRENT-FDS^FG_PRICE_CHANGE(0,-1AY)":-12.9385520178463,"EWJ^P_PRICE(0)/P_PRICE_HIGH_PR(0,,,,,,\"PRICE\",\"INTRA\",\"52W\")":0.99658656,"VWO^FG_TOTAL_RETURNC(0,-12AM)":27.09707,"EWQ^FG_TOTAL_RETURNC(0,-6AM)":1.0932446,"EWN^FMA_COS_DOWN(\"EPS\",\"1M\",+1,0,,,\"PORTAGG\",\"MEANR\")":22.0,"EWQ^FMA_RBICS_REV_CURRENT(30, LOC, \"PORTAGG\")":11.5988441524133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0728,8.94223448409826,12.253955548111,13.1534194530092,13.2312741384504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3.26791565830676,"USDITL^FG_PRICE(0)":1734.824,"USDANG^FG_PRICE(0)":1.7882627,"USDGBP^FG_PRICE(0)":0.7471329,"USDCAD^FG_PRICE(0)":1.3478651,"USDNZD^FG_PRICE(0)":1.5833987,"EWI^P_PRICE_RETURNS_PR('52W',2,-10AY,0,AM)":[11.902988,-4.977882,0.64741373,-6.7184687,-8.511406,-7.9752026,-11.855668,-11.43561,-8.531737,-7.337493,-9.184801,-5.233526,-6.009364,5.3055286,-1.7036259,2.3598552,-11.895794,-21.930801,-18.100912,-16.126543,-20.105522,-34.23389,-24.344795,-22.212952,-21.194225,-21.223307,-22.720772,-10.714406,4.9610734,8.52046,10.446417,8.81139,19.481743,41.166748,37.69598,38.812386,47.40882,38.68921,48.709393,29.540062,44.272923,38.239265,25.204039,30.374468,10.0389,6.2116385,2.7049303,-4.46682,-4.607707,-16.736746,-15.586734,-17.712175,-20.660568,-12.368089,-8.183652,-14.295459,-10.601598,1.0381937,-0.6439209,-0.8789301,-0.16402006,19.984257,21.463943,27.327358,15.394794,6.020975,-22.178047,-22.959631,-15.11746,-11.955953,-5.111873,-1.4347613,-10.209883,-14.370465,1.6799212,1.4676094,0.57007074,9.492564,48.293137,59.01295,55.255733,39.99784,27.036333,30.856407,38.092243,41.75526,11.004424,14.434969,15.244508,6.8855286,-4.4183674,-12.979025,-11.168587,-21.613014,-23.326491999999998,-25.193083,-31.142103,-24.551504,-12.017292,-14.138931,-1.5193403,0.4838705,6.1689377,22.043085,10.455645,30.50679,45.882736,35.40747,45.77601,25.64001,23.185753,31.414532,15.982306,23.063135,33.644653,23.395466,31.866991,19.680023,17.209387,26.986588,35.54466],"SPY^FMA_DIV_YLD(NTMA,-10AY,0,AM,\"PORTAGG\",\"MEANR\")":[2.12250204907716,2.16100400103493,2.06385662302842,2.06843741436269,2.15073826326707,2.09873762013911,2.19605947647737,2.14624580066819,2.14410396133482,2.17301212413257,2.226786658967,2.33081653007597,2.41040056994,2.26272806796845,2.26973449566627,2.29360272571304,2.5258290165631,2.45182025901469,2.47519773454617,2.29179874134034,2.26932855728746,2.3927067759941,2.21924205168917,2.22173968410025,2.2284118938696,2.26696051999125,2.19861974925274,2.15905573974778,2.15083471997405,2.10326362665462,2.13137134275718,2.1049508721849,2.0939789692741,2.10427396250187,2.08034194669115,2.11979486574943,2.07026030920876,2.02373699685138,2.00506535347331,1.9544917348868,1.84898557050246,1.96129929561984,2.07787867474478,2.05587288441969,2.03316253960472,2.0655485605694,2.00019565306877,1.96039431660604,1.95564671031927,2.16452284016852,2.14252539147621,2.3345145597296,2.18991003566415,2.10127794600558,2.10639138750498,2.02766781883059,2.11801994786456,2.05986525014404,2.00179795797825,2.12029749519814,2.06091678664029,2.03424956163611,1.9673831238834,1.92659429042754,1.93871549239893,2.1274578829011,2.47778136080602,2.12967826346351,1.99050507871232,1.99332583650316,1.83429885987354,1.71100721816797,1.80702702857506,1.76597381810325,1.64990023620791,1.59893301247311,1.58776398494105,1.57925339277197,1.52023547006713,1.45692902089109,1.45889645446778,1.44525976318058,1.42405488696214,1.402186173373,1.42673786497358,1.40568556596271,1.40079731690933,1.3469570847388,1.50999256795945,1.50685137768787,1.44960695506618,1.58033751250908,1.59571010469078,1.71966932984771,1.67287258145923,1.68095678777545,1.87691467130246,1.81188972862748,1.72163325856692,1.8129264224719,1.71561595406949,1.76312891466279,1.77015457666374,1.7132662810155,1.68529154946906,1.62242497648905,1.57483910423554,1.63012655748493,1.69190542312046,1.76478752586109,1.60439294989295,1.53935393613744,1.51246081933813,1.47648133177252,1.42960176700753,1.48445908155254,1.44302725575121,1.40178889092012,1.41725523287914,1.37946197182707,1.35426846070158],"EWU^FMA_PE(NTMA,-10AY,0,AM,\"PORTAGG\",\"MEANR\")":[13.1154853356456,12.8100547422992,13.6041291594227,13.8539601253447,15.0783688174315,15.7673388929755,15.5444133060368,16.3954359141688,16.1402393242924,15.5215753531369,14.9488357830037,14.1914253478544,14.303327050792,15.1925395718658,15.4114620864583,15.320554933019,15.2835386195521,15.5831509287384,15.896173455917,16.4500968525822,16.0303554522739,14.6553316334863,16.1239344076506,16.127938229516,15.5198382449109,14.9915967033168,14.387931478018,14.268099722761,14.3254374262404,14.3894193885371,14.3869390212907,14.3723101690019,14.7786969487001,14.5138723023369,14.8420737630214,14.5343493915413,14.4300108458728,14.490782578503,14.2068359528436,14.5986098873264,14.6387740817537,13.2600596717518,13.1652705595897,13.8111767484273,13.7359389527835,13.2708949145256,13.2538713603503,12.8436989390931,12.8695887642634,11.5781202997867,11.74060616964,11.1361025301408,11.8953897799795,12.4743405121783,12.4627489219214,12.6611740084252,12.2191402150941,12.5284427700962,12.6421405434335,11.8473487489156,12.486249694022,12.6464656518125,13.1117363296346,13.5895345609474,13.1512647295124,12.2733855367788,11.3509568945755,14.1914516604118,15.9108643416417,15.8051598860744,15.6140646541283,15.276965601509,14.2811928907146,13.5968839843889,14.6335219592291,14.5525563760566,14.0929005445403,13.7583271501892,13.634310452981,13.3436537864194,13.1816168736866,13.0047111286551,12.3520910251163,12.1572964849437,11.9369130692477,12.214598003844,11.604969020595,12.1485952098497,12.3135382267747,12.0535602267491,11.5736271856438,10.6507947730866,10.5366120594284,9.91906010826036,9.80170470424889,9.56529703556736,8.4681314688779,9.03871801566244,9.77602313919701,9.83935941681561,10.557497808927,10.5515368674112,9.99720595682145,10.7277097035735,10.2359726728006,10.2456440130781,10.7463737176569,10.1614859613646,10.3720560567901,9.91957556055225,10.4574655906442,10.9749316211971,11.0930452109812,11.2245240250413,11.511304687027,11.5903700483516,11.7775811707806,11.3598666959158,11.6102540528411,11.7611678959406,11.8107826788735],"WL-FDS^FG_PRICE_CHANGE(0,-1AY)":-16.269561539546,"EWD^FG_PRICE_MAVG(0,,,,30)":41.600334,"EWG^FG_PRICE_MAVG(0,,,,30)":32.382668,"EWL^FMA_COS_UP(\"EPS\",\"1M\",+1,0,,,\"PORTAGG\",\"MEANR\")":14.0,"EWU^FG_ROE(0)":13.846964527699,"TRYUS10Y-FDS^PCTCHG(FG_YIELD(0,,,,\"YTM\"),FG_YIELD(-3AM,,,,\"YTM\"))":null,"TRYGB10Y-FDS^FG_YIELD(0,,,,\"YTM\")":null,"CAGDPY@NZ^EE_ACTUAL_ANNUAL(MED,0)":-7.1,"USDUSD^FG_PRICE(0)":1.0,"USDJPY^FG_PRICE(0)":143.13501,"EWN^FG_TOTAL_RETURNC(-10AY,0,AM)":[-1.7835438,-4.416013,6.822109,-0.99635124,-0.8398175,5.7219625,-0.50801635,4.8311114,0.44959784,1.1024714,-2.5382638,-5.7449284,-5.3230467,7.1244597,-0.32051206,-2.1349251,-5.950415,-0.13181567,6.423235,2.9764295,0.44158697,-11.934275,9.852672,3.3109784,0.24340153,-1.3354897,-2.7891636,2.8698564,3.282094,2.4135113,6.0879827,3.9244652,4.951906,-0.18280149,5.2667856,0.2616048,0.71754456,1.8782377,0.31785965,0.82086325,7.585335,-5.8460655,-1.435256,2.3741722,-1.3296247,-3.9152026,5.170703,-0.724864,-3.1428576,-10.22616,3.1763434,-7.1629763,7.5449944,5.23504,0.5414605,4.712224,-2.764386,3.5787106,3.139305,-4.9778104,3.8038135,2.5715232,2.507043,3.8489342,-2.9264033,-6.5164385,-16.48209,9.32138,7.6346755,7.9363823,8.155704,2.0851254,-4.308897,2.8362513,11.913574,5.6032777,1.7378688,4.4365287,5.270326,5.848074,0.265038,-0.13600588,0.45090914,7.2026134,-1.5702307,0.6864548,-5.1277103,1.9367814,-10.962725,-2.1490932,-2.562338,-10.30758,2.8010488,-6.7398605,3.0982018,-6.0101986,-12.789035,7.528639,17.38205,-2.3016095,13.354707,-2.9571116,-1.614666,4.1707754,1.8952847,0.62662363,3.4112096,-8.178944,-8.070862,-1.6461492,15.008842,6.977117,2.3846626,3.809321,4.3195724,-2.6934683,6.8374276,-1.5506446,-3.1380296,3.4242272,1.2886643],"EWJ^FMA_PE(LTMA,-10AY,0,AM,\"PORTAGG\",\"MEANR\")":[15.4286075255403,14.7065166267534,15.9654064465761,16.1917123386014,15.6890528811828,16.9321203067015,16.8725663433186,16.9733047191973,17.1758361571392,16.9564519391573,16.7212633849991,15.7091512857482,15.1717236283757,15.7664425194868,16.2670470739019,15.6266440618873,14.3185782585079,13.9581702484063,13.8548763634678,13.9438965978409,14.0067677039624,13.5448983750214,14.1994832538294,13.9603365984447,14.3927169113086,14.6686336075351,15.5845178792127,16.4875355030734,16.6807875682828,15.9546973608978,15.7629920110502,15.6303105755657,15.643490033175,15.6409955880964,15.455107322132,14.9226344247617,15.0058623930357,15.5211225833806,15.9493261565347,16.4825372264723,16.7916737310796,14.7338716020799,14.2926610881918,14.3063805276655,14.1790860343976,13.9196161954039,13.9870392098219,13.6533211681266,13.8800556294103,12.5601466172745,12.676603925178,11.5647941543186,12.1044512092648,12.785086132348,12.7200381557624,12.7783669493114,12.6513351699803,12.8629633932097,13.0178773581738,12.7119068356297,13.5013232023661,13.9434874926745,14.7906726295521,15.3717244512473,15.1694662481048,14.4824215682225,13.8489007002888,14.2275193323342,15.2933257796765,16.9739038783862,17.7895430066793,18.7660781089814,19.937149983275,20.6040721216634,22.7867984338394,22.9701927413641,23.763212421895,21.6770992801852,21.428133704887,20.7918644663941,20.1995581400302,19.9283780917869,19.252879734267,18.300711447691,18.5264704973513,17.6467013977822,16.8716341067439,16.09079623863,14.6919279771435,14.702745064573,14.7047075980155,14.3059297294987,14.1735912290206,13.9323829177245,13.9742529233998,13.9565337941476,13.1742799236862,13.1521297283115,13.722001067943,12.8855924774957,13.4952020264739,13.5797609711392,13.5735561250135,13.7059802388083,14.0471854832872,14.4596401159245,14.6811081571615,14.4861800960246,15.0316807703466,14.5043277902702,15.2760411029152,15.3010720377504,16.1479831963342,17.0461634783324,17.0767247010589,16.7470914038733,16.7488457874934,16.7359244002769,16.2457170464935,15.9787864830711,15.6532154753177],"CPALM-FDS^FG_PRICE_CHANGE(0,-1AY)":15.1441000543774,"TIOS-FDS^FG_PRICE_CHANGE(0,-1AY)":-23.41939755048,"EWC^FG_TOTAL_RETURNC(0,-3AM)":11.929071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73882,17.2298191467853,20.6862902670697,20.5983105900292,20.3440340816855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-1.6021252,-6.2774,2.0905733,-5.1761627,-4.9743357,-0.61775446,-2.9622078,0.31130314,-4.2942166,-1.4931619,-6.5383253,-8.343803,-9.298193,-2.014637,-7.75947,-4.15886,-11.509632999999999,-16.779482,-13.572377,-9.014243,-10.385376,-19.83239,-8.680266,-0.067442656,4.523313,-3.9819121,-2.899462,-0.04518032,14.757895,14.129173,15.258848,12.293601,18.985199,34.406673,25.076569,22.12187,25.844456,31.282055,28.064156,22.811758,23.97425,17.333973,7.600212,4.4814587,0.9349108,-5.140895,-0.5984247,-1.3868868,-0.76878667,-14.568156,-12.180174,-14.970959,-14.793909,-8.326113,-3.6580682,1.39575,-5.7905254,5.90657,-3.4020603,-10.82254,-8.60042,12.355781,14.641178,26.462292,13.607955,5.572474,-15.198785,-13.583672,2.073133,2.0018458,18.771385,31.0215,18.645107,13.595474,26.821745,21.41837,30.432106,35.03207,78.92337,81.25161,65.9867,55.45162,42.53378,38.89084,39.459564,40.716434,15.103304,22.226488,4.3463707,-3.9637089,-7.834035,-20.620203,-20.37754,-28.712803,-28.925938,-32.185013,-38.869305,-34.534973,-22.166967,-26.87475,-10.211963,-5.0076904,-9.941989,6.5263987,0.99829435,10.79123,10.294461,3.7821174,21.82616,4.4020414,7.403207,25.47084,7.305062,13.465738,23.139095,10.989618,23.413599,19.618965,14.420092,33.84197,41.41941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9001753941815,25.4476853128011,27.6470377516053,24.9178959308229,26.0524047586362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3.08926120822716,"USDCHF^STD(FG_PRICE_CHANGE(0,-3AY,M))":2.48032487496995,"USDUSD^STD(FG_PRICE_CHANGE(0,-3AY,M))":0.0,"USDEUR^STD(FG_PRICE_CHANGE(0,-3AY,M))":2.18410832220464,"USDAUD^STD(FG_PRICE_CHANGE(0,-3AY,M))":3.1397405003556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9,2.96400297596909,3.54736708862932,3.81180271683843],"EWN^P_PRICE_RETURNS_PR('52W',2,-10AY,0,AM)":[3.1582355,-5.831039,0.6333113,-2.6778936,-0.9047508,2.1462917,1.548028,8.22817,6.063187,7.0798993,8.372569,1.2771368,-2.211237,9.414518,2.0985603,0.63580275,-4.2771397,-9.647882,-5.6134043,-4.989046,-4.996628,-17.246914,-6.725979,3.0100226,8.246529,-0.3020525,-2.0626128,2.2011042,12.233818,15.094304,14.731741,15.787994,21.035803,37.131966,31.407297,27.1675,28.131819,32.30537,36.534073,33.814537,39.839912,28.148197,19.060564,17.284466,10.003435,6.141758,6.0448766,5.0014973,0.9768963,-11.246103,-8.485002,-15.731925,-15.064871,-5.8496118,-3.961438,-1.4939427,-3.3176541,4.3534994,2.6614547,-2.0462573,4.979062,18.988573,19.166243,33.30121,20.32199,6.885755,-11.211991,-7.3037806,2.6098132,7.207179,12.127304,20.461666,10.514223,11.33368,21.550167,24.635113,29.542564,40.022552,75.49988,76.617584,64.52477,50.36216,41.37635,48.463486,52.712486,49.52004,28.251219,22.351574,7.0776343,-0.24108887,-4.7128916,-21.312666,-19.322432,-24.657518,-22.671938,-31.101143,-39.93007,-35.848,-22.109186,-23.927265,-3.1506538,-3.9503932,-3.0162275,12.63913,13.938797,20.46548,20.831226,14.070379,24.429358,13.8125305,11.511505,22.102093,9.614002,17.975319,25.091148,18.733013,26.3937,19.864882,12.8985405,26.461292,39.33662],"SPY^FG_TOTAL_RETURNC(-10AY,0,AM)":[-0.71106553,-0.8792281,5.8523655,0.93694925,-2.7345955,3.9064765,-1.9034684,2.4448276,0.9156823,-0.87200403,-1.4441013,-3.636533,-2.7100444,7.1298957,1.4327168,-1.2570024,-8.532667,3.6991477,4.651177,3.0671597,0.42512417,-4.565114,8.476949,0.35562515,-0.28845072,-1.1133313,3.9170623,2.7474642,1.1932611,3.5550475,-1.0424495,2.1316767,1.3034344,0.3296256,2.4323463,-1.0679603,2.75141,3.0633807,0.97784996,3.2453656,7.2048426,-4.2396545,-4.6597004,2.2870302,2.0970821,-0.58401823,4.4811606,2.9706478,0.76841116,-8.724075,1.1570573,-7.0233345,7.1391106,5.0492883,0.6002307,4.920435,-3.6229193,3.5856366,3.605497,-5.0130844,3.4511328,2.0988584,4.6021223,2.8402328,0.19823313,-8.034002,-14.296394,13.270462,5.741167,-0.70891976,7.722056,7.7687025,-5.244607,2.8868675,7.524693,1.8998504,1.4661312,1.5891671,4.4481993,5.439663,0.42393208,2.0831943,2.9066443,2.5603056,-1.372093,2.552867,1.1080742,4.355037,-9.642548,1.5096068,3.7306905,-7.8243437,-0.48169494,-6.019169,3.2038927,1.0647297,-9.973949,4.568219,5.8818817,-4.7615886,6.3660145,-1.9596696,0.07324219,4.015243,1.8452525,4.232204,3.7416577,-2.7669072,-2.8180838,-3.6075592,10.665237,5.2731156,2.2874594,4.004836,3.5264611,-2.8499305,4.1671515,3.5310984,-0.35324097,3.1445146,2.2255898],"EWU^FMA_DIV_YLD(NTMA,-10AY,0,AM,\"PORTAGG\",\"MEANR\")":[4.01722383555993,4.19967927003843,4.00811273415948,4.11100202539328,4.01185542750687,3.88455792026231,4.00296449388807,3.82730114105526,3.88058257294293,4.05538028785399,4.24569145730794,4.44164003776288,4.46339316864727,4.26228614018004,4.18969086940279,4.28181821948409,4.49445663383726,4.50580565864833,4.43689242952493,4.22792221344246,4.26389121689296,4.61983550230097,4.11892853306148,4.08002728106938,4.21261492004932,4.32089062344707,4.38467014530051,4.32980325701259,4.27728853989947,4.30088445744787,4.3336176585542,4.35724106846829,4.22907210147073,4.31228851905552,4.25134429645877,4.3508745577946,4.33248682134904,4.30692663097111,4.37716217882211,4.24348997581978,4.1654052541655,4.57129425259251,4.58589977014701,4.34550826976631,4.30767844586725,4.41851664820981,4.38740150172169,4.50767664925575,4.48401278633945,4.95942358424014,4.95670835666045,5.4597817995429,5.17817975400853,4.9426807195037,4.94005635931375,4.85127430489794,4.92838100632943,4.80495969277656,4.79539033194331,5.13302455322166,4.87240667027331,4.82424978538036,4.71488814797897,4.53438392616411,4.68834764305818,5.15021665566609,6.40180133418144,5.37694457446766,4.22968368687343,4.17210476398723,4.07713602256371,4.04973631036205,4.26233839329015,4.43423350498577,3.98596305588389,3.9222346574172,3.97994139530258,4.06871875922585,4.03343961338603,3.96669329756191,3.90963053457228,3.91935749053019,4.0969138149412,4.20329251480492,4.18192819506506,4.02399568330939,4.18060503050505,3.92888500455556,3.84587458599323,3.89229760708913,3.93700062040941,4.1238269067905,4.03585646372673,4.24689970567415,4.21687137201439,4.30361359018872,4.81000133057725,4.51320821960266,4.25825153066675,4.27301219559316,4.10075309702097,4.11213156968087,4.34459873439808,4.13630089493696,4.3885361385644,4.41604905400479,4.26288084923985,4.57707117660009,4.47894899457735,4.668138403608,4.44241444871628,4.26568792461027,4.30143570434176,4.18492814497081,4.03963454970838,3.93985982156345,3.85141673939565,3.97066390626516,3.87108641165499,3.81194298096953,3.85352415392725],"EWJ^FMA_PE(NTMA,-10AY,0,AM,\"PORTAGG\",\"MEANR\")":[14.1108844820929,13.204496145401,14.5583207386854,14.5334721925187,14.1495457513743,15.1015622612669,15.3433500462714,15.9058766950377,16.3571333211768,15.7864572920246,15.3401031870695,13.88600600834,13.3711799520933,14.2430661679779,14.7080836919782,13.9106658051094,12.7353654559388,12.3680591386574,12.8685116429064,13.3135353938638,13.3571394345416,12.3578227422705,13.5205941787247,13.088839342114,13.6158946254387,13.735786810911,14.4447819648914,14.8319550752638,14.7509543435014,14.1221897180168,13.8624014014096,13.9320426953018,14.2661438925281,14.4247035565623,14.26033790683,13.6238314185609,13.9462933572727,14.6644285977656,14.6385185686047,14.8290910351548,15.1295323921333,13.4984816534362,12.8060020761396,13.2500432444426,13.1186199927756,12.7886184124341,13.0674705273985,12.6851923302547,13.2064101438368,11.653360445233,12.0788188954512,11.18397027469,11.876042687182,12.5490707828392,12.6073110397069,12.7370376328623,12.3064041621388,12.7350722187993,12.9127069963729,12.365329058566,13.313704832097,13.7144488076876,14.3076340111758,14.6332849383593,14.356261387934,13.4207131451641,12.6663557739952,13.8176171290866,15.8158662881702,17.8509338555983,17.9018144138505,18.1003162375057,18.2159857565173,17.5890259496973,18.8137930817733,18.1484885676693,18.6595011186943,17.6430214787252,17.8144321643781,16.784410469624,16.2763380748402,16.4226621385787,15.8915595115188,15.1205359365878,15.9389723753362,15.2542139692521,14.8304250525776,14.4456516785088,13.2600585630484,13.2482600401161,13.5439132139413,12.6247704278278,12.669330876903,12.4635737498931,12.7902121040601,12.9708010127525,12.1434510957289,12.3274603234079,13.0892738410548,12.3152504693436,12.9582729645987,13.0478917895665,12.8272105568574,13.3210968217057,14.0898732906333,14.6729724237509,14.7292353040719,14.1649550435335,14.6929017026565,13.8151888343672,14.373813689777,14.0643245694477,14.7366073048346,15.5575904424026,16.0639433959909,15.1855792324996,15.4418630752516,15.4956427470006,14.7266379573037,14.430100372605,14.1577403378745],"EWC^FMA_PE(LTMA,-10AY,0,AM,\"PORTAGG\",\"MEANR\")":[15.9895560942524,15.5666117751883,15.9807388792348,15.6023388365469,15.9579375914212,17.0329169622469,17.0235714352198,17.3301327909989,17.2509325764749,17.1829838457663,16.6565541319655,16.5568603854351,16.3660055566418,16.781756950283,16.6279639159919,16.5645929933106,14.9483189288002,15.6168821012362,15.9798475786873,16.3492793378789,16.6508315628322,16.5394934373748,17.1735202233841,17.4864785670122,17.6984622125728,18.236786689284,18.8231631524516,19.3906067286077,19.8875178302108,19.5257231119732,19.1378890937824,18.7853852023122,18.5828981091768,18.1061457683127,18.0384482993515,17.6428478000191,17.650692422515,17.5730762582819,17.2783422555743,17.2141075852701,17.1053973104326,16.1209098697349,15.6660420031615,15.6307439403457,15.5149666412153,15.5235197765063,15.5014086612429,15.3793567010364,15.1398035543172,14.0399811538607,13.8687049956769,13.1192803135057,14.3356663879129,14.8770149244622,14.7194223554788,14.652872928545,14.4453848401559,14.4573783510933,14.5303190889753,14.2972400588541,14.6756536542687,14.6770316582754,15.1585125498343,15.3465760560853,15.5351161310269,14.8053174002648,14.0306384669019,15.3330681352297,17.2278714111579,17.1083071024662,17.8294810666792,18.4073355840538,18.2102912366339,18.4189798876482,19.9683346506779,20.4879106875724,20.270365174719,19.9904739717302,19.6500034088367,19.2913393268857,18.7568100790523,18.5815296320512,17.9336570474581,17.2698509779197,16.6335588104003,16.6291677032646,15.9383858565328,15.4833860889138,14.905091301863,15.2370762119043,15.0991309801464,14.6149098851145,14.3362577197463,13.5749032207307,13.2372716090821,13.0914954032713,12.1291945066865,12.4886544933531,12.7748052871226,12.1295259350099,12.8868905579343,12.5911475953103,12.5568544212128,12.7949837427017,12.8251301945017,12.8952068662287,13.459526538497,13.2561791323771,13.2267519401003,12.9051369837269,13.6957379781,14.6306153472528,14.7119450950337,14.8451707178936,14.9558475855722,14.8986147021656,14.9766466645381,14.8399135943907,15.1757778954445,15.382109961348,15.8239119469963],"WL-FDS^FG_PRICE_CHANGE(0,-3AM)":1.5040164074517,"NI-FDS^FG_PRICE_CHANGE(0,-3AM)":-1.66320166320166,"CPALM-FDS^FG_PRICE_CHANGE(0,-3AM)":7.35107731305451,"BRENT-FDS^FG_PRICE_CHANGE(0,-3AM)":0.0,"TIOS-FDS^FG_PRICE_CHANGE(0,-3AM)":-13.1161393296404,"FC0000CH^FG_PRICE(0)":355.61557,"FC0000AU^FG_PRICE(0)":395.03967,"CAGDPY@GB^EE_ACTUAL_ANNUAL(MED,+1)":-2.8,"CC_GB^FG_COMPANY_NAME":"United Kingdom","USDSEK^STD(FG_PRICE_CHANGE(0,-1AY,AM))":3.57100222910348,"USDCHF^STD(FG_PRICE_CHANGE(0,-1AY,AM))":2.60600311399004,"USDUSD^STD(FG_PRICE_CHANGE(0,-1AY,AM))":0.0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CAGDPY@GB^EE_ACTUAL_ANNUAL(MED,0)":-3.3,"CC_CH^FG_COMPANY_NAME":"Switzerland"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9,9.22544557136732,9.29976871138421],"TRYQA10Y-FDS^FG_YIELD(-10AY,0,Y,,\"YTM\")":[null,null,null,null,null,null,null,null,null,null],"TRYCH10Y-FDS^FG_YIELD(-10AY,0,Y,,\"YTM\")":[0.314,null,-0.12,-0.09,-0.176,-0.434,-0.49,-0.111,1.617,0.703],"CAGDPY@CH^EE_ACTUAL_ANNUAL(MED,+1)":8.0,"CC_JP^FG_COMPANY_NAME":"Japan","USDSEK^FG_PRICE_CHANGE(0,-3AM)":-4.5423985,"USDCHF^FG_PRICE_CHANGE(0,-3AM)":-5.937886,"USDEUR^FG_PRICE_CHANGE(0,-3AM)":-4.0245714,"USDAUD^FG_PRICE_CHANGE(0,-3AM)":-3.3399403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78672,1.85109750448731,2.46081748725315,2.80266519059803,2.92070467941154]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6.51381088906606,"CC_DE^FG_COMPANY_NAME":"Germany","USDSEK^FG_PRICE_CHANGE(0,-1AM)":-0.5755186,"USDCHF^FG_PRICE_CHANGE(0,-1AM)":0.11713505,"USDEUR^FG_PRICE_CHANGE(0,-1AM)":0.047576427,"USDAUD^FG_PRICE_CHANGE(0,-1AM)":-1.5688896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4677485,11.1922086822881,14.1061782856045,14.002940310619,13.1491479008301],"TIPSCL10Y-FDS^FG_YIELD(-10AY,0,Y,,\"YTM\")":[null,null,null,null,null,null,null,null,null,null],"CAGDPY@IT^EE_ACTUAL_ANNUAL(MED,+1)":1.1,"CAGDPY@JP^EE_ACTUAL_ANNUAL(MED,+1)":4.0,"CC_CA^FG_COMPANY_NAME":"Canada","USDSEK^FG_PRICE_CHANGE(0,-1AY)":-8.069402,"USDCHF^FG_PRICE_CHANGE(0,-1AY)":-8.274478,"USDEUR^FG_PRICE_CHANGE(0,-1AY)":-5.8209715,"USDAUD^FG_PRICE_CHANGE(0,-1AY)":-7.42641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58367357249962,10.6841505033347,13.9300394020218,12.9987631337275,16.6470023372621],"EWL^P_PRICE_RETURNS_PR('52W',2,-10AY,0,AM)":[6.913841,-0.9533763,5.3115845,1.8265843,3.8287997,0.13437271,1.874435,2.905476,2.8493881,1.3992906,0.633502,-2.4395347,-5.465889,2.2267938,-4.9206553,-0.4926741,-9.215212,-12.5362215,-13.005668,-9.387678,-10.926437,-14.847792,-7.7399015,-3.2033503,4.6409845,-5.581993,-5.158162,-4.39896,9.273327,11.400676,13.576544,11.481643,16.371845,26.095032,17.691076,15.485716,15.264463,20.225037,25.224125,23.543442,25.519108,16.95553,7.333696,4.7405243,-0.525105,-5.131584,2.8054476,4.000175,3.4263253,-3.5609186,-3.480786,-10.530371,-9.318066,0.10691881,6.380415,8.330906,10.059559,19.032288,10.564507,8.411431,10.272002,20.42613,21.360992,34.67423,25.986183,12.611378,0.9810209,5.080712,4.844892,5.523205,12.935984,14.806414,11.58992,8.308458,11.944604,9.896922,12.470102,11.9610195,28.94907,27.454662,31.60386,28.10589,21.86414,24.685144,18.55333,24.128092,17.225122,22.665178,8.975625,13.189184,11.433053,1.9319296,-4.1648507,-13.497478,-11.980992,-16.705114,-20.982433,-19.397276,-11.552757,-18.28254,-4.9328623,-6.834626,-7.952613,4.6230316,6.9660425,12.369167,14.275169,9.889197,19.327295,9.115469,6.8092346,16.522396,8.291328,9.457052,10.024202,-1.5482605,5.1164985,7.363701,7.171583,18.04979,23.962284],"EWG^FG_TOTAL_RETURNC(-10AY,0,AM)":[-4.2320786,-6.129718,9.719062,-2.491349,0.106453896,5.281818,1.3468027,0.6312251,-1.848799,0.22978783,-4.6432257,-4.6186924,-7.282275,9.028339,0.8911967,-1.3985991,-9.443826,-2.514428,6.4270616,5.5621743,-2.1452785,-9.7040415,10.38394,3.3596873,-0.76481104,-0.5780399,-3.2170534,5.602956,5.3869486,-0.75594187,3.8084865,3.6687613,3.7748575,1.3515115,-0.16334653,1.7342925,2.4445176,2.7943492,1.1606455,0.4340291,7.1127176,-8.10355,-3.2761753,3.3554912,-1.3782561,-5.6324005,5.325246,-1.2159944,-1.9112408,-11.558783,0.29872656,-6.8131027,7.670796,0.8163214,-1.0305524,6.1361194,-2.9432356,2.926159,-0.7567525,-5.7734194,3.3525944,5.928409,2.3583293,1.6506195,-2.0297706,-8.529001,-20.271795,8.806812,11.9234085,4.3821454,11.027479,1.9999981,-5.0847473,-3.0812323,11.018789,4.9174905,-0.59673786,1.1374354,3.7488341,5.8416247,1.3940215,-0.0700593,-1.5419781,1.566124,-2.8555095,-0.5290985,-5.526006,3.8050413,-4.503739,-4.264802,-5.884308,-8.795476,5.9643745,-9.945196,-3.7238479,-5.9973955,-9.708733,12.442387,15.027332,-1.7484725,12.817419,-1.8220782,-0.036388636,6.625414,-2.4240375,1.379776,2.9787183,-5.716258,-5.551493,-4.215002,13.564789,6.1555743,-1.5740156,3.9469242,4.3207884,-2.8553545,4.263568,-3.0249596,2.487731,3.8645864,3.62854],"EWA^FMA_DIV_YLD(NTMA,-10AY,0,AM,\"PORTAGG\",\"MEANR\")":[5.03980277400746,4.88494526674944,4.99427002830399,4.9885167442505,4.86759160920044,4.54828740335052,4.5684427082027,4.52684404165443,4.76087260482523,4.89755043169825,4.90189974626451,5.27221922116486,5.49412199620707,5.11059439507799,5.25630061437879,5.19807982711408,5.24441759468886,5.05190282869525,4.82932140459061,4.7300698428305,4.5362987598256,4.77970083396483,4.43560440708316,4.4539298539889,4.55586771334406,4.67217663493474,4.51534005831292,4.55278310554894,4.5141225654101,4.56126710016105,4.60693353748549,4.4884626248262,4.6383672605413,4.65215076208618,4.53770180057944,4.55581838013535,4.62788215410255,4.50514582636755,4.46787563104523,4.45210262641759,4.5034632422418,4.55850639680259,4.7987476820348,4.73986710245507,4.67852969101817,4.63597690119072,4.54738070279837,4.64308073701967,4.76734756000086,5.20974591365752,5.25395266343499,5.40609609837683,5.08115756413483,4.93323881927604,4.98881054769985,4.82419557237943,4.79839650290726,4.58297077408424,4.5301883556159,4.68916668160006,4.42810107882624,4.362451933017,4.26935703337694,4.23245181774139,4.12852006036911,4.32999696706913,5.57965878441175,4.16631284780372,3.56509849904865,3.48487588352115,3.42767296943713,3.38097882746877,3.60164472880237,3.66459623933383,3.4687711916758,3.54441628901396,3.5516922547641,3.92576676624648,3.9597550554337,3.91851920134075,3.93621241896435,3.95651633350665,4.10935502147059,4.06412571005987,4.04362398575896,3.92401462551184,4.0686939432585,3.88918284527574,4.26067765907044,4.43313946383794,4.19642483570259,4.5847769425323,4.65076941902515,5.13741344502021,4.93428119845665,4.65888943887013,5.22090237758879,4.9505990320138,4.49009830287434,4.51972656924621,4.2475112710783,4.50024137199953,4.69136671857564,4.42920786867112,4.52782035848453,4.35429651475008,4.04860568162365,4.28194293039776,4.33441964172505,4.51551828969109,4.36633784582084,3.98445786110142,4.02749300274838,3.98995464482591,3.93007971822635,4.04483917597034,3.98009557067882,3.93153205568135,3.85063506709381,3.73355901930722,3.64226592010043]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TRYFR10Y-FDS^FG_YIELD(-10AY,0,Y,,\"YTM\")":[0.837,0.9989,0.682,0.785,0.71,0.118,-0.344,0.201,3.07,2.534],"CAGDPY@IT^EE_ACTUAL_ANNUAL(MED,0)":0.464182828189248,"CAGDPY@JP^EE_ACTUAL_ANNUAL(MED,0)":3.60658196299853,"CC_AU^FG_COMPANY_NAME":"Australia","USDSEK^FG_PRICE(0)":10.122754,"USDCHF^FG_PRICE(0)":0.8437372,"USDEUR^FG_PRICE(0)":0.8959618,"USDAUD^FG_PRICE(0)":1.4516792,"EWJ^P_PRICE_RETURNS_PR('52W',2,-10AY,0,AM)":[-0.2465725,-3.3687592,-1.6092598,-2.02834,1.9796252,8.291769,15.009367,22.046947,16.450823,10.102856,5.84656,4.5084834,-0.7001519,11.133862,8.205628,6.880021,-2.2516966,-9.703838,-10.511613,-7.9878864,-10.306263,-12.444359,-5.2678466,3.1307936,10.796785,3.164816,0.1711607,4.0160418,15.598226,18.387688,16.57573,10.065306,15.581142,21.34552,16.904974,12.412394,11.830271,18.027664,23.016644,22.852575,27.849174,21.538866,15.667129,18.175816,14.624357,9.496617,10.798883,9.148085,10.007488,-5.5586042,-7.077032,-14.086598,-14.698208,-9.513182,-6.200385,-7.6835036,-9.512531,-4.7406673,-5.929792,-7.1604013,-4.830432,8.052039,11.4213705,19.942701,10.703527,-1.3722658,-6.3652396,-4.9158096,4.7848105,4.5045257,5.962646,10.404801,4.7806025,3.4913182,12.5897045,11.889267,17.710876,25.749361,41.22019,33.38587,25.24836,23.535597,19.457674,19.22307,24.948036,16.605186,3.7154317,4.428673,-6.1692657,-6.275904,-7.443756,-15.535826,-12.774981,-20.396912,-16.057604,-17.672937,-31.195366,-25.097513,-16.752338,-18.06395,-4.77131,-10.581684,-7.4432077,6.6702366,5.146837,15.928006,15.855265,8.472406,26.172565,17.301727,12.833607,19.246233,13.842154,25.824333,27.452099,17.47223,17.091047,13.045859,11.69628,22.202217,22.189045],"EWC^FG_TOTAL_RETURNC(-10AY,0,AM)":[-5.6620955,-4.3885174,4.4211984,-5.369079,-5.159277,2.3001194,-3.3904374,8.200968,-4.609084,-0.7089019,-10.098076,-2.8686821,-3.9933503,3.4228802,-3.1839132,-3.597927,-8.735216,7.826519,6.749892,9.0515375,-1.787138,-3.730005,5.630815,2.6052117,-1.6406238,1.3105631,1.4504075,1.7406702,4.564631,-0.3301561,-2.024287,-1.5402019,0.6486058,1.4362693,4.6345115,-0.18005371,4.0043354,0.0,1.1446357,2.0448565,3.1994581,-6.563324,-4.0592966,3.789544,1.9496679,-2.0097733,3.862667,0.9641886,-1.8758476,-8.724367,-0.41888952,-7.812655,12.273312,5.1840663,-1.7499983,3.4532905,-2.213633,3.2654405,0.7724762,-3.4843206,4.25992,0.103878975,2.5942564,1.8473387,0.7380128,-6.8931103,-26.108725,15.198445,6.8487406,-0.1453042,8.830559,5.811405,-6.0103655,1.1025429,10.868776,3.1105757,-0.9014785,4.51591,6.061554,3.8393974,6.717479,0.32280684,-2.3872733,2.0652175,-0.95846653,4.838705,-2.0769238,1.612699,-3.3150613,2.9967666,6.395805,-8.622813,1.4289498,-8.03833,0.61153173,1.1866808,-12.128144,7.389331,7.09306,-5.147785,7.9927325,-3.8968325,-3.7631214,5.638063,-3.0703008,3.04662,3.1630874,-5.457097,-0.65457225,-5.720276,9.402788,8.514404,-1.084888,0.7951617,3.5636544,-1.1557639,1.5944719,-1.7200768,2.9822707,5.270016,3.2465935],"PLATI-FDS^FG_PRICE_CHANGE(0,-1AY)":11.6022099447514,"W-FDS^FG_PRICE_CHANGE(0,-1AY)":0.819672131147553,"FC0000JP^FG_PRICE(0)":185.49318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509270637054,2.03535923448403,2.71455451649836,3.12785085030901,3.00293990504371],"ENZL^FMA_DIV_YLD(NTMA,-10AY,0,AM,\"PORTAGG\",\"MEANR\")":[4.57172910160159,4.54166871323773,4.52358126047718,4.4532055061177,4.30584593029256,4.26227285815805,4.39963047108167,4.50887831199957,4.4774365593673,4.65300367779847,4.59314816659199,5.0513715565408,5.15988508179072,4.90731649228232,4.81372173146439,4.8055790656829,4.89997814738938,4.85116509122552,4.61056563036032,4.61955740689388,4.44755318030269,4.56668922254929,4.15288322286561,4.21461735867198,4.37624968776863,4.57042734098973,4.60110699620602,4.62717394955955,4.47939616113487,4.71782707733345,4.66993969929184,4.47671592468623,4.44322159044133,4.34093235903734,4.38419901032505,4.26798250550442,4.39819182278369,4.36629584804597,4.34600666802113,4.2244990042703,4.26427339463985,4.24862446970248,4.21501539905992,4.31122027068862,4.21781842953627,4.02616772278336,4.05913697025415,3.93290505624039,4.00378028540137,4.38607379306462,4.31354587820394,4.18396703545871,4.04220007090484,3.97762045531599,3.81365997697172,3.69468587635097,3.66664516401953,3.58785122484218,3.41780138965898,3.46294702951203,3.37937427518384,3.38482040096776,3.27983606955584,3.14079418403057,3.08285649916849,3.12833560029479,3.44708922141302,2.75735105858082,2.46022815166799,2.56457852735202,2.44478479068929,2.29183140786517,2.43104149799949,2.40394244236213,2.44193551866225,2.39817914530644,2.41535344758525,2.63905375411329,2.60452674752452,2.58176965498938,2.72906450683982,2.66822141600241,2.65324786308885,2.58455471559939,2.61375162467515,2.67966029659449,2.76889917107156,2.78218316080342,3.01508316139331,3.06663755871834,3.06477577467148,3.17955556279974,3.27688214158403,3.34529005787721,3.35411414099843,3.197992672027,3.37302153170928,3.44286956909816,3.35374493213394,3.45333951055925,3.3143519884008,3.39587188817799,3.47427501846368,3.41916401814158,3.50870281491996,3.50972147964982,3.41946583425952,3.50416812103382,3.42828024558658,3.6013076656932,3.41138615856025,3.00140123761931,2.97871440833777,2.90259347261713,2.74286605416461,2.78527583454436,2.7239445724238,2.75814513701404,2.62928359515801,2.51796477394364,3.13870182209406],"EWI^FMA_PE(LTMA,-10AY,0,AM,\"PORTAGG\",\"MEANR\")":[17.8599147731934,16.6137901813175,18.2465415901947,18.5718488422506,22.198648334139,45.3660681485857,42.7687759519394,40.0687244992236,37.3259207683979,34.4104075342983,31.1333328007083,28.3628641569039,25.2397059294722,23.2806416375,21.6984993755562,18.6260556114805,15.3442137346737,15.2901698920908,15.3290650874652,15.3707857482365,15.5467365638152,13.9711817444069,14.7857296654118,15.065896229453,14.5214283127583,15.2038510671554,14.6154833132795,27.7474039698298,27.3488655567196,86.0625564405379,79.7342739392257,72.4807928417322,65.7915756784264,58.1386839764673,51.4374220088679,44.5532427194684,37.0920517796973,30.270561998868,22.9058865440678,16.1783546060419,15.9316552002445,14.2354540856904,14.0533349774293,14.1811937174317,13.6391760417305,13.2886253224712,13.2808057715658,12.6838089793577,12.6695813652879,11.3108001361022,11.2345097284061,10.3106488544806,11.1445658509746,11.2593271388266,11.3087407579434,11.3367884322787,11.0308533287702,11.0805127392256,11.2984827660761,11.00590061088,11.3118920649741,11.641979500927,12.0199661032522,12.2369216075069,11.9873052523561,11.8016777242606,11.0732652527067,12.3022195165125,14.2272683608398,16.1304157484973,17.7048142302557,17.7527447310841,17.8014211800805,18.6399687197244,22.0709542281702,23.053936561267,20.3477034723972,20.3525735166553,19.8627345816533,19.2447597533063,18.5666363196744,18.2044163381729,17.3503995356789,15.7882782038712,14.9368988559654,14.3623498822599,12.7672599545387,12.1150967460871,11.8524467945234,10.7837623689634,10.5301484127292,10.3562711448904,10.1313627279421,9.45700454914585,8.97876824749566,8.43185685694555,8.08254559527458,8.17255159194034,8.28594963867932,7.44752082172897,8.13571254150703,8.23909760772028,8.22862798959732,8.38378288421564,8.2071572421251,8.46221935224499,8.56351505688347,8.20889731257101,8.2120434818887,7.90017820948708,8.26953666778643,8.86928574261009,9.01657001556237,9.29966735675725,9.48134448942253,9.4560969899052,9.5619115049098,9.42967734507865,9.70441030951861,9.82247371809969,10.0127578666945],"DDR3512M-FDS^FG_PRICE_CHANGE(0,-1AY)":-11.8769449659505,"PASP-FDS^FG_PRICE_CHANGE(0,-1AY)":-14.8,"COPP-FDS^FG_PRICE_CHANGE(0,-1AY)":26.302729528536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CN10Y-FDS^FG_YIELD(-10AY,0,Y,,\"YTM\")":[3.653331,2.901145,3.070911,3.93859,3.259862,3.197311,3.1948,2.7893,2.855,2.574],"CAGDPY@SE^EE_ACTUAL_ANNUAL(MED,+1)":6.15,"CAGDPY@DE^EE_ACTUAL_ANNUAL(MED,+1)":6.8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P_PRICE_RETURNS_PR('52W',2,-10AY,0,AM)":[2.4187922,-9.463083,-2.5033176,-8.531737,-5.3942204,-3.5980344,-0.5595565,-0.09363294,-5.6617737,-4.154664,-5.7242393,-7.500595,-10.318851,4.0142775,-4.3545904,-3.2483876,-12.509668,-18.659782,-15.711599,-10.758961,-11.028528,-19.846546,-7.2152557,1.1534572,7.613671,-1.8680632,-4.8837423,0.82051754,17.33234,19.44883,16.509867,14.420069,20.97019,36.19919,23.185217,20.419168,25.169325,29.415058,35.268772,28.647793,30.75447,21.073973,12.810969,12.470091,6.2983036,-0.480026,4.991162,1.9464135,-2.3881614,-15.889204,-16.733223,-22.741604,-21.833206,-14.800954,-12.822903,-10.119665,-12.089241,-3.9078236,-9.282482,-13.633895,-8.999139,8.306635,11.232328,21.335018,10.403383,0.16936064,-19.305157,-17.274649,-4.6032133,-2.938944,8.233988,17.16299,8.243966,-1.553452,6.776035,11.147654,11.81966,20.497835,54.59101,56.501434,41.7783,33.027424,20.364893,19.852901,22.667837,25.898003,7.6613307,5.9998393,1.8335581,-4.323226,-11.624736,-24.648947,-21.25249,-29.034365,-30.60699,-35.144955,-40.3055,-32.521046,-20.260017,-22.236115,-8.131266,-5.7872,0.06674528,16.986084,9.282923,21.272278,29.71505,25.072336,36.093258,15.932202,14.458156,23.665964,7.8136206,14.230383,19.209421,9.394037,16.953827,11.011267,10.787177,21.708834,33.53847],"EWA^FG_TOTAL_RETURNC(-10AY,0,AM)":[-10.766959,3.0165315,-3.128761,-5.1302137,-0.31545758,7.0524335,-1.2668967,2.865696,-5.322242,-3.5591722,-5.4570913,-5.0320683,-6.545454,8.671486,-2.710992,1.2253284,-8.756006,1.2287855,11.156071,3.0161262,-1.161027,-4.9013433,11.873638,0.63290596,0.33864975,-2.314365,2.8134227,-0.72720647,6.256211,3.0841112,0.49864054,1.0374308,-3.2589257,0.5009055,6.804323,-0.26361942,-1.3656437,1.8311739,0.13158321,3.6291838,4.417503,-4.1891336,-5.497837,2.5194645,0.98302364,0.106287,2.9292464,-0.43783188,-2.7264714,-9.764928,4.2084217,-4.5791745,7.4306607,3.7993073,-0.46926737,3.3946276,0.45599937,4.6367407,0.39840937,-6.52557,5.1415086,1.8393874,1.1894226,1.022315,0.0,-9.054941,-29.917835,14.5517235,10.656225,3.7462354,8.355511,2.259326,-4.5148907,2.2635818,14.608944,3.6186934,1.5455246,0.822711,2.2031784,4.710579,1.9443393,-0.04709959,-1.8588781,0.5411625,-2.0376801,4.2386174,-7.5301228,5.294764,-9.943712,7.7881575,9.413708,-7.0943356,1.3403773,-10.7954445,3.6641955,0.40268898,-12.566841,5.810392,12.090564,-1.9024253,11.289608,-7.738572,-3.780967,4.426384,-3.0276835,1.6175032,3.9803147,-7.440859,-1.254648,-3.2941222,8.321178,12.605643,-3.5423398,1.2663484,2.7928352,-3.8118422,4.173696,0.91713667,0.8994341,4.6191216,4.4539094],"ENZL^JULIAN(FMA_DIV_YLD(NTMA,-10AY,0,AM,\"PORTAGG\",\"MEANR\"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0],"EWD^FMA_PE(LTMA,-10AY,0,AM,\"PORTAGG\",\"MEANR\")":[15.9975096250154,15.7943040328838,17.2094855836152,17.6296427566868,18.3306073197418,20.3028254397121,19.9884372154015,19.6642775278457,19.4021513752543,18.8407063683087,18.3613897909588,17.5671427678568,16.5630149010859,17.1374221124387,16.906220085457,16.1136105152847,14.8058934454635,15.5362511309696,15.5093716247203,15.7577684431009,15.6146234712481,14.9277761190376,15.848384342838,16.0318551972883,16.2952246089123,17.4469150723134,17.4631892061572,18.3474081729939,18.2306000773971,17.3718920931529,17.5726948378254,17.6238446126311,18.0905701056251,17.6133844236783,17.4069329144687,16.8130896916216,17.5575067791436,18.5637459837511,18.0238121481597,18.0972700383691,18.4267800400263,17.0448785183511,16.7806655075354,16.8300248064505,16.7210733583433,16.3865099385434,16.6243819627993,16.8474931048091,17.037371067072,14.8901571378867,14.7969656154512,13.5587191691495,16.1558095811589,18.1911866892924,17.8905883035689,17.9724385282923,17.3160389677512,17.142953896042,16.9346577607654,15.6897914611506,16.5192870872897,16.9460905902132,15.9575999090033,16.4495457405733,13.9527292185538,13.2504089568922,12.759855699121,14.3073894478773,15.6997433092009,17.0746919181176,17.1899180101065,17.3158580869966,17.6901100185666,15.3931044795413,16.9423526935777,17.0904272717465,18.2323877185311,17.5604129321876,18.0947000318351,18.0824716809196,17.49236222328,17.9423125334018,17.5421305596108,17.5401253723411,17.2241812532725,16.5767981150618,16.2681089976422,16.7920007651048,12.041437168525,11.6476301231072,11.9482420889816,12.2168376809714,13.6765471679512,13.4690260760048,14.2947085656476,14.5367404165374,14.2175212896528,13.4121224767443,14.3757763680528,15.5896993486568,24.8133321956733,25.7725095879325,24.4535629677945,23.4248317143471,22.231183099723,20.8617035324094,19.7091279218272,17.9217385205226,16.687938902921,15.7461825469791,16.1237420998013,18.0125159529216,15.3788475532832,15.7278507964825,15.9626680490724,15.9062269780689,16.1085632733168,16.0138080900475,16.4271074229287,16.6444050474588,17.429456590007],"DDR3512M-FDS^FG_PRICE_CHANGE(0,-6AM)":-8.24136441754434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CAGDPY@SE^EE_ACTUAL_ANNUAL(MED,0)":6.54758763985883,"CAGDPY@DE^EE_ACTUAL_ANNUAL(MED,0)":5.88214213185842,"USDITL^STD(FG_PRICE_CHANGE(0,-3AY,M))":2.18410852976757,"CAGDPY@NL^EE_ACTUAL_ANNUAL(MED,+1)":9.75,"CAGDPY@CA^EE_ACTUAL_ANNUAL(MED,+1)":-1.0,"USDITL^STD(FG_PRICE_CHANGE(0,-1AY,AM))":1.81097821570972,"USDANG^STD(FG_PRICE_CHANGE(0,-1AY,AM))":0.0269180029862452,"USDGBP^STD(FG_PRICE_CHANGE(0,-1AY,AM))":1.9543683307456,"TRYBR10Y-FDS^FG_YIELD(-10AY,0,Y,,\"YTM\")":[12.319731,15.989595,11.062725,9.887577,8.936093,6.883678,6.961219,10.970291,12.900059,10.455909],"CAGDPY@NL^EE_ACTUAL_ANNUAL(MED,0)":9.85408501996988,"CAGDPY@CA^EE_ACTUAL_ANNUAL(MED,0)":-0.725414399026327,"USDITL^FG_PRICE_CHANGE(0,-6AM)":-3.0524492,"USDANG^FG_PRICE_CHANGE(0,-6AM)":-0.09705424,"USDUSD^FG_PRICE_CHANGE(0,-6AM)":0.0,"USDGBP^FG_PRICE_CHANGE(0,-6AM)":-5.6408525,"USDJPY^FG_PRICE_CHANGE(0,-6AM)":-5.44343,"USDCAD^FG_PRICE_CHANGE(0,-6AM)":-0.80839396,"USDNZD^FG_PRICE_CHANGE(0,-6AM)":-4.9960732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19718227,1.95784087398727,2.66448337817763,2.74920456102042,2.68301216298059],"ENZL^P_PRICE_RETURNS_PR('52W',2,-10AY,0,AM)":[5.305612,4.694617,9.857214,12.191319,9.03064,8.312106,0.83146095,-0.01706481,-4.3866396,-11.957497,-12.5478325,-15.242636,-12.495184,-2.967739,-7.555169,-1.5546441,-8.9463825,-6.431919,-0.41128397,5.4524183,12.448978,20.310616,35.789036,49.413906,46.66295,20.643974,22.404396,11.390961,32.269108,22.470879,10.8447075,8.954632,12.167358,18.328058,10.290074,4.4968367,7.8588843,12.532436,14.672351,24.242794,17.491758,18.291069,22.828472,17.193449,13.247908,9.958612,5.470836,8.1376915,6.715739,0.57024956,5.373609,1.6754746,3.4067392,5.664706,7.44251,13.34455,12.400699,12.461937,17.971062,6.816697,10.067833,21.70105,21.434475,29.2261,22.346449,13.189554,-12.229377,-1.7089784,2.7598262,4.7606587,10.289038,23.134972,14.211369,20.347618,23.804546,18.632067,21.184814,15.762925,35.993122,33.887146,22.469532,15.243173,4.6741366,5.7263017,11.433088,6.170535,-10.285175,-10.616934,-21.223969,-11.382747,-7.6077166,-20.363707,-21.01115,-24.505632,-20.274734,-23.400068,-31.768215,-31.130768,-18.835766,-16.259962,0.30043125,-9.735584,-11.7816925,-0.63702464,3.4167051,7.061982,5.9580684,-4.425478,7.3151827,-2.4090886,-2.7362466,3.006792,-7.9473734,-2.9182017,-2.6404977,-6.525427,-3.5455227,-2.5105953,-5.0525246,12.803698,15.587366],"EWI^FMA_DIV_YLD(NTMA,-10AY,0,AM,\"PORTAGG\",\"MEANR\")":[3.6034078742135,4.03181235488169,3.87450307442844,4.00401583903138,3.79518876230212,3.41457510831913,3.125377393635,3.08400187444487,3.12308917304756,3.20644966201649,3.30724267420271,3.33147697796049,3.52094113730961,3.57717489944532,3.5514159722485,3.82736698025053,4.38099848187408,4.53903714469403,4.35637891811441,4.28720531130955,4.46586461677135,5.40754921891877,4.74786921741495,4.72703655986063,5.05716506603981,4.69171662269465,4.87804919547708,4.26371264930623,4.35892248650116,4.31417449535046,3.97795384344144,3.91929190770615,3.83574998414522,3.8340421974653,3.73415572708703,3.77414331734819,3.68233100119549,3.80407245657845,3.91893394045375,3.91981505585937,3.715486927804,3.95666505887862,4.15888295141146,3.89973611984773,4.26631934256164,4.51003187768346,4.3825683159902,4.63820286950876,4.53045036471157,5.15511531246389,5.11962505017665,5.52186284688018,5.06744206787671,4.85503421588429,4.69204287133314,4.64846280292744,4.97363434926526,4.87060323028534,4.72456656508602,4.94675223982859,4.74352820058867,4.65200918698422,4.52978251901181,4.44693216965644,4.57553662755997,4.8156562918044,6.32249178308411,5.45839086777592,4.72869237183712,4.4130319974048,4.30354727735673,3.99999960273501,4.26252641022604,4.33104176499957,3.87059193919859,3.94607956638372,4.14924732849893,4.12158272097112,4.03481708851624,4.13310659384603,4.14946809030414,4.08211992081178,4.24728780217718,4.39015084236153,4.47394253756122,4.36742936930013,4.61918034586619,4.61145309751165,4.75276366463175,4.99940541160563,5.17303198721776,5.2121292040534,5.09435706025578,5.78212601775157,6.00142526310493,5.8092080616023,6.12111876292823,5.74580991770986,5.4363335847015,5.88646889379179,5.42929540805749,5.56984118303037,5.601744657698,5.38486729724578,5.68716740384613,5.44255292279175,5.21404585848491,5.58027187068958,5.56567042349983,5.81248357827925,5.54458253350214,5.46763573168316,5.43406890767703,5.29729219629956,5.0770869062263,5.24226208945742,5.24529211541414,5.4824651561346,5.30934138032778,5.36917951453736,5.35429241806803],"EWN^FMA_PE(NTMA,-10AY,0,AM,\"PORTAGG\",\"MEANR\")":[14.6043634602116,13.8857805061764,15.0521252976918,14.8835903560663,15.7541309878819,16.9244555464129,17.0369201402442,17.6717553604259,17.3144734845597,16.9223364397987,16.5034942095125,14.978361181898,14.4592718267605,15.67324466187,16.5384330968825,15.6414498098419,14.8208751237447,14.7354410919535,15.2427230567229,15.2010692349735,15.3805035896872,13.3256695813706,14.8551874918959,14.9229762715567,14.7438460931618,14.7521713194752,14.7121136384034,15.0879303283179,15.1461186354191,15.4797338235582,15.8957361604131,16.367510539699,16.3547968889701,15.9668160936693,16.1519668529052,15.6955542007074,15.8187706525756,16.2565971851708,15.9591989523976,16.0072447914826,16.3819912514202,15.6572035847256,15.3066244880089,15.677400198192,15.9930823957064,15.5192752835164,16.0704301945225,15.6085846804704,15.0773059590103,13.7349906754253,14.1219955351945,12.7760364784078,14.0451196547722,14.8145905089576,15.0392840923921,15.6817720931421,14.9981420579935,15.3447167536234,15.98423343854,15.1377477596435,16.184677901641,16.2680887885585,16.7645426154781,17.1821495250251,16.9640895140998,16.1577352687821,13.7338412928161,16.8008186208297,18.2474585258574,19.4000913770864,20.033684537633,20.0609761275421,18.9268974344031,19.0481676225509,20.734021447468,20.6811930402565,20.9232730234866,21.4166993700112,22.289181552451,22.3076581691319,21.3915319473179,21.383178000184,21.075290502293,21.9161825784566,21.2079420380182,21.24104104823,20.2241606212676,20.5520676098218,18.4325694930423,17.4708942220691,18.2016794422796,16.9071670549423,17.2613078155288,16.4038497802477,17.6028276335757,16.7172590051053,14.4712714513109,15.2325822403307,16.5681348623734,15.502408965125,17.131947211805,16.5789135907768,15.9795411155815,15.7875826901017,15.9876793315927,15.5086088909362,16.1746395759404,14.5038525997559,13.4372472606206,13.1268538228727,14.6828451974722,15.1382701398947,15.767419379366,16.3848453411957,16.3655677905865,15.7723527811648,16.3879043271632,16.2455283632419,15.5054093267863,15.134568951524,14.8996198446453]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TRYNZ10Y-FDS^PCTCHG(FG_YIELD(0,,,,\"YTM\"),FG_YIELD(-3AM,,,,\"YTM\"))":-9.244743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66472555,11.2077122027496,13.9227366843934,15.8583479057593,14.7202942014685],"USDCAD^STD(FG_PRICE_CHANGE(0,-3AY,M))":1.83420331354053,"QQQ^FMA_DIV_YLD(NTMA,-10AY,0,AM,\"PORTAGG\",\"MEANR\")":[1.23977901612741,1.25733327829193,1.19435301390254,1.20604910691553,1.23713606275638,1.21346631716943,1.27610806340731,1.22977971195639,1.22749629067572,1.25071044263818,1.27303194925717,1.34606413281061,1.38453052301931,1.27342525641647,1.27662096760661,1.28806714741264,1.40993245051603,1.40380815075737,1.35566808567272,1.36653421451944,1.34470187579383,1.4329811257499,1.29848416508957,1.28464100681007,1.26140970159382,1.27491316984801,1.27908001327562,1.27529876322362,1.23257209950237,1.21926244885977,1.21832730280887,1.19094667421548,1.15696651354697,1.19227739669948,1.1665800537444,1.19196192365798,1.17057271460103,1.1226420873206,1.09629727121038,1.09394759599823,1.01808631419683,1.05714342493833,1.13013008253234,1.11922655516481,1.08412595675409,1.08590842049598,1.09273382555311,1.06065433975846,1.05988057173237,1.20064949466148,1.23347641034823,1.32764550806957,1.23850912599102,1.17455148459093,1.14942800975148,1.08623572906665,1.16801979339755,1.1157634525217,1.07165789970463,1.13587552958511,1.14646994178483,1.11049851546795,1.08693862259618,1.06307968249669,1.04754550324398,1.11980824073349,1.24822689425736,1.06667458469911,0.98232473773604,0.941075982058985,0.871115588566035,0.780857212361005,0.837723790377976,0.81794807015557,0.77352551801385,0.790034554134236,0.771486811279131,0.791864702828513,0.79007808429917,0.740199295738312,0.758052790670077,0.729069506825143,0.716733052814005,0.699504586082019,0.715618056081533,0.7024572119047,0.69484636538465,0.676797542555796,0.808261473307925,0.813365471954702,0.785105404211916,0.896896493262573,0.924342584381017,0.983609665113459,0.942510058908135,0.948370375884715,1.06965887003135,1.08660782119819,1.03826267264138,1.0784975943428,0.969996406311385,0.987367744978505,0.9440749933126,0.912542964300311,0.826871216758235,0.796673757740078,0.899479498740142,0.933794460927143,0.971540702206892,1.0173914169681,0.916756215038281,0.941296053534784,0.912914786408263,0.911936393857449,0.906379282420103,0.919452087297324,0.883182973843391,0.83952230566411,0.867059762310044,0.835560585372713,0.814431759780729],"COPP-FDS^FG_PRICE_MAVG(0,,,,30)":4.2013335,"EWN^FG_PRICE_MAVG(0,,,,200)":48.51076,"EWG^FG_PRICE(0)":33.7,"VWO^PERCENT_CHANGE(FMA_EPS(+1,0,,,,\"PORTAGG\",\"MEAN\"),FMA_EPS(+1,-3AM,,,,\"PORTAGG\",\"MEAN\"))":-1.45313880728309,"EWD^PERCENT_CHANGE(FMA_EPS(+1,0,,,,\"PORTAGG\",\"MEAN\"),FMA_EPS(+1,-1AM,,,,\"PORTAGG\",\"MEAN\"))":-3.1215609743816,"SPY^FG_TOTAL_RETURNC(0,-3AM)":5.0676227,"SPY^FMA_COS_UP(\"EPS\",\"1M\",+1,0,,,\"PORTAGG\",\"MEANR\")":153.0,"EWD^FG_ROE(0)":16.9937618845633,"TRYIT10Y-FDS^PCTCHG(FG_YIELD(0,,,,\"YTM\"),FG_YIELD(-1AM,,,,\"YTM\"))":null,"TRYCA10Y-FDS^FG_YIELD(0,,,,\"YTM\")":null,"VWO^FG_PE(0)":15.2683799095772,"EWD^FMA_PE(LTM,0,,,\"PORTAGG\",\"MEANR\")":15.1792608202104,"SPY^FMA_PE(LTM,0,,,\"PORTAGG\",\"MEANR\")":26.8407566613544,"EWA^FMA_EVAL_EBITDA(NTMA,0,,,\"PORTAGG\",\"MEANR\")":9.09406730004516,"UUP^P_PRICE(0)/P_PRICE_HIGH_PR(0,,,USD,,,\"PRICE\",\"INTRA\",\"52W\")":0.9308801,"VWO^JULIAN(FMA_DIV_YLD(NTMA,NOW,NOW,M,\"PORTAGG\",\"MEANR\").DATES)":45504,"EWJ^FG_FCF_YIELD_NTM(0)":4.15101639654628,"EWA^FG_FCF_YIELD_NTM(0)":4.54443087381649,"TRYSE10Y-FDS^PCTCHG(FG_YIELD(0,,,,\"YTM\"),FG_YIELD(-3AM,,,,\"YTM\"))":null,"TRYCA10Y-FDS^FG_YIELD_NAME":"Canada Benchmark Bond - 10 Year","EWD^JULIAN(FMA_DIV_YLD(NTMA,NOW,NOW,M,\"PORTAGG\",\"MEANR\").DATES)":45534,"SPY^JULIAN(FMA_DIV_YLD(NTMA,NOW,NOW,M,\"PORTAGG\",\"MEANR\").DATES)":45534,"QQQ^JULIAN(FMA_DIV_YLD(NTMA,NOW,NOW,M,\"PORTAGG\",\"MEANR\").DATES)":45534,"GLD^P_PRICE(0)/P_PRICE_HIGH_PR(0,,,USD,,,\"PRICE\",\"INTRA\",\"52W\")":0.9984234,"TRYMX10Y-FDS^FG_YIELD(-10AY,0,Y,,\"YTM\")":[5.8237,6.2537,7.5651,7.6401,8.7069,6.8373,5.552,7.558,9.0223,8.95],"USDCAD^STD(FG_PRICE_CHANGE(0,-1AY,AM))":1.65877353594337,"DDR3512M-FDS^FG_PRICE_CHANGE(0,-3AM)":-6.09745905699824,"PLATI-FDS^FG_PRICE_CHANGE(0,-1AM)":4.77178423236515,"TIOS-FDS^FG_PRICE_CHANGE(0,-6AM)":-15.7501820830299,"SPY^FG_TOTAL_RETURNC(0,-1AM)":2.2255898,"EWL^PERCENT_CHANGE(FMA_EPS(+1,0,,,,\"PORTAGG\",\"MEAN\"),FMA_EPS(+1,-3AM,,,,\"PORTAGG\",\"MEAN\"))":5.17665890380673,"EWC^PERCENT_CHANGE(FMA_EPS(+1,0,,,,\"PORTAGG\",\"MEAN\"),FMA_EPS(+1,-1AM,,,,\"PORTAGG\",\"MEAN\"))":-0.718928862048695,"SPY^FMA_COS_DOWN(\"EPS\",\"1M\",+1,0,,,\"PORTAGG\",\"MEANR\")":162.0,"QQQ^SIZE(FG_CONSTITUENTS)":102,"EWN^FG_ROE(0)":11.012969402525,"REFGBBANK-FDS^FG_YIELD(NOW,,,0)":5.0,"VWO^SIZE(FG_CONSTITUENTS)":4847,"EWA^FG_ROE(0)":13.0938681579042,"EWQ^FG_FCF_YIELD_NTM(0)":5.86885229144588,"SPY^FMA_EVAL_EBIT(LTMA,NOW,NOW,M,\"PORTAGG\",\"MEANR\")":21.0498660776373,"QQQ^FG_TOTAL_RETURNC(0,-1AM)":2.8097749,"TRYPE10Y-FDS^FG_YIELD(-10AY,0,Y,,\"YTM\")":[5.681629,7.426917,6.415413,5.167133,5.645114,4.243226,3.535983,5.889906,7.923381,6.6087],"EWL^FMA_DIV_YLD(NTMA,-10AY,0,AM,\"PORTAGG\",\"MEANR\")":[3.3332329527283,3.43936836314616,3.22538166210818,3.27873766149703,3.38002006144074,3.15848356988339,3.14103229440832,3.02898946942902,3.07702200267925,3.21097543364718,3.18341023988394,3.31941313524025,3.46578287001677,3.29876083636428,3.24736124598495,3.28940463021131,3.48006053841721,3.53914648824197,3.56684385623282,3.46686600344022,3.42966137637841,3.76149359350168,3.48199561846764,3.46233135844259,3.48815204261845,3.61092828436115,3.65585487155425,3.5543316351851,3.46166022077229,3.3914719840833,3.35376178132036,3.33370718270211,3.28817822977732,3.23993540276746,3.28362178045656,3.32198138522609,3.3005881315188,3.26644535953982,3.24319725316873,3.21292611297764,3.14112421508042,3.3610739589181,3.52708167851004,3.47180095515981,3.49187449598824,3.60963793851174,3.36141438105834,3.39171190901097,3.39722946858266,3.6281172865429,3.56216523949535,3.80482062211712,3.48831391838875,3.33294111339183,3.35221700582251,3.25748672969272,3.28469838710662,3.23012019701033,3.21915329418587,3.27194583087993,3.20600759257504,3.17155605675422,3.08427872313246,3.01744949160882,3.01928598121248,3.1864049962021,3.60339583344938,3.2897836521314,3.21217805231297,3.09982957077826,2.94431382581554,2.93382437391774,2.98732995007788,3.04390505719643,2.88257072408931,2.89893863273824,2.80983464954297,2.91272826287135,2.79736953671182,2.75308666300471,2.72148993223004,2.6122531505003,2.61971631837001,2.55371204875654,2.73648954275058,2.66269714285215,2.6629902999122,2.53544456128732,2.74022417199192,2.81237262410996,2.79874861753998,2.8670103576506,2.94755010738307,3.1508898648133,3.10532969627565,3.17405100149736,3.47417280423289,3.29644500521228,3.0964002846403,3.20744578544457,3.05170334571278,3.09938890156895,3.24780891558055,3.09862727879625,3.11780046690485,3.20856067063344,3.11764833677674,3.28007999361524,3.38867947352484,3.5669739322742,3.38886925604999,3.28554439329625,3.2711620458416,3.28779691228861,3.27428499772389,3.38198003229751,3.22930668618676,3.23059391949378,3.16413677222174,3.11260714994676,3.17349137566336],"PLATI-FDS^FG_PRICE_MAVG(0,,,,30)":965.9,"EWN^FG_PRICE_MAVG(0,,,,60)":49.561165,"EWC^FG_PRICE_MAVG(0,,,,200)":37.74655,"VWO^PERCENT_CHANGE(FMA_EPS(+1,0,,,,\"PORTAGG\",\"MEAN\"),FMA_EPS(+1,-1AM,,,,\"PORTAGG\",\"MEAN\"))":0.0,"EWD^FMA_PCT_ABOVE_MAVG(200,0,,,,\"PORTAGG\")":73.3333333333333,"EWL^PERCENT_CHANGE(FMA_EPS(+1,0,,,,\"PORTAGG\",\"MEAN\"),FMA_EPS(+1,-1AM,,,,\"PORTAGG\",\"MEAN\"))":-0.248652329905012,"EWL^FG_ROE(0)":18.6922555012128,"UUP^FG_TOTAL_RETURNC(0,-6AM)":-0.74231625,"UUP^FG_TOTAL_RETURNC(0,-1AM)":0.5370498,"EWA^FG_PRICE_MAVG(0,,,,200)":24.4662,"EWN^FG_FCF_YIELD_NTM(0)":4.13365050179061,"EWJ^FMA_PE(LTM,0,,,\"PORTAGG\",\"MEANR\")":17.3817970941414,"EWA^FMA_PE(LTM,0,,,\"PORTAGG\",\"MEANR\")":19.5695958389893,"EWA^JULIAN(FMA_DIV_YLD(NTMA,NOW,NOW,M,\"PORTAGG\",\"MEANR\").DATES)":45534,"EWN^FMA_PE(LTM,0,,,\"PORTAGG\",\"MEANR\")":21.5020928933088,"EWG^FG_FCF_YIELD_NTM(0)":5.80881788303232,"TRYTR7Y-FDS^FG_YIELD(-10AY,0,Y,,\"YTM\")":[7.979133,10.679033,11.110786,11.586128,15.896213,12.034795,12.534946,23.870693,7.323803,21.984322],"USDAUD^STD(FG_PRICE_CHANGE(0,-1AY,AM))":2.23507716992518,"EWJ^FMA_DIV_YLD(NTMA,-10AY,0,AM,\"PORTAGG\",\"MEANR\")":[2.0087800782742,2.15569845830442,1.95034048233183,1.93975170007768,1.98028355695776,1.87834190262488,1.86334318932593,1.81937439400501,1.83733424808274,1.8727507545403,1.92702166110916,2.11908704930176,2.20502416777028,2.0711387964616,2.01981949048267,2.12098222429426,2.3275764236506,2.46253262238801,2.38870174554736,2.31268324341516,2.36844391779497,2.58200324816756,2.381466159161,2.44418139191701,2.36198467296756,2.32050592512876,2.19356547532814,2.09503822794803,2.10091573860012,2.16122340169539,2.20254411814285,2.20114525235147,2.19172837721417,2.1588894612967,2.16230595590619,2.22814089173754,2.16461040785747,2.05531968888097,2.09130036412082,2.04532868695009,2.00458359395599,2.15561752069145,2.26586480560932,2.20675187675582,2.24272391317942,2.30084540155961,2.25156992187565,2.32067433319408,2.24156250136829,2.52971223094199,2.49323472782817,2.73812394913908,2.63228416905574,2.54745884754274,2.57128513702133,2.56408803888911,2.69499000610706,2.67953126986374,2.65698409724159,2.79281075766761,2.597275251738,2.5405221632792,2.45585994824273,2.42607937345393,2.47502529298301,2.66069348736959,2.87196509534093,2.83028760639165,2.6135683113946,2.47853650050502,2.47865549886099,2.38475128649672,2.38059250682507,2.40441452026054,2.16686416886771,2.17652973576338,2.08632780933426,2.12331496657383,2.04066602487386,2.14536295987959,2.18442222830859,2.16962085018037,2.2297799699127,2.28376227151313,2.14353922084697,2.23095570665361,2.2933435040116,2.32321794305078,2.52846418536387,2.5402369571307,2.46445997904461,2.64046007024119,2.63541945051566,2.67669201083419,2.59968891649943,2.57787645524004,2.75399249391801,2.71308892143141,2.56291522412643,2.73577807553974,2.61531946236751,2.6230509989704,2.67514528877751,2.58487129150197,2.46964499674181,2.36390440621031,2.3491157520931,2.42137724493223,2.33094010537934,2.47849822736187,2.37662797115134,2.42560129980446,2.31286332524635,2.1912577957958,2.122859097571,2.24791883796958,2.22948750802307,2.24830236824114,2.3598795554338,2.40540905722577,2.4516366575939],"DDR3512M-FDS^FG_PRICE_CHANGE(0,-1AM)":-1.45971751636385,"CPALM-FDS^FG_PRICE_CHANGE(0,-6AM)":-0.493421052631582,"EWN^FG_PRICE_MAVG(0,,,,30)":49.70067,"SPY^PERCENT_CHANGE(FMA_EPS(+1,0,,,,\"PORTAGG\",\"MEAN\"),FMA_EPS(+1,-3AM,,,,\"PORTAGG\",\"MEAN\"))":-1.25426322307386,"VWO^FMA_PCT_ABOVE_MAVG(200,0,,,,\"PORTAGG\")":40.8432708688245,"EWC^FMA_PCT_ABOVE_MAVG(200,0,,,,\"PORTAGG\")":73.2558139534884,"URTH^FMA_COS_DOWN(\"EPS\",\"1M\",+1,0,,,\"PORTAGG\",\"MEANR\")":524.0,"QQQ^FMA_COS_DOWN(\"EPS\",\"1M\",+1,0,,,\"PORTAGG\",\"MEANR\")":28.0,"REFGBBANK-FDS^PROPER_NAME(0,,,\"SECURITY\",\"NAME\")":"UK Bank Rate","TRYIT10Y-FDS^FG_YIELD(0,,,,\"YTM\")":null,"VGK^FMA_EVAL_EBIT(LTMA,NOW,NOW,M,\"PORTAGG\",\"MEANR\")":13.534157896406,"EWJ^FMA_DIV_YLD(NTMA,NOW,NOW,M,\"PORTAGG\",\"MEANR\")":2.37520994994013,"EWA^FMA_DIV_YLD(NTMA,NOW,NOW,M,\"PORTAGG\",\"MEANR\")":3.70434485279372,"UUP^FG_TOTAL_RETURNC(0,-3AM)":-3.6045313,"TRYUS10Y-FDS^PCTCHG(FG_YIELD(0,,,,\"YTM\"),FG_YIELD(-1AM,,,,\"YTM\"))":null,"TRYNL10Y-FDS^FG_YIELD(0,,,,\"YTM\")":null,"TLT^FG_TOTAL_RETURNC(0,-6AM)":5.631864,"GLD^FG_TOTAL_RETURNC(0,-1AM)":5.822873,"EWU^FG_FCF_YIELD_NTM(0)":6.08099146476996,"FXI^FMA_COS_UP(\"EPS\",\"1M\",+1,0,,,\"PORTAGG\",\"MEANR\")":24.0,"USDAUD^FG_PRICE_CHANGE(0,-6AM)":-5.2924514,"EWG^FMA_DIV_YLD(NTMA,-10AY,0,AM,\"PORTAGG\",\"MEANR\")":[3.182935331377,3.4157346223434,3.14250092386785,3.15223282195222,2.95605195676337,2.78173214454678,2.70153237687039,2.71092448723521,2.8415752094036,2.94388490543508,3.08379289845619,3.31241945295233,3.47393091041012,3.13571704208436,2.88268759826885,3.04073095866105,3.32202533287542,3.45753954486758,3.32974484077241,3.20103014332561,3.27075647027927,3.64545677346004,3.27070228639353,3.18279060008877,3.23658180543839,3.13433105021668,3.16809968362228,2.97364865754133,2.90539953181078,2.95653305296068,2.97629246471367,2.89373404341814,2.93556448903773,2.95404227722385,3.06495147523262,3.12322496558008,3.02824407657516,2.90485634173562,2.95184181764198,2.91703892062629,2.89208113356808,3.11846274003579,3.27428104169883,3.16382522416928,3.12474059873947,3.25844475765822,3.13887377399888,3.21426254773351,3.27628405078187,3.6315685407922,3.65662735376532,4.02641350344019,3.67356715145943,3.6226107385793,3.62821826851297,3.39101461211071,3.5962988092083,3.5264615824711,3.40772040183069,3.58212457847378,3.40266575427458,3.27408624526117,3.08445692780761,3.07735047874971,3.10666482917135,3.32025648237678,4.05034714806665,3.42122100979668,3.1014602770756,2.96999232310354,2.82853202987787,2.78165149142636,2.95437451677334,3.0554926208198,2.81345230526804,2.74037381499081,2.7757441513097,2.84200926461744,2.75160039071943,2.73212381306778,2.84375274883213,2.79086977642174,2.83349314052164,2.85217513372546,2.92215329839644,2.94139810095215,3.1229511994272,3.04025191266803,3.15925906972976,3.44573170131494,3.5598235181708,3.74121960399854,3.74348504500663,4.07366496082055,4.1223402726969,4.18329508575929,4.47280287023438,4.11769125512525,3.72220864372385,3.84145807845974,3.5015276919582,3.50940721812575,3.63496091131122,3.52161737235586,3.60675682757833,3.68476487814945,3.58552715012992,3.77656598235447,3.88958297107175,4.0682675227399,3.69874324069578,3.55261680347445,3.53190135389975,3.44834531229141,3.24987561704951,3.34150471980538,3.33672967467029,3.41442853180255,3.40364542843012,3.37988824350495,3.26975005211337],"DDR3512M-FDS^FG_PRICE_MAVG(0,,,,30)":0.88732684,"TIOS-FDS^FG_PRICE_CHANGE(0,-1AM)":-6.0030472320975,"EWN^FG_PRICE(0)":51.09,"EWC^FG_PRICE_MAVG(0,,,,60)":39.226166,"EWN^FG_TOTAL_RETURNC(0,-12AM)":39.33662,"QQQ^P_PRICE(0)/P_PRICE_HIGH_PR(0,,,,,,\"PRICE\",\"INTRA\",\"52W\")":0.97209644,"EWL^FMA_PCT_ABOVE_MAVG(200,0,,,,\"PORTAGG\")":58.695652173913,"EWA^FG_TOTAL_RETURNC(0,-12AM)":32.05664,"EWJ^FG_ROE(0)":8.70107222692936,"TRYSE10Y-FDS^PCTCHG(FG_YIELD(0,,,,\"YTM\"),FG_YIELD(-1AM,,,,\"YTM\"))":null,"TRYAU10Y-FDS^FG_YIELD(0,,,,\"YTM\")":3.961,"EWN^FMA_EVAL_EBIT(LTMA,NOW,NOW,M,\"PORTAGG\",\"MEANR\")":21.3452483802701,"QQQ^FMA_EVAL_EBIT(LTMA,NOW,NOW,M,\"PORTAGG\",\"MEANR\")":24.7790357957295,"EWA^P_PRICE(0)/P_PRICE_HIGH_PR(0,,,,,,\"PRICE\",\"INTRA\",\"52W\")":0.99704254,"REFCHMPR-FDS^FG_YIELD(NOW,,,0)":1.0,"REFCHMPR-FDS^PROPER_NAME(0,,,\"SECURITY\",\"NAME\")":"Swiss Policy Rate - Sight Deposit Rate","TRYNZ10Y-FDS^FG_YIELD(0,,,,\"YTM\")":4.237,"VWO^FMA_COS_DOWN(\"EPS\",\"1M\",+1,0,,,\"PORTAGG\",\"MEANR\")":1194.0,"TRYSE10Y-FDS^FG_YIELD_NAME":"Sweden Benchmark Bond - 10 Year","EWN^FMA_DIV_YLD(NTMA,NOW,NOW,M,\"PORTAGG\",\"MEANR\")":2.56456470987506,"GLD^FG_TOTAL_RETURNC(0,-6AM)":21.60511,"EWI^FG_TOTAL_RETURNC(0,-12AM)":35.54466,"SPY^FG_TOTAL_RETURNC(0,-6AM)":10.081315,"EWC^FMA_DIV_YLD(NTMA,-10AY,0,AM,\"PORTAGG\",\"MEANR\")":[2.86050590112024,2.99948351811249,2.88979259049842,2.94504812585397,2.91676539928075,2.84975029796081,2.94880403440373,2.81390521263193,2.88072106087449,2.94861272083552,3.18048697901722,3.17466374576898,3.29264928750301,3.21962880596942,3.31381762917627,3.30919789529291,3.54385042477541,3.36571060286697,3.17782644059077,3.05983121330904,3.02661244899757,3.15970137576145,3.00906819699829,2.95890982860004,2.97037079834165,2.9142329704656,2.86683753643022,2.8295167464174,2.80252020523353,2.86298707644775,2.92355241915091,2.94726676583357,2.92460093336778,3.02932750615579,3.0366709332472,3.07831119683306,2.98637656407727,2.92549746889418,2.92674356210103,2.90678369262901,2.91942014895146,3.07745082866195,3.21948835826342,3.1393849930569,3.0784555797297,3.0777724049345,3.07079172608658,3.08260914808202,3.14360965621135,3.45289813058303,3.44837391146514,3.63967753063328,3.36165187742924,3.25195749621214,3.27972465324113,3.17756322093136,3.34245377693297,3.33593802867569,3.31833658638339,3.44066372604383,3.3268529779655,3.3696647402793,3.2310918925107,3.24160196727107,3.24814489729024,3.45445226296221,4.56688177031005,3.92655552868491,3.61549708412685,3.62799899372729,3.42016169639422,3.30173695438423,3.45705584137625,3.48980033382558,3.17236282210262,3.10128330682212,3.14400400856681,2.9804457227924,2.84886070745191,2.75840167084207,2.67029859682833,2.69773013206501,2.72041282367263,2.72646072094658,2.77791979184795,2.71968116458794,2.77010770374639,2.77607022646523,2.90552291778101,2.87360953383952,2.77375186643041,3.06375901840466,3.10288528098664,3.35734466094557,3.37377718380759,3.35268758842969,3.65987836471697,3.46192195921286,3.28327547881648,3.45073159405643,3.27844192565659,3.346984413301,3.44156089182549,3.24814699192868,3.3340590258903,3.32114270183244,3.17536179295792,3.58216302386281,3.65382363752579,3.80884660950414,3.52100873871898,3.35026934386443,3.3269854026054,3.26040598956913,3.11764153085471,3.10622974434161,3.12253622184713,3.33761589151437,3.22118734867474,3.16001329964855,3.06984803272899],"WL-FDS^FG_PRICE_CHANGE(0,-6AM)":-8.00805452292441,"TIOS-FDS^FG_PRICE_MAVG(0,,,,30)":94.614,"EWQ^FG_PRICE_MAVG(0,,,,200)":39.632824,"EWC^FG_PRICE_MAVG(0,,,,30)":40.337,"VGK^FG_TOTAL_RETURNC(0,-12AM)":29.058922,"EWN^P_PRICE(0)/P_PRICE_LOW_PR(0,,,,,,\"PRICE\",\"INTRA\",\"52W\")-1":0.40782583,"EWA^P_PRICE(0)/P_PRICE_LOW_PR(0,,,,,,\"PRICE\",\"INTRA\",\"52W\")-1":0.31818187,"URTH^FMA_COS_UP(\"EPS\",\"1M\",+1,0,,,\"PORTAGG\",\"MEANR\")":465.0,"QQQ^FMA_COS_UP(\"EPS\",\"1M\",+1,0,,,\"PORTAGG\",\"MEANR\")":36.0,"REFCHMPR-FDS^(SUBARRAY(NOT_NA(NO_REPEAT_F(FG_YIELD(NOW,-10AY,D))),0,1)-SUBARRAY(NOT_NA(NO_REPEAT_F(FG_YIELD(NOW,-10AY,D))),1,1))*100":-25.0,"TRYIT10Y-FDS^FG_YIELD_NAME":"Italy Benchmark Bond - 10 Year","VGK^FMA_EVAL_EBITDA(NTMA,0,,,\"PORTAGG\",\"MEANR\")":9.05793202229782,"EWN^FMA_EVAL_EBITDA(NTMA,0,,,\"PORTAGG\",\"MEANR\")":11.8786567541242,"QQQ^FMA_PE(NTMA,0,,,\"PORTAGG\",\"MEANR\")":26.5846133031004,"EWJ^FMA_PE(NTMA,0,,,\"PORTAGG\",\"MEANR\")":14.1577403378745,"EWA^FMA_PE(NTMA,0,,,\"PORTAGG\",\"MEANR\")":18.2511322643686,"TRYAU10Y-FDS^FG_YIELD_NAME":"Australia Benchmark Bond - 10 Year","VGK^P_PRICE(0)/P_PRICE_LOW_PR(0,,,,,,\"PRICE\",\"INTRA\",\"52W\")-1":0.30257905,"TLT^P_PRICE(0)/P_PRICE_HIGH_PR(0,,,USD,,,\"PRICE\",\"INTRA\",\"52W\")":0.96477765,"VGK^P_PRICE(0)/P_PRICE_HIGH_PR(0,,,,,,\"PRICE\",\"INTRA\",\"52W\")":0.9989554,"EWN^FG_TOTAL_RETURNC(0,-3AM)":1.4697194,"VGK^FMA_DIV_YLD(NTMA,NOW,NOW,M,\"PORTAGG\",\"MEANR\")":3.4757708374086,"EWU^FMA_EVAL_EBIT(LTMA,NOW,NOW,M,\"PORTAGG\",\"MEANR\")":10.9325126319324,"ENZL^FMA_DIV_YLD(NTMA,NOW,NOW,M,\"PORTAGG\",\"MEANR\")":2.51244653093483,"TRYGB10Y-FDS^PCTCHG(FG_YIELD(0,,,,\"YTM\"),FG_YIELD(-3AM,,,,\"YTM\"))":null,"USDNZD^STD(FG_PRICE_CHANGE(0,-3AY,M))":3.59611459976247,"CPALM-FDS^FG_PRICE_CHANGE(0,-1AM)":5.74282147315854,"TIOS-FDS^FG_PRICE(0)":92.54,"EWC^FG_PRICE(0)":41.66,"EWN^P_PRICE(0)/P_PRICE_HIGH_PR(0,,,,,,\"PRICE\",\"INTRA\",\"52W\")":0.96341693,"EWG^FG_ROE(0)":10.8287884922483,"TRYNL10Y-FDS^PCTCHG(FG_YIELD(0,,,,\"YTM\"),FG_YIELD(-3AM,,,,\"YTM\"))":null,"QQQ^FMA_PE(LTM,0,,,\"PORTAGG\",\"MEANR\")":36.421877902264,"CPALM-FDS^FG_PRICE_MAVG(0,,,,30)":3996.8333,"TRYSE10Y-FDS^FG_YIELD(0,,,,\"YTM\")":null,"REFEUREFI-FDS^(SUBARRAY(NOT_NA(NO_REPEAT_F(FG_YIELD(NOW,-10AY,D))),0,1)-SUBARRAY(NOT_NA(NO_REPEAT_F(FG_YIELD(NOW,-10AY,D))),1,1))*100":-60.0,"CC_NL^IMF_IFS_RCPI_Q(0)":2.888117,"EWJ^JULIAN(FMA_DIV_YLD(NTMA,NOW,NOW,M,\"PORTAGG\",\"MEANR\").DATES)":45534,"EWI^FMA_EVAL_EBITDA(NTMA,0,,,\"PORTAGG\",\"MEANR\")":7.46469530476459,"SPY^FG_FCF_YIELD_NTM(0)":3.97150201138035,"SPY^SIZE(FG_CONSTITUENTS)":503,"USDNZD^STD(FG_PRICE_CHANGE(0,-1AY,AM))":3.12105132037959,"EWQ^FG_PRICE_MAVG(0,,,,60)":38.919834,"EWU^SIZE(FG_CONSTITUENTS)":79,"VGK^FG_FCF_YIELD_NTM(0)":5.28323894400439,"ENZL^FMA_PE(NTMA,0,,,\"PORTAGG\",\"MEANR\")":23.5953405267679,"VGK^FMA_COS_DOWN(\"EPS\",\"1M\",+1,0,,,\"PORTAGG\",\"MEANR\")":600.0,"TLT^FG_TOTAL_RETURNC(0,-1AM)":0.41213036,"EWU^FMA_PE(NTMA,0,,,\"PORTAGG\",\"MEANR\")":11.8107826788735,"DBA^P_PRICE(0)/P_PRICE_HIGH_PR(0,,,USD,,,\"PRICE\",\"INTRA\",\"52W\")":0.9756458,"EWI^FMA_PE(NTMA,-10AY,0,AM,\"PORTAGG\",\"MEANR\")":[13.7311671849196,12.2764178348872,12.9970710832341,12.5626614558153,13.9321761969586,15.5512236592378,15.6616611687816,16.1597186368042,16.0041943313555,15.5950772367398,14.7964986214104,14.5363566843596,13.9557592403111,14.6186826182386,15.0400503047353,14.148628497712,13.0619607037013,12.8578699581264,13.1931440220504,13.6265037750625,13.7815013289343,11.0073159352035,12.4913558828366,12.5575035375855,11.6084677379462,12.253041190476,11.5946242379158,13.7791090084959,13.0825952970425,12.7812528841563,13.4822035975096,13.4391598272113,13.5484967635559,13.1796757052393,13.5364217380163,13.2872041209754,13.5764392358976,13.5765474854277,13.1181095123255,13.1694302006135,13.4628376783266,12.5667726374013,12.2981398733133,13.0278504905678,11.778886222646,11.3484099570077,11.590095834428,10.8743785135577,11.0201782413345,9.59714379893144,9.63710437797269,9.04316633147439,9.8969749676626,10.5083408650835,10.7316166337319,10.8643545121416,10.1556415681396,10.4051244354096,10.7585131182568,10.3380974955346,10.779550435768,11.0901514356213,11.355849471257,11.5142226201628,11.2743143455392,10.9760764524994,9.44387654154973,12.7299471752445,15.6200602523654,17.1626935860264,17.4130751505231,15.9071435642293,14.6065815705757,13.9052358346162,15.1239107684721,14.8376441783332,13.3566729508972,13.701980133488,13.9292694660268,13.6709228981465,13.3948500936959,13.6286796464373,13.0285337307031,11.9968823855508,11.8068253061647,11.7870237161357,10.9811363781928,11.0279107160011,10.8187883946528,9.96708913223727,9.54851222988518,9.27392567045821,9.07744000110074,7.9363277923142,7.55457312018046,7.42976503025865,7.258388671857,7.8620360371915,8.23435169775619,7.67676631927802,8.42317401597186,8.25064658418255,8.19922238990407,8.61898761009709,8.12436312729496,8.5581311386011,8.80513846697204,8.23393236355014,8.19849670160045,7.78544513223225,8.2863258858548,8.9144314208552,8.95295433427642,9.27564113523134,9.80800963713393,9.57997279571212,9.71495700623428,9.31544731515518,9.68085197668138,9.72013889170407,9.93308884553532],"WL-FDS^FG_PRICE_CHANGE(0,-1AM)":8.37591240875912,"CPALM-FDS^FG_PRICE(0)":4235.0,"EWQ^FG_PRICE_MAVG(0,,,,30)":39.546333,"EWN^FG_TOTAL_RETURNC(0,-6AM)":3.851974,"EWA^FG_TOTAL_RETURNC(0,-6AM)":11.498523,"EWU^FMA_COS_DOWN(\"EPS\",\"1M\",+1,0,,,\"PORTAGG\",\"MEANR\")":28.0,"EWC^FG_ROE(0)":10.7750928444931,"REFJPTON-FDS^(SUBARRAY(NOT_NA(NO_REPEAT_F(FG_YIELD(NOW,-10AY,D))),0,1)-SUBARRAY(NOT_NA(NO_REPEAT_F(FG_YIELD(NOW,-10AY,D))),1,1))*100":15.0,"EWG^FMA_EVAL_EBIT(LTMA,NOW,NOW,M,\"PORTAGG\",\"MEANR\")":13.8664754850983,"VGK^FG_PE(0)":15.5268195870201,"ENZL^FMA_PE(LTM,0,,,\"PORTAGG\",\"MEANR\")":49.4624475867305,"EWC^FG_TOTAL_RETURNC(0,-1AM)":3.246593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D^FMA_PE(NTMA,-10AY,0,AM,\"PORTAGG\",\"MEANR\")":[14.6050360839399,14.1160740117779,15.6682014764798,15.7046229483106,16.2111089175988,17.3936140410266,16.9545597539632,16.8882713916781,16.6566424849725,16.0282338496078,15.6777192427571,14.9620756212983,14.119600017297,15.3408615135283,15.5641889758175,14.9834059643114,14.4595090768457,15.1124638352433,14.8304582920345,15.58757080213,15.0941833698299,13.6555700086476,15.2717592428273,15.4426152553483,15.443296941617,16.2604173202797,16.2791116851503,16.5845802738352,16.3948013417411,16.3357100595109,17.0304897841359,17.0655790393378,18.0171480827448,16.7085008873762,16.3084282445903,15.7196082429829,16.6085632427216,17.3207387816282,16.5644682485486,16.3140486550515,16.6833353702567,16.4451577902668,15.5820957259264,15.9748155896869,15.7591945336442,15.1607233780546,15.6151325209726,15.9229787249189,16.0184000544527,13.9171393119493,14.0179369362818,13.0785621842097,13.4976109215811,14.8060453311379,14.8203732515254,15.8891311389215,14.6740338549251,14.9986208798807,15.0298218518699,13.5734053831937,15.0453002048751,15.8094376818711,15.6862034689924,16.3488040699666,16.0667192397765,15.5083359290222,13.5125281930114,16.635963187188,18.475913171132,19.2204692405168,18.8023559700035,18.3776780990824,17.859413085237,16.6743312705885,17.5033495810956,17.076698830785,18.7759958465749,18.7197263433983,20.2493086934537,19.4052306602838,17.8374325903102,18.6648337951173,18.5055191641878,18.5375913756903,18.1797133488517,18.3068267746428,17.8354785772976,18.4887846061649,16.4607175496048,15.1580977838716,15.0101862994421,14.5558327399247,16.1191446210384,14.5465437044451,14.8810555069918,14.2163064277922,13.0110779688698,13.1887142713315,13.1333707215908,12.79150787312,14.0768479507097,14.1169383314229,13.1768418706789,13.8408678503331,13.539760546032,13.2670400712371,13.4086611968745,12.5295763876203,12.7287373495511,12.3913850859726,13.4353892877317,15.7174771892811,15.4849573842263,16.2040974594873,16.6610049916651,16.0387169731678,16.3815814933569,15.8736039305407,16.1397012933232,16.0728454336716,16.3572988597894],"WL-FDS^FG_PRICE_MAVG(0,,,,30)":544.82,"W-FDS^MAX(FG_PRICE(0,-5AY))":14.2525,"EWQ^FG_PRICE(0)":41.1,"EWA^FG_PRICE_MAVG(0,,,,60)":25.298334,"EWL^FMA_EVAL_EBIT(LTMA,NOW,NOW,M,\"PORTAGG\",\"MEANR\")":17.101561545368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EWL^FMA_PE(NTMA,-10AY,0,AM,\"PORTAGG\",\"MEANR\")":[15.9554300229029,15.4212247696793,16.258124500329,15.8332272247873,16.2055406010806,17.6281338147808,17.627552240632,18.1962004450656,17.8804612214608,17.189865905726,17.3512640547447,16.5461375475815,15.9322030959026,16.8230174639366,16.9893104258978,16.8225317773215,16.1463592368604,16.3224517288575,16.2780732642842,16.9278381746798,17.2976131951892,15.797204407712,17.1716073221928,17.3150831259374,17.1627825135352,16.5853721866434,16.3602574345351,16.7904381465874,17.2085932255089,17.4746281649584,17.6031212225277,17.8443727182388,18.0706202636987,18.0144357769628,17.7765804036984,17.4953411413808,17.6117545568466,17.8056902577492,17.6793536520098,17.7045094992771,17.920254159191,16.7455528869248,15.920630096925,16.1471310380195,16.007548754669,15.41626037202,16.358453265246,16.1423948006775,16.10493851991,15.1076594589004,15.4671012646287,14.1155673779636,15.470504412874,16.2532634697254,16.4387424755348,16.9095820087618,16.7354551634956,17.0754732670169,17.0998394595519,16.8003501989111,17.1095214315649,17.2394694503154,17.6017802548495,17.9720331604033,17.9215248703509,17.0658006650109,15.3945458553283,18.3134777797503,18.7293055485164,19.2339199768474,19.7115733019686,19.5854548438928,18.8842584519426,18.1845460006281,18.8436571141205,18.4028477199364,18.8995814853727,18.2374865926649,18.7972947379431,18.4455474997093,19.2631460170395,19.9432397122847,19.5785285692902,19.9537018354844,18.491669552115,18.9094517905718,18.689155144724,19.7196169926678,18.1106136606809,18.0042634078872,18.2115737768216,17.7451036350756,17.1169805057366,15.9377613923491,16.5567479310567,16.2860181061379,14.7522959652628,15.71630055769,16.9603062088293,16.3440738337398,17.3376477123223,17.2309565612719,16.6777727084115,17.3664468442793,17.2005575242223,16.259625430841,17.0372058238929,16.3471486394983,16.0374051149602,15.2779235753588,16.2452108994158,16.7915438823824,17.2316319338719,17.5098650117229,17.6205848417801,16.820161580225,17.1996787265037,17.1253511693162,17.3722427097344,17.5664385531754,17.1578371748026],"WL-FDS^FG_PRICE(0)":593.9,"EWA^FG_PRICE_MAVG(0,,,,30)":25.931667,"EWJ^PERCENT_CHANGE(FMA_EPS(+1,0,,,,\"PORTAGG\",\"MEAN\"),FMA_EPS(+1,-1AM,,,,\"PORTAGG\",\"MEAN\"))":0.39244533269804,"EWA^FG_TOTAL_RETURNC(0,-3AM)":10.261655,"VWO^FMA_COS_UP(\"EPS\",\"1M\",+1,0,,,\"PORTAGG\",\"MEANR\")":968.0,"ENZL^FG_ROE(0)":3.42797925259989,"CC_FR^IMF_IFS_RCPI_Q(0)":2.2093682,"USDSEK^FG_PRICE_CHANGE(0,-6AM)":-4.599971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80966,16.6617702931577,22.2767073415236,22.9687104404943,24.3449867555029],"PASP-FDS^MAX(FG_PRICE(0,-5AY))":3158.12,"W-FDS^FG_PRICE(0)/MAX(FG_PRICE(0,-1AY))":0.834344876829704,"SPY^FG_PRICE_MAVG(0,,,,200)":521.4927,"EWA^FG_PRICE(0)":26.97,"VGK^FMA_PCT_ABOVE_MAVG(200,0,,,,\"PORTAGG\")":63.370253164557,"EWN^FG_TOTAL_RETURNC(0,-1AM)":1.2886643,"QQQ^PERCENT_CHANGE(FMA_EPS(+1,0,,,,\"PORTAGG\",\"MEAN\"),FMA_EPS(+1,-3AM,,,,\"PORTAGG\",\"MEAN\"))":-2.65585680261825,"VGK^SIZE(FG_CONSTITUENTS)":1284,"VGK^FG_PE_NTM(0,,,90,0)":13.3765193620641,"EWN^FMA_PE(NTMA,0,,,\"PORTAGG\",\"MEANR\")":14.8996198446453,"EWN^PERCENT_CHANGE(FMA_EPS(+1,0,,,,\"PORTAGG\",\"MEAN\"),FMA_EPS(+1,-3AM,,,,\"PORTAGG\",\"MEAN\"))":2.46505758300668,"EWI^FG_PRICE_MAVG(0,,,,30)":38.262665,"W-FDS^FG_PRICE_CHANGE(0,-6AM)":6.71232876712331,"QQQ^PERCENT_CHANGE(FMA_EPS(+1,0,,,,\"PORTAGG\",\"MEAN\"),FMA_EPS(+1,-1AM,,,,\"PORTAGG\",\"MEAN\"))":0.105578451845066,"EWJ^FMA_PCT_ABOVE_MAVG(200,0,,,,\"PORTAGG\")":49.2462311557789,"EWA^FG_TOTAL_RETURNC(0,-1AM)":4.4539094,"REFJPTON-FDS^FG_YIELD(NOW,,,0)":0.25,"TRYNL10Y-FDS^FG_YIELD_NAME":"Netherlands Benchmark Bond - 10 Year","CC_US^IMF_IFS_RCPI_Q(0)":3.19889,"EWU^FMA_EVAL_EBITDA(NTMA,0,,,\"PORTAGG\",\"MEANR\")":7.67526080291296,"EWG^FMA_EVAL_EBITDA(NTMA,0,,,\"PORTAGG\",\"MEANR\")":8.65663249182069,"TLT^FG_TOTAL_RETURNC(0,-3AM)":5.879283,"GLD^FG_TOTAL_RETURNC(0,-3AM)":14.879751,"USO^FG_TOTAL_RETURNC(0,-6AM)":-10.966325,"USDANG^STD(FG_PRICE_CHANGE(0,-3AY,M))":0.0594600681310969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4,4.61613854439477,4.46089540048153,4.56673185665912],"EWG^FMA_PE(NTMA,-10AY,0,AM,\"PORTAGG\",\"MEANR\")":[12.509559707222,11.7582587615947,12.9911323075462,13.0047754445657,13.9164594422618,14.8213749994138,15.3290308983866,15.3891314285235,14.5727405736802,14.0313547471496,13.3853204229705,12.5204394382317,11.7849711983136,13.090258151858,14.0572703507699,13.3334512186569,12.4061913308085,12.1494381448621,12.5563692724635,13.0816966113751,12.7593261998522,11.4532883656352,12.7450302935418,12.9449339496852,12.6996435266399,12.9937936312694,12.863521034403,13.6422760690754,13.950952794594,13.6740424265999,13.7739526050404,13.9901571889823,13.7520887255524,13.6433809984953,13.1336973103925,13.0306237102773,13.4968466979558,14.0481847610663,13.7809001464367,13.9073955714943,14.0254595617577,13.1397657473331,12.6168341279337,13.1752751880771,13.2782878689112,12.7911282579786,13.2768399613465,13.0093281883098,12.8313579737342,11.670187331542,11.591912966799,10.7620841032786,11.883778961671,12.0727364765775,12.0995415394088,12.996511226303,12.3018855893723,12.6097873095109,13.0103525290126,12.416315070677,13.015560921491,13.5369346580929,14.1510919036298,14.1887287403125,14.0337479527938,13.132431694889,11.5721298812413,14.4749763569442,16.6918716678053,17.3644500058966,18.182508683782,18.0178519929626,16.5187691366732,15.286789860672,16.1996170361077,16.0013570519306,15.6016144760826,15.3083667940233,15.9046684397728,15.482602561094,14.7348846499868,14.8550789378823,14.3689335216793,14.2402664861022,13.8267623483991,13.7960666973417,12.9842836133738,13.3687337952045,12.9423122091279,11.9246212459917,11.540451202558,10.9911092145766,10.9876829322855,10.0334789960755,10.0568020565242,9.64247887614002,9.02054822102379,9.84908847903074,10.8239952070708,10.4938153887908,11.5453013536818,11.5363843536064,11.0888315671303,11.3605784303582,10.9150254299427,10.6617804430451,11.0117762719649,10.4781078203806,10.227252164667,9.79618831409456,10.7897968887657,11.175954211865,11.5174449838852,11.9525406122281,12.3821969120599,12.0376776303342,12.0237313969261,11.7235384137803,11.8374522539594,11.9542415275622,12.4655541418536],"PASP-FDS^FG_PRICE(0)/MAX(FG_PRICE(0,-1AY))":0.817344589409056,"SPY^FG_PRICE_MAVG(0,,,,60)":552.81,"ENZL^FG_PRICE_MAVG(0,,,,200)":46.425564,"EWL^FG_FCF_YIELD_NTM(0)":4.71854595302581,"REFNZOCR-FDS^PROPER_NAME(0,,,\"SECURITY\",\"NAME\")":"New Zealand Official Cash Rate"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C^FMA_PE(NTMA,-10AY,0,AM,\"PORTAGG\",\"MEANR\")":[14.5606650456939,14.1127374606288,14.8652368524019,15.4116897729477,16.4244268052953,17.5003578800495,16.9096580819672,17.4105230323077,16.6758148588652,16.1806781809928,15.0845179577679,14.8122830298435,14.5021462210472,14.8963445317242,14.5163637920177,14.6176224630052,13.7715343718427,14.839457177931,15.9227504424342,16.5581501303618,16.6590359121926,15.8938860838818,16.4182651820509,16.3162743176698,15.9284260784714,15.940080600714,16.0255070001572,15.8669615814805,16.167178844355,15.9021530127775,15.8371499898643,15.6046828476111,15.7326574806776,15.2873340968111,15.6458626006305,15.4477280413113,15.7680585732818,15.8883441224396,15.8364362883819,15.9214450674394,15.4945469758738,14.6429066440567,14.0366583778577,14.2224557326043,14.1538899581057,14.258013947317,14.1865297614449,13.9992275475893,13.6928999249827,12.428995998694,12.4739003179637,11.9969910892318,13.5128194772534,14.1681415444552,14.1303077292164,13.9518569273026,13.4828062029352,13.6104043145885,13.741239514338,13.4570786401537,13.9521813679657,13.865887683561,14.4573253792407,14.5184964660452,14.5847540153017,14.0728972285703,12.3404217780512,15.9651771879571,18.72388624977,17.3640115573926,17.4635157432789,17.4514030677715,16.236707615585,15.6385448415393,16.3081555104496,16.0225614829409,15.5191512861834,15.1177284599745,15.3703180252238,15.5301762265322,15.2598765510898,15.6918917921394,15.1635719508373,14.9317314841787,14.6377182914961,14.8797882284568,14.5341285799261,14.4494908669228,13.7378583986601,13.9203451815443,13.7049784168976,12.6101865700062,12.4983161589908,11.4174888783755,11.3518231970426,11.6703099684881,10.680734373476,11.4604106701497,12.1693714035588,11.96965036764,13.0053447453915,12.6775499588287,12.4369341969769,13.0099300800297,12.843166475262,12.7583198308965,13.4133611567096,12.8303911703836,12.5014695147999,12.0004294186304,12.7389448120956,13.7080744594597,13.879807729278,14.1547041334415,14.6068351036267,14.2897129849808,14.3921265571365,13.9828241599112,14.3746965406199,14.5621490675737,15.0475020481594],"PASP-FDS^FG_PRICE_CHANGE(0,-6AM)":8.67346938775511,"W-FDS^FG_PRICE_CHANGE(0,-3AM)":4.37695399732023,"SPY^FG_PRICE_MAVG(0,,,,30)":560.00464,"QQQ^FMA_PCT_ABOVE_MAVG(200,0,,,,\"PORTAGG\")":60.7843137254902,"EWG^FG_TOTAL_RETURNC(0,-12AM)":33.53847,"EWA^PERCENT_CHANGE(FMA_EPS(+1,0,,,,\"PORTAGG\",\"MEAN\"),FMA_EPS(+1,-3AM,,,,\"PORTAGG\",\"MEAN\"))":0.180615731026348,"VGK^FMA_COS_UP(\"EPS\",\"1M\",+1,0,,,\"PORTAGG\",\"MEANR\")":427.0,"REFSEREPO-FDS^(SUBARRAY(NOT_NA(NO_REPEAT_F(FG_YIELD(NOW,-10AY,D))),0,1)-SUBARRAY(NOT_NA(NO_REPEAT_F(FG_YIELD(NOW,-10AY,D))),1,1))*100":-25.0,"REFJPTON-FDS^PROPER_NAME(0,,,\"SECURITY\",\"NAME\")":"Japan Policy Rate","TRYFR10Y-FDS^FG_YIELD(0,,,,\"YTM\")":null,"VGK^JULIAN(FMA_DIV_YLD(NTMA,NOW,NOW,M,\"PORTAGG\",\"MEANR\").DATES)":45504,"EWG^FMA_PE(NTMA,0,,,\"PORTAGG\",\"MEANR\")":12.4655541418536,"CC_NZ^IMF_IFS_RCPI_Q(0)":3.330626,"EWJ^FMA_EVAL_EBIT(LTMA,NOW,NOW,M,\"PORTAGG\",\"MEANR\")":17.0940352465206,"USDCHF^FG_PRICE_CHANGE(0,-6AM)":-6.8362894,"EWA^FMA_PE(NTMA,-10AY,0,AM,\"PORTAGG\",\"MEANR\")":[13.9043161430432,14.4566699338967,14.1513824576626,14.3533535242629,15.198022844884,16.3202924327073,16.3355477603444,16.7465339807117,15.8798232798569,15.3132454893494,15.3577341010548,14.6121692640181,14.1964293388636,15.2933597955941,15.1108691793716,15.4374158399116,14.974616468104,15.077202287216,15.7665172006967,15.9758129188681,16.5798765196975,15.6313625618418,16.7510124677563,16.7436373869721,16.2246665979159,15.6461758535283,16.0899706638585,15.7020406029126,15.8237933512267,15.7823135388415,15.5228663749749,15.9426516862035,15.3746191871798,15.3253328260902,15.8453319312946,15.7824154832613,15.3704122610318,15.7763962109535,15.9429864310487,15.992142499655,15.825534674446,15.675672700233,14.8946438324574,15.1145864306011,15.2549722770613,15.451193557835,15.6759553130813,15.6049309022443,15.2178680791569,13.8735515723673,14.2234315588263,13.8269229480626,14.7696178694428,15.3379678024131,15.1716858151161,15.5430077856131,15.6744808786086,16.29815378831,16.3887207137146,15.8740979403228,16.7449982633798,16.994818098306,17.4205192171702,17.4933476678855,18.0940250755238,17.1217617506614,13.2649218761222,16.5885660506773,18.6176504048205,18.8234789611662,19.3746011546462,19.6625015340609,18.471502179878,18.2950423501556,19.6073741761342,19.2405379110187,19.1547324688891,17.9550506901397,17.7369305706919,17.9885773563214,17.8052819760396,17.7415095024165,16.9373407718088,17.2124065777298,17.1403597265277,17.6717700532768,16.9111747813273,17.4467529537819,15.80984144379,15.3303438290753,16.2078788959082,14.685714032219,14.2416960535531,12.8803714605896,13.5511722172213,14.2317782331331,12.6328724529608,13.3985222783614,14.6000012130907,14.2593563157512,14.9980664475796,14.4003830411861,13.7828925769658,14.552445192751,14.1902734950577,14.7587139488847,15.8252995105016,15.0249232458851,14.7699510162023,14.3833890488939,15.0582128778828,16.4139569789864,16.331120244022,16.5329407270724,16.6620376942463,16.2522086199286,16.6238225245876,16.8454744323834,17.2012934798485,17.8614997926898,18.2511322643686],"QQQ^FG_PRICE(0)":489.47,"ENZL^FG_PRICE_MAVG(0,,,,60)":47.699284,"URTH^FG_TOTAL_RETURNC(0,-12AM)":33.551407,"EWI^P_PRICE(0)/P_PRICE_LOW_PR(0,,,,,,\"PRICE\",\"INTRA\",\"52W\")-1":0.35550582,"EWN^PERCENT_CHANGE(FMA_EPS(+1,0,,,,\"PORTAGG\",\"MEAN\"),FMA_EPS(+1,-1AM,,,,\"PORTAGG\",\"MEAN\"))":-1.97216231396556,"EWU^FG_TOTAL_RETURNC(0,-12AM)":24.703121,"EWA^PERCENT_CHANGE(FMA_EPS(+1,0,,,,\"PORTAGG\",\"MEAN\"),FMA_EPS(+1,-1AM,,,,\"PORTAGG\",\"MEAN\"))":0.231860978055777,"EWG^SIZE(FG_CONSTITUENTS)":57,"SPY^FMA_RBICS_REV_CURRENT(30, LOC, \"PORTAGG\")":12.8044634335906,"REFSEREPO-FDS^FG_YIELD(NOW,,,0)":3.5,"TRYGB10Y-FDS^PCTCHG(FG_YIELD(0,,,,\"YTM\"),FG_YIELD(-1AM,,,,\"YTM\"))":null,"EWQ^FMA_DIV_YLD(NTMA,NOW,NOW,M,\"PORTAGG\",\"MEANR\")":3.34581744387374,"ENZL^JULIAN(FMA_DIV_YLD(NTMA,NOW,NOW,M,\"PORTAGG\",\"MEANR\").DATES)":45534,"SPY^P_PRICE(0)/P_PRICE_HIGH_PR(0,,,USD,,,\"PRICE\",\"INTRA\",\"52W\")":0.9958065,"PASP-FDS^FG_PRICE_CHANGE(0,-3AM)":12.1052631578947,"TRYFR10Y-FDS^FG_YIELD_NAME":"France Benchmark Bond - 10 Year","COPP-FDS^FG_PRICE_CHANGE(0,-3AM)":5.83342959454778,"EWQ^P_PRICE_RETURNS_PR('52W',2,-10AY,0,AM)":[1.2621164,-8.929926,-2.5709093,-6.560552,-3.8537204,-5.814022,-6.195468,-4.631871,-6.2515855,-4.712981,-4.0297866,-6.5433145,-6.9287596,5.582571,-2.4861157,-1.2538731,-8.269512,-11.910761,-9.138287,-6.8120537,-8.011097,-18.800896,-7.0614815,-1.7810464,2.4798393,-4.6307507,-3.52996,2.3847342,13.413107,12.626541,15.07119,14.923286,21.672153,38.608013,27.370167,26.977957,29.996693,33.27824,36.781345,30.280102,36.68573,30.477692,19.147253,19.372236,11.922873,6.383884,9.299922,8.870292,6.49935,-7.850456,-8.785772,-13.8942,-15.093237,-5.977291,-2.5826752,-3.9221764,-6.7821503,3.8380742,-0.13406277,-5.4466486,-2.7668357,12.840855,17.420816,27.961004,17.352985,2.662623,-17.338234,-19.26083,-11.300135,-10.546261,-4.634762,1.7357588,-7.197648,-9.70186,5.1167727,3.7100315,4.1332483,14.276338,43.02441,57.01456,53.426434,43.14628,33.75937,33.594154,42.26459,42.257248,16.438711,21.608496,19.495047,11.128891,5.058527,-8.018976,-7.539564,-15.915007,-13.283396,-16.952484,-27.205753,-18.802048,-9.289211,-11.526436,1.9378304,3.8846493,8.118343,24.461222,15.52471,26.359451,28.090202,23.576582,36.031197,16.47358,15.403091,22.054577,8.550239,12.839901,17.247414,6.651473,14.70853,3.3979893,2.8565645,10.567141,20.525885],"ENZL^FMA_PE(NTMA,-10AY,0,AM,\"PORTAGG\",\"MEANR\")":[17.1408424546592,17.4486459174445,17.8424087900628,18.1954516012937,18.9905810520048,19.3006254187479,18.1043931296327,18.1320264629741,18.1271241493136,17.7680574031836,18.1940156154748,17.4444293283172,17.2374354113022,18.140187553285,18.1379607697507,18.1928563698572,17.581296349703,17.5566851825032,18.0157819667919,18.6234298646544,19.331173304405,18.4730561282071,20.1705412880731,20.4256231036991,20.0055658345189,19.0671860032638,18.8039193501757,18.5204374115071,19.1948752259908,18.1125402325845,18.6604979369901,19.4520468483775,19.5714607692372,19.7628031337501,19.7475231592952,20.0801776141778,19.8858756392556,20.3723595613449,20.224502320122,20.8635918861093,20.5716325762325,20.8321711249762,20.4953803530541,19.9113535617366,20.4308952815634,21.3335418695831,21.1629539138984,21.8200505264478,21.3380392266907,19.6196262571414,19.6398107166439,20.0313925971307,20.634905232582,21.3974718689721,22.0682110116012,22.6562418835128,23.3460849436391,23.5360326758055,24.4550517156695,25.374977006805,25.2725234863641,24.7609536236028,25.5694693550293,26.0858022951486,26.3952717326092,26.3074428809608,24.0640069291665,28.5011189002913,32.3153347524337,30.42766345727,31.8851619399311,33.342435406785,31.7262486568135,33.0899826289219,32.1588818109295,34.3697682298684,34.1794497457238,31.507983403909,31.9761781309518,32.2452000777093,31.9106663575761,33.6499530399348,33.6932150831145,34.7672165856944,34.5639937395361,33.5385247423111,31.6186486578242,32.1700640150089,29.8589538741236,28.9088433922533,29.1736298449636,28.2312582861009,26.780744768853,25.9677744334383,25.5172262612957,27.5940406505861,24.4873431125088,23.3577670480098,23.3867751362217,23.1656803707773,24.0290819403296,23.8268693422686,22.8928129826179,23.3694298096013,23.4845394606897,20.4428902065766,20.9668247943327,20.048441417843,20.2661482101171,19.1494814094559,20.1285605995555,22.7147757921902,22.4560944144431,22.334690405232,25.2666910120451,24.9748671395893,25.1517492019093,24.1835720189913,25.4044270466134,26.7652298797179,23.5953405267679],"W-FDS^FG_PRICE_CHANGE(0,-1AM)":14.9532710280374,"ENZL^FG_PRICE_MAVG(0,,,,30)":49.20238,"URTH^P_PRICE(0)/P_PRICE_LOW_PR(0,,,,,,\"PRICE\",\"INTRA\",\"52W\")-1":0.36966002,"EWN^FMA_PCT_ABOVE_MAVG(200,0,,,,\"PORTAGG\")":51.8518518518518,"EWG^P_PRICE(0)/P_PRICE_LOW_PR(0,,,,,,\"PRICE\",\"INTRA\",\"52W\")-1":0.3640964,"ENZL^FG_TOTAL_RETURNC(0,-6AM)":9.804285,"EWI^SIZE(FG_CONSTITUENTS)":27,"EWG^FMA_COS_DOWN(\"EPS\",\"1M\",+1,0,,,\"PORTAGG\",\"MEANR\")":27.0,"REFSEREPO-FDS^PROPER_NAME(0,,,\"SECURITY\",\"NAME\")":"Sweden Repo Rate","CC_GB^IMF_IFS_RCPI_Q(0)":2.8697004,"EWI^FMA_EVAL_EBIT(LTMA,NOW,NOW,M,\"PORTAGG\",\"MEANR\")":11.4842402050919,"EWU^FMA_DIV_YLD(NTMA,NOW,NOW,M,\"PORTAGG\",\"MEANR\")":3.8107962887261,"EWG^FMA_DIV_YLD(NTMA,NOW,NOW,M,\"PORTAGG\",\"MEANR\")":3.33287521874897,"USO^P_PRICE(0)/P_PRICE_HIGH_PR(0,,,USD,,,\"PRICE\",\"INTRA\",\"52W\")":0.82735884,"DBA^FG_TOTAL_RETURNC(0,-3AM)":11.844337,"PLATI-FDS^FG_PRICE_CHANGE(0,-6AM)":12.8491620111732,"SPY^P_PRICE_RETURNS_PR('52W',2,-10AY,0,AM)":[18.890142,13.65211,17.154049,15.585554,16.11625,15.581285,13.639652,15.349317,13.226784,9.4649315,6.6400766,1.463759,0.21094084,7.4543715,2.9678464,1.054573,-5.2748322,-5.7858586,-0.6346524,1.4655471,0.9723067,-2.7895093,6.996119,14.184963,14.202297,5.4148674,8.120573,12.376511,24.325752,24.153019,17.398369,16.332806,17.854774,23.36899,16.49456,14.625764,18.343174,23.341692,19.853043,20.433855,27.388168,17.984735,13.67197,13.844895,14.713049,13.691961,15.965986,20.699942,18.37057,5.6895256,5.0184608,-5.4266033,-4.3903055,3.6836028,9.403825,12.325811,5.680883,10.3762865,8.7095375,0.96502304,3.652966,13.904345,19.892132,32.611073,24.020016,8.574045,-7.5033245,-0.14204383,9.560251,5.39037,9.190666,23.88376,12.624121,14.34629,17.541122,17.057276,17.940056,24.429953,54.04619,47.798695,40.366615,40.886116,37.862633,31.199825,36.561775,36.11846,28.351952,31.0794,16.728628,16.036224,17.702675,1.2641549,0.35094023,-7.613933,-7.347065,-7.8818502,-16.661083,-15.023309,-12.995881,-18.785358,-4.3966293,-7.664031,-10.91972,0.5222678,5.3981185,14.093971,14.68848,6.6054106,19.110918,9.798109,14.758385,26.849806,22.26609,29.407084,33.87252,27.52596,30.665434,27.02713,21.204163,29.431068,36.14843],"W-FDS^FG_PRICE_MAVG(0,,,,30)":5.5095,"EWU^FG_PRICE_MAVG(0,,,,200)":34.66395,"EWI^P_PRICE(0)/P_PRICE_HIGH_PR(0,,,,,,\"PRICE\",\"INTRA\",\"52W\")":0.9975904,"EWQ^FG_TOTAL_RETURNC(0,-3AM)":8.243346,"EWU^P_PRICE(0)/P_PRICE_LOW_PR(0,,,,,,\"PRICE\",\"INTRA\",\"52W\")-1":0.2495023,"EWG^P_PRICE(0)/P_PRICE_HIGH_PR(0,,,,,,\"PRICE\",\"INTRA\",\"52W\")":0.99881446,"EWG^FMA_COS_UP(\"EPS\",\"1M\",+1,0,,,\"PORTAGG\",\"MEANR\")":22.0,"QQQ^FMA_RBICS_REV_CURRENT(30, LOC, \"PORTAGG\")":0.923896032260943,"REFCATARG-FDS^PROPER_NAME(0,,,\"SECURITY\",\"NAME\")":"Canada Target Rate","TRYCH10Y-FDS^PCTCHG(FG_YIELD(0,,,,\"YTM\"),FG_YIELD(-3AM,,,,\"YTM\"))":null,"EWQ^FMA_PE(NTMA,0,,,\"PORTAGG\",\"MEANR\")":13.7811864182033,"CC_CH^IMF_IFS_RCPI_Q(0)":1.3619826,"EWJ^FMA_EVAL_EBITDA(NTMA,0,,,\"PORTAGG\",\"MEANR\")":9.99305290820544,"QQQ^P_PRICE_RETURNS_PR('52W',2,-10AY,0,AM)":[26.608444,20.801662,26.52161,21.549511,19.89807,21.192778,22.804749,29.34699,23.286486,18.322432,15.114653,7.2882056,6.4388633,15.820492,9.502053,9.051704,0.16577244,-4.0344477,0.46263933,-1.3669312,0.3340006,-5.3963065,5.166924,14.6246195,16.441525,5.3892374,5.2518845,8.508503,26.471817,27.503597,23.238695,27.483105,30.223274,36.427677,26.939833,23.00582,23.128712,29.62954,32.790447,30.746603,37.376022,30.214119,22.640514,20.441269,21.440971,23.96128,24.380123,30.895256,29.62693,14.277113,5.4465055,-1.3935506,-1.0620892,4.031229,12.804866,18.717861,5.9936643,10.844934,9.416413,0.9270668,1.5518546,15.398884,27.199566,40.717113,33.14836,19.437742,5.0492406,14.031494,30.364191,30.337166,34.26882,59.080685,43.934788,45.56036,46.20781,47.11615,47.50526,46.148014,65.69682,58.783127,45.45033,42.845142,40.895283,29.933918,37.1084,35.15644,32.74374,30.968391,7.2989106,11.062706,15.98078,-6.4272823,-6.6959143,-15.849352,-15.343809,-16.989946,-25.426674,-27.746761,-27.6007,-34.19343,-12.507635,-14.365214,-13.420653,1.907301,17.284012,25.296724,23.63081,14.36199,30.230713,27.409018,36.56057,57.19526,45.472862,49.899662,45.028793,39.118492,39.001442,33.2844,23.479605,31.873299,38.807274],"PASP-FDS^FG_PRICE_CHANGE(0,-1AM)":9.23076923076922,"BRENT-FDS^FG_PRICE_CHANGE(0,-6AM)":0.0,"FXI^FG_TOTAL_RETURNC(0,-12AM)":24.46537,"URTH^P_PRICE(0)/P_PRICE_HIGH_PR(0,,,,,,\"PRICE\",\"INTRA\",\"52W\")":0.998436,"EWI^FG_TOTAL_RETURNC(0,-6AM)":6.202948,"EWG^FG_TOTAL_RETURNC(0,-6AM)":8.350301,"ENZL^FG_TOTAL_RETURNC(0,-3AM)":9.569526,"EWI^FMA_COS_DOWN(\"EPS\",\"1M\",+1,0,,,\"PORTAGG\",\"MEANR\")":9.0,"EWD^P_PRICE(0)/P_PRICE_LOW_PR(0,,,,,,\"PRICE\",\"INTRA\",\"52W\")-1":0.42838526,"TRYNZ10Y-FDS^PCTCHG(FG_YIELD(0,,,,\"YTM\"),FG_YIELD(-1AM,,,,\"YTM\"))":0.39094883,"EWU^P_PRICE_RETURNS_PR('52W',2,-10AY,0,AM)":[5.0327897,-3.4748137,1.2912393,-4.47762,-2.16918,-3.8355708,-3.9558291,-1.5881896,-4.117596,-5.6070566,-10.609645,-13.751019,-12.846577,-2.8522253,-7.8596115,-7.439107,-16.600721,-19.012112,-14.38998,-12.212742,-12.646228,-22.637754,-9.227395,-1.7695725,-0.43895245,-9.9887905,-7.812476,-3.5293877,10.536957,11.411535,9.793032,5.2492976,8.743418,22.88649,13.03401,9.530031,14.236283,19.670057,18.956125,21.354914,24.759626,14.631521,10.003352,13.993299499999999,8.583033,7.740891,6.7061186,6.4254045,3.981042,-6.073099,-5.3499937,-14.442086,-13.956475,-2.7264,0.96194744,-3.58122,-7.2364388,-1.8300176,-3.2537282,-8.468503,-4.5010924,8.346581,10.291457,22.283459,11.2856865,-6.0040474,-26.490122,-22.538006,-16.800308,-18.136566,-14.567148,-7.7887774,-16.370684,-20.032137,-9.933597,-10.277873,-6.8878174,1.8073559,33.575726,34.662937,34.67914,31.698513,26.763666,27.846468,33.523632,38.29938,13.896513,18.300259,18.162214,15.342485,13.835287,2.5357246,2.42275,-4.489785,-1.9606233,-5.376214,-18.05271,-13.166941,-1.6162038,-4.3643475,-0.34154058,-1.442796,-3.7832797,8.911837,1.4520168,9.742821,11.718285,7.002926,27.115393,11.475205,7.521546,12.374151,3.9708734,5.2482605,12.792719,8.624434,16.899384,13.186777,11.8846655,24.61667,24.703121],"PASP-FDS^FG_PRICE_MAVG(0,,,,30)":1009.1667,"EWU^FG_PRICE_MAVG(0,,,,60)":36.331833,"FXI^FG_TOTAL_RETURNC(0,-1AM)":20.180725,"EWI^FG_TOTAL_RETURNC(0,-3AM)":9.615385,"EWQ^FG_TOTAL_RETURNC(0,-1AM)":2.8013945,"EWU^P_PRICE(0)/P_PRICE_HIGH_PR(0,,,,,,\"PRICE\",\"INTRA\",\"52W\")":0.99840665,"EWC^SIZE(FG_CONSTITUENTS)":86,"EWU^FMA_RBICS_REV_CURRENT(30, LOC, \"PORTAGG\")":19.2590072352383,"REFAUCASH-FDS^(SUBARRAY(NOT_NA(NO_REPEAT_F(FG_YIELD(NOW,-10AY,D))),0,1)-SUBARRAY(NOT_NA(NO_REPEAT_F(FG_YIELD(NOW,-10AY,D))),1,1))*100":25.0,"TRYCH10Y-FDS^PCTCHG(FG_YIELD(0,,,,\"YTM\"),FG_YIELD(-1AM,,,,\"YTM\"))":null,"EWQ^FMA_PE(LTM,0,,,\"PORTAGG\",\"MEANR\")":16.9631221578371,"EWU^FMA_PE(LTM,0,,,\"PORTAGG\",\"MEANR\")":14.1439599684003,"EWC^FMA_EVAL_EBITDA(NTMA,0,,,\"PORTAGG\",\"MEANR\")":9.89950801647893,"EWI^FG_FCF_YIELD_NTM(0)":5.42465579730859,"EWC^FG_FCF_YIELD_NTM(0)":4.79646978815664,"USO^FG_TOTAL_RETURNC(0,-3AM)":-13.651144,"EWC^P_PRICE_RETURNS_PR('52W',2,-10AY,0,AM)":[11.436188,3.2026052,8.468294,1.4654279,0.84433556,-1.3864279,-5.4143133,-0.15104413,-7.1699677,-11.723078,-22.55761,-25.237148,-23.42044,-17.698538,-23.69265,-21.940105,-25.195438,-20.985186,-15.196824,-12.193733,-9.596163,-12.346851,2.9886127,12.731624,11.458647,9.182215,13.768482,20.744205,38.34003,27.875126,17.364597,5.9654355,8.600044,14.421045,13.341832,9.878838,16.593372,15.085101,14.73825,15.081286,12.710535,6.4757943,4.2642355,9.908188,11.625147,7.5468183,6.7534924,7.9772115,1.8724084,-6.4311085,-8.452707,-17.296154,-9.666866,1.2878776,3.7258744,3.8315058,-1.5511334,4.506302,1.0836959,-3.0706108,2.9904604,12.52327,16.369486,28.563427,15.354431,2.1094918,-23.206097,-14.487606,-6.5627217,-9.617114,-2.424091,6.9737554,-3.9960265,-2.6017964,5.253637,7.098031,4.8249006,13.449931,60.214676,52.245842,52.05878,49.675705,37.02452,32.173264,39.27753,44.424416,27.98016,25.707508,22.645844,18.325256,22.428167,6.6930532,1.4057398,-7.0456505,-4.1899624,-3.759116,-15.726882,-13.676601,-8.282673,-11.873942,-1.5671492,-8.15528,-16.924828,-3.95962,-6.7575035,2.843225,5.451381,-3.837967,11.392498,-2.205801,-0.09662509,14.293098,4.832852,9.796929,18.156075,11.873341,15.774954,10.5175495,9.309137,22.841476,27.665318],"BRENT-FDS^FG_PRICE_CHANGE(0,-1AM)":0.0,"EWQ^PERCENT_CHANGE(FMA_EPS(+1,0,,,,\"PORTAGG\",\"MEAN\"),FMA_EPS(+1,-3AM,,,,\"PORTAGG\",\"MEAN\"))":0.465107565191695,"EWU^FG_TOTAL_RETURNC(0,-6AM)":12.635696,"EWG^FG_TOTAL_RETURNC(0,-1AM)":3.62854,"USO^FG_TOTAL_RETURNC(0,-1AM)":-9.779048,"BRENT-FDS^FG_PRICE(0)":85.86,"EWQ^PERCENT_CHANGE(FMA_EPS(+1,0,,,,\"PORTAGG\",\"MEAN\"),FMA_EPS(+1,-1AM,,,,\"PORTAGG\",\"MEAN\"))":-1.12884177367926,"CC_CA^IMF_IFS_RCPI_Q(0)":2.7411842,"EWL^FG_TOTAL_RETURNC(0,-6AM)":12.764335,"EWN^FMA_PE(LTMA,-10AY,0,AM,\"PORTAGG\",\"MEANR\")":[16.7587827406305,16.0057000567213,17.7461626791649,17.6644900500192,18.7524851857556,20.1223054586507,19.9157582397055,19.9104621494925,19.6294685731537,19.2686697328413,18.8417744982468,17.5569938860401,16.7641690361841,17.4631290005181,18.2517716650076,17.254760592399,16.1312568944003,16.2192761305052,16.387204622321,16.325704416075,16.3849644431134,15.3696800760603,16.1644115943872,16.143297624822,15.981668392565,15.8795046152784,15.6955777490254,16.3390138701925,16.3436329511664,16.4363128842318,16.468927102148,16.6562023797993,16.7272567607889,16.6363852974621,16.8149404200518,16.5735436172616,16.8478108468986,17.2696013624524,17.2025845382146,17.3301869926745,17.5240262691346,16.7251660757298,16.5464794750136,16.5902275298072,16.7124678648962,16.5065053951958,16.8681212405149,16.6823761190427,16.4014001026731,15.2369517361537,15.4098652413337,13.9350804572737,15.2333356268761,16.10118503134,16.1247919281578,16.3134571546665,16.0774015851863,16.3162485633006,16.7684398174934,16.3186262652732,17.043682883514,17.4059442860764,18.0938151975424,18.7883981766724,18.1928385557699,17.874727847011,16.7781881219891,17.664338947055,18.4462987562169,19.4286033317722,20.3887178874487,21.4295825472195,21.4444945067962,22.0675357104942,25.2124997430295,27.0911621164959,27.2888395191036,28.9833052381028,28.6240768907173,28.0948902840671,27.2189442199008,26.7174645129231,26.0824913961624,26.0662196061201,25.0080238742422,24.723435076481,22.9560332613628,22.8388404518674,20.304187070565,18.3295860616793,18.5012321813857,18.202610053897,18.5096848993216,18.2965980939591,19.3830138468364,18.9947858568893,17.3234222348492,18.1347890370486,18.7200734612796,17.8447327294933,19.5801267691276,20.8345882862979,20.2579124541028,19.8522797533572,19.6212473800492,19.0832037832445,19.1648638075448,17.6997024820434,16.6062763109092,15.7191842540295,16.4729049665372,16.7003898396048,17.3871611394679,17.8590133979324,18.4591591012432,18.1866125099362,18.3599883505791,18.2980536704641,17.8843817913562,17.6057221577219,17.5264428921162],"NI-FDS^FG_PRICE_CHANGE(0,-6AM)":1.37783221065524,"FC0000NZ^FG_PRICE(0)":419.7472,"EWU^FG_PRICE_MAVG(0,,,,30)":37.07567,"URTH^FG_TOTAL_RETURNC(0,-6AM)":9.295427,"EWG^FG_TOTAL_RETURNC(0,-3AM)":10.310972,"ENZL^FG_TOTAL_RETURNC(0,-1AM)":0.8934021,"EWI^FMA_COS_UP(\"EPS\",\"1M\",+1,0,,,\"PORTAGG\",\"MEANR\")":7.0,"EWC^FMA_COS_DOWN(\"EPS\",\"1M\",+1,0,,,\"PORTAGG\",\"MEANR\")":38.0,"TRYJP10Y-FDS^PCTCHG(FG_YIELD(0,,,,\"YTM\"),FG_YIELD(-3AM,,,,\"YTM\"))":-24.595709,"CC_JP^IMF_IFS_RCPI_Q(0)":2.7266946,"FXI^PERCENT_CHANGE(FMA_EPS(+1,0,,,,\"PORTAGG\",\"MEAN\"),FMA_EPS(+1,-3AM,,,,\"PORTAGG\",\"MEAN\"))":8.2194704179792,"EWI^FG_TOTAL_RETURNC(0,-1AM)":1.9968867,"EWD^SIZE(FG_CONSTITUENTS)":46,"EWU^JULIAN(FMA_DIV_YLD(NTMA,NOW,NOW,M,\"PORTAGG\",\"MEANR\").DATES)":45534,"EWG^PERCENT_CHANGE(FMA_EPS(+1,0,,,,\"PORTAGG\",\"MEAN\"),FMA_EPS(+1,-3AM,,,,\"PORTAGG\",\"MEAN\"))":-1.77711281390241,"EWG^FMA_RBICS_REV_CURRENT(30, LOC, \"PORTAGG\")":23.4666496440462,"VWO^FMA_EVAL_EBITDA(NTMA,0,,,\"PORTAGG\",\"MEANR\")":9.00030611740051,"USDGBP^STD(FG_PRICE_CHANGE(0,-3AY,M))":2.38683145915514,"EWQ^FMA_PE(LTMA,-10AY,0,AM,\"PORTAGG\",\"MEANR\")":[15.3731192448609,14.602554015543,15.3873170855164,15.1233756070699,16.2703900339817,17.5590988431393,17.5399411741343,17.7067900284557,17.6088292193664,17.3969752417282,17.0506845502788,16.1733290333261,15.6218848909774,16.2772743798392,16.3796450807112,15.5101637970271,14.5704385875315,15.0134818455844,15.0998828661815,15.3052087753707,15.2619188509632,14.385324906393,15.1361988655008,14.9344542492125,14.7614054107742,15.0577791653817,14.9037204180646,15.7213443307987,15.6889412314576,15.544985164034,15.6176635058418,15.774105917935,15.805845667154,15.6964732649685,15.6824394335987,15.4639147536811,15.8024762135841,16.2793605653617,16.013991929172,16.1119053812231,16.6075926058874,15.6892882721802,15.4452372214826,15.5943383349066,15.5509828623392,15.1867242809926,15.3473106547823,15.1632906618333,15.192203577869,13.9018180370076,13.7359982795191,12.6020921090285,13.5598785205876,14.5176591720485,14.5177372578066,14.6781481223226,14.4388714231198,14.619782815534,14.9554047587309,14.6146870996539,15.1225834848552,15.5516527890922,16.1378360318384,16.6222658331181,16.1746068209519,15.1533115614096,14.3441610217297,15.6237076124649,16.7692671584887,18.2904883040773,20.3229675191149,22.6040302483774,22.51480676611,23.6028964365699,28.156052575796,28.4644671517806,27.662914903154,27.0710572177567,26.4099334526035,25.6108024790816,24.6760974948226,23.994255919082,22.5120513822887,21.1628647549407,20.0227315970558,18.9098116671398,17.3750006480565,17.2907502730345,16.4604024085714,15.6958185141866,15.2428178181554,14.8665668663,14.4411733568777,13.7404655762232,13.4115936493128,12.7282791080579,11.5292905513786,11.8493092517399,12.2363999413787,11.6778011120558,12.8782828090318,12.9518559226976,12.8670886115135,13.2120624654947,13.1063165466755,13.1641043497878,13.4351649709968,13.1364251779138,12.8862972290602,12.4938024981756,13.3159858745248,14.1226285877638,14.4774339663085,15.5486383732936,15.5320553001403,15.4554193882825,15.4303698128106,14.9189975890108,14.9886609144129,14.9944193573598,15.0041790984051],"EWU^FG_PRICE(0)":37.66,"EWL^FMA_RBICS_REV_CURRENT(30, LOC, \"PORTAGG\")":17.5284373745121,"REFAUCASH-FDS^FG_YIELD(NOW,,,0)":4.35,"TRYCH10Y-FDS^FG_YIELD(0,,,,\"YTM\")":null,"EWQ^JULIAN(FMA_DIV_YLD(NTMA,NOW,NOW,M,\"PORTAGG\",\"MEANR\").DATES)":45534,"URTH^FG_TOTAL_RETURNC(0,-1AM)":2.2853136,"EWA^P_PRICE_RETURNS_PR('52W',2,-10AY,0,AM)":[-2.333337,-4.0365877,-1.6968906,-4.3179154,0.75052977,-0.88799596,-4.1344585,-4.7774076,-10.285986,-14.214373,-20.164442,-24.936653,-21.644514,-17.070055,-16.71241,-10.891843,-18.65741,-22.559196,-16.026323,-13.277751,-9.4662075,-10.726166,5.638695,14.13393,20.185995,8.036125,13.336563,11.968565,30.390549,32.78036,20.049631,17.743778,15.362465,21.791304,16.272581,13.696575,13.279379,18.086672,15.006435,20.05328,18.307507,9.6518755,3.1092405,4.6216607,8.508146,8.780336,4.833567,4.6504617,3.2066345,-8.102739,-4.82257,-12.361479,-8.696413,-2.3145854,2.8833747,4.367888,2.5846362,7.891488,5.8410525,-1.1961997,6.7955613,19.74963,17.037737,23.908197,15.337837,1.0546803,-28.844786,-21.16658,-13.161892,-13.325387,-7.07711,1.6559601,-7.804412,-7.2957873,4.9984455,8.172512,9.361517,18.37864,63.501835,61.617947,48.893894,41.04769,29.927147,27.744114,31.058228,33.589386,7.185817,9.527278,-2.8650463,0.88214874,13.067794,-1.3613164,-1.9457042,-12.48988,-7.5650873,-6.3238087,-17.613787,-16.371513,-2.4784625,-5.5559635,16.711891,-0.100302696,-12.147654,-1.2535572,-3.4985542,7.638645,7.966876,-2.3389876,12.410009,2.7376413,-0.71722865,13.966131,-1.5383601,8.418381,15.825653,7.9960465,15.331221,13.821125,9.413374,24.839556,32.05664],"SPY^FMA_PE(LTMA,-10AY,0,AM,\"PORTAGG\",\"MEANR\")":[16.4333048698529,16.3646379510624,17.1484068274009,17.5230511247465,17.0666627025492,17.59103730002,17.494488374599,17.5816914779194,17.5685207893461,17.484466481276,17.3576507358622,16.909155638849,16.5299320850738,17.3942604683829,17.4962548504994,17.267833301201,15.8025716307363,16.2966838906097,16.18819342752,16.4452153070474,16.7505275257683,16.4781191425266,17.3246041656764,17.5168705731979,17.6824179490346,17.5790223125763,18.338937061288,19.0199229002768,19.0923490355538,19.53701145499,19.3259656597596,19.2538634574887,19.1914525240663,19.078941971826,19.19772641715,18.9556526650034,19.240118668902,19.6519421968673,19.7104774056405,20.3052544652292,21.4535182086338,20.0313079633711,19.4192442867092,19.1526422058075,18.9513526310138,18.576379972966,18.6682207451327,18.7046132669716,18.6022016994231,17.0772898744462,16.8519437994536,15.4321104911256,16.46892501174,17.1603880554566,17.0972842351824,17.3057946397782,17.0593342108554,17.3490383476681,17.7995704828345,17.2992977294723,17.7948497822911,18.2364589268353,19.1487916367366,19.9048224943562,19.8275177006345,18.0548683056548,17.5178035616774,19.1031589950143,20.3704426476526,20.8154241315527,22.1885890500971,23.5127155874158,23.1042741263234,23.8812176862407,25.3770064798861,26.8775225913598,26.752570812137,26.2931694473799,26.0763066121878,25.8108316749371,25.1305899193803,24.8647699563105,24.4586317926586,24.0129850181294,23.4419742387813,23.1727377573406,22.826410561866,23.4030236946808,20.9133500613727,20.7936650057992,20.7434119503555,20.078754943938,19.8217812173825,19.0168397158485,19.0786656309452,18.9991269270234,17.4891820320783,17.8753616728081,18.4783846094145,17.3932659456205,18.4998907487468,18.1123683350622,18.0606958054273,18.2892362667733,18.4393232118107,18.9516025873095,19.5645965269149,19.2110322387595,18.9887065870125,18.5609168153974,20.3561918922744,21.7474787706849,22.2767169340949,22.7099054051948,22.7664131324302,22.4334768306284,22.5662989738348,22.8189986672052,22.7645246351003,23.1816978903924,23.5887563420304],"BRENT-FDS^FG_PRICE_MAVG(0,,,,30)":85.86,"EWL^FG_PRICE_MAVG(0,,,,200)":48.4422,"URTH^FG_TOTAL_RETURNC(0,-3AM)":6.335449,"EWI^PERCENT_CHANGE(FMA_EPS(+1,0,,,,\"PORTAGG\",\"MEAN\"),FMA_EPS(+1,-3AM,,,,\"PORTAGG\",\"MEAN\"))":-0.589216101644248,"EWU^FG_TOTAL_RETURNC(0,-3AM)":7.8465104,"ENZL^PERCENT_CHANGE(FMA_EPS(+1,0,,,,\"PORTAGG\",\"MEAN\"),FMA_EPS(+1,-3AM,,,,\"PORTAGG\",\"MEAN\"))":13.0658949117307,"EWN^FMA_COS_UP(\"EPS\",\"1M\",+1,0,,,\"PORTAGG\",\"MEANR\")":16.0,"EWC^FMA_COS_UP(\"EPS\",\"1M\",+1,0,,,\"PORTAGG\",\"MEANR\")":15.0,"EWJ^FMA_RBICS_REV_CURRENT(30, LOC, \"PORTAGG\")":18.4737986742214,"TRYJP10Y-FDS^PCTCHG(FG_YIELD(0,,,,\"YTM\"),FG_YIELD(-1AM,,,,\"YTM\"))":-9.521661,"CC_DE^IMF_IFS_RCPI_Q(0)":2.2863681,"EWI^FMA_DIV_YLD(NTMA,NOW,NOW,M,\"PORTAGG\",\"MEANR\")":5.27575321771592,"EWC^FMA_DIV_YLD(NTMA,NOW,NOW,M,\"PORTAGG\",\"MEANR\")":3.14359117199483,"VWO^FG_TOTAL_RETURNC(0,-1AM)":7.9705834,"NI-FDS^FG_PRICE_CHANGE(0,-1AM)":-1.66320166320166,"FXI^PERCENT_CHANGE(FMA_EPS(+1,0,,,,\"PORTAGG\",\"MEAN\"),FMA_EPS(+1,-1AM,,,,\"PORTAGG\",\"MEAN\"))":3.34361289351358,"EWL^FG_TOTAL_RETURNC(0,-12AM)":23.962284,"ENZL^PERCENT_CHANGE(FMA_EPS(+1,0,,,,\"PORTAGG\",\"MEAN\"),FMA_EPS(+1,-1AM,,,,\"PORTAGG\",\"MEAN\"))":15.2674248103084,"REFAUCASH-FDS^PROPER_NAME(0,,,\"SECURITY\",\"NAME\")":"Australia Target Cash Rate","EWQ^FG_TOTAL_RETURNC(-10AY,0,AM)":[-3.5340786,-6.2803745,5.504596,-3.07858,-0.078713894,4.371798,-0.3018856,4.049957,-0.109130144,0.43272972,-3.31859,-3.6613226,-4.82977,7.3211193,-2.558142,-1.8151879,-7.2143555,-0.26292205,4.086113,5.9518814,-1.3944209,-11.347485,10.659194,0.84495544,0.2513647,-0.12536645,-2.217567,5.040264,2.780056,-0.95465183,6.3453794,5.8157086,4.8179865,0.5858898,1.687324,0.74499846,2.4201632,2.3958087,0.35256147,0.047683716,8.005118,-5.603319,-2.8894484,6.0155153,-1.5558243,-4.554522,4.47464,0.3489852,0.18969774,-11.48628,-0.5704105,-5.555463,5.3012967,5.7225585,0.6166458,3.9836526,-2.946961,5.2109838,0.0,-4.5350018,3.029263,3.307712,2.8783917,2.9222608,-3.4282207,-7.5118837,-18.985611,1.5651464,6.622243,6.0005665,6.7136526,1.8421888,-6.1433434,0.65454245,19.761562,0.76783895,-2.2864103,4.279554,2.863896,6.974745,4.1856766,0.62224865,-1.9927561,1.7163992,-0.051921606,0.6493449,-2.683872,6.0093284,-3.9845824,-1.8473864,-4.828149,-5.445677,4.7286987,-8.492523,1.0745764,-3.447169,-11.61161,12.268782,12.40753,0.00044107437,10.627424,0.027143955,-0.9495437,8.846903,-4.479122,1.858592,2.4590135,-3.896767,-5.69281,-3.8724363,11.374414,5.7641745,-1.265502,3.6144614,2.919352,-2.2355795,3.196466,-7.428932,1.8698931,3.3609033,2.8013945],"EWG^FMA_PE(LTMA,-10AY,0,AM,\"PORTAGG\",\"MEANR\")":[14.0645982560273,13.2929322481935,14.4278581444787,14.4741141790598,15.4586277348533,16.4876845059821,16.5071546374315,16.4908838401669,16.1269040986152,15.7754827832166,15.2441100743695,14.4952558104779,13.698006976901,14.3793342902016,14.9352418338507,14.0848073133548,12.8334625602519,12.6511839848056,12.7350620119251,12.9687744528459,12.9581233750893,12.3850832263879,13.105382033481,13.3854191212356,13.4427559082422,13.8238081775621,13.7594308090077,14.7692280711144,15.1569157937766,14.9451159346609,14.9076403995704,14.9122290221455,14.7811984215352,14.6789340275715,14.3426108290986,14.1681228163519,14.4790556682809,15.1591843759979,15.2083311145743,15.4531387721925,15.5625769581742,14.3391686575727,14.0714922989839,14.1565295055017,14.1462469085437,13.9209081663496,14.223454063265,14.127348148717,14.0530685841655,13.0385689251633,12.9618089129616,11.8628582320643,12.9844578798768,13.1748940826179,13.1576039686048,13.4034774668338,13.1723910952703,13.3572916322277,13.6674042358793,13.4442686398915,14.0483642067835,14.7272506897877,15.2800951502587,15.5547283472162,15.3729069891411,14.5684074448049,13.7381109609629,14.7369706858873,16.1790209642138,17.3067140004735,18.913920153074,20.0553823718625,19.8104486582935,19.2935925442319,21.7792673195934,21.7071707790832,21.1568767782588,20.2950863016861,20.0596312313536,19.5303477147339,18.8262140562133,18.4824892672078,17.6857954990575,16.9936260460474,16.1926175690096,15.7619165782807,14.326653939516,14.1913966230141,13.6428469329693,12.6280547266543,12.434372385204,12.2177095422536,12.1318582997624,11.5687929547821,11.4019147219045,10.7798534425797,10.1671030614037,10.5388514136709,11.1645589056172,10.492566772035,11.4600910640014,11.3687085511852,11.2937991018531,11.4251396385194,11.2915354973394,11.200903461843,11.429001713871,11.1110202044502,10.9712759904167,10.6118195575951,11.430596664682,11.955350014932,12.1003362152395,12.4789974710061,12.6042599651243,12.5396099197817,12.5612427438127,12.4640532571058,12.5820122601056,12.7353880745719,13.2867478102051],"EWD^FMA_EVAL_EBIT(LTMA,NOW,NOW,M,\"PORTAGG\",\"MEANR\")":16.3794058741262,"NI-FDS^FG_PRICE_MAVG(0,,,,30)":16217.5,"COPP-FDS^MAX(FG_PRICE(0,-5AY))":5.119,"EWL^FG_PRICE_MAVG(0,,,,60)":50.629665,"FXI^FMA_PCT_ABOVE_MAVG(200,0,,,,\"PORTAGG\")":74.0,"VWO^P_PRICE(0)/P_PRICE_LOW_PR(0,,,,,,\"PRICE\",\"INTRA\",\"52W\")-1":0.28847945,"EWI^PERCENT_CHANGE(FMA_EPS(+1,0,,,,\"PORTAGG\",\"MEAN\"),FMA_EPS(+1,-1AM,,,,\"PORTAGG\",\"MEAN\"))":-2.07410687518698,"EWQ^FMA_PCT_ABOVE_MAVG(200,0,,,,\"PORTAGG\")":55.7377049180328,"ENZL^FMA_PCT_ABOVE_MAVG(200,0,,,,\"PORTAGG\")":42.3076923076923,"EWQ^SIZE(FG_CONSTITUENTS)":61,"EWA^SIZE(FG_CONSTITUENTS)":58,"TRYDE10Y-FDS^PCTCHG(FG_YIELD(0,,,,\"YTM\"),FG_YIELD(-3AM,,,,\"YTM\"))":null,"EWD^FMA_EVAL_EBITDA(NTMA,0,,,\"PORTAGG\",\"MEANR\")":11.1110953891986,"EWC^FMA_PE(NTMA,0,,,\"PORTAGG\",\"MEANR\")":15.0475020481594,"QQQ^FG_TOTAL_RETURNC(-10AY,0,AM)":[-0.5074918,-0.0911057,6.9206595,-0.085777044,-3.427267,6.861198,-2.4343371,4.4920444,0.634861,-1.2953162,0.832808,-4.1205287,-2.3343205,9.871745,1.0877252,-1.1976838,-10.66702,2.833569,4.0099382,0.2983451,2.3703218,-6.9325743,12.091565,1.9200563,1.7270923,-0.5569637,0.81466436,2.0021558,4.12184,3.6724925,0.53088665,3.7526727,4.0294647,-1.9911528,4.2961717,-1.382333,1.9771695,4.6933413,3.2729387,0.43219328,9.192538,-1.5444934,-5.3162518,1.8921256,4.707265,0.22027493,4.6485543,3.7833571,0.98905563,-10.315877,-1.9320786,-6.0826006,7.9059124,5.1105022,2.6690602,7.166946,-6.5512657,4.9123883,4.71313,-5.5609584,1.6142488,4.603541,5.315888,3.8980484,2.1019697,-5.7129803,-9.699345,16.330278,6.8333626,4.4913173,8.284068,11.890661,-6.561029,4.087496,5.7843328,3.716433,3.1883955,-1.6560674,0.71669817,7.6424003,-2.1372914,5.1017404,4.28375,3.1857967,-1.4016628,2.605641,2.9473662,3.2721996,-15.460497,1.3690948,4.0562153,-11.851954,-2.418238,-5.2090826,4.9102306,0.205338,-10.561723,-0.5865693,5.148983,-7.9114795,12.398518,-0.78309774,5.2039623,3.7537217,8.756042,4.5722485,3.5153747,-3.345549,-2.32597,-2.7405381,12.701631,6.003368,2.9914975,3.2538176,1.7854333,-3.1090498,6.2529087,5.335474,-3.8703501,2.978599,2.8097749],"NI-FDS^FG_PRICE(0)":16555.0,"EWL^FG_PRICE_MAVG(0,,,,30)":51.684666,"SPY^FG_TOTAL_RETURNC(0,-12AM)":36.14843,"REFNZOCR-FDS^(SUBARRAY(NOT_NA(NO_REPEAT_F(FG_YIELD(NOW,-10AY,D))),0,1)-SUBARRAY(NOT_NA(NO_REPEAT_F(FG_YIELD(NOW,-10AY,D))),1,1))*100":-25.0,"CC_AU^IMF_IFS_RCPI_Q(0)":3.81451,"SPY^FMA_EVAL_EBITDA(NTMA,0,,,\"PORTAGG\",\"MEANR\")":14.7944248739428,"EWD^FG_FCF_YIELD_NTM(0)":4.97314267072,"EWC^FMA_PE(LTM,0,,,\"PORTAGG\",\"MEANR\")":19.1518731479812,"EWL^P_PRICE(0)/P_PRICE_LOW_PR(0,,,,,,\"PRICE\",\"INTRA\",\"52W\")-1":0.2594465,"EWG^PERCENT_CHANGE(FMA_EPS(+1,0,,,,\"PORTAGG\",\"MEAN\"),FMA_EPS(+1,-1AM,,,,\"PORTAGG\",\"MEAN\"))":-4.22991356318843,"EWC^FMA_RBICS_REV_CURRENT(30, LOC, \"PORTAGG\")":40.9197765683473,"TRYJP10Y-FDS^FG_YIELD(0,,,,\"YTM\")":0.802,"EWL^FMA_EVAL_EBITDA(NTMA,0,,,\"PORTAGG\",\"MEANR\")":13.0419518472566,"DBA^FG_TOTAL_RETURNC(0,-6AM)":7.1747065,"REFNZOCR-FDS^FG_YIELD(NOW,,,0)":5.25,"SPY^FMA_PE(NTMA,0,,,\"PORTAGG\",\"MEANR\")":21.4842393666159,"EWJ^P_PRICE(0)/P_PRICE_HIGH_PR(0,,,USD,,,\"PRICE\",\"INTRA\",\"52W\")":0.99658656,"USDJPY^STD(FG_PRICE_CHANGE(0,-3AY,M))":3.35240877850283,"EWU^FG_TOTAL_RETURNC(-10AY,0,AM)":[-4.5255423,-4.994911,3.862667,-3.0301213,0.38022995,3.3549786,-3.979057,5.725181,0.618875,-1.3610721,-5.026448,-4.9025116,-3.573525,5.9538364,-1.4908254,-2.6934087,-9.45698,0.47169924,3.2193184,6.497717,0.12202263,-12.643385,11.4367485,1.2828708,-0.6966412,-4.2091846,0.8322239,1.8868208,3.7450671,1.2666225,1.7198205,2.0903826,3.8241506,-1.641494,2.5022626,-1.2352884,2.9183984,0.3472209,0.23066998,3.941393,6.8246007,-7.101381,-2.3870409,5.793309,-0.35773516,-3.1347573,1.5178084,-1.495111,0.55458546,-9.433961,1.0897398,-6.0432253,6.5517187,5.889976,1.314187,1.1161327,-3.3412874,1.5849233,-0.15580654,-6.6167297,4.9131036,3.40873,2.248919,4.1727066,-3.0311942,-10.5614605,-20.766878,6.552458,3.8183331,0.14026165,4.0031433,0.79244375,-5.5784345,-0.35685897,15.161169,2.858317,1.5290499,1.6399026,3.9183378,3.3903718,3.8308263,-0.23126006,-1.7448902,1.6533971,-1.3855398,3.2070875,-5.060667,6.7246437,1.4105678,1.2725711,-1.052016,-5.4341435,3.7164211,-6.964678,0.8569598,-2.7450979,-13.84409,9.360385,11.055624,0.48588514,5.6762934,0.15347004,-3.4017801,7.043147,-3.8530052,1.1255026,2.6724696,-4.721552,0.06353855,-4.0952387,7.116854,5.020952,-1.7459393,0.88847876,3.5226226,2.1707296,4.335344,-2.0257294,3.1500697,4.4142127,0.1329422],"EWA^FMA_PE(LTMA,-10AY,0,AM,\"PORTAGG\",\"MEANR\")":[14.7184700955155,15.2076713708369,14.8369360199092,14.5478656383555,15.1608041976877,16.2153413101021,16.2704960022116,16.4758182368396,16.2192895419029,15.9872431219633,15.9843327128625,15.5445096884554,15.100493988845,15.8363032435915,15.5527377319771,15.7355413446476,14.9736819750567,14.9372027356642,15.1412900899215,15.3575234799338,15.7921363274939,15.5601054028439,16.4207001053961,16.6873790901469,16.6526264636115,16.5397209413262,17.3565180399058,17.5794624334831,17.7601050248075,17.5633415069917,17.327746329031,17.2999109177847,16.9521872566133,16.7468616801612,16.9119885191828,16.7437891978863,16.2920890079756,16.629462206132,16.6905635684005,16.7894361001012,16.8083737695171,16.6777384487715,16.3299289546223,16.277084815913,16.239052514505,16.2674046158622,16.3664375721876,16.3004059226827,16.0148300702008,14.9064888445425,15.0210850389126,14.5040350380649,15.3799431966505,15.8737472790146,15.8410118851193,15.9223051538782,15.9823662155039,16.3100449428342,16.464363964218,16.1984737498645,16.8614052269742,17.2894571960356,17.7744269237485,18.0649174943122,18.6822736681753,17.6168979598478,16.1583348394834,17.040667067993,18.0321891104865,18.3879906411202,19.1484273927106,19.8560539936525,19.3970681567454,19.9534560367358,22.2236447314244,23.0184447756579,23.1717554419448,21.8034729962648,21.3985704646461,21.0625608069946,20.6252015703817,20.2332879927052,19.3431439639023,19.1099665227229,18.6563202945138,18.8129703002095,17.6689624204708,17.8111009300976,16.0915028523439,15.5226364354252,15.8078824556421,15.3327980015781,15.0647434728267,14.2298436768124,14.3672412000591,14.6102212547774,13.3212065810356,13.5751434081146,14.466809272068,14.1181350804792,14.9598157496564,14.1601348206319,14.1179763183653,14.3246960734247,14.2076625511532,14.5019647174374,15.1939517763178,14.7873882480359,14.7088958939687,14.4537759211948,15.0391772460179,16.5130457010897,16.3958282391868,16.5903268074032,16.6401062616073,16.5432021031293,16.6910746726908,16.8483991435572,17.0916027051785,17.5588432165833,17.9606611103338],"PLATI-FDS^MAX(FG_PRICE(0,-5AY))":1272.59,"COPP-FDS^FG_PRICE(0)/MAX(FG_PRICE(0,-1AY))":0.894901347919516,"EWI^FG_PRICE_MAVG(0,,,,200)":36.45335,"EWL^FG_PRICE(0)":52.33,"SPY^P_PRICE(0)/P_PRICE_LOW_PR(0,,,,,,\"PRICE\",\"INTRA\",\"52W\")-1":0.39854836,"VWO^P_PRICE(0)/P_PRICE_HIGH_PR(0,,,,,,\"PRICE\",\"INTRA\",\"52W\")":0.99659264,"EWI^FMA_PCT_ABOVE_MAVG(200,0,,,,\"PORTAGG\")":60.0,"FXI^SIZE(FG_CONSTITUENTS)":53,"EWQ^FMA_COS_DOWN(\"EPS\",\"1M\",+1,0,,,\"PORTAGG\",\"MEANR\")":24.0,"EWA^FMA_COS_DOWN(\"EPS\",\"1M\",+1,0,,,\"PORTAGG\",\"MEANR\")":17.0,"EWA^FMA_RBICS_REV_CURRENT(30, LOC, \"PORTAGG\")":43.4940120023798,"TRYDE10Y-FDS^PCTCHG(FG_YIELD(0,,,,\"YTM\"),FG_YIELD(-1AM,,,,\"YTM\"))":null,"VWO^FMA_EVAL_EBIT(LTMA,NOW,NOW,M,\"PORTAGG\",\"MEANR\")":14.5412114354492,"DBA^FG_TOTAL_RETURNC(0,-1AM)":5.675459,"EWD^FMA_PE(NTMA,0,,,\"PORTAGG\",\"MEANR\")":16.3572988597894,"USDJPY^STD(FG_PRICE_CHANGE(0,-1AY,AM))":3.18662304606753,"EWL^FG_TOTAL_RETURNC(-10AY,0,AM)":[-3.143537,-3.000611,4.797983,-2.4397612,0.52485466,2.3341417,1.0204077,3.1937003,2.0584464,-2.2905707,-1.6849041,-3.3974648,-6.3492117,5.1179767,-2.5292397,1.9461632,-8.145082,-1.1430562,2.1723866,5.418384,0.32531023,-6.5921125,6.5217376,1.0371447,1.5562892,-5.1516113,-2.028191,2.6956081,4.991448,0.78151226,4.1680217,3.4739375,4.556358,1.3767362,-0.57770014,-0.23241639,0.72801113,-1.0696709,2.0455837,1.3173103,6.6704392,-6.0943365,-4.4017973,0.97402334,-0.6430805,-3.3732176,7.740319,0.9269953,0.17222166,-7.564479,1.9218922,-6.0827312,7.027197,4.7201276,1.5891314,2.6450515,1.3577223,4.259002,-0.21407008,-0.75088143,1.8913865,0.82206726,2.8406024,4.2199492,0.12270212,-6.3970623,-8.902847,6.8122983,1.1302471,4.708886,7.024789,0.89286566,-1.9612551,-1.1466265,6.2931895,1.5854478,3.2014728,-4.210061,3.5854697,4.019654,4.4224977,3.2682776,0.48662424,3.2284021,-6.782645,3.5017848,-0.060772896,6.770718,-8.315927,0.0,1.0768294,-4.4867935,-1.8232465,-6.7882004,2.2482634,-3.438598,-10.537786,5.5781245,10.310328,-1.9297779,6.6619277,-2.0004451,-0.13608932,8.56235,-0.96234083,-0.75718164,3.9825797,-4.6253624,-5.4202375,-3.4570694,7.9788446,6.9886446,-0.52007437,-1.2965262,0.38136244,-3.0392647,5.180669,2.0977259,3.6010027,5.2536845,-0.6832361],"ENZL^FMA_PE(LTMA,-10AY,0,AM,\"PORTAGG\",\"MEANR\")":[17.9041434392104,18.2293486394845,18.5736448753129,19.135174035517,19.8847791320551,20.5337322033324,20.2006707560209,20.054513710769,19.9392086801876,19.6496878236845,19.7715730804471,19.1542975048465,18.9111453212201,19.5430391774013,19.5938339966836,19.7634532259133,19.1304028293624,19.2903080505808,19.257798741171,19.3765109174218,19.7113687304568,19.4114520813501,20.4658987742916,20.7805426923717,20.7335073461395,20.0834308755357,20.1085004843122,19.9924452113648,20.6890630841297,19.4689802726149,19.7076471194781,19.9217758015812,20.018662549414,20.2074434494732,20.4067402595246,20.6911266485399,20.6852670584328,21.2738816920246,21.4794662191215,22.3056845631207,22.0496253338217,22.63846253575,22.5320539520892,22.2664753550181,22.3886540725343,22.8961088177081,22.9621223800791,23.5270375838419,23.4378743051626,22.1527705536011,22.3428669230349,22.921620860437,23.5348813893366,24.0430564765049,24.1178700328173,24.1921509649454,24.45689526351,24.5890235314371,25.2092204939537,27.5998592284285,28.3667682013023,28.5998071790507,30.6718305405671,32.6498180472433,32.9383630449926,31.5759525187913,30.3305862666326,31.3395898373294,33.1150633711923,32.4023525668873,33.6074493772105,34.4624438635412,33.5314765102247,35.4650356556055,35.3171921537724,37.8027338761035,37.5878930724301,34.3437409257866,34.3833292210324,34.5131824015218,34.6499552865601,35.8446980571788,36.3926974772906,37.9228829617447,38.8577396514412,38.908892946388,37.6876440363277,39.0014523121751,36.6033063021833,35.2455545789184,34.9986091086782,34.4258886505996,33.6730168098908,33.1015562485733,32.7309576711166,34.7676740696063,32.0954910104591,31.0758806603326,30.1431982180416,29.229324608863,29.9135173023169,29.3899673002318,28.9043413133675,28.4576132619122,28.015046681685,25.9018926766995,25.4189530024482,24.2258193014813,23.7024546369191,22.3274437998573,21.9699080813586,23.8444825108014,23.4235962947973,23.2014946121233,24.0331839251033,24.2480083216844,24.5410543714705,24.3636830454343,25.2616755106319,26.473485446875,23.9104661703814],"COPP-FDS^FG_PRICE_CHANGE(0,-6AM)":14.7401377582968,"EWL^P_PRICE(0)/P_PRICE_HIGH_PR(0,,,,,,\"PRICE\",\"INTRA\",\"52W\")":0.98679996,"EWG^FMA_PCT_ABOVE_MAVG(200,0,,,,\"PORTAGG\")":59.6491228070175,"FXI^FMA_COS_DOWN(\"EPS\",\"1M\",+1,0,,,\"PORTAGG\",\"MEANR\")":20.0,"EWA^FMA_COS_UP(\"EPS\",\"1M\",+1,0,,,\"PORTAGG\",\"MEANR\")":21.0,"EWJ^FG_TOTAL_RETURNC(-10AY,0,AM)":[0.50632954,-5.289674,3.368795,-0.27419925,0.43251514,6.3738227,3.076911,4.3205023,-0.60240626,-0.40915012,-2.905202,-3.5433054,-5.22449,6.804478,0.6451607,-2.177614,-7.5082483,-1.3380885,2.622056,6.343603,-3.1068742,-2.7831733,5.0531983,3.1223655,3.6824822,-0.5524814,-1.8055558,1.0910869,2.7907014,1.0426879,1.0514021,0.40462017,2.0533442,1.7607808,1.2088537,-0.11025071,2.3914576,4.9586773,2.345097,0.95626116,7.8552365,-4.7317085,-3.8305461,2.5822759,-1.0694265,-2.736628,2.4125457,-1.5985191,3.19767,-10.571659,1.4637709,-6.6592813,6.3091397,1.7989635,-0.30970573,1.2426853,-2.9783428,2.0531297,0.82781315,-2.5907695,5.787599,2.8505683,3.2880068,0.47926903,-1.8798292,-9.305507,-5.356467,2.8098822,6.9199443,1.3682365,2.650082,1.4927983,1.6784906,0.3063321,12.368525,-0.22963285,3.3120632,0.323534,2.7704477,-3.0095577,0.39705038,0.95534325,-1.6954064,1.2934804,6.560993,-6.3911858,-1.4714539,1.9027948,-7.172555,1.6637325,-1.2745857,-10.312403,3.6786914,-7.866377,3.6633492,-1.3410687,-10.323292,1.9049525,12.482405,-2.3567379,7.8870177,-4.5392694,2.190566,3.3635378,1.5848875,2.193582,3.5982966,-5.3204894,1.7675519,-5.2597046,8.197856,3.1925917,2.7175665,5.7959914,3.5125732,-6.2561154,1.9812346,-0.4446566,1.537323,4.4256806,1.7565846],"ENZL^JULIAN(FMA_DIV_YLD(LTMA,-10AY,0,AM,\"PORTAGG\",\"MEANR\"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0],"PLATI-FDS^FG_PRICE(0)/MAX(FG_PRICE(0,-1AY))":0.944808231992516,"EWI^FG_PRICE_MAVG(0,,,,60)":37.533,"EWJ^FG_PRICE_MAVG(0,,,,200)":68.21955,"SPY^P_PRICE(0)/P_PRICE_HIGH_PR(0,,,,,,\"PRICE\",\"INTRA\",\"52W\")":0.9958065,"EWD^FG_TOTAL_RETURNC(0,-12AM)":41.41941,"EWC^FG_TOTAL_RETURNC(0,-12AM)":27.665318,"EWQ^FMA_COS_UP(\"EPS\",\"1M\",+1,0,,,\"PORTAGG\",\"MEANR\")":19.0,"ENZL^FMA_RBICS_REV_CURRENT(30, LOC, \"PORTAGG\")":14.6363346162214,"TRYCA10Y-FDS^PCTCHG(FG_YIELD(0,,,,\"YTM\"),FG_YIELD(-3AM,,,,\"YTM\"))":null,"EWD^FMA_DIV_YLD(NTMA,NOW,NOW,M,\"PORTAGG\",\"MEANR\")":3.20494310472097,"SPY^FMA_DIV_YLD(NTMA,NOW,NOW,M,\"PORTAGG\",\"MEANR\")":1.37400168509486,"EWL^JULIAN(FMA_DIV_YLD(NTMA,NOW,NOW,M,\"PORTAGG\",\"MEANR\").DATES)":45534,"EWC^JULIAN(FMA_DIV_YLD(NTMA,NOW,NOW,M,\"PORTAGG\",\"MEANR\").DATES)":45534,"TRYDE10Y-FDS^FG_YIELD(0,,,,\"YTM\")":null,"USDEUR^STD(FG_PRICE_CHANGE(0,-1AY,AM))":1.81097706680361,"DDR3512M-FDS^MAX(FG_PRICE(0,-5AY))":3.3053632,"USDEUR^FG_PRICE_CHANGE(0,-6AM)":-3.0524492,"ENZL^FG_TOTAL_RETURNC(-10AY,0,AM)":[-5.286461,2.2890925,1.8355489,0.5458236,-0.25221705,3.6446571,-0.048840046,-1.0505736,-5.11111,-6.3819942,-1.7108619,-4.293585,-1.7887354,12.932455,-2.9789567,6.8210483,-7.52486,5.986631,7.8968883,3.8119435,1.1845827,0.16310215,10.934437,3.042996,-1.476562,-7.102519,-1.2859464,-3.063327,9.807884,-1.864636,-2.3457646,2.0417929,4.28437,5.5467606,3.3986926,-1.0324419,0.31934977,-3.0772507,0.5911946,5.0269127,3.5065532,-0.8775532,1.4000416,-2.6395917,0.0,3.2737613,-0.82135797,1.4699817,-0.99979043,-9.4187975,6.279862,1.3409495,5.440855,1.1217713,3.1060815,1.7018795,0.21157265,3.2654285,3.4339666,-7.58847,2.013421,1.1803389,4.972267,7.8433156,-0.1725316,-6.446594,-20.048405,13.892115,4.767704,4.402101,9.803926,3.1751752,-4.9400864,6.123638,7.987547,2.8384686,2.4706006,-9.179378,-1.039499,4.7188163,-4.1666746,0.28755665,-2.3007154,4.212272,0.19096136,1.1118174,-8.887845,2.6134372,-9.6895275,3.097856,1.9604206,-9.487873,-4.9458027,-4.1491804,3.174603,-1.0042667,-9.734517,2.0564318,10.262418,3.1005502,8.170235,-7.218075,-0.35080314,1.9465685,-1.7265856,-0.10544658,2.1107674,-8.084327,-1.5364051,-7.1913185,9.892786,9.188211,-2.777779,-2.7078927,-0.06574988,-2.916664,3.2301784,-0.0050246716,0.7713318,7.768047,0.8934021],"EWD^FG_PRICE(0)":43.83,"EWJ^FG_PRICE_MAVG(0,,,,60)":69.6135,"EWD^PERCENT_CHANGE(FMA_EPS(+1,0,,,,\"PORTAGG\",\"MEAN\"),FMA_EPS(+1,-3AM,,,,\"PORTAGG\",\"MEAN\"))":-2.85812862888213,"EWL^FG_TOTAL_RETURNC(0,-3AM)":8.29885,"EWI^FG_ROE(0)":13.3546503088289,"TRYIT10Y-FDS^PCTCHG(FG_YIELD(0,,,,\"YTM\"),FG_YIELD(-3AM,,,,\"YTM\"))":null,"EWA^FMA_EVAL_EBIT(LTMA,NOW,NOW,M,\"PORTAGG\",\"MEANR\")":12.8704890432458,"REFGBBANK-FDS^(SUBARRAY(NOT_NA(NO_REPEAT_F(FG_YIELD(NOW,-10AY,D))),0,1)-SUBARRAY(NOT_NA(NO_REPEAT_F(FG_YIELD(NOW,-10AY,D))),1,1))*100":-25.0,"ENZL^JULIAN(FG_TOTAL_RETURNC(-10AY,0,AM).DATES)":[41908,41939,41969,41999,42031,42062,42090,42121,42151,42181,42212,42243,42272,42304,42335,42362,42396,42426,42453,42487,42517,42548,42578,42608,42640,42670,42699,42731,42762,42793,42821,42852,42881,42913,42943,42972,43005,43035,43066,43096,43126,43158,43186,43217,43245,43278,43308,43339,43370,43399,43431,43461,43490,43523,43551,43581,43609,43643,43672,43704,43735,43763,43796,43826,43857,43888,43917,43948,43978,44008,44039,44070,44099,44131,44162,44189,44223,44253,44281,44313,44343,44372,44404,44435,44466,44496,44526,44557,44588,44617,44645,44678,44708,44739,44769,44799,44831,44861,44890,44922,44953,44984,45012,45043,45072,45104,45134,45163,45196,45226,45257,45287,45317,45349,45378,45408,45436,45470,45499,45531,45562],"DDR3512M-FDS^FG_PRICE(0)/MAX(FG_PRICE(0,-1AY))":0.846153846153846,"PLATI-FDS^FG_PRICE_CHANGE(0,-3AM)":0.198412698412698,"COPP-FDS^FG_PRICE_CHANGE(0,-1AM)":8.28507268644369,"EWJ^FG_PRICE_MAVG(0,,,,30)":70.67433,"EWL^FG_TOTAL_RETURNC(0,-1AM)":-0.6832361,"EWC^PERCENT_CHANGE(FMA_EPS(+1,0,,,,\"PORTAGG\",\"MEAN\"),FMA_EPS(+1,-3AM,,,,\"PORTAGG\",\"MEAN\"))":1.53675867912142,"DUMMY^ECON_DATE(45439,,, 'MM/YYYY')":"05/2024","DUMMY^ECON_DATE(45531,,, 'MM/YYYY')":"08/2024","DUMMY^ECON_EXPR_DATA('FDS_ECON[NTCPMIMFGSA@NZ]',08/2024,,Q)":45.525333,"DUMMY^ECON_EXPR_DATA('FDS_ECON[NTCPMIMFGSA@NZ]',05/2024,,Q)":47.698093,"DUMMY^ECON_EXPR_DATA('FDS_ECON[NTCPMIMFGSA@AU]',08/2024,,Q)":48.811333,"DUMMY^ECON_EXPR_DATA('FDS_ECON[NTCPMIMFGSA@AU]',05/2024,,Q)":48.39547,"DUMMY^ECON_EXPR_DATA('FDS_ECON[NTCPMIMFGSA@CA]',08/2024,,Q)":49.331886,"DUMMY^ECON_EXPR_DATA('FDS_ECON[NTCPMIMFGSA@CA]',05/2024,,Q)":49.30091,"DUMMY^ECON_EXPR_DATA('FDS_ECON[NTCPMIMFGSA@DE]',08/2024,,Q)":43.782,"DUMMY^ECON_EXPR_DATA('FDS_ECON[NTCPMIMFGSA@DE]',05/2024,,Q)":43.319096,"DUMMY^ECON_EXPR_DATA('FDS_ECON[NTCPMIMFGSA@JP]',08/2024,,Q)":49.991356,"DUMMY^ECON_EXPR_DATA('FDS_ECON[NTCPMIMFGSA@JP]',05/2024,,Q)":47.808857,"DUMMY^ECON_EXPR_DATA('FDS_ECON[NTCPMIMFGSA@CH]',08/2024,,Q)":43.896877,"DUMMY^ECON_EXPR_DATA('FDS_ECON[NTCPMIMFGSA@CH]',05/2024,,Q)":44.08605,"DUMMY^ECON_EXPR_DATA('FDS_ECON[NTCPMIMFGSA@GB]',08/2024,,Q)":50.395269999999996,"DUMMY^ECON_EXPR_DATA('FDS_ECON[NTCPMIMFGSA@GB]',05/2024,,Q)":48.24796,"DUMMY^ECON_EXPR_DATA('FDS_ECON[NTCPMIMFGMESA@US]',08/2024,,Q)":50.939392,"DUMMY^ECON_EXPR_DATA('FDS_ECON[NTCPMIMFGMESA@US]',05/2024,,Q)":51.582687,"DUMMY^ECON_EXPR_DATA('FDS_ECON[NTCPMIMFGSA@FR]',08/2024,,Q)":45.684513,"DUMMY^ECON_EXPR_DATA('FDS_ECON[NTCPMIMFGSA@FR]',05/2024,,Q)":45.498753,"DUMMY^ECON_EXPR_DATA('FDS_ECON[NTCPMIMFGSA@NL]',08/2024,,Q)":51.49388,"DUMMY^ECON_EXPR_DATA('FDS_ECON[NTCPMIMFGSA@NL]',05/2024,,Q)":49.325874,"DUMMY^ECON_EXPR_DATA('FDS_ECON[]',08/2024,,Q)":null,"DUMMY^ECON_EXPR_DATA('FDS_ECON[]',05/2024,,Q)":null,"DUMMY^ECON_EXPR_DATA('FDS_ECON[NTCPMIMFGSA@IT]',08/2024,,Q)":46.215786,"DUMMY^ECON_EXPR_DATA('FDS_ECON[NTCPMIMFGSA@IT]',05/2024,,Q)":49.208153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}]]></FdsFormulaCache>
</file>

<file path=customXml/itemProps1.xml><?xml version="1.0" encoding="utf-8"?>
<ds:datastoreItem xmlns:ds="http://schemas.openxmlformats.org/officeDocument/2006/customXml" ds:itemID="{EEE328F1-DF3C-401D-B5BD-20228F78721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2024-09-27T13:41:44Z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